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C:\Users\thao\Downloads\"/>
    </mc:Choice>
  </mc:AlternateContent>
  <xr:revisionPtr revIDLastSave="0" documentId="13_ncr:1_{384D6D69-F996-4412-801B-689FFC7A2EB5}" xr6:coauthVersionLast="47" xr6:coauthVersionMax="47" xr10:uidLastSave="{00000000-0000-0000-0000-000000000000}"/>
  <bookViews>
    <workbookView xWindow="-120" yWindow="-120" windowWidth="29040" windowHeight="15840" tabRatio="792" activeTab="1" xr2:uid="{00000000-000D-0000-FFFF-FFFF00000000}"/>
  </bookViews>
  <sheets>
    <sheet name="Normal scenario" sheetId="3" r:id="rId1"/>
    <sheet name="Stress scenario" sheetId="22" r:id="rId2"/>
    <sheet name="Normal KMR" sheetId="19" r:id="rId3"/>
    <sheet name="Stress KMR" sheetId="23" r:id="rId4"/>
    <sheet name="Results" sheetId="20" r:id="rId5"/>
    <sheet name="Sheet1" sheetId="15" r:id="rId6"/>
    <sheet name="Sheet2" sheetId="16" r:id="rId7"/>
  </sheets>
  <externalReferences>
    <externalReference r:id="rId8"/>
    <externalReference r:id="rId9"/>
    <externalReference r:id="rId10"/>
    <externalReference r:id="rId11"/>
  </externalReferences>
  <definedNames>
    <definedName name="_AMO_UniqueIdentifier" hidden="1">"'bff25908-9f5f-48a5-8478-b2b7baa162b3'"</definedName>
    <definedName name="_xlnm._FilterDatabase" localSheetId="0" hidden="1">'Normal scenario'!$A$8:$K$68</definedName>
    <definedName name="Approach">[1]Parameters!$C$353:$C$355</definedName>
    <definedName name="Check">#REF!</definedName>
    <definedName name="DataDT">'[2]Main menu'!$KI$20</definedName>
    <definedName name="Group">[1]Parameters!$C$318:$C$319</definedName>
    <definedName name="ReportingDT">'[2]Main menu'!$KI$18</definedName>
    <definedName name="Temp">'[3]Data requirement'!$H$1</definedName>
    <definedName name="underlying">'[4]RRTDĐT-Dữ liệu &amp; Vốn'!$S$2:$X$2</definedName>
    <definedName name="YesNo">[1]Parameters!$C$316:$C$317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9" i="22" l="1"/>
  <c r="B34" i="19" l="1"/>
  <c r="B38" i="19" s="1"/>
  <c r="L9" i="3" l="1"/>
  <c r="K9" i="3"/>
  <c r="F19" i="23"/>
  <c r="H19" i="23" s="1"/>
  <c r="C9" i="23"/>
  <c r="B9" i="23"/>
  <c r="C8" i="23"/>
  <c r="B8" i="23"/>
  <c r="B7" i="23"/>
  <c r="F10" i="23" l="1"/>
  <c r="H10" i="23" s="1"/>
  <c r="F8" i="23"/>
  <c r="H8" i="23" s="1"/>
  <c r="F16" i="23"/>
  <c r="H16" i="23" s="1"/>
  <c r="F9" i="23"/>
  <c r="H9" i="23" s="1"/>
  <c r="F21" i="23"/>
  <c r="H21" i="23" s="1"/>
  <c r="F14" i="23"/>
  <c r="H14" i="23" s="1"/>
  <c r="B34" i="23"/>
  <c r="F12" i="23"/>
  <c r="H12" i="23" s="1"/>
  <c r="F20" i="23"/>
  <c r="H20" i="23" s="1"/>
  <c r="F13" i="23"/>
  <c r="H13" i="23" s="1"/>
  <c r="F17" i="23"/>
  <c r="H17" i="23" s="1"/>
  <c r="F18" i="23"/>
  <c r="H18" i="23" s="1"/>
  <c r="F7" i="23"/>
  <c r="H7" i="23" s="1"/>
  <c r="F11" i="23"/>
  <c r="H11" i="23" s="1"/>
  <c r="F15" i="23"/>
  <c r="H15" i="23" s="1"/>
  <c r="H23" i="23" l="1"/>
  <c r="B5" i="22"/>
  <c r="F20" i="19"/>
  <c r="F21" i="19"/>
  <c r="F13" i="19"/>
  <c r="F12" i="19"/>
  <c r="B3" i="20"/>
  <c r="B9" i="22"/>
  <c r="C9" i="22"/>
  <c r="D9" i="22"/>
  <c r="E9" i="22"/>
  <c r="F9" i="22"/>
  <c r="G9" i="22"/>
  <c r="H9" i="22"/>
  <c r="I9" i="22"/>
  <c r="J9" i="22"/>
  <c r="A9" i="22"/>
  <c r="I5" i="22"/>
  <c r="F16" i="19" l="1"/>
  <c r="F17" i="19"/>
  <c r="N9" i="22"/>
  <c r="F14" i="19"/>
  <c r="F18" i="19"/>
  <c r="M9" i="3"/>
  <c r="B28" i="19" s="1"/>
  <c r="F11" i="19"/>
  <c r="F15" i="19"/>
  <c r="F19" i="19"/>
  <c r="N9" i="3"/>
  <c r="L9" i="22"/>
  <c r="E8" i="23" l="1"/>
  <c r="G8" i="23" s="1"/>
  <c r="E12" i="23"/>
  <c r="G12" i="23" s="1"/>
  <c r="E9" i="23"/>
  <c r="G9" i="23" s="1"/>
  <c r="E13" i="23"/>
  <c r="G13" i="23" s="1"/>
  <c r="E16" i="23"/>
  <c r="G16" i="23" s="1"/>
  <c r="E17" i="23"/>
  <c r="G17" i="23" s="1"/>
  <c r="E7" i="23"/>
  <c r="G7" i="23" s="1"/>
  <c r="E20" i="23"/>
  <c r="G20" i="23" s="1"/>
  <c r="E15" i="23"/>
  <c r="G15" i="23" s="1"/>
  <c r="E18" i="23"/>
  <c r="G18" i="23" s="1"/>
  <c r="E11" i="23"/>
  <c r="G11" i="23" s="1"/>
  <c r="E19" i="23"/>
  <c r="G19" i="23" s="1"/>
  <c r="E21" i="23"/>
  <c r="G21" i="23" s="1"/>
  <c r="E10" i="23"/>
  <c r="G10" i="23" s="1"/>
  <c r="E14" i="23"/>
  <c r="G14" i="23" s="1"/>
  <c r="E16" i="19"/>
  <c r="E19" i="19"/>
  <c r="E14" i="19"/>
  <c r="E12" i="19"/>
  <c r="E11" i="19"/>
  <c r="E18" i="19"/>
  <c r="E20" i="19"/>
  <c r="E13" i="19"/>
  <c r="E21" i="19"/>
  <c r="E17" i="19"/>
  <c r="E15" i="19"/>
  <c r="M9" i="22"/>
  <c r="B28" i="23" s="1"/>
  <c r="C9" i="19"/>
  <c r="B9" i="19"/>
  <c r="C8" i="19"/>
  <c r="B8" i="19"/>
  <c r="B7" i="19"/>
  <c r="J14" i="23" l="1"/>
  <c r="I14" i="23"/>
  <c r="I7" i="23"/>
  <c r="J7" i="23"/>
  <c r="G23" i="23"/>
  <c r="A25" i="23" s="1"/>
  <c r="J8" i="23"/>
  <c r="I8" i="23"/>
  <c r="I10" i="23"/>
  <c r="J10" i="23"/>
  <c r="J17" i="23"/>
  <c r="I17" i="23"/>
  <c r="I12" i="23"/>
  <c r="J12" i="23"/>
  <c r="I20" i="23"/>
  <c r="J20" i="23"/>
  <c r="J21" i="23"/>
  <c r="I21" i="23"/>
  <c r="I16" i="23"/>
  <c r="J16" i="23"/>
  <c r="J19" i="23"/>
  <c r="I19" i="23"/>
  <c r="I13" i="23"/>
  <c r="J13" i="23"/>
  <c r="I15" i="23"/>
  <c r="J15" i="23"/>
  <c r="J11" i="23"/>
  <c r="I11" i="23"/>
  <c r="J9" i="23"/>
  <c r="I9" i="23"/>
  <c r="J18" i="23"/>
  <c r="I18" i="23"/>
  <c r="F9" i="19"/>
  <c r="H9" i="19" s="1"/>
  <c r="E9" i="19"/>
  <c r="F10" i="19"/>
  <c r="H10" i="19" s="1"/>
  <c r="F8" i="19"/>
  <c r="H8" i="19" s="1"/>
  <c r="F7" i="19"/>
  <c r="H7" i="19" s="1"/>
  <c r="E7" i="19"/>
  <c r="E8" i="19"/>
  <c r="E10" i="19"/>
  <c r="H21" i="19"/>
  <c r="H13" i="19"/>
  <c r="H20" i="19"/>
  <c r="H14" i="19"/>
  <c r="H19" i="19"/>
  <c r="H15" i="19"/>
  <c r="H16" i="19"/>
  <c r="H17" i="19"/>
  <c r="H18" i="19"/>
  <c r="H11" i="19"/>
  <c r="H12" i="19"/>
  <c r="K10" i="23" l="1"/>
  <c r="L21" i="23"/>
  <c r="K21" i="23"/>
  <c r="I23" i="23"/>
  <c r="B25" i="23" s="1"/>
  <c r="K13" i="23"/>
  <c r="L13" i="23"/>
  <c r="L10" i="23"/>
  <c r="H23" i="19"/>
  <c r="M10" i="23" l="1"/>
  <c r="N10" i="23"/>
  <c r="M13" i="23"/>
  <c r="N13" i="23"/>
  <c r="N21" i="23"/>
  <c r="M21" i="23"/>
  <c r="G20" i="19"/>
  <c r="G12" i="19"/>
  <c r="G14" i="19"/>
  <c r="G21" i="19"/>
  <c r="G19" i="19"/>
  <c r="G13" i="19"/>
  <c r="G15" i="19"/>
  <c r="G8" i="19"/>
  <c r="G16" i="19"/>
  <c r="G9" i="19"/>
  <c r="G17" i="19"/>
  <c r="G10" i="19"/>
  <c r="G18" i="19"/>
  <c r="G11" i="19"/>
  <c r="G7" i="19"/>
  <c r="P23" i="23" l="1"/>
  <c r="Q23" i="23"/>
  <c r="O23" i="23"/>
  <c r="J9" i="19"/>
  <c r="I9" i="19"/>
  <c r="J16" i="19"/>
  <c r="I16" i="19"/>
  <c r="J8" i="19"/>
  <c r="I8" i="19"/>
  <c r="I17" i="19"/>
  <c r="J17" i="19"/>
  <c r="J15" i="19"/>
  <c r="I15" i="19"/>
  <c r="I13" i="19"/>
  <c r="J13" i="19"/>
  <c r="I19" i="19"/>
  <c r="J19" i="19"/>
  <c r="I21" i="19"/>
  <c r="J21" i="19"/>
  <c r="J7" i="19"/>
  <c r="I7" i="19"/>
  <c r="G23" i="19"/>
  <c r="A25" i="19" s="1"/>
  <c r="I14" i="19"/>
  <c r="J14" i="19"/>
  <c r="I11" i="19"/>
  <c r="J11" i="19"/>
  <c r="J12" i="19"/>
  <c r="I12" i="19"/>
  <c r="J18" i="19"/>
  <c r="I18" i="19"/>
  <c r="I20" i="19"/>
  <c r="J20" i="19"/>
  <c r="I10" i="19"/>
  <c r="J10" i="19"/>
  <c r="C25" i="23" l="1"/>
  <c r="D25" i="23" s="1"/>
  <c r="B29" i="23" s="1"/>
  <c r="B30" i="23" s="1"/>
  <c r="B38" i="23" s="1"/>
  <c r="B19" i="20" s="1"/>
  <c r="L13" i="19"/>
  <c r="L21" i="19"/>
  <c r="L10" i="19"/>
  <c r="K13" i="19"/>
  <c r="K21" i="19"/>
  <c r="I23" i="19"/>
  <c r="B25" i="19" s="1"/>
  <c r="K10" i="19"/>
  <c r="M10" i="19" l="1"/>
  <c r="N10" i="19"/>
  <c r="N21" i="19"/>
  <c r="M21" i="19"/>
  <c r="M13" i="19"/>
  <c r="N13" i="19"/>
  <c r="P23" i="19" l="1"/>
  <c r="Q23" i="19"/>
  <c r="O23" i="19"/>
  <c r="C25" i="19" l="1"/>
  <c r="D25" i="19" s="1"/>
  <c r="B29" i="19" s="1"/>
  <c r="B30" i="19" s="1"/>
  <c r="B10" i="2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Quang Anh Phung</author>
  </authors>
  <commentList>
    <comment ref="J8" authorId="0" shapeId="0" xr:uid="{97397A2F-8349-490B-B7B1-24950CB67CAB}">
      <text>
        <r>
          <rPr>
            <b/>
            <sz val="9"/>
            <color indexed="81"/>
            <rFont val="Tahoma"/>
            <family val="2"/>
          </rPr>
          <t>Quang Anh Phung:</t>
        </r>
        <r>
          <rPr>
            <sz val="9"/>
            <color indexed="81"/>
            <rFont val="Tahoma"/>
            <family val="2"/>
          </rPr>
          <t xml:space="preserve">
Annually=1
Semiannually=2
Quarterly=4
Monthly=12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Quang Anh Phung</author>
  </authors>
  <commentList>
    <comment ref="J8" authorId="0" shapeId="0" xr:uid="{E4636EF4-0B13-4CC4-B05B-372DBC6CB09F}">
      <text>
        <r>
          <rPr>
            <b/>
            <sz val="9"/>
            <color indexed="81"/>
            <rFont val="Tahoma"/>
            <family val="2"/>
          </rPr>
          <t>Quang Anh Phung:</t>
        </r>
        <r>
          <rPr>
            <sz val="9"/>
            <color indexed="81"/>
            <rFont val="Tahoma"/>
            <family val="2"/>
          </rPr>
          <t xml:space="preserve">
Annually=1
Semiannually=2
Quarterly=4
Monthly=12</t>
        </r>
      </text>
    </comment>
    <comment ref="Y18" authorId="0" shapeId="0" xr:uid="{D41BB241-61C0-424D-A4C3-94C97DAF0640}">
      <text>
        <r>
          <rPr>
            <b/>
            <sz val="9"/>
            <color indexed="81"/>
            <rFont val="Tahoma"/>
            <family val="2"/>
          </rPr>
          <t>Quang Anh Phung:</t>
        </r>
        <r>
          <rPr>
            <sz val="9"/>
            <color indexed="81"/>
            <rFont val="Tahoma"/>
            <family val="2"/>
          </rPr>
          <t xml:space="preserve">
Annually=1
Semiannually=2
Quarterly=4
Monthly=12</t>
        </r>
      </text>
    </comment>
  </commentList>
</comments>
</file>

<file path=xl/sharedStrings.xml><?xml version="1.0" encoding="utf-8"?>
<sst xmlns="http://schemas.openxmlformats.org/spreadsheetml/2006/main" count="253" uniqueCount="154">
  <si>
    <t>Kịch bản bình thường:</t>
  </si>
  <si>
    <t>REPORT_DATE</t>
  </si>
  <si>
    <t>YIELD_TO_MATURITY</t>
  </si>
  <si>
    <t>Bond data</t>
  </si>
  <si>
    <t>Proceeding data</t>
  </si>
  <si>
    <t>TRANSACTION_ID</t>
  </si>
  <si>
    <t>COUNTERPARTY_TYPE</t>
  </si>
  <si>
    <t>EXTERNAL_CREDIT_RATING</t>
  </si>
  <si>
    <t>PRODUCT_TYPE</t>
  </si>
  <si>
    <t>CURRENCY</t>
  </si>
  <si>
    <t>PURCHASING
_DATE</t>
  </si>
  <si>
    <t>MATURITY_DATE</t>
  </si>
  <si>
    <t>FACE_VALUE</t>
  </si>
  <si>
    <t>COUPON_RATE</t>
  </si>
  <si>
    <t>FREQUENCY</t>
  </si>
  <si>
    <t>SWR for specific risk</t>
  </si>
  <si>
    <t>Phân nhóm lãi suất (lãi suất &gt;3%: category 1, lãi suất &lt;3%: category 2)</t>
  </si>
  <si>
    <t>FI1</t>
  </si>
  <si>
    <t>Bond</t>
  </si>
  <si>
    <t>USD</t>
  </si>
  <si>
    <t>Kịch bản bất lợi:</t>
  </si>
  <si>
    <t>(Maturity) (year)</t>
  </si>
  <si>
    <t>Weighting</t>
  </si>
  <si>
    <t>Net position</t>
  </si>
  <si>
    <t>Weighted position</t>
  </si>
  <si>
    <t>Matched weighted position</t>
  </si>
  <si>
    <t>Unmatched weighted position</t>
  </si>
  <si>
    <t>Match weighted position by zone</t>
  </si>
  <si>
    <t>Unmatch weighted position by zone</t>
  </si>
  <si>
    <t>Matched weighted position between zones</t>
  </si>
  <si>
    <t>Zone</t>
  </si>
  <si>
    <t>&gt;=3% (Category 1)</t>
  </si>
  <si>
    <t>&lt;3% (Category 2)</t>
  </si>
  <si>
    <t>%</t>
  </si>
  <si>
    <t>Long</t>
  </si>
  <si>
    <t>Short</t>
  </si>
  <si>
    <t>+/-</t>
  </si>
  <si>
    <t>1/2</t>
  </si>
  <si>
    <t>2/3</t>
  </si>
  <si>
    <t>3/1</t>
  </si>
  <si>
    <t>(b)</t>
  </si>
  <si>
    <t>(c )</t>
  </si>
  <si>
    <t>(d)</t>
  </si>
  <si>
    <t>Tổng L</t>
  </si>
  <si>
    <t>Tổng S</t>
  </si>
  <si>
    <t>Tổng (a)</t>
  </si>
  <si>
    <t>(e)</t>
  </si>
  <si>
    <t>(f)</t>
  </si>
  <si>
    <t>(g)</t>
  </si>
  <si>
    <t>NWP</t>
  </si>
  <si>
    <t>VD</t>
  </si>
  <si>
    <t>HD</t>
  </si>
  <si>
    <t>Calculation for KFX</t>
  </si>
  <si>
    <t>KSR</t>
  </si>
  <si>
    <t>C</t>
  </si>
  <si>
    <t>Counterparty type</t>
  </si>
  <si>
    <t>Description</t>
  </si>
  <si>
    <t>SOV1</t>
  </si>
  <si>
    <t>Chính phủ Việt Nam, Ủy ban nhân dân tỉnh, thành phố trực thuộc Trung ương</t>
  </si>
  <si>
    <t>SOV2</t>
  </si>
  <si>
    <t>Chính phủ, chính quyền địa phương của các nước phát hành</t>
  </si>
  <si>
    <t>Tổ chức tài chính quốc tế hoặc doanh nghiệp nhà nước phát hành</t>
  </si>
  <si>
    <t>FI2</t>
  </si>
  <si>
    <t>Được ít nhất hai tổ chức xếp hạng tín nhiệm xếp hạng BBB- hoặc tương đương trở lên</t>
  </si>
  <si>
    <t>Order</t>
  </si>
  <si>
    <t>SP</t>
  </si>
  <si>
    <t>Moody</t>
  </si>
  <si>
    <t>Fitch</t>
  </si>
  <si>
    <t>AAA</t>
  </si>
  <si>
    <t>Aaa</t>
  </si>
  <si>
    <t>AA+</t>
  </si>
  <si>
    <t>Aa1</t>
  </si>
  <si>
    <t>AA</t>
  </si>
  <si>
    <t>Aa2</t>
  </si>
  <si>
    <t>AA-</t>
  </si>
  <si>
    <t>Aa3</t>
  </si>
  <si>
    <t>A+</t>
  </si>
  <si>
    <t>A1</t>
  </si>
  <si>
    <t>A</t>
  </si>
  <si>
    <t>A2</t>
  </si>
  <si>
    <t>A-</t>
  </si>
  <si>
    <t>A3</t>
  </si>
  <si>
    <t>BBB+</t>
  </si>
  <si>
    <t>Baa1</t>
  </si>
  <si>
    <t>BBB</t>
  </si>
  <si>
    <t>Baa2</t>
  </si>
  <si>
    <t>BBB-</t>
  </si>
  <si>
    <t>Baa3</t>
  </si>
  <si>
    <t>BB+</t>
  </si>
  <si>
    <t>Ba1</t>
  </si>
  <si>
    <t>BB</t>
  </si>
  <si>
    <t>Ba2</t>
  </si>
  <si>
    <t>BB-</t>
  </si>
  <si>
    <t>Ba3</t>
  </si>
  <si>
    <t>B+</t>
  </si>
  <si>
    <t>B1</t>
  </si>
  <si>
    <t>B</t>
  </si>
  <si>
    <t>B2</t>
  </si>
  <si>
    <t>B-</t>
  </si>
  <si>
    <t>B3</t>
  </si>
  <si>
    <t>CCC+</t>
  </si>
  <si>
    <t>Caa1</t>
  </si>
  <si>
    <t>CCC</t>
  </si>
  <si>
    <t>Caa2</t>
  </si>
  <si>
    <t>CCC-</t>
  </si>
  <si>
    <t>Caa3</t>
  </si>
  <si>
    <t>CC</t>
  </si>
  <si>
    <t>Ca</t>
  </si>
  <si>
    <t>R</t>
  </si>
  <si>
    <t>RD</t>
  </si>
  <si>
    <t>SD</t>
  </si>
  <si>
    <t>D</t>
  </si>
  <si>
    <t>Unrated</t>
  </si>
  <si>
    <t>Giả định về tỷ giá hối đoái: Tỷ giá VND/USD tăng lên (cụ thể tỷ giá 23500) trong năm 2023 để tính stress testing cho 1 năm.</t>
  </si>
  <si>
    <t>FX_RATE</t>
  </si>
  <si>
    <t>KGR</t>
  </si>
  <si>
    <t>KIRR</t>
  </si>
  <si>
    <t>Total minimum capital requirement for market risk</t>
  </si>
  <si>
    <t>K tổng</t>
  </si>
  <si>
    <t>NET_POSITION (VND)</t>
  </si>
  <si>
    <t>Time - to -maturity (year) (1 tháng là 30 ngày, 1 năm là 360 ngày)</t>
  </si>
  <si>
    <t>Giả định về lãi suất: Lãi suất tăng lên (cụ thể tăng thêm 2%) trong năm 2023 để tính stress testing cho 1 năm.</t>
  </si>
  <si>
    <t>Calculation for KGR</t>
  </si>
  <si>
    <t>KFX</t>
  </si>
  <si>
    <t>Calculation for KIRR</t>
  </si>
  <si>
    <t>Proceeding data for calculating KIRR</t>
  </si>
  <si>
    <t>Step 2: Tính vốn cho rủi ro tỉ giá</t>
  </si>
  <si>
    <t>Step 1: Dùng tool tính vốn cho rủi ro lãi suất</t>
  </si>
  <si>
    <t>Step 3: Tính vốn cho rủi ro thị trường</t>
  </si>
  <si>
    <t>Bước 1: Xây dựng kịch bản trong điều kiện bình thường và trong điều kiện căng thẳng</t>
  </si>
  <si>
    <t>Bước 2: Tính toán vốn cho rủi ro thị trường trong điều kiện bình thường</t>
  </si>
  <si>
    <t>Sums of unmatched weighted position by zone</t>
  </si>
  <si>
    <t>Bước 3: Tính toán vốn cho rủi ro thị trường trong điều kiện căng thẳng</t>
  </si>
  <si>
    <t>Vốn tự có C</t>
  </si>
  <si>
    <t>Step 1: Giả sử vốn tự có của ngân hàng là 3,500,000VND</t>
  </si>
  <si>
    <t>Bước 4: Tính hệ số an toàn vốn: CAR_normal và CAR_stress</t>
  </si>
  <si>
    <t>CAR_MR_normal</t>
  </si>
  <si>
    <t>CAR_MR_stress</t>
  </si>
  <si>
    <t>Step 2: Tính CAR_MR_normal bằng công thức:</t>
  </si>
  <si>
    <t>Step 3: Tính CAR_MR_stress bằng công thức:</t>
  </si>
  <si>
    <t>Lãi suất ở đây là lãi suất gì? Lãi suất TPCP hay VNIBOR hay LIBOR hay gì gì đó?</t>
  </si>
  <si>
    <t>Vậy lãi suất tăng hay giảm là stress hay là cả 2?</t>
  </si>
  <si>
    <t>Vậy tỷ giá tăng hay giảm là stress hay là cả 2?</t>
  </si>
  <si>
    <t>Cách thức thiết lập kịch bản 2% hay 23500? Sao không phải 10% hay 25000?</t>
  </si>
  <si>
    <t>Tại sao lại chỉ có KB kết hợp này?</t>
  </si>
  <si>
    <t>Vốn trong ĐK căng thẳng còn cần ít hơn à?</t>
  </si>
  <si>
    <t>Good point!</t>
  </si>
  <si>
    <t xml:space="preserve">Nhưng trích lập dự phòng như thế nào nhỉ? Mà dự phòng tác động ntn đến Vốn tự có? </t>
  </si>
  <si>
    <t>Nói như bên trên</t>
  </si>
  <si>
    <t>Lãi suất tiền gửi tại Việt Nam vì khi lãi suất tiền gửi thay đổi, thì giá bond sẽ trở nên có giá or mất giá hơn so vs giá ban đầu.</t>
  </si>
  <si>
    <t>Lãi tăng sẽ là stress, lãi giảm không</t>
  </si>
  <si>
    <t>Tỉ giá giảm là stress, tỉ giá tăng thì không sao vì khi tỉ giá giảm, khiến bond price giảm.</t>
  </si>
  <si>
    <t>Bọn e cũng có nghĩ đến những ko chắc chắn lắm nên chỉ làm KB kết hợp</t>
  </si>
  <si>
    <t>Vì khi lãi suất tăng, NP giảm dẫn đến K giảm, nhưng K stress ở đây chỉ tính vốn cho giá của bond trong ĐK căng thẳng, còn khoản bù cho chênh lệch giá được trích từ vốn tự có.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</si>
</sst>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8" formatCode="&quot;$&quot;#,##0.00_);[Red]\(&quot;$&quot;#,##0.00\)"/>
    <numFmt numFmtId="43" formatCode="_(* #,##0.00_);_(* \(#,##0.00\);_(* &quot;-&quot;??_);_(@_)"/>
    <numFmt numFmtId="164" formatCode="_(* #,##0_);_(* \(#,##0\);_(* &quot;-&quot;??_);_(@_)"/>
    <numFmt numFmtId="165" formatCode="yyyy\-mm\-dd;@"/>
    <numFmt numFmtId="166" formatCode="_(* #,##0.000000_);_(* \(#,##0.000000\);_(* &quot;-&quot;??_);_(@_)"/>
    <numFmt numFmtId="167" formatCode="0.000"/>
    <numFmt numFmtId="168" formatCode="_(* #,##0.000_);_(* \(#,##0.000\);_(* &quot;-&quot;??_);_(@_)"/>
    <numFmt numFmtId="169" formatCode="0.000000"/>
    <numFmt numFmtId="170" formatCode="0.0000%"/>
    <numFmt numFmtId="171" formatCode="0.0%"/>
    <numFmt numFmtId="172" formatCode="0.000000000"/>
  </numFmts>
  <fonts count="20" x14ac:knownFonts="1">
    <font>
      <sz val="11"/>
      <color theme="1"/>
      <name val="Calibri"/>
      <family val="2"/>
      <scheme val="minor"/>
    </font>
    <font>
      <sz val="11"/>
      <color theme="1"/>
      <name val="Calibri"/>
      <family val="2"/>
      <scheme val="minor"/>
    </font>
    <font>
      <sz val="10"/>
      <color theme="1"/>
      <name val="Calibri"/>
      <family val="2"/>
      <scheme val="minor"/>
    </font>
    <font>
      <sz val="10"/>
      <name val="Arial"/>
      <family val="2"/>
    </font>
    <font>
      <b/>
      <sz val="10"/>
      <color theme="1"/>
      <name val="Calibri"/>
      <family val="2"/>
      <scheme val="minor"/>
    </font>
    <font>
      <sz val="11"/>
      <color theme="1"/>
      <name val="Calibri"/>
      <family val="2"/>
      <charset val="163"/>
      <scheme val="minor"/>
    </font>
    <font>
      <sz val="9"/>
      <color theme="1"/>
      <name val="Verdana"/>
      <family val="2"/>
    </font>
    <font>
      <b/>
      <sz val="11"/>
      <color theme="1"/>
      <name val="Calibri"/>
      <family val="2"/>
      <scheme val="minor"/>
    </font>
    <font>
      <b/>
      <sz val="11"/>
      <color theme="9" tint="-0.499984740745262"/>
      <name val="Calibri"/>
      <family val="2"/>
      <scheme val="minor"/>
    </font>
    <font>
      <vertAlign val="subscrip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rgb="FF006100"/>
      <name val="Calibri"/>
      <family val="2"/>
      <scheme val="minor"/>
    </font>
    <font>
      <b/>
      <sz val="11"/>
      <color rgb="FF006100"/>
      <name val="Calibri"/>
      <family val="2"/>
      <scheme val="minor"/>
    </font>
    <font>
      <sz val="11"/>
      <color rgb="FF9C0006"/>
      <name val="Calibri"/>
      <family val="2"/>
      <scheme val="minor"/>
    </font>
    <font>
      <sz val="11"/>
      <color rgb="FF9C5700"/>
      <name val="Calibri"/>
      <family val="2"/>
      <scheme val="minor"/>
    </font>
    <font>
      <b/>
      <sz val="15"/>
      <name val="Calibri"/>
      <family val="2"/>
      <scheme val="minor"/>
    </font>
    <font>
      <b/>
      <sz val="11"/>
      <color rgb="FF9C5700"/>
      <name val="Calibri"/>
      <family val="2"/>
      <scheme val="minor"/>
    </font>
    <font>
      <b/>
      <sz val="9"/>
      <name val="Calibri"/>
      <family val="2"/>
      <scheme val="minor"/>
    </font>
  </fonts>
  <fills count="24">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indexed="13"/>
        <bgColor indexed="64"/>
      </patternFill>
    </fill>
    <fill>
      <patternFill patternType="solid">
        <fgColor theme="6" tint="0.79998168889431442"/>
        <bgColor indexed="64"/>
      </patternFill>
    </fill>
    <fill>
      <patternFill patternType="solid">
        <fgColor theme="2"/>
        <bgColor indexed="64"/>
      </patternFill>
    </fill>
    <fill>
      <patternFill patternType="solid">
        <fgColor rgb="FFFFC000"/>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7C80"/>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7"/>
        <bgColor indexed="64"/>
      </patternFill>
    </fill>
    <fill>
      <patternFill patternType="solid">
        <fgColor theme="7" tint="-0.249977111117893"/>
        <bgColor indexed="64"/>
      </patternFill>
    </fill>
    <fill>
      <patternFill patternType="solid">
        <fgColor rgb="FFC6EFCE"/>
      </patternFill>
    </fill>
    <fill>
      <patternFill patternType="solid">
        <fgColor rgb="FFFFC7CE"/>
      </patternFill>
    </fill>
    <fill>
      <patternFill patternType="solid">
        <fgColor rgb="FFFFEB9C"/>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s>
  <cellStyleXfs count="12">
    <xf numFmtId="0" fontId="0" fillId="0" borderId="0"/>
    <xf numFmtId="9" fontId="1" fillId="0" borderId="0" applyFont="0" applyFill="0" applyBorder="0" applyAlignment="0" applyProtection="0"/>
    <xf numFmtId="43" fontId="1" fillId="0" borderId="0" applyFont="0" applyFill="0" applyBorder="0" applyAlignment="0" applyProtection="0"/>
    <xf numFmtId="0" fontId="3" fillId="4" borderId="0" applyFont="0" applyBorder="0"/>
    <xf numFmtId="9" fontId="5" fillId="0" borderId="0" applyFont="0" applyFill="0" applyBorder="0" applyAlignment="0" applyProtection="0"/>
    <xf numFmtId="165" fontId="3" fillId="5" borderId="1" applyFont="0" applyAlignment="0">
      <protection locked="0"/>
    </xf>
    <xf numFmtId="0" fontId="3" fillId="0" borderId="0"/>
    <xf numFmtId="0" fontId="6" fillId="0" borderId="0"/>
    <xf numFmtId="43" fontId="1" fillId="0" borderId="0" applyFont="0" applyFill="0" applyBorder="0" applyAlignment="0" applyProtection="0"/>
    <xf numFmtId="9" fontId="1" fillId="0" borderId="0" applyFont="0" applyFill="0" applyBorder="0" applyAlignment="0" applyProtection="0"/>
    <xf numFmtId="0" fontId="13" fillId="21" borderId="0" applyNumberFormat="0" applyBorder="0" applyAlignment="0" applyProtection="0"/>
    <xf numFmtId="0" fontId="16" fillId="23" borderId="0" applyNumberFormat="0" applyBorder="0" applyAlignment="0" applyProtection="0"/>
  </cellStyleXfs>
  <cellXfs count="163">
    <xf numFmtId="0" fontId="0" fillId="0" borderId="0" xfId="0"/>
    <xf numFmtId="0" fontId="2" fillId="2" borderId="0" xfId="0" applyFont="1" applyFill="1" applyAlignment="1">
      <alignment vertical="center"/>
    </xf>
    <xf numFmtId="9" fontId="2" fillId="2" borderId="0" xfId="1" applyFont="1" applyFill="1" applyAlignment="1">
      <alignment horizontal="center" vertical="center"/>
    </xf>
    <xf numFmtId="14"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4" fillId="0" borderId="1" xfId="0" applyFont="1" applyBorder="1" applyAlignment="1">
      <alignment horizontal="center" vertical="center"/>
    </xf>
    <xf numFmtId="0" fontId="4"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0" fillId="0" borderId="0" xfId="0" applyAlignment="1">
      <alignment horizontal="left"/>
    </xf>
    <xf numFmtId="0" fontId="4" fillId="6" borderId="1" xfId="0" applyFont="1" applyFill="1" applyBorder="1" applyAlignment="1">
      <alignment horizontal="center" vertical="center"/>
    </xf>
    <xf numFmtId="0" fontId="2" fillId="0" borderId="0" xfId="0" applyFont="1" applyAlignment="1">
      <alignment vertical="center"/>
    </xf>
    <xf numFmtId="2" fontId="0" fillId="0" borderId="0" xfId="0" applyNumberFormat="1"/>
    <xf numFmtId="0" fontId="7" fillId="0" borderId="0" xfId="0" applyFont="1"/>
    <xf numFmtId="0" fontId="0" fillId="0" borderId="4" xfId="0" applyBorder="1"/>
    <xf numFmtId="0" fontId="0" fillId="0" borderId="3" xfId="0" applyBorder="1"/>
    <xf numFmtId="0" fontId="0" fillId="0" borderId="8" xfId="0" applyBorder="1"/>
    <xf numFmtId="0" fontId="0" fillId="0" borderId="1" xfId="0" applyBorder="1"/>
    <xf numFmtId="0" fontId="0" fillId="0" borderId="7" xfId="0" applyBorder="1"/>
    <xf numFmtId="0" fontId="0" fillId="7" borderId="3" xfId="0" applyFill="1" applyBorder="1"/>
    <xf numFmtId="0" fontId="0" fillId="7" borderId="4" xfId="0" applyFill="1" applyBorder="1"/>
    <xf numFmtId="0" fontId="7" fillId="0" borderId="9" xfId="0" applyFont="1" applyBorder="1" applyAlignment="1">
      <alignment horizontal="center" vertical="center" wrapText="1"/>
    </xf>
    <xf numFmtId="0" fontId="0" fillId="7" borderId="8" xfId="0" applyFill="1" applyBorder="1"/>
    <xf numFmtId="0" fontId="7" fillId="7" borderId="8" xfId="0" applyFont="1" applyFill="1" applyBorder="1"/>
    <xf numFmtId="0" fontId="0" fillId="0" borderId="1" xfId="0" applyBorder="1" applyAlignment="1">
      <alignment horizontal="center" vertical="center"/>
    </xf>
    <xf numFmtId="0" fontId="7" fillId="0" borderId="0" xfId="0" applyFont="1" applyAlignment="1">
      <alignment wrapText="1"/>
    </xf>
    <xf numFmtId="0" fontId="7" fillId="8" borderId="1" xfId="0" applyFont="1" applyFill="1" applyBorder="1"/>
    <xf numFmtId="43" fontId="7" fillId="0" borderId="1" xfId="8" applyFont="1" applyBorder="1"/>
    <xf numFmtId="0" fontId="7" fillId="11" borderId="1" xfId="0" applyFont="1" applyFill="1" applyBorder="1" applyAlignment="1">
      <alignment horizontal="center" vertical="center"/>
    </xf>
    <xf numFmtId="43" fontId="7" fillId="0" borderId="1" xfId="8" applyFont="1" applyBorder="1" applyAlignment="1">
      <alignment horizontal="center" vertical="center"/>
    </xf>
    <xf numFmtId="0" fontId="7" fillId="13" borderId="1" xfId="0" applyFont="1" applyFill="1" applyBorder="1" applyAlignment="1">
      <alignment horizontal="center" vertical="center"/>
    </xf>
    <xf numFmtId="0" fontId="7" fillId="14" borderId="1" xfId="0" applyFont="1" applyFill="1" applyBorder="1"/>
    <xf numFmtId="0" fontId="4" fillId="10" borderId="1" xfId="0" applyFont="1" applyFill="1" applyBorder="1" applyAlignment="1">
      <alignment horizontal="center" vertical="center" wrapText="1"/>
    </xf>
    <xf numFmtId="0" fontId="4" fillId="10" borderId="1" xfId="0" applyFont="1" applyFill="1" applyBorder="1" applyAlignment="1">
      <alignment vertical="center" wrapText="1"/>
    </xf>
    <xf numFmtId="0" fontId="4" fillId="10" borderId="10" xfId="0" applyFont="1" applyFill="1" applyBorder="1" applyAlignment="1">
      <alignment horizontal="center" vertical="center" wrapText="1"/>
    </xf>
    <xf numFmtId="4" fontId="2" fillId="2" borderId="4" xfId="0" applyNumberFormat="1" applyFont="1" applyFill="1" applyBorder="1" applyAlignment="1">
      <alignment horizontal="center" vertical="center"/>
    </xf>
    <xf numFmtId="43" fontId="7" fillId="0" borderId="0" xfId="8" applyFont="1" applyFill="1" applyBorder="1"/>
    <xf numFmtId="0" fontId="7" fillId="10" borderId="0" xfId="0" applyFont="1" applyFill="1" applyAlignment="1">
      <alignment horizontal="center" vertical="center" wrapText="1"/>
    </xf>
    <xf numFmtId="0" fontId="7" fillId="10" borderId="10" xfId="0" applyFont="1" applyFill="1" applyBorder="1" applyAlignment="1">
      <alignment horizontal="center" vertical="center" wrapText="1"/>
    </xf>
    <xf numFmtId="0" fontId="7" fillId="10" borderId="1" xfId="0" applyFont="1" applyFill="1" applyBorder="1" applyAlignment="1">
      <alignment horizontal="center" vertical="center" wrapText="1"/>
    </xf>
    <xf numFmtId="0" fontId="7" fillId="10" borderId="7" xfId="0" applyFont="1" applyFill="1" applyBorder="1" applyAlignment="1">
      <alignment horizontal="center" vertical="center" wrapText="1"/>
    </xf>
    <xf numFmtId="0" fontId="7" fillId="16" borderId="10" xfId="0" applyFont="1" applyFill="1" applyBorder="1" applyAlignment="1">
      <alignment horizontal="center" vertical="center" wrapText="1"/>
    </xf>
    <xf numFmtId="0" fontId="7" fillId="16" borderId="1" xfId="0" applyFont="1" applyFill="1" applyBorder="1" applyAlignment="1">
      <alignment horizontal="center" vertical="center" wrapText="1"/>
    </xf>
    <xf numFmtId="0" fontId="7" fillId="16" borderId="7" xfId="0" applyFont="1" applyFill="1" applyBorder="1" applyAlignment="1">
      <alignment horizontal="center" vertical="center" wrapText="1"/>
    </xf>
    <xf numFmtId="43" fontId="8" fillId="18" borderId="1" xfId="0" applyNumberFormat="1" applyFont="1" applyFill="1" applyBorder="1" applyAlignment="1">
      <alignment horizontal="center"/>
    </xf>
    <xf numFmtId="166" fontId="2" fillId="0" borderId="10" xfId="8" applyNumberFormat="1" applyFont="1" applyFill="1" applyBorder="1" applyAlignment="1" applyProtection="1">
      <alignment horizontal="left" vertical="center" indent="1"/>
      <protection locked="0"/>
    </xf>
    <xf numFmtId="4" fontId="2" fillId="0" borderId="0" xfId="0" applyNumberFormat="1" applyFont="1" applyAlignment="1">
      <alignment vertical="center"/>
    </xf>
    <xf numFmtId="0" fontId="2" fillId="0" borderId="1" xfId="0" applyFont="1" applyBorder="1" applyAlignment="1">
      <alignment vertical="center"/>
    </xf>
    <xf numFmtId="4" fontId="2" fillId="2" borderId="0" xfId="0" applyNumberFormat="1" applyFont="1" applyFill="1" applyAlignment="1">
      <alignment horizontal="center" vertical="center"/>
    </xf>
    <xf numFmtId="0" fontId="2" fillId="3" borderId="1" xfId="3" applyFont="1" applyFill="1" applyBorder="1" applyAlignment="1" applyProtection="1">
      <alignment horizontal="center" vertical="center"/>
      <protection locked="0"/>
    </xf>
    <xf numFmtId="0" fontId="2" fillId="6" borderId="1" xfId="3" applyFont="1" applyFill="1" applyBorder="1" applyAlignment="1" applyProtection="1">
      <alignment horizontal="center" vertical="center"/>
      <protection locked="0"/>
    </xf>
    <xf numFmtId="14" fontId="2" fillId="6" borderId="1" xfId="0" applyNumberFormat="1" applyFont="1" applyFill="1" applyBorder="1" applyAlignment="1">
      <alignment horizontal="center" vertical="center"/>
    </xf>
    <xf numFmtId="167" fontId="0" fillId="6" borderId="1" xfId="0" applyNumberFormat="1" applyFill="1" applyBorder="1"/>
    <xf numFmtId="0" fontId="9" fillId="0" borderId="0" xfId="0" applyFont="1"/>
    <xf numFmtId="0" fontId="0" fillId="0" borderId="0" xfId="0" applyAlignment="1">
      <alignment wrapText="1"/>
    </xf>
    <xf numFmtId="0" fontId="2" fillId="0" borderId="0" xfId="0" applyFont="1" applyAlignment="1">
      <alignment horizontal="center" vertical="center"/>
    </xf>
    <xf numFmtId="14" fontId="2" fillId="0" borderId="0" xfId="0" applyNumberFormat="1" applyFont="1" applyAlignment="1">
      <alignment horizontal="center" vertical="center"/>
    </xf>
    <xf numFmtId="9" fontId="2" fillId="0" borderId="0" xfId="1" applyFont="1" applyFill="1" applyAlignment="1">
      <alignment horizontal="center" vertical="center"/>
    </xf>
    <xf numFmtId="0" fontId="7" fillId="0" borderId="0" xfId="0" applyFont="1" applyAlignment="1">
      <alignment vertical="center"/>
    </xf>
    <xf numFmtId="1" fontId="2" fillId="6" borderId="1" xfId="0" applyNumberFormat="1" applyFont="1" applyFill="1" applyBorder="1" applyAlignment="1">
      <alignment horizontal="center" vertical="center"/>
    </xf>
    <xf numFmtId="0" fontId="4" fillId="6" borderId="1" xfId="0" applyFont="1" applyFill="1" applyBorder="1" applyAlignment="1">
      <alignment horizontal="center" vertical="center" wrapText="1"/>
    </xf>
    <xf numFmtId="0" fontId="0" fillId="0" borderId="0" xfId="0" applyAlignment="1">
      <alignment horizontal="center" vertical="center"/>
    </xf>
    <xf numFmtId="14" fontId="2" fillId="6" borderId="1" xfId="3" applyNumberFormat="1" applyFont="1" applyFill="1" applyBorder="1" applyAlignment="1" applyProtection="1">
      <alignment horizontal="center" vertical="center"/>
      <protection locked="0"/>
    </xf>
    <xf numFmtId="14" fontId="0" fillId="0" borderId="0" xfId="0" applyNumberFormat="1" applyAlignment="1">
      <alignment horizontal="center" vertical="center"/>
    </xf>
    <xf numFmtId="0" fontId="14" fillId="0" borderId="0" xfId="10" applyFont="1" applyFill="1" applyAlignment="1">
      <alignment horizontal="center"/>
    </xf>
    <xf numFmtId="9" fontId="2" fillId="0" borderId="0" xfId="1" applyFont="1" applyAlignment="1">
      <alignment horizontal="center" vertical="center"/>
    </xf>
    <xf numFmtId="166" fontId="2" fillId="0" borderId="10" xfId="8" applyNumberFormat="1" applyFont="1" applyBorder="1" applyAlignment="1" applyProtection="1">
      <alignment horizontal="left" vertical="center" indent="1"/>
      <protection locked="0"/>
    </xf>
    <xf numFmtId="4" fontId="2" fillId="0" borderId="0" xfId="0" applyNumberFormat="1" applyFont="1" applyAlignment="1">
      <alignment horizontal="center" vertical="center"/>
    </xf>
    <xf numFmtId="0" fontId="7" fillId="0" borderId="0" xfId="0" applyFont="1" applyAlignment="1">
      <alignment horizontal="center" vertical="center"/>
    </xf>
    <xf numFmtId="2" fontId="2" fillId="0" borderId="0" xfId="0" applyNumberFormat="1" applyFont="1" applyAlignment="1">
      <alignment vertical="center"/>
    </xf>
    <xf numFmtId="0" fontId="14" fillId="21" borderId="0" xfId="10" applyFont="1" applyAlignment="1">
      <alignment vertical="center"/>
    </xf>
    <xf numFmtId="1" fontId="2" fillId="0" borderId="0" xfId="0" applyNumberFormat="1" applyFont="1" applyAlignment="1">
      <alignment vertical="center"/>
    </xf>
    <xf numFmtId="169" fontId="2" fillId="0" borderId="0" xfId="0" applyNumberFormat="1" applyFont="1" applyAlignment="1">
      <alignment vertical="center"/>
    </xf>
    <xf numFmtId="14" fontId="2" fillId="0" borderId="0" xfId="0" applyNumberFormat="1" applyFont="1" applyAlignment="1">
      <alignment vertical="center"/>
    </xf>
    <xf numFmtId="43" fontId="7" fillId="0" borderId="0" xfId="8" applyFont="1"/>
    <xf numFmtId="43" fontId="7" fillId="0" borderId="0" xfId="8" applyFont="1" applyBorder="1" applyAlignment="1">
      <alignment horizontal="center" vertical="center"/>
    </xf>
    <xf numFmtId="0" fontId="7" fillId="0" borderId="1" xfId="0" applyFont="1" applyBorder="1" applyAlignment="1">
      <alignment horizontal="center" vertical="center"/>
    </xf>
    <xf numFmtId="14" fontId="2" fillId="2" borderId="1" xfId="0" applyNumberFormat="1" applyFont="1" applyFill="1" applyBorder="1" applyAlignment="1">
      <alignment horizontal="center" vertical="center"/>
    </xf>
    <xf numFmtId="0" fontId="2" fillId="0" borderId="4" xfId="0" applyFont="1" applyBorder="1" applyAlignment="1">
      <alignment vertical="center"/>
    </xf>
    <xf numFmtId="4" fontId="2" fillId="0" borderId="3" xfId="0" applyNumberFormat="1" applyFont="1" applyBorder="1" applyAlignment="1">
      <alignment horizontal="center" vertical="center"/>
    </xf>
    <xf numFmtId="0" fontId="4" fillId="16" borderId="1" xfId="0" applyFont="1" applyFill="1" applyBorder="1" applyAlignment="1">
      <alignment horizontal="center" vertical="center"/>
    </xf>
    <xf numFmtId="164" fontId="2" fillId="16" borderId="1" xfId="8" applyNumberFormat="1" applyFont="1" applyFill="1" applyBorder="1" applyAlignment="1">
      <alignment horizontal="center" vertical="center"/>
    </xf>
    <xf numFmtId="172" fontId="2" fillId="0" borderId="0" xfId="0" applyNumberFormat="1" applyFont="1" applyAlignment="1">
      <alignment vertical="center"/>
    </xf>
    <xf numFmtId="171" fontId="2" fillId="0" borderId="1" xfId="9" applyNumberFormat="1" applyFont="1" applyBorder="1" applyAlignment="1">
      <alignment vertical="center"/>
    </xf>
    <xf numFmtId="2" fontId="0" fillId="0" borderId="1" xfId="0" applyNumberFormat="1" applyBorder="1"/>
    <xf numFmtId="9" fontId="0" fillId="0" borderId="1" xfId="0" applyNumberFormat="1" applyBorder="1"/>
    <xf numFmtId="10" fontId="0" fillId="0" borderId="1" xfId="0" applyNumberFormat="1" applyBorder="1"/>
    <xf numFmtId="0" fontId="7" fillId="0" borderId="1" xfId="0" applyFont="1" applyBorder="1" applyAlignment="1">
      <alignment horizontal="center" vertical="center" wrapText="1"/>
    </xf>
    <xf numFmtId="0" fontId="7" fillId="0" borderId="1" xfId="0" quotePrefix="1"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16" fontId="7" fillId="0" borderId="1" xfId="0" quotePrefix="1" applyNumberFormat="1" applyFont="1" applyBorder="1" applyAlignment="1">
      <alignment horizontal="center" vertical="center"/>
    </xf>
    <xf numFmtId="2" fontId="0" fillId="0" borderId="20" xfId="0" applyNumberFormat="1" applyBorder="1"/>
    <xf numFmtId="10" fontId="0" fillId="0" borderId="20" xfId="0" applyNumberFormat="1" applyBorder="1"/>
    <xf numFmtId="0" fontId="0" fillId="0" borderId="20" xfId="0" applyBorder="1"/>
    <xf numFmtId="0" fontId="0" fillId="7" borderId="21" xfId="0" applyFill="1" applyBorder="1"/>
    <xf numFmtId="0" fontId="0" fillId="7" borderId="22" xfId="0" applyFill="1" applyBorder="1"/>
    <xf numFmtId="0" fontId="0" fillId="7" borderId="23" xfId="0" applyFill="1" applyBorder="1"/>
    <xf numFmtId="0" fontId="0" fillId="7" borderId="13" xfId="0" applyFill="1" applyBorder="1"/>
    <xf numFmtId="0" fontId="0" fillId="7" borderId="14" xfId="0" applyFill="1" applyBorder="1"/>
    <xf numFmtId="0" fontId="0" fillId="7" borderId="0" xfId="0" applyFill="1"/>
    <xf numFmtId="0" fontId="0" fillId="7" borderId="25" xfId="0" applyFill="1" applyBorder="1"/>
    <xf numFmtId="2" fontId="0" fillId="0" borderId="27" xfId="0" applyNumberFormat="1" applyBorder="1"/>
    <xf numFmtId="10" fontId="0" fillId="0" borderId="27" xfId="0" applyNumberFormat="1" applyBorder="1"/>
    <xf numFmtId="0" fontId="0" fillId="0" borderId="27" xfId="0" applyBorder="1"/>
    <xf numFmtId="0" fontId="0" fillId="0" borderId="28" xfId="0" applyBorder="1"/>
    <xf numFmtId="0" fontId="7" fillId="0" borderId="27" xfId="0" applyFont="1" applyBorder="1"/>
    <xf numFmtId="0" fontId="0" fillId="0" borderId="29" xfId="0" applyBorder="1"/>
    <xf numFmtId="0" fontId="0" fillId="7" borderId="30" xfId="0" applyFill="1" applyBorder="1"/>
    <xf numFmtId="0" fontId="0" fillId="7" borderId="16" xfId="0" applyFill="1" applyBorder="1"/>
    <xf numFmtId="0" fontId="0" fillId="7" borderId="17" xfId="0" applyFill="1" applyBorder="1"/>
    <xf numFmtId="0" fontId="0" fillId="0" borderId="7" xfId="0" applyBorder="1" applyAlignment="1">
      <alignment wrapText="1"/>
    </xf>
    <xf numFmtId="9" fontId="0" fillId="0" borderId="20" xfId="0" applyNumberFormat="1" applyBorder="1"/>
    <xf numFmtId="0" fontId="17" fillId="2" borderId="0" xfId="0" applyFont="1" applyFill="1" applyAlignment="1">
      <alignment horizontal="left" vertical="center"/>
    </xf>
    <xf numFmtId="14" fontId="12" fillId="0" borderId="1" xfId="5" applyNumberFormat="1" applyFont="1" applyFill="1" applyAlignment="1" applyProtection="1">
      <alignment horizontal="center" vertical="center"/>
    </xf>
    <xf numFmtId="43" fontId="13" fillId="21" borderId="1" xfId="8" applyFont="1" applyFill="1" applyBorder="1" applyAlignment="1">
      <alignment horizontal="center" vertical="center"/>
    </xf>
    <xf numFmtId="14" fontId="7" fillId="0" borderId="1" xfId="0" applyNumberFormat="1" applyFont="1" applyBorder="1" applyAlignment="1">
      <alignment horizontal="center" vertical="center"/>
    </xf>
    <xf numFmtId="9" fontId="13" fillId="21" borderId="1" xfId="9" applyFont="1" applyFill="1" applyBorder="1" applyAlignment="1">
      <alignment horizontal="center" vertical="center"/>
    </xf>
    <xf numFmtId="43" fontId="15" fillId="22" borderId="1" xfId="8" applyFont="1" applyFill="1" applyBorder="1" applyAlignment="1">
      <alignment horizontal="center" vertical="center"/>
    </xf>
    <xf numFmtId="9" fontId="15" fillId="22" borderId="1" xfId="9" applyFont="1" applyFill="1" applyBorder="1" applyAlignment="1">
      <alignment horizontal="center" vertical="center"/>
    </xf>
    <xf numFmtId="0" fontId="7" fillId="16" borderId="0" xfId="0" applyFont="1" applyFill="1" applyAlignment="1">
      <alignment horizontal="center" vertical="center" wrapText="1"/>
    </xf>
    <xf numFmtId="0" fontId="7" fillId="0" borderId="1" xfId="0" applyFont="1" applyBorder="1" applyAlignment="1">
      <alignment horizontal="left" vertical="center" wrapText="1"/>
    </xf>
    <xf numFmtId="168" fontId="18" fillId="23" borderId="1" xfId="11" applyNumberFormat="1" applyFont="1" applyBorder="1" applyAlignment="1">
      <alignment horizontal="center" vertical="center"/>
    </xf>
    <xf numFmtId="0" fontId="7" fillId="14" borderId="18" xfId="0" applyFont="1" applyFill="1" applyBorder="1"/>
    <xf numFmtId="170" fontId="14" fillId="21" borderId="18" xfId="10" applyNumberFormat="1" applyFont="1" applyBorder="1"/>
    <xf numFmtId="1" fontId="0" fillId="6" borderId="1" xfId="0" applyNumberFormat="1" applyFill="1" applyBorder="1"/>
    <xf numFmtId="8" fontId="2" fillId="0" borderId="0" xfId="0" applyNumberFormat="1" applyFont="1" applyAlignment="1">
      <alignment vertical="center"/>
    </xf>
    <xf numFmtId="0" fontId="19" fillId="0" borderId="0" xfId="0" applyFont="1"/>
    <xf numFmtId="4" fontId="4" fillId="15" borderId="1" xfId="0" applyNumberFormat="1" applyFont="1" applyFill="1" applyBorder="1" applyAlignment="1">
      <alignment horizontal="center" vertical="center"/>
    </xf>
    <xf numFmtId="0" fontId="7" fillId="19" borderId="12" xfId="0" applyFont="1" applyFill="1" applyBorder="1" applyAlignment="1">
      <alignment horizontal="center" vertical="center"/>
    </xf>
    <xf numFmtId="0" fontId="7" fillId="19" borderId="13" xfId="0" applyFont="1" applyFill="1" applyBorder="1" applyAlignment="1">
      <alignment horizontal="center" vertical="center"/>
    </xf>
    <xf numFmtId="0" fontId="7" fillId="19" borderId="14" xfId="0" applyFont="1" applyFill="1" applyBorder="1" applyAlignment="1">
      <alignment horizontal="center" vertical="center"/>
    </xf>
    <xf numFmtId="0" fontId="7" fillId="19" borderId="15" xfId="0" applyFont="1" applyFill="1" applyBorder="1" applyAlignment="1">
      <alignment horizontal="center" vertical="center"/>
    </xf>
    <xf numFmtId="0" fontId="7" fillId="19" borderId="16" xfId="0" applyFont="1" applyFill="1" applyBorder="1" applyAlignment="1">
      <alignment horizontal="center" vertical="center"/>
    </xf>
    <xf numFmtId="0" fontId="7" fillId="19" borderId="17" xfId="0" applyFont="1" applyFill="1" applyBorder="1" applyAlignment="1">
      <alignment horizontal="center" vertical="center"/>
    </xf>
    <xf numFmtId="0" fontId="4" fillId="20" borderId="1" xfId="0" applyFont="1" applyFill="1" applyBorder="1" applyAlignment="1">
      <alignment horizontal="center" vertical="center"/>
    </xf>
    <xf numFmtId="0" fontId="0" fillId="0" borderId="0" xfId="0"/>
    <xf numFmtId="0" fontId="7" fillId="11" borderId="12" xfId="0" applyFont="1" applyFill="1" applyBorder="1" applyAlignment="1">
      <alignment horizontal="center" vertical="center"/>
    </xf>
    <xf numFmtId="0" fontId="7" fillId="11" borderId="13" xfId="0" applyFont="1" applyFill="1" applyBorder="1" applyAlignment="1">
      <alignment horizontal="center" vertical="center"/>
    </xf>
    <xf numFmtId="0" fontId="7" fillId="11" borderId="14" xfId="0" applyFont="1" applyFill="1" applyBorder="1" applyAlignment="1">
      <alignment horizontal="center" vertical="center"/>
    </xf>
    <xf numFmtId="0" fontId="7" fillId="11" borderId="15" xfId="0" applyFont="1" applyFill="1" applyBorder="1" applyAlignment="1">
      <alignment horizontal="center" vertical="center"/>
    </xf>
    <xf numFmtId="0" fontId="7" fillId="11" borderId="16" xfId="0" applyFont="1" applyFill="1" applyBorder="1" applyAlignment="1">
      <alignment horizontal="center" vertical="center"/>
    </xf>
    <xf numFmtId="0" fontId="7" fillId="11" borderId="17" xfId="0" applyFont="1" applyFill="1" applyBorder="1" applyAlignment="1">
      <alignment horizontal="center" vertical="center"/>
    </xf>
    <xf numFmtId="0" fontId="4" fillId="20" borderId="2" xfId="0" applyFont="1" applyFill="1" applyBorder="1" applyAlignment="1">
      <alignment horizontal="center" vertical="center"/>
    </xf>
    <xf numFmtId="0" fontId="4" fillId="20" borderId="6" xfId="0" applyFont="1" applyFill="1" applyBorder="1" applyAlignment="1">
      <alignment horizontal="center" vertical="center"/>
    </xf>
    <xf numFmtId="4" fontId="4" fillId="15" borderId="5" xfId="0" applyNumberFormat="1" applyFont="1" applyFill="1" applyBorder="1" applyAlignment="1">
      <alignment horizontal="center" vertical="center"/>
    </xf>
    <xf numFmtId="4" fontId="4" fillId="15" borderId="2" xfId="0" applyNumberFormat="1" applyFont="1" applyFill="1" applyBorder="1" applyAlignment="1">
      <alignment horizontal="center" vertical="center"/>
    </xf>
    <xf numFmtId="4" fontId="4" fillId="15" borderId="6" xfId="0" applyNumberFormat="1" applyFont="1" applyFill="1" applyBorder="1" applyAlignment="1">
      <alignment horizontal="center" vertical="center"/>
    </xf>
    <xf numFmtId="0" fontId="14" fillId="21" borderId="0" xfId="10" applyFont="1" applyAlignment="1">
      <alignment horizontal="left"/>
    </xf>
    <xf numFmtId="0" fontId="7" fillId="9" borderId="1" xfId="0" applyFont="1" applyFill="1" applyBorder="1" applyAlignment="1">
      <alignment horizontal="center" wrapText="1"/>
    </xf>
    <xf numFmtId="0" fontId="7" fillId="13" borderId="1" xfId="0" applyFont="1" applyFill="1" applyBorder="1" applyAlignment="1">
      <alignment horizontal="center"/>
    </xf>
    <xf numFmtId="0" fontId="7" fillId="10" borderId="9" xfId="0" applyFont="1" applyFill="1" applyBorder="1" applyAlignment="1">
      <alignment horizontal="center" vertical="center" wrapText="1"/>
    </xf>
    <xf numFmtId="0" fontId="7" fillId="10" borderId="11" xfId="0" applyFont="1" applyFill="1" applyBorder="1" applyAlignment="1">
      <alignment horizontal="center" vertical="center" wrapText="1"/>
    </xf>
    <xf numFmtId="0" fontId="7" fillId="10" borderId="10" xfId="0" applyFont="1" applyFill="1" applyBorder="1" applyAlignment="1">
      <alignment horizontal="center" vertical="center" wrapText="1"/>
    </xf>
    <xf numFmtId="0" fontId="7" fillId="0" borderId="19" xfId="0" applyFont="1" applyBorder="1" applyAlignment="1">
      <alignment horizontal="center" vertical="center"/>
    </xf>
    <xf numFmtId="0" fontId="7" fillId="0" borderId="24" xfId="0" applyFont="1" applyBorder="1" applyAlignment="1">
      <alignment horizontal="center" vertical="center"/>
    </xf>
    <xf numFmtId="0" fontId="7" fillId="0" borderId="26" xfId="0" applyFont="1" applyBorder="1" applyAlignment="1">
      <alignment horizontal="center" vertical="center"/>
    </xf>
    <xf numFmtId="0" fontId="7" fillId="12" borderId="1" xfId="0" applyFont="1" applyFill="1" applyBorder="1" applyAlignment="1">
      <alignment horizontal="center"/>
    </xf>
    <xf numFmtId="0" fontId="7" fillId="12" borderId="7" xfId="0" applyFont="1" applyFill="1" applyBorder="1" applyAlignment="1">
      <alignment horizontal="center"/>
    </xf>
    <xf numFmtId="0" fontId="7" fillId="17" borderId="2" xfId="0" applyFont="1" applyFill="1" applyBorder="1" applyAlignment="1">
      <alignment horizontal="center"/>
    </xf>
    <xf numFmtId="0" fontId="7" fillId="17" borderId="6" xfId="0" applyFont="1" applyFill="1" applyBorder="1" applyAlignment="1">
      <alignment horizontal="center"/>
    </xf>
    <xf numFmtId="0" fontId="7" fillId="16" borderId="9" xfId="0" applyFont="1" applyFill="1" applyBorder="1" applyAlignment="1">
      <alignment horizontal="center" vertical="center" wrapText="1"/>
    </xf>
    <xf numFmtId="0" fontId="7" fillId="16" borderId="10" xfId="0" applyFont="1" applyFill="1" applyBorder="1" applyAlignment="1">
      <alignment horizontal="center" vertical="center" wrapText="1"/>
    </xf>
    <xf numFmtId="0" fontId="7" fillId="16" borderId="11" xfId="0" applyFont="1" applyFill="1" applyBorder="1" applyAlignment="1">
      <alignment horizontal="center" vertical="center" wrapText="1"/>
    </xf>
  </cellXfs>
  <cellStyles count="12">
    <cellStyle name="Comma" xfId="8" builtinId="3"/>
    <cellStyle name="Comma 2" xfId="2" xr:uid="{00000000-0005-0000-0000-000000000000}"/>
    <cellStyle name="Good" xfId="10" builtinId="26"/>
    <cellStyle name="inputDate" xfId="5" xr:uid="{00000000-0005-0000-0000-000001000000}"/>
    <cellStyle name="Neutral" xfId="11" builtinId="28"/>
    <cellStyle name="Normal" xfId="0" builtinId="0"/>
    <cellStyle name="Normal 2" xfId="3" xr:uid="{00000000-0005-0000-0000-000003000000}"/>
    <cellStyle name="Normal 2 2" xfId="6" xr:uid="{00000000-0005-0000-0000-000004000000}"/>
    <cellStyle name="Normal 3" xfId="7" xr:uid="{00000000-0005-0000-0000-000005000000}"/>
    <cellStyle name="Percent" xfId="9" builtinId="5"/>
    <cellStyle name="Percent 2" xfId="1" xr:uid="{00000000-0005-0000-0000-000006000000}"/>
    <cellStyle name="Percent 2 2" xfId="4" xr:uid="{00000000-0005-0000-0000-000007000000}"/>
  </cellStyles>
  <dxfs count="0"/>
  <tableStyles count="0" defaultTableStyle="TableStyleMedium2" defaultPivotStyle="PivotStyleLight16"/>
  <colors>
    <mruColors>
      <color rgb="FFFF0066"/>
      <color rgb="FFFF7C80"/>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xdr:colOff>
      <xdr:row>13</xdr:row>
      <xdr:rowOff>19050</xdr:rowOff>
    </xdr:from>
    <xdr:to>
      <xdr:col>12</xdr:col>
      <xdr:colOff>300038</xdr:colOff>
      <xdr:row>47</xdr:row>
      <xdr:rowOff>152400</xdr:rowOff>
    </xdr:to>
    <xdr:sp macro="" textlink="">
      <xdr:nvSpPr>
        <xdr:cNvPr id="20" name="TextBox 2">
          <a:extLst>
            <a:ext uri="{FF2B5EF4-FFF2-40B4-BE49-F238E27FC236}">
              <a16:creationId xmlns:a16="http://schemas.microsoft.com/office/drawing/2014/main" id="{BDFC8A5C-0ACA-95FD-328F-F311FC85E814}"/>
            </a:ext>
          </a:extLst>
        </xdr:cNvPr>
        <xdr:cNvSpPr txBox="1"/>
      </xdr:nvSpPr>
      <xdr:spPr>
        <a:xfrm>
          <a:off x="19050" y="561975"/>
          <a:ext cx="11406188" cy="6286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chemeClr val="dk1"/>
              </a:solidFill>
              <a:latin typeface="+mn-lt"/>
              <a:ea typeface="+mn-lt"/>
              <a:cs typeface="+mn-lt"/>
            </a:rPr>
            <a:t>T</a:t>
          </a:r>
          <a:r>
            <a:rPr lang="vi-VN" sz="1100">
              <a:solidFill>
                <a:schemeClr val="dk1"/>
              </a:solidFill>
              <a:latin typeface="+mn-lt"/>
              <a:ea typeface="+mn-lt"/>
              <a:cs typeface="+mn-lt"/>
            </a:rPr>
            <a:t>rong trường hợp căng thẳng, lãi suất có thể </a:t>
          </a:r>
          <a:r>
            <a:rPr lang="vi-VN" sz="1100" b="1">
              <a:solidFill>
                <a:schemeClr val="dk1"/>
              </a:solidFill>
              <a:latin typeface="+mn-lt"/>
              <a:ea typeface="+mn-lt"/>
              <a:cs typeface="+mn-lt"/>
            </a:rPr>
            <a:t>tăng 2%</a:t>
          </a:r>
          <a:r>
            <a:rPr lang="vi-VN" sz="1100">
              <a:solidFill>
                <a:schemeClr val="dk1"/>
              </a:solidFill>
              <a:latin typeface="+mn-lt"/>
              <a:ea typeface="+mn-lt"/>
              <a:cs typeface="+mn-lt"/>
            </a:rPr>
            <a:t> trong vòng 1 năm tới bởi vì các lí do sau đây:</a:t>
          </a:r>
        </a:p>
        <a:p>
          <a:pPr marL="0" indent="0"/>
          <a:r>
            <a:rPr lang="vi-VN" sz="1100">
              <a:solidFill>
                <a:schemeClr val="dk1"/>
              </a:solidFill>
              <a:latin typeface="+mn-lt"/>
              <a:ea typeface="+mn-lt"/>
              <a:cs typeface="+mn-lt"/>
            </a:rPr>
            <a:t>1. Các ngân hàng Goldman Sachs và Bank of America (BofA) dự báo Fed sẽ tăng lãi suất thêm 3 lần nữa trong năm 2023, cao hơn dự báo được 2 ngân hàng này đưa ra trước đó sau khi các số liệu mới của nền kinh tế Mỹ cho thấy tình trạng lạm phát dai dẳng và sự phục hồi của thị trường lao động. </a:t>
          </a:r>
          <a:endParaRPr lang="en-US" sz="1100">
            <a:solidFill>
              <a:schemeClr val="dk1"/>
            </a:solidFill>
            <a:latin typeface="+mn-lt"/>
            <a:ea typeface="+mn-lt"/>
            <a:cs typeface="+mn-lt"/>
          </a:endParaRPr>
        </a:p>
        <a:p>
          <a:pPr marL="0" indent="0"/>
          <a:endParaRPr lang="en-US" sz="1100">
            <a:solidFill>
              <a:schemeClr val="dk1"/>
            </a:solidFill>
            <a:latin typeface="+mn-lt"/>
            <a:ea typeface="+mn-lt"/>
            <a:cs typeface="+mn-lt"/>
          </a:endParaRPr>
        </a:p>
        <a:p>
          <a:pPr marL="0" indent="0"/>
          <a:r>
            <a:rPr lang="vi-VN" sz="1100">
              <a:solidFill>
                <a:schemeClr val="dk1"/>
              </a:solidFill>
              <a:latin typeface="+mn-lt"/>
              <a:ea typeface="+mn-lt"/>
              <a:cs typeface="+mn-lt"/>
            </a:rPr>
            <a:t>Ngoài ra, công ty chứng khoán Tiên Phong nhận định: "Năm 2023, Fed có thể có 2 đến 3 lần tăng lãi suất, tức là NHNN có khả năng cũng phải tăng lãi suất điều hành thêm 2 – 3 lần, trung bình mỗi lần khoảng 1%. Đỉnh lãi suất điều hành có thể sẽ rơi vào giữa quý 2-2023, với mức tăng từ 2%- 3% so với mức lãi suất điều hành hiện tại”</a:t>
          </a:r>
          <a:r>
            <a:rPr lang="en-US" sz="1100">
              <a:solidFill>
                <a:schemeClr val="dk1"/>
              </a:solidFill>
              <a:latin typeface="+mn-lt"/>
              <a:ea typeface="+mn-lt"/>
              <a:cs typeface="+mn-lt"/>
            </a:rPr>
            <a:t>.</a:t>
          </a:r>
        </a:p>
        <a:p>
          <a:pPr marL="0" indent="0"/>
          <a:endParaRPr lang="vi-VN" sz="1100">
            <a:solidFill>
              <a:schemeClr val="dk1"/>
            </a:solidFill>
            <a:latin typeface="+mn-lt"/>
            <a:ea typeface="+mn-lt"/>
            <a:cs typeface="+mn-lt"/>
          </a:endParaRPr>
        </a:p>
        <a:p>
          <a:pPr marL="0" indent="0"/>
          <a:r>
            <a:rPr lang="vi-VN" sz="1100">
              <a:solidFill>
                <a:schemeClr val="dk1"/>
              </a:solidFill>
              <a:latin typeface="+mn-lt"/>
              <a:ea typeface="+mn-lt"/>
              <a:cs typeface="+mn-lt"/>
            </a:rPr>
            <a:t>2. Mặc dù Fed đã bày tỏ quan điểm sẽ giảm tốc tăng lãi suất trong thời gian tới, tuy nhiên, sự phục hồi nền kinh tế Trung Quốc và xu hướng dịch chuyển nhà máy từ khu vực châu Âu sang Mỹ sẽ là yếu tố gây khó khăn cho Fed trong việc kiểm soát lạm phát và giảm tốc tăng lãi suất trong năm tới.</a:t>
          </a:r>
        </a:p>
        <a:p>
          <a:pPr marL="0" indent="0"/>
          <a:endParaRPr lang="en-US" sz="1100">
            <a:solidFill>
              <a:schemeClr val="dk1"/>
            </a:solidFill>
            <a:latin typeface="+mn-lt"/>
            <a:ea typeface="+mn-lt"/>
            <a:cs typeface="+mn-lt"/>
          </a:endParaRPr>
        </a:p>
        <a:p>
          <a:pPr marL="0" indent="0"/>
          <a:r>
            <a:rPr lang="vi-VN" sz="1100">
              <a:solidFill>
                <a:schemeClr val="dk1"/>
              </a:solidFill>
              <a:latin typeface="+mn-lt"/>
              <a:ea typeface="+mn-lt"/>
              <a:cs typeface="+mn-lt"/>
            </a:rPr>
            <a:t>3. </a:t>
          </a:r>
        </a:p>
        <a:p>
          <a:pPr marL="0" indent="0"/>
          <a:endParaRPr lang="vi-VN" sz="1100">
            <a:solidFill>
              <a:schemeClr val="dk1"/>
            </a:solidFill>
            <a:latin typeface="+mn-lt"/>
            <a:ea typeface="+mn-lt"/>
            <a:cs typeface="+mn-lt"/>
          </a:endParaRPr>
        </a:p>
        <a:p>
          <a:pPr marL="0" indent="0"/>
          <a:endParaRPr lang="vi-VN" sz="1100">
            <a:solidFill>
              <a:schemeClr val="dk1"/>
            </a:solidFill>
            <a:latin typeface="+mn-lt"/>
            <a:ea typeface="+mn-lt"/>
            <a:cs typeface="+mn-lt"/>
          </a:endParaRPr>
        </a:p>
        <a:p>
          <a:pPr marL="0" indent="0"/>
          <a:endParaRPr lang="vi-VN" sz="1100">
            <a:solidFill>
              <a:schemeClr val="dk1"/>
            </a:solidFill>
            <a:latin typeface="+mn-lt"/>
            <a:ea typeface="+mn-lt"/>
            <a:cs typeface="+mn-lt"/>
          </a:endParaRPr>
        </a:p>
        <a:p>
          <a:pPr marL="0" indent="0"/>
          <a:endParaRPr lang="vi-VN" sz="1100">
            <a:solidFill>
              <a:schemeClr val="dk1"/>
            </a:solidFill>
            <a:latin typeface="+mn-lt"/>
            <a:ea typeface="+mn-lt"/>
            <a:cs typeface="+mn-lt"/>
          </a:endParaRPr>
        </a:p>
        <a:p>
          <a:pPr marL="0" indent="0"/>
          <a:endParaRPr lang="vi-VN" sz="1100">
            <a:solidFill>
              <a:schemeClr val="dk1"/>
            </a:solidFill>
            <a:latin typeface="+mn-lt"/>
            <a:ea typeface="+mn-lt"/>
            <a:cs typeface="+mn-lt"/>
          </a:endParaRPr>
        </a:p>
        <a:p>
          <a:pPr marL="0" indent="0"/>
          <a:endParaRPr lang="vi-VN" sz="1100">
            <a:solidFill>
              <a:schemeClr val="dk1"/>
            </a:solidFill>
            <a:latin typeface="+mn-lt"/>
            <a:ea typeface="+mn-lt"/>
            <a:cs typeface="+mn-lt"/>
          </a:endParaRPr>
        </a:p>
        <a:p>
          <a:pPr marL="0" indent="0"/>
          <a:endParaRPr lang="vi-VN" sz="1100">
            <a:solidFill>
              <a:schemeClr val="dk1"/>
            </a:solidFill>
            <a:latin typeface="+mn-lt"/>
            <a:ea typeface="+mn-lt"/>
            <a:cs typeface="+mn-lt"/>
          </a:endParaRPr>
        </a:p>
        <a:p>
          <a:pPr marL="0" indent="0"/>
          <a:endParaRPr lang="vi-VN" sz="1100">
            <a:solidFill>
              <a:schemeClr val="dk1"/>
            </a:solidFill>
            <a:latin typeface="+mn-lt"/>
            <a:ea typeface="+mn-lt"/>
            <a:cs typeface="+mn-lt"/>
          </a:endParaRPr>
        </a:p>
        <a:p>
          <a:pPr marL="0" indent="0"/>
          <a:endParaRPr lang="vi-VN" sz="1100">
            <a:solidFill>
              <a:schemeClr val="dk1"/>
            </a:solidFill>
            <a:latin typeface="+mn-lt"/>
            <a:ea typeface="+mn-lt"/>
            <a:cs typeface="+mn-lt"/>
          </a:endParaRPr>
        </a:p>
        <a:p>
          <a:pPr marL="0" indent="0"/>
          <a:endParaRPr lang="vi-VN" sz="1100">
            <a:solidFill>
              <a:schemeClr val="dk1"/>
            </a:solidFill>
            <a:latin typeface="+mn-lt"/>
            <a:ea typeface="+mn-lt"/>
            <a:cs typeface="+mn-lt"/>
          </a:endParaRPr>
        </a:p>
        <a:p>
          <a:pPr marL="0" indent="0"/>
          <a:endParaRPr lang="vi-VN" sz="1100">
            <a:solidFill>
              <a:schemeClr val="dk1"/>
            </a:solidFill>
            <a:latin typeface="+mn-lt"/>
            <a:ea typeface="+mn-lt"/>
            <a:cs typeface="+mn-lt"/>
          </a:endParaRPr>
        </a:p>
        <a:p>
          <a:pPr marL="0" indent="0"/>
          <a:endParaRPr lang="vi-VN" sz="1100">
            <a:solidFill>
              <a:schemeClr val="dk1"/>
            </a:solidFill>
            <a:latin typeface="+mn-lt"/>
            <a:ea typeface="+mn-lt"/>
            <a:cs typeface="+mn-lt"/>
          </a:endParaRPr>
        </a:p>
        <a:p>
          <a:pPr marL="0" indent="0"/>
          <a:endParaRPr lang="vi-VN" sz="1100">
            <a:solidFill>
              <a:schemeClr val="dk1"/>
            </a:solidFill>
            <a:latin typeface="+mn-lt"/>
            <a:ea typeface="+mn-lt"/>
            <a:cs typeface="+mn-lt"/>
          </a:endParaRPr>
        </a:p>
        <a:p>
          <a:pPr marL="0" indent="0"/>
          <a:endParaRPr lang="vi-VN" sz="1100">
            <a:solidFill>
              <a:schemeClr val="dk1"/>
            </a:solidFill>
            <a:latin typeface="+mn-lt"/>
            <a:ea typeface="+mn-lt"/>
            <a:cs typeface="+mn-lt"/>
          </a:endParaRPr>
        </a:p>
        <a:p>
          <a:pPr marL="0" indent="0"/>
          <a:endParaRPr lang="vi-VN" sz="1100">
            <a:solidFill>
              <a:schemeClr val="dk1"/>
            </a:solidFill>
            <a:latin typeface="+mn-lt"/>
            <a:ea typeface="+mn-lt"/>
            <a:cs typeface="+mn-lt"/>
          </a:endParaRPr>
        </a:p>
        <a:p>
          <a:pPr marL="0" indent="0"/>
          <a:endParaRPr lang="vi-VN" sz="1100">
            <a:solidFill>
              <a:schemeClr val="dk1"/>
            </a:solidFill>
            <a:latin typeface="+mn-lt"/>
            <a:ea typeface="+mn-lt"/>
            <a:cs typeface="+mn-lt"/>
          </a:endParaRPr>
        </a:p>
        <a:p>
          <a:pPr marL="0" indent="0"/>
          <a:endParaRPr lang="vi-VN" sz="1100">
            <a:solidFill>
              <a:schemeClr val="dk1"/>
            </a:solidFill>
            <a:latin typeface="+mn-lt"/>
            <a:ea typeface="+mn-lt"/>
            <a:cs typeface="+mn-lt"/>
          </a:endParaRPr>
        </a:p>
        <a:p>
          <a:pPr marL="0" indent="0"/>
          <a:endParaRPr lang="vi-VN" sz="1100">
            <a:solidFill>
              <a:schemeClr val="dk1"/>
            </a:solidFill>
            <a:latin typeface="+mn-lt"/>
            <a:ea typeface="+mn-lt"/>
            <a:cs typeface="+mn-lt"/>
          </a:endParaRPr>
        </a:p>
        <a:p>
          <a:pPr marL="0" indent="0"/>
          <a:endParaRPr lang="en-US" sz="1100">
            <a:solidFill>
              <a:schemeClr val="dk1"/>
            </a:solidFill>
            <a:latin typeface="+mn-lt"/>
            <a:ea typeface="+mn-lt"/>
            <a:cs typeface="+mn-lt"/>
          </a:endParaRPr>
        </a:p>
        <a:p>
          <a:pPr marL="0" indent="0"/>
          <a:r>
            <a:rPr lang="vi-VN" sz="1100">
              <a:solidFill>
                <a:schemeClr val="dk1"/>
              </a:solidFill>
              <a:latin typeface="+mn-lt"/>
              <a:ea typeface="+mn-lt"/>
              <a:cs typeface="+mn-lt"/>
            </a:rPr>
            <a:t>Tăng trưởng tín dụng và tăng trưởng tiền gửi đang có xu hướng giảm trong năm 2022 nên có thể các ngân hàng sẽ tăng lãi suất huy động vốn trong năm 2023 để thu hút thêm được nhiều dòng tiền gửi vào hơn nữa.</a:t>
          </a:r>
        </a:p>
        <a:p>
          <a:pPr marL="0" indent="0"/>
          <a:endParaRPr lang="en-US" sz="1100">
            <a:solidFill>
              <a:schemeClr val="dk1"/>
            </a:solidFill>
            <a:latin typeface="+mn-lt"/>
            <a:ea typeface="+mn-lt"/>
            <a:cs typeface="+mn-lt"/>
          </a:endParaRPr>
        </a:p>
        <a:p>
          <a:pPr marL="0" indent="0"/>
          <a:r>
            <a:rPr lang="vi-VN" sz="1100">
              <a:solidFill>
                <a:schemeClr val="dk1"/>
              </a:solidFill>
              <a:latin typeface="+mn-lt"/>
              <a:ea typeface="+mn-lt"/>
              <a:cs typeface="+mn-lt"/>
            </a:rPr>
            <a:t>4. Lạm phát đang bắt đầu lan tỏa tới hầu hết các ngành trong nền kinh tế, bên cạnh đó, giá điện tăng cũng sẽ tiếp tục gây áp lực cho lạm phát. Vì vậy, điều chỉnh giá xăng không còn là công cụ hiệu quả cho các nhà điều hành kiểm soát lạm phát. Sắp tới, khả năng Ngân hàng Nhà nước tiếp tục tăng lãi suất điều hành là rất cao.</a:t>
          </a:r>
        </a:p>
      </xdr:txBody>
    </xdr:sp>
    <xdr:clientData/>
  </xdr:twoCellAnchor>
  <xdr:twoCellAnchor editAs="oneCell">
    <xdr:from>
      <xdr:col>2</xdr:col>
      <xdr:colOff>1319213</xdr:colOff>
      <xdr:row>22</xdr:row>
      <xdr:rowOff>100010</xdr:rowOff>
    </xdr:from>
    <xdr:to>
      <xdr:col>7</xdr:col>
      <xdr:colOff>481015</xdr:colOff>
      <xdr:row>39</xdr:row>
      <xdr:rowOff>32958</xdr:rowOff>
    </xdr:to>
    <xdr:pic>
      <xdr:nvPicPr>
        <xdr:cNvPr id="14" name="Picture 13">
          <a:extLst>
            <a:ext uri="{FF2B5EF4-FFF2-40B4-BE49-F238E27FC236}">
              <a16:creationId xmlns:a16="http://schemas.microsoft.com/office/drawing/2014/main" id="{5F386C74-A455-043C-6BDA-18390579CFA5}"/>
            </a:ext>
          </a:extLst>
        </xdr:cNvPr>
        <xdr:cNvPicPr>
          <a:picLocks noChangeAspect="1"/>
        </xdr:cNvPicPr>
      </xdr:nvPicPr>
      <xdr:blipFill>
        <a:blip xmlns:r="http://schemas.openxmlformats.org/officeDocument/2006/relationships" r:embed="rId1"/>
        <a:stretch>
          <a:fillRect/>
        </a:stretch>
      </xdr:blipFill>
      <xdr:spPr>
        <a:xfrm>
          <a:off x="3862388" y="2271710"/>
          <a:ext cx="4038095" cy="3009524"/>
        </a:xfrm>
        <a:prstGeom prst="rect">
          <a:avLst/>
        </a:prstGeom>
        <a:ln w="19050">
          <a:solidFill>
            <a:sysClr val="windowText" lastClr="000000"/>
          </a:solidFill>
        </a:ln>
      </xdr:spPr>
    </xdr:pic>
    <xdr:clientData/>
  </xdr:twoCellAnchor>
  <xdr:twoCellAnchor>
    <xdr:from>
      <xdr:col>0</xdr:col>
      <xdr:colOff>0</xdr:colOff>
      <xdr:row>53</xdr:row>
      <xdr:rowOff>19048</xdr:rowOff>
    </xdr:from>
    <xdr:to>
      <xdr:col>12</xdr:col>
      <xdr:colOff>295274</xdr:colOff>
      <xdr:row>83</xdr:row>
      <xdr:rowOff>57149</xdr:rowOff>
    </xdr:to>
    <xdr:sp macro="" textlink="">
      <xdr:nvSpPr>
        <xdr:cNvPr id="3" name="TextBox 2">
          <a:extLst>
            <a:ext uri="{FF2B5EF4-FFF2-40B4-BE49-F238E27FC236}">
              <a16:creationId xmlns:a16="http://schemas.microsoft.com/office/drawing/2014/main" id="{16704F78-EB3C-097D-8779-C27BEBABE8F9}"/>
            </a:ext>
          </a:extLst>
        </xdr:cNvPr>
        <xdr:cNvSpPr txBox="1"/>
      </xdr:nvSpPr>
      <xdr:spPr>
        <a:xfrm>
          <a:off x="0" y="7829548"/>
          <a:ext cx="10677524" cy="57531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latin typeface="Arial" panose="020B0604020202020204" pitchFamily="34" charset="0"/>
              <a:ea typeface="+mn-lt"/>
              <a:cs typeface="Arial" panose="020B0604020202020204" pitchFamily="34" charset="0"/>
            </a:rPr>
            <a:t>Sang năm 2023, chúng tôi kỳ vọng áp lực lên tỷ giá hối đoái của Việt Nam sẽ hạ nhiệt đáng kể và dự báo VNĐ tăng giá so với USD trong năm 2023 </a:t>
          </a:r>
        </a:p>
        <a:p>
          <a:endParaRPr lang="en-US" sz="1100">
            <a:solidFill>
              <a:schemeClr val="dk1"/>
            </a:solidFill>
            <a:latin typeface="Arial" panose="020B0604020202020204" pitchFamily="34" charset="0"/>
            <a:ea typeface="+mn-lt"/>
            <a:cs typeface="Arial" panose="020B0604020202020204" pitchFamily="34" charset="0"/>
          </a:endParaRPr>
        </a:p>
        <a:p>
          <a:r>
            <a:rPr lang="en-US" sz="1100">
              <a:solidFill>
                <a:schemeClr val="dk1"/>
              </a:solidFill>
              <a:latin typeface="Arial" panose="020B0604020202020204" pitchFamily="34" charset="0"/>
              <a:ea typeface="+mn-lt"/>
              <a:cs typeface="Arial" panose="020B0604020202020204" pitchFamily="34" charset="0"/>
            </a:rPr>
            <a:t>1.Do Fed chuyển từ "thắt chặt chính sách tiền tệ" sang "bình thường hóa chính sách" trong năm tới.</a:t>
          </a:r>
          <a:r>
            <a:rPr lang="vi-VN" sz="1100" b="0" i="0">
              <a:solidFill>
                <a:schemeClr val="dk1"/>
              </a:solidFill>
              <a:effectLst/>
              <a:latin typeface="+mn-lt"/>
              <a:ea typeface="+mn-ea"/>
              <a:cs typeface="+mn-cs"/>
            </a:rPr>
            <a:t>Chỉ số đồng USD (DXY) đã giảm mạnh trong vài tuần qua sau khi Fed (Cục Dự trữ Liên bang Hoa Kỳ) quyết định giảm tốc độ tăng lãi suất điều hành tại cuộc họp tháng 12/2022. Theo đó, Fed đã công bố nâng lãi suất thêm 50 điểm cơ bản trong cuộc họp tháng 12, đúng như kỳ vọng của thị trường. </a:t>
          </a:r>
          <a:r>
            <a:rPr lang="en-US" sz="1100">
              <a:solidFill>
                <a:schemeClr val="dk1"/>
              </a:solidFill>
              <a:latin typeface="Arial" panose="020B0604020202020204" pitchFamily="34" charset="0"/>
              <a:ea typeface="+mn-lt"/>
              <a:cs typeface="Arial" panose="020B0604020202020204" pitchFamily="34" charset="0"/>
            </a:rPr>
            <a:t> </a:t>
          </a:r>
        </a:p>
        <a:p>
          <a:endParaRPr lang="en-US" sz="1100">
            <a:solidFill>
              <a:schemeClr val="dk1"/>
            </a:solidFill>
            <a:latin typeface="Arial" panose="020B0604020202020204" pitchFamily="34" charset="0"/>
            <a:ea typeface="+mn-lt"/>
            <a:cs typeface="Arial" panose="020B0604020202020204" pitchFamily="34" charset="0"/>
          </a:endParaRPr>
        </a:p>
        <a:p>
          <a:endParaRPr lang="en-US" sz="1100">
            <a:solidFill>
              <a:schemeClr val="dk1"/>
            </a:solidFill>
            <a:latin typeface="Arial" panose="020B0604020202020204" pitchFamily="34" charset="0"/>
            <a:ea typeface="+mn-lt"/>
            <a:cs typeface="Arial" panose="020B0604020202020204" pitchFamily="34" charset="0"/>
          </a:endParaRPr>
        </a:p>
        <a:p>
          <a:endParaRPr lang="en-US" sz="1100">
            <a:solidFill>
              <a:schemeClr val="dk1"/>
            </a:solidFill>
            <a:latin typeface="Arial" panose="020B0604020202020204" pitchFamily="34" charset="0"/>
            <a:ea typeface="+mn-lt"/>
            <a:cs typeface="Arial" panose="020B0604020202020204" pitchFamily="34" charset="0"/>
          </a:endParaRPr>
        </a:p>
        <a:p>
          <a:endParaRPr lang="en-US" sz="1100">
            <a:solidFill>
              <a:schemeClr val="dk1"/>
            </a:solidFill>
            <a:latin typeface="Arial" panose="020B0604020202020204" pitchFamily="34" charset="0"/>
            <a:ea typeface="+mn-lt"/>
            <a:cs typeface="Arial" panose="020B0604020202020204" pitchFamily="34" charset="0"/>
          </a:endParaRPr>
        </a:p>
        <a:p>
          <a:endParaRPr lang="en-US" sz="1100">
            <a:solidFill>
              <a:schemeClr val="dk1"/>
            </a:solidFill>
            <a:latin typeface="Arial" panose="020B0604020202020204" pitchFamily="34" charset="0"/>
            <a:ea typeface="+mn-lt"/>
            <a:cs typeface="Arial" panose="020B0604020202020204" pitchFamily="34" charset="0"/>
          </a:endParaRPr>
        </a:p>
        <a:p>
          <a:endParaRPr lang="en-US" sz="1100">
            <a:solidFill>
              <a:schemeClr val="dk1"/>
            </a:solidFill>
            <a:latin typeface="Arial" panose="020B0604020202020204" pitchFamily="34" charset="0"/>
            <a:ea typeface="+mn-lt"/>
            <a:cs typeface="Arial" panose="020B0604020202020204" pitchFamily="34" charset="0"/>
          </a:endParaRPr>
        </a:p>
        <a:p>
          <a:endParaRPr lang="en-US" sz="1100">
            <a:solidFill>
              <a:schemeClr val="dk1"/>
            </a:solidFill>
            <a:latin typeface="Arial" panose="020B0604020202020204" pitchFamily="34" charset="0"/>
            <a:ea typeface="+mn-lt"/>
            <a:cs typeface="Arial" panose="020B0604020202020204" pitchFamily="34" charset="0"/>
          </a:endParaRPr>
        </a:p>
        <a:p>
          <a:endParaRPr lang="en-US" sz="1100">
            <a:solidFill>
              <a:schemeClr val="dk1"/>
            </a:solidFill>
            <a:latin typeface="Arial" panose="020B0604020202020204" pitchFamily="34" charset="0"/>
            <a:ea typeface="+mn-lt"/>
            <a:cs typeface="Arial" panose="020B0604020202020204" pitchFamily="34" charset="0"/>
          </a:endParaRPr>
        </a:p>
        <a:p>
          <a:endParaRPr lang="en-US" sz="1100">
            <a:solidFill>
              <a:schemeClr val="dk1"/>
            </a:solidFill>
            <a:latin typeface="Arial" panose="020B0604020202020204" pitchFamily="34" charset="0"/>
            <a:ea typeface="+mn-lt"/>
            <a:cs typeface="Arial" panose="020B0604020202020204" pitchFamily="34" charset="0"/>
          </a:endParaRPr>
        </a:p>
        <a:p>
          <a:endParaRPr lang="en-US" sz="1100">
            <a:solidFill>
              <a:schemeClr val="dk1"/>
            </a:solidFill>
            <a:latin typeface="Arial" panose="020B0604020202020204" pitchFamily="34" charset="0"/>
            <a:ea typeface="+mn-lt"/>
            <a:cs typeface="Arial" panose="020B0604020202020204" pitchFamily="34" charset="0"/>
          </a:endParaRPr>
        </a:p>
        <a:p>
          <a:endParaRPr lang="en-US" sz="1100">
            <a:solidFill>
              <a:schemeClr val="dk1"/>
            </a:solidFill>
            <a:latin typeface="Arial" panose="020B0604020202020204" pitchFamily="34" charset="0"/>
            <a:ea typeface="+mn-lt"/>
            <a:cs typeface="Arial" panose="020B0604020202020204" pitchFamily="34" charset="0"/>
          </a:endParaRPr>
        </a:p>
        <a:p>
          <a:endParaRPr lang="en-US" sz="1100">
            <a:solidFill>
              <a:schemeClr val="dk1"/>
            </a:solidFill>
            <a:latin typeface="Arial" panose="020B0604020202020204" pitchFamily="34" charset="0"/>
            <a:ea typeface="+mn-lt"/>
            <a:cs typeface="Arial" panose="020B0604020202020204" pitchFamily="34" charset="0"/>
          </a:endParaRPr>
        </a:p>
        <a:p>
          <a:endParaRPr lang="en-US" sz="1100">
            <a:solidFill>
              <a:schemeClr val="dk1"/>
            </a:solidFill>
            <a:latin typeface="Arial" panose="020B0604020202020204" pitchFamily="34" charset="0"/>
            <a:ea typeface="+mn-lt"/>
            <a:cs typeface="Arial" panose="020B0604020202020204" pitchFamily="34" charset="0"/>
          </a:endParaRPr>
        </a:p>
        <a:p>
          <a:endParaRPr lang="en-US" sz="1100">
            <a:solidFill>
              <a:schemeClr val="dk1"/>
            </a:solidFill>
            <a:latin typeface="Arial" panose="020B0604020202020204" pitchFamily="34" charset="0"/>
            <a:ea typeface="+mn-lt"/>
            <a:cs typeface="Arial" panose="020B0604020202020204" pitchFamily="34" charset="0"/>
          </a:endParaRPr>
        </a:p>
        <a:p>
          <a:endParaRPr lang="en-US" sz="1100">
            <a:solidFill>
              <a:schemeClr val="dk1"/>
            </a:solidFill>
            <a:latin typeface="Arial" panose="020B0604020202020204" pitchFamily="34" charset="0"/>
            <a:ea typeface="+mn-lt"/>
            <a:cs typeface="Arial" panose="020B0604020202020204" pitchFamily="34" charset="0"/>
          </a:endParaRPr>
        </a:p>
        <a:p>
          <a:endParaRPr lang="en-US" sz="1100">
            <a:solidFill>
              <a:schemeClr val="dk1"/>
            </a:solidFill>
            <a:latin typeface="Arial" panose="020B0604020202020204" pitchFamily="34" charset="0"/>
            <a:ea typeface="+mn-lt"/>
            <a:cs typeface="Arial" panose="020B0604020202020204" pitchFamily="34" charset="0"/>
          </a:endParaRPr>
        </a:p>
        <a:p>
          <a:endParaRPr lang="en-US" sz="1100">
            <a:solidFill>
              <a:schemeClr val="dk1"/>
            </a:solidFill>
            <a:latin typeface="Arial" panose="020B0604020202020204" pitchFamily="34" charset="0"/>
            <a:ea typeface="+mn-lt"/>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Arial" panose="020B0604020202020204" pitchFamily="34" charset="0"/>
              <a:ea typeface="+mn-lt"/>
              <a:cs typeface="Arial" panose="020B0604020202020204" pitchFamily="34" charset="0"/>
            </a:rPr>
            <a:t>2.Lãi suất USD giảm nhẹ trong nửa cuối năm 2023; lãi suất VNĐ duy trì xu hướng tăng trong năm 2023.</a:t>
          </a:r>
          <a:r>
            <a:rPr lang="vi-VN" sz="1100" b="0" i="0">
              <a:solidFill>
                <a:schemeClr val="dk1"/>
              </a:solidFill>
              <a:effectLst/>
              <a:latin typeface="+mn-lt"/>
              <a:ea typeface="+mn-ea"/>
              <a:cs typeface="+mn-cs"/>
            </a:rPr>
            <a:t>Trước và sau quyết định của Fed, đồng USD mất đà tăng so với các đồng tiền chủ chốt khác, kéo chỉ số DXY giảm 8% từ mức 113 điểm đầu tháng 11 xuống 104 điểm cuối tháng 12/2022, góp phần giảm áp lực lên tỷ giá VND trong tháng 12/2022.</a:t>
          </a:r>
          <a:endParaRPr lang="en-US">
            <a:effectLst/>
          </a:endParaRPr>
        </a:p>
        <a:p>
          <a:endParaRPr lang="en-US" sz="1100">
            <a:solidFill>
              <a:schemeClr val="dk1"/>
            </a:solidFill>
            <a:latin typeface="Arial" panose="020B0604020202020204" pitchFamily="34" charset="0"/>
            <a:ea typeface="+mn-lt"/>
            <a:cs typeface="Arial" panose="020B0604020202020204" pitchFamily="34" charset="0"/>
          </a:endParaRPr>
        </a:p>
        <a:p>
          <a:r>
            <a:rPr lang="en-US" sz="1100">
              <a:solidFill>
                <a:schemeClr val="dk1"/>
              </a:solidFill>
              <a:latin typeface="Arial" panose="020B0604020202020204" pitchFamily="34" charset="0"/>
              <a:ea typeface="+mn-lt"/>
              <a:cs typeface="Arial" panose="020B0604020202020204" pitchFamily="34" charset="0"/>
            </a:rPr>
            <a:t>3.Bộ đệm tốt từ thặng dư thương mại và cán cân thanh toán, dự trữ ngoại hối cải thiện trong năm 2023. </a:t>
          </a:r>
          <a:r>
            <a:rPr lang="vi-VN" sz="1100" b="0" i="0">
              <a:solidFill>
                <a:schemeClr val="dk1"/>
              </a:solidFill>
              <a:effectLst/>
              <a:latin typeface="+mn-lt"/>
              <a:ea typeface="+mn-ea"/>
              <a:cs typeface="+mn-cs"/>
            </a:rPr>
            <a:t>NHNN còn có thêm công cụ để hỗ trợ nền kinh tế, ví dụ như việc xem xét mua vào dự trữ ngoại hối để bơm thanh khoản VND ra thị trường nhằm hạ nhiệt mặt bằng lãi suất trong nước. Điều này có thể tính đến trong bối cảnh dự trữ ngoại hối của Việt Nam đang ở sát với ngưỡng khuyến nghị 3 tháng nhập khẩu của IMF.</a:t>
          </a:r>
          <a:endParaRPr lang="en-US" sz="1100" b="0" i="0">
            <a:solidFill>
              <a:schemeClr val="dk1"/>
            </a:solidFill>
            <a:effectLst/>
            <a:latin typeface="+mn-lt"/>
            <a:ea typeface="+mn-ea"/>
            <a:cs typeface="+mn-cs"/>
          </a:endParaRP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4.</a:t>
          </a:r>
          <a:r>
            <a:rPr lang="vi-VN" sz="1100" b="0" i="0">
              <a:solidFill>
                <a:schemeClr val="dk1"/>
              </a:solidFill>
              <a:effectLst/>
              <a:latin typeface="+mn-lt"/>
              <a:ea typeface="+mn-ea"/>
              <a:cs typeface="+mn-cs"/>
            </a:rPr>
            <a:t>Trong cập nhật mới nhất về ngoại hối, Ngân hàng Standard Chartered dự báo sự hồi phục gần đây của đồng CNY có thể sẽ dẫn đến việc VND tăng giá do mối tương quan chặt chẽ. Dựa trên cơ sở các dấu hiệu tích cực đã xuất hiện trong những tuần gần đây, đặc biệt là việc mở cửa trở lại ở Trung Quốc</a:t>
          </a:r>
          <a:r>
            <a:rPr lang="en-US" sz="1100" b="0" i="0">
              <a:solidFill>
                <a:schemeClr val="dk1"/>
              </a:solidFill>
              <a:effectLst/>
              <a:latin typeface="+mn-lt"/>
              <a:ea typeface="+mn-ea"/>
              <a:cs typeface="+mn-cs"/>
            </a:rPr>
            <a:t>.</a:t>
          </a:r>
          <a:r>
            <a:rPr lang="en-US" sz="1100">
              <a:solidFill>
                <a:schemeClr val="dk1"/>
              </a:solidFill>
              <a:effectLst/>
              <a:latin typeface="+mn-lt"/>
              <a:ea typeface="+mn-ea"/>
              <a:cs typeface="+mn-cs"/>
            </a:rPr>
            <a:t> </a:t>
          </a:r>
        </a:p>
        <a:p>
          <a:endParaRPr lang="en-US" sz="1100"/>
        </a:p>
      </xdr:txBody>
    </xdr:sp>
    <xdr:clientData/>
  </xdr:twoCellAnchor>
  <xdr:twoCellAnchor editAs="oneCell">
    <xdr:from>
      <xdr:col>2</xdr:col>
      <xdr:colOff>1171575</xdr:colOff>
      <xdr:row>58</xdr:row>
      <xdr:rowOff>114299</xdr:rowOff>
    </xdr:from>
    <xdr:to>
      <xdr:col>7</xdr:col>
      <xdr:colOff>491045</xdr:colOff>
      <xdr:row>71</xdr:row>
      <xdr:rowOff>78956</xdr:rowOff>
    </xdr:to>
    <xdr:pic>
      <xdr:nvPicPr>
        <xdr:cNvPr id="4" name="Picture 3" descr="Việt Nam Đồng ổn định hơn các đồng tiền trong khu vực (+/- % so với thời điểm cuối năm 2021). Nguồn: BLOOMBERG, VNDIRECT RESEARCH">
          <a:extLst>
            <a:ext uri="{FF2B5EF4-FFF2-40B4-BE49-F238E27FC236}">
              <a16:creationId xmlns:a16="http://schemas.microsoft.com/office/drawing/2014/main" id="{C88034B7-7D30-EE2C-0B04-97DBB50C1B3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543300" y="8877299"/>
          <a:ext cx="3876675" cy="2441157"/>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14288</xdr:colOff>
      <xdr:row>5</xdr:row>
      <xdr:rowOff>0</xdr:rowOff>
    </xdr:from>
    <xdr:to>
      <xdr:col>2</xdr:col>
      <xdr:colOff>0</xdr:colOff>
      <xdr:row>8</xdr:row>
      <xdr:rowOff>9525</xdr:rowOff>
    </xdr:to>
    <mc:AlternateContent xmlns:mc="http://schemas.openxmlformats.org/markup-compatibility/2006" xmlns:a14="http://schemas.microsoft.com/office/drawing/2010/main">
      <mc:Choice Requires="a14">
        <xdr:sp macro="" textlink="">
          <xdr:nvSpPr>
            <xdr:cNvPr id="7" name="TextBox 1">
              <a:extLst>
                <a:ext uri="{FF2B5EF4-FFF2-40B4-BE49-F238E27FC236}">
                  <a16:creationId xmlns:a16="http://schemas.microsoft.com/office/drawing/2014/main" id="{83FC606C-0993-16A8-3F94-FE255FC77F4D}"/>
                </a:ext>
              </a:extLst>
            </xdr:cNvPr>
            <xdr:cNvSpPr txBox="1"/>
          </xdr:nvSpPr>
          <xdr:spPr>
            <a:xfrm>
              <a:off x="14288" y="982980"/>
              <a:ext cx="3003232" cy="55816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14:m>
                <m:oMathPara xmlns:m="http://schemas.openxmlformats.org/officeDocument/2006/math">
                  <m:oMathParaPr>
                    <m:jc m:val="centerGroup"/>
                  </m:oMathParaPr>
                  <m:oMath xmlns:m="http://schemas.openxmlformats.org/officeDocument/2006/math">
                    <m:sSub>
                      <m:sSubPr>
                        <m:ctrlPr>
                          <a:rPr lang="en-US" sz="1050" b="0" i="1">
                            <a:latin typeface="Cambria Math" panose="02040503050406030204" pitchFamily="18" charset="0"/>
                          </a:rPr>
                        </m:ctrlPr>
                      </m:sSubPr>
                      <m:e>
                        <m:r>
                          <a:rPr lang="en-US" sz="1050" b="0" i="1">
                            <a:latin typeface="Cambria Math" panose="02040503050406030204" pitchFamily="18" charset="0"/>
                          </a:rPr>
                          <m:t>𝐶𝐴𝑅</m:t>
                        </m:r>
                      </m:e>
                      <m:sub>
                        <m:r>
                          <a:rPr lang="en-US" sz="1050" b="0" i="1">
                            <a:latin typeface="Cambria Math" panose="02040503050406030204" pitchFamily="18" charset="0"/>
                          </a:rPr>
                          <m:t>𝑀𝑅</m:t>
                        </m:r>
                        <m:r>
                          <a:rPr lang="en-US" sz="1050" b="0" i="1">
                            <a:latin typeface="Cambria Math" panose="02040503050406030204" pitchFamily="18" charset="0"/>
                          </a:rPr>
                          <m:t>_</m:t>
                        </m:r>
                        <m:r>
                          <a:rPr lang="en-US" sz="1050" b="0" i="1">
                            <a:latin typeface="Cambria Math" panose="02040503050406030204" pitchFamily="18" charset="0"/>
                          </a:rPr>
                          <m:t>𝑛𝑜𝑟𝑚𝑎𝑙</m:t>
                        </m:r>
                        <m:r>
                          <a:rPr lang="en-US" sz="1050" b="0" i="1">
                            <a:latin typeface="Cambria Math" panose="02040503050406030204" pitchFamily="18" charset="0"/>
                          </a:rPr>
                          <m:t> </m:t>
                        </m:r>
                      </m:sub>
                    </m:sSub>
                    <m:r>
                      <a:rPr lang="en-US" sz="1050" b="0" i="1">
                        <a:latin typeface="Cambria Math" panose="02040503050406030204" pitchFamily="18" charset="0"/>
                      </a:rPr>
                      <m:t>=</m:t>
                    </m:r>
                    <m:f>
                      <m:fPr>
                        <m:ctrlPr>
                          <a:rPr lang="en-US" sz="1050" b="0" i="1">
                            <a:latin typeface="Cambria Math" panose="02040503050406030204" pitchFamily="18" charset="0"/>
                          </a:rPr>
                        </m:ctrlPr>
                      </m:fPr>
                      <m:num>
                        <m:r>
                          <a:rPr lang="en-US" sz="1050" b="0" i="1">
                            <a:latin typeface="Cambria Math" panose="02040503050406030204" pitchFamily="18" charset="0"/>
                          </a:rPr>
                          <m:t>𝐶</m:t>
                        </m:r>
                      </m:num>
                      <m:den>
                        <m:r>
                          <a:rPr lang="en-US" sz="1050" b="0" i="1">
                            <a:latin typeface="Cambria Math" panose="02040503050406030204" pitchFamily="18" charset="0"/>
                          </a:rPr>
                          <m:t>∑</m:t>
                        </m:r>
                        <m:r>
                          <a:rPr lang="en-US" sz="1050" b="0" i="1">
                            <a:latin typeface="Cambria Math" panose="02040503050406030204" pitchFamily="18" charset="0"/>
                          </a:rPr>
                          <m:t>𝑅𝑊𝐴</m:t>
                        </m:r>
                      </m:den>
                    </m:f>
                    <m:r>
                      <a:rPr lang="en-US" sz="1050" b="0" i="1">
                        <a:latin typeface="Cambria Math" panose="02040503050406030204" pitchFamily="18" charset="0"/>
                      </a:rPr>
                      <m:t>=</m:t>
                    </m:r>
                    <m:f>
                      <m:fPr>
                        <m:ctrlPr>
                          <a:rPr lang="en-US" sz="1050" b="0" i="1">
                            <a:latin typeface="Cambria Math" panose="02040503050406030204" pitchFamily="18" charset="0"/>
                          </a:rPr>
                        </m:ctrlPr>
                      </m:fPr>
                      <m:num>
                        <m:r>
                          <a:rPr lang="en-US" sz="1050" b="0" i="1">
                            <a:latin typeface="Cambria Math" panose="02040503050406030204" pitchFamily="18" charset="0"/>
                          </a:rPr>
                          <m:t>𝐶</m:t>
                        </m:r>
                      </m:num>
                      <m:den>
                        <m:r>
                          <a:rPr lang="en-US" sz="1050" b="0" i="1">
                            <a:latin typeface="Cambria Math" panose="02040503050406030204" pitchFamily="18" charset="0"/>
                          </a:rPr>
                          <m:t>12.5∗</m:t>
                        </m:r>
                        <m:sSub>
                          <m:sSubPr>
                            <m:ctrlPr>
                              <a:rPr lang="en-US" sz="1050" b="0" i="1">
                                <a:latin typeface="Cambria Math" panose="02040503050406030204" pitchFamily="18" charset="0"/>
                              </a:rPr>
                            </m:ctrlPr>
                          </m:sSubPr>
                          <m:e>
                            <m:r>
                              <a:rPr lang="en-US" sz="1050" b="0" i="1">
                                <a:latin typeface="Cambria Math" panose="02040503050406030204" pitchFamily="18" charset="0"/>
                              </a:rPr>
                              <m:t>𝐾</m:t>
                            </m:r>
                          </m:e>
                          <m:sub>
                            <m:r>
                              <a:rPr lang="en-US" sz="1050" b="0" i="1">
                                <a:latin typeface="Cambria Math" panose="02040503050406030204" pitchFamily="18" charset="0"/>
                              </a:rPr>
                              <m:t>𝑀𝑅</m:t>
                            </m:r>
                            <m:r>
                              <a:rPr lang="en-US" sz="1050" b="0" i="1">
                                <a:latin typeface="Cambria Math" panose="02040503050406030204" pitchFamily="18" charset="0"/>
                              </a:rPr>
                              <m:t>_</m:t>
                            </m:r>
                            <m:r>
                              <a:rPr lang="en-US" sz="1050" b="0" i="1">
                                <a:latin typeface="Cambria Math" panose="02040503050406030204" pitchFamily="18" charset="0"/>
                              </a:rPr>
                              <m:t>𝑛𝑜𝑟𝑚𝑎𝑙</m:t>
                            </m:r>
                          </m:sub>
                        </m:sSub>
                      </m:den>
                    </m:f>
                  </m:oMath>
                </m:oMathPara>
              </a14:m>
              <a:endParaRPr lang="en-US" sz="1200"/>
            </a:p>
          </xdr:txBody>
        </xdr:sp>
      </mc:Choice>
      <mc:Fallback xmlns="">
        <xdr:sp macro="" textlink="">
          <xdr:nvSpPr>
            <xdr:cNvPr id="2" name="TextBox 1">
              <a:extLst>
                <a:ext uri="{FF2B5EF4-FFF2-40B4-BE49-F238E27FC236}">
                  <a16:creationId xmlns:a16="http://schemas.microsoft.com/office/drawing/2014/main" id="{83FC606C-0993-16A8-3F94-FE255FC77F4D}"/>
                </a:ext>
              </a:extLst>
            </xdr:cNvPr>
            <xdr:cNvSpPr txBox="1"/>
          </xdr:nvSpPr>
          <xdr:spPr>
            <a:xfrm>
              <a:off x="14288" y="982980"/>
              <a:ext cx="3003232" cy="55816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r>
                <a:rPr lang="en-US" sz="1050" b="0" i="0">
                  <a:latin typeface="Cambria Math" panose="02040503050406030204" pitchFamily="18" charset="0"/>
                </a:rPr>
                <a:t>〖𝐶𝐴𝑅〗_(𝑀𝑅_𝑛𝑜𝑟𝑚𝑎𝑙 )=𝐶/(∑𝑅𝑊𝐴)=𝐶/(12.5∗𝐾_(𝑀𝑅_𝑛𝑜𝑟𝑚𝑎𝑙) )</a:t>
              </a:r>
              <a:endParaRPr lang="en-US" sz="1200"/>
            </a:p>
          </xdr:txBody>
        </xdr:sp>
      </mc:Fallback>
    </mc:AlternateContent>
    <xdr:clientData/>
  </xdr:twoCellAnchor>
  <xdr:twoCellAnchor>
    <xdr:from>
      <xdr:col>0</xdr:col>
      <xdr:colOff>9525</xdr:colOff>
      <xdr:row>13</xdr:row>
      <xdr:rowOff>4762</xdr:rowOff>
    </xdr:from>
    <xdr:to>
      <xdr:col>1</xdr:col>
      <xdr:colOff>1752600</xdr:colOff>
      <xdr:row>16</xdr:row>
      <xdr:rowOff>0</xdr:rowOff>
    </xdr:to>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AFC7B045-8392-0F6F-D255-79DB907E5333}"/>
                </a:ext>
              </a:extLst>
            </xdr:cNvPr>
            <xdr:cNvSpPr txBox="1"/>
          </xdr:nvSpPr>
          <xdr:spPr>
            <a:xfrm>
              <a:off x="9525" y="2433637"/>
              <a:ext cx="3133725" cy="53816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14:m>
                <m:oMathPara xmlns:m="http://schemas.openxmlformats.org/officeDocument/2006/math">
                  <m:oMathParaPr>
                    <m:jc m:val="centerGroup"/>
                  </m:oMathParaPr>
                  <m:oMath xmlns:m="http://schemas.openxmlformats.org/officeDocument/2006/math">
                    <m:sSub>
                      <m:sSubPr>
                        <m:ctrlPr>
                          <a:rPr lang="en-US" sz="1200" b="0" i="1">
                            <a:latin typeface="Cambria Math" panose="02040503050406030204" pitchFamily="18" charset="0"/>
                          </a:rPr>
                        </m:ctrlPr>
                      </m:sSubPr>
                      <m:e>
                        <m:r>
                          <a:rPr lang="en-US" sz="1200" b="0" i="1">
                            <a:latin typeface="Cambria Math" panose="02040503050406030204" pitchFamily="18" charset="0"/>
                          </a:rPr>
                          <m:t>𝐶𝐴𝑅</m:t>
                        </m:r>
                      </m:e>
                      <m:sub>
                        <m:r>
                          <a:rPr lang="en-US" sz="1200" b="0" i="1">
                            <a:latin typeface="Cambria Math" panose="02040503050406030204" pitchFamily="18" charset="0"/>
                          </a:rPr>
                          <m:t>𝑀𝑅</m:t>
                        </m:r>
                        <m:r>
                          <a:rPr lang="en-US" sz="1200" b="0" i="1">
                            <a:latin typeface="Cambria Math" panose="02040503050406030204" pitchFamily="18" charset="0"/>
                          </a:rPr>
                          <m:t>_</m:t>
                        </m:r>
                        <m:r>
                          <a:rPr lang="en-US" sz="1200" b="0" i="1">
                            <a:latin typeface="Cambria Math" panose="02040503050406030204" pitchFamily="18" charset="0"/>
                          </a:rPr>
                          <m:t>𝑠𝑡𝑟𝑒𝑠𝑠</m:t>
                        </m:r>
                        <m:r>
                          <a:rPr lang="en-US" sz="1200" b="0" i="1">
                            <a:latin typeface="Cambria Math" panose="02040503050406030204" pitchFamily="18" charset="0"/>
                          </a:rPr>
                          <m:t> </m:t>
                        </m:r>
                      </m:sub>
                    </m:sSub>
                    <m:r>
                      <a:rPr lang="en-US" sz="1200" b="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𝐶</m:t>
                        </m:r>
                        <m:r>
                          <a:rPr lang="en-US" sz="1200" b="0" i="1">
                            <a:latin typeface="Cambria Math" panose="02040503050406030204" pitchFamily="18" charset="0"/>
                          </a:rPr>
                          <m:t>−∆</m:t>
                        </m:r>
                        <m:r>
                          <a:rPr lang="en-US" sz="1200" b="0" i="1">
                            <a:latin typeface="Cambria Math" panose="02040503050406030204" pitchFamily="18" charset="0"/>
                            <a:ea typeface="Cambria Math" panose="02040503050406030204" pitchFamily="18" charset="0"/>
                          </a:rPr>
                          <m:t>𝑃</m:t>
                        </m:r>
                      </m:num>
                      <m:den>
                        <m:r>
                          <a:rPr lang="en-US" sz="1200" b="0" i="1">
                            <a:latin typeface="Cambria Math" panose="02040503050406030204" pitchFamily="18" charset="0"/>
                          </a:rPr>
                          <m:t>∑</m:t>
                        </m:r>
                        <m:r>
                          <a:rPr lang="en-US" sz="1200" b="0" i="1">
                            <a:latin typeface="Cambria Math" panose="02040503050406030204" pitchFamily="18" charset="0"/>
                          </a:rPr>
                          <m:t>𝑅𝑊𝐴</m:t>
                        </m:r>
                      </m:den>
                    </m:f>
                    <m:r>
                      <a:rPr lang="en-US" sz="1200" b="0" i="1">
                        <a:latin typeface="Cambria Math" panose="02040503050406030204" pitchFamily="18" charset="0"/>
                      </a:rPr>
                      <m:t>=</m:t>
                    </m:r>
                    <m:f>
                      <m:fPr>
                        <m:ctrlPr>
                          <a:rPr lang="en-US" sz="1200" b="0" i="1">
                            <a:latin typeface="Cambria Math" panose="02040503050406030204" pitchFamily="18" charset="0"/>
                          </a:rPr>
                        </m:ctrlPr>
                      </m:fPr>
                      <m:num>
                        <m:r>
                          <a:rPr lang="en-US" sz="1200" b="0" i="1">
                            <a:latin typeface="Cambria Math" panose="02040503050406030204" pitchFamily="18" charset="0"/>
                          </a:rPr>
                          <m:t>𝐶</m:t>
                        </m:r>
                        <m:r>
                          <a:rPr lang="en-US" sz="1200" b="0" i="1">
                            <a:latin typeface="Cambria Math" panose="02040503050406030204" pitchFamily="18" charset="0"/>
                          </a:rPr>
                          <m:t>−∆</m:t>
                        </m:r>
                        <m:r>
                          <a:rPr lang="en-US" sz="1200" b="0" i="1">
                            <a:latin typeface="Cambria Math" panose="02040503050406030204" pitchFamily="18" charset="0"/>
                            <a:ea typeface="Cambria Math" panose="02040503050406030204" pitchFamily="18" charset="0"/>
                          </a:rPr>
                          <m:t>𝑃</m:t>
                        </m:r>
                      </m:num>
                      <m:den>
                        <m:r>
                          <a:rPr lang="en-US" sz="1200" b="0" i="1">
                            <a:latin typeface="Cambria Math" panose="02040503050406030204" pitchFamily="18" charset="0"/>
                          </a:rPr>
                          <m:t>12.5∗</m:t>
                        </m:r>
                        <m:sSub>
                          <m:sSubPr>
                            <m:ctrlPr>
                              <a:rPr lang="en-US" sz="1200" b="0" i="1">
                                <a:latin typeface="Cambria Math" panose="02040503050406030204" pitchFamily="18" charset="0"/>
                              </a:rPr>
                            </m:ctrlPr>
                          </m:sSubPr>
                          <m:e>
                            <m:r>
                              <a:rPr lang="en-US" sz="1200" b="0" i="1">
                                <a:latin typeface="Cambria Math" panose="02040503050406030204" pitchFamily="18" charset="0"/>
                              </a:rPr>
                              <m:t>𝐾</m:t>
                            </m:r>
                          </m:e>
                          <m:sub>
                            <m:r>
                              <a:rPr lang="en-US" sz="1200" b="0" i="1">
                                <a:latin typeface="Cambria Math" panose="02040503050406030204" pitchFamily="18" charset="0"/>
                              </a:rPr>
                              <m:t>𝑀𝑅</m:t>
                            </m:r>
                            <m:r>
                              <a:rPr lang="en-US" sz="1200" b="0" i="1">
                                <a:latin typeface="Cambria Math" panose="02040503050406030204" pitchFamily="18" charset="0"/>
                              </a:rPr>
                              <m:t>_</m:t>
                            </m:r>
                            <m:r>
                              <a:rPr lang="en-US" sz="1200" b="0" i="1">
                                <a:latin typeface="Cambria Math" panose="02040503050406030204" pitchFamily="18" charset="0"/>
                              </a:rPr>
                              <m:t>𝑠𝑡𝑟𝑒𝑠𝑠</m:t>
                            </m:r>
                          </m:sub>
                        </m:sSub>
                      </m:den>
                    </m:f>
                  </m:oMath>
                </m:oMathPara>
              </a14:m>
              <a:endParaRPr lang="en-US" sz="1200"/>
            </a:p>
          </xdr:txBody>
        </xdr:sp>
      </mc:Choice>
      <mc:Fallback xmlns="">
        <xdr:sp macro="" textlink="">
          <xdr:nvSpPr>
            <xdr:cNvPr id="3" name="TextBox 2">
              <a:extLst>
                <a:ext uri="{FF2B5EF4-FFF2-40B4-BE49-F238E27FC236}">
                  <a16:creationId xmlns:a16="http://schemas.microsoft.com/office/drawing/2014/main" id="{AFC7B045-8392-0F6F-D255-79DB907E5333}"/>
                </a:ext>
              </a:extLst>
            </xdr:cNvPr>
            <xdr:cNvSpPr txBox="1"/>
          </xdr:nvSpPr>
          <xdr:spPr>
            <a:xfrm>
              <a:off x="9525" y="2433637"/>
              <a:ext cx="3133725" cy="53816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r>
                <a:rPr lang="en-US" sz="1200" b="0" i="0">
                  <a:latin typeface="Cambria Math" panose="02040503050406030204" pitchFamily="18" charset="0"/>
                </a:rPr>
                <a:t>〖𝐶𝐴𝑅〗_(𝑀𝑅_𝑠𝑡𝑟𝑒𝑠𝑠 )=(𝐶−</a:t>
              </a:r>
              <a:r>
                <a:rPr lang="en-US" sz="1200" b="0" i="0">
                  <a:latin typeface="Cambria Math" panose="02040503050406030204" pitchFamily="18" charset="0"/>
                  <a:ea typeface="Cambria Math" panose="02040503050406030204" pitchFamily="18" charset="0"/>
                </a:rPr>
                <a:t>∆𝑃)/(</a:t>
              </a:r>
              <a:r>
                <a:rPr lang="en-US" sz="1200" b="0" i="0">
                  <a:latin typeface="Cambria Math" panose="02040503050406030204" pitchFamily="18" charset="0"/>
                </a:rPr>
                <a:t>∑𝑅𝑊𝐴)=(𝐶−</a:t>
              </a:r>
              <a:r>
                <a:rPr lang="en-US" sz="1200" b="0" i="0">
                  <a:latin typeface="Cambria Math" panose="02040503050406030204" pitchFamily="18" charset="0"/>
                  <a:ea typeface="Cambria Math" panose="02040503050406030204" pitchFamily="18" charset="0"/>
                </a:rPr>
                <a:t>∆𝑃)/(</a:t>
              </a:r>
              <a:r>
                <a:rPr lang="en-US" sz="1200" b="0" i="0">
                  <a:latin typeface="Cambria Math" panose="02040503050406030204" pitchFamily="18" charset="0"/>
                </a:rPr>
                <a:t>12.5∗𝐾_(𝑀𝑅_𝑠𝑡𝑟𝑒𝑠𝑠) )</a:t>
              </a:r>
              <a:endParaRPr lang="en-US" sz="1200"/>
            </a:p>
          </xdr:txBody>
        </xdr:sp>
      </mc:Fallback>
    </mc:AlternateContent>
    <xdr:clientData/>
  </xdr:twoCellAnchor>
  <xdr:twoCellAnchor>
    <xdr:from>
      <xdr:col>2</xdr:col>
      <xdr:colOff>428624</xdr:colOff>
      <xdr:row>13</xdr:row>
      <xdr:rowOff>14288</xdr:rowOff>
    </xdr:from>
    <xdr:to>
      <xdr:col>9</xdr:col>
      <xdr:colOff>133349</xdr:colOff>
      <xdr:row>16</xdr:row>
      <xdr:rowOff>176213</xdr:rowOff>
    </xdr:to>
    <xdr:sp macro="" textlink="">
      <xdr:nvSpPr>
        <xdr:cNvPr id="4" name="TextBox 3">
          <a:extLst>
            <a:ext uri="{FF2B5EF4-FFF2-40B4-BE49-F238E27FC236}">
              <a16:creationId xmlns:a16="http://schemas.microsoft.com/office/drawing/2014/main" id="{5F8A2833-64BB-BD83-56C9-511443485D2F}"/>
            </a:ext>
          </a:extLst>
        </xdr:cNvPr>
        <xdr:cNvSpPr txBox="1"/>
      </xdr:nvSpPr>
      <xdr:spPr>
        <a:xfrm>
          <a:off x="3576637" y="2443163"/>
          <a:ext cx="6305550" cy="704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latin typeface="Arial" panose="020B0604020202020204" pitchFamily="34" charset="0"/>
              <a:cs typeface="Arial" panose="020B0604020202020204" pitchFamily="34" charset="0"/>
            </a:rPr>
            <a:t>Khi</a:t>
          </a:r>
          <a:r>
            <a:rPr lang="en-US" sz="1100" baseline="0">
              <a:latin typeface="Arial" panose="020B0604020202020204" pitchFamily="34" charset="0"/>
              <a:cs typeface="Arial" panose="020B0604020202020204" pitchFamily="34" charset="0"/>
            </a:rPr>
            <a:t> thị trường biến động theo kịch bản bất lợi, lãi suất tăng lên khiến cho trái phiếu nắm giữ giảm giá trị, ngân hàng phải trích lập dự phòng rủi ro từ vốn cho sự mất giá của trái phiếu, từ đó khiến vốn tự có giảm đi Delta P = (Bond price_normal) - (Bond price_stress)</a:t>
          </a:r>
          <a:endParaRPr lang="en-US" sz="1100">
            <a:latin typeface="Arial" panose="020B0604020202020204" pitchFamily="34" charset="0"/>
            <a:cs typeface="Arial" panose="020B0604020202020204" pitchFamily="34" charset="0"/>
          </a:endParaRPr>
        </a:p>
      </xdr:txBody>
    </xdr:sp>
    <xdr:clientData/>
  </xdr:twoCellAnchor>
  <xdr:twoCellAnchor>
    <xdr:from>
      <xdr:col>2</xdr:col>
      <xdr:colOff>1</xdr:colOff>
      <xdr:row>20</xdr:row>
      <xdr:rowOff>9525</xdr:rowOff>
    </xdr:from>
    <xdr:to>
      <xdr:col>8</xdr:col>
      <xdr:colOff>514351</xdr:colOff>
      <xdr:row>45</xdr:row>
      <xdr:rowOff>23813</xdr:rowOff>
    </xdr:to>
    <xdr:sp macro="" textlink="">
      <xdr:nvSpPr>
        <xdr:cNvPr id="2" name="TextBox 1">
          <a:extLst>
            <a:ext uri="{FF2B5EF4-FFF2-40B4-BE49-F238E27FC236}">
              <a16:creationId xmlns:a16="http://schemas.microsoft.com/office/drawing/2014/main" id="{31F7E3C4-4F6C-9AC2-ABD8-8ABA60092146}"/>
            </a:ext>
          </a:extLst>
        </xdr:cNvPr>
        <xdr:cNvSpPr txBox="1"/>
      </xdr:nvSpPr>
      <xdr:spPr>
        <a:xfrm>
          <a:off x="3143251" y="3733800"/>
          <a:ext cx="6467475" cy="45386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vi-VN" sz="1100" b="1"/>
            <a:t>Các bước trích lập dự phòng rủi ro từ vốn tự có bao gồm:</a:t>
          </a:r>
          <a:r>
            <a:rPr lang="vi-VN" sz="1100"/>
            <a:t> </a:t>
          </a:r>
          <a:endParaRPr lang="en-US" sz="1100"/>
        </a:p>
        <a:p>
          <a:r>
            <a:rPr lang="vi-VN" sz="1100" b="1"/>
            <a:t>Xác định các rủi ro tiềm ẩn của công ty: </a:t>
          </a:r>
          <a:r>
            <a:rPr lang="en-US" sz="1100">
              <a:latin typeface="Arial" panose="020B0604020202020204" pitchFamily="34" charset="0"/>
              <a:cs typeface="Arial" panose="020B0604020202020204" pitchFamily="34" charset="0"/>
            </a:rPr>
            <a:t>Xác</a:t>
          </a:r>
          <a:r>
            <a:rPr lang="en-US" sz="1100" baseline="0">
              <a:latin typeface="Arial" panose="020B0604020202020204" pitchFamily="34" charset="0"/>
              <a:cs typeface="Arial" panose="020B0604020202020204" pitchFamily="34" charset="0"/>
            </a:rPr>
            <a:t> </a:t>
          </a:r>
          <a:r>
            <a:rPr lang="vi-VN" sz="1100"/>
            <a:t>định các rủi ro tiềm ẩn của mình, bao gồm các rủi ro liên quan đến hoạt động kinh doanh, tài chính, thị trường và các yếu tố khác có thể ảnh hưởng đến hoạt động của công ty. </a:t>
          </a:r>
          <a:endParaRPr lang="en-US" sz="1100"/>
        </a:p>
        <a:p>
          <a:r>
            <a:rPr lang="vi-VN" sz="1100" b="1"/>
            <a:t>Đánh giá mức độ rủi ro: </a:t>
          </a:r>
          <a:r>
            <a:rPr lang="vi-VN" sz="1100"/>
            <a:t>Công ty cần phải đánh giá mức độ rủi ro của mỗi loại rủi ro để xác định khoản dự phòng phù hợp. Việc đánh giá mức độ rủi ro có thể dựa trên các phương pháp thống kê, kinh nghiệm hoặc các phương pháp khác phù hợp với từng loại rủi ro. </a:t>
          </a:r>
          <a:endParaRPr lang="en-US" sz="1100"/>
        </a:p>
        <a:p>
          <a:r>
            <a:rPr lang="vi-VN" sz="1100" b="1"/>
            <a:t>Xác định mức dự phòng:</a:t>
          </a:r>
          <a:r>
            <a:rPr lang="vi-VN" sz="1100"/>
            <a:t> Dựa trên mức độ rủi ro đã đánh giá, công ty có thể xác định mức dự phòng phù hợp để đảm bảo tính ổn định và bảo vệ tài sản của công ty khỏi các rủi ro tiềm ẩn. Mức dự phòng có thể được tính toán dựa trên một phần trăm nào đó của lợi nhuận hoặc tổng tài sản của công ty. </a:t>
          </a:r>
          <a:endParaRPr lang="en-US" sz="1100"/>
        </a:p>
        <a:p>
          <a:r>
            <a:rPr lang="vi-VN" sz="1100" b="1"/>
            <a:t>Tạo ra các khoản tiền dự phòng: </a:t>
          </a:r>
          <a:r>
            <a:rPr lang="vi-VN" sz="1100"/>
            <a:t>Cuối cùng, công ty cần phải tạo ra các khoản tiền dự phòng từ lợi nhuận thu được trong quá khứ hoặc từ vốn tự có của công ty. Các khoản tiền này có thể được giữ trong các tài khoản tiền gửi ngân hàng, quỹ dự phòng hoặc các khoản đầu tư khác tùy thuộc vào chiến lược đầu tư và các yêu cầu của công ty.</a:t>
          </a:r>
          <a:endParaRPr lang="en-US" sz="1100"/>
        </a:p>
        <a:p>
          <a:endParaRPr lang="en-US" sz="1100">
            <a:solidFill>
              <a:schemeClr val="dk1"/>
            </a:solidFill>
            <a:effectLst/>
            <a:latin typeface="+mn-lt"/>
            <a:ea typeface="+mn-ea"/>
            <a:cs typeface="+mn-cs"/>
          </a:endParaRPr>
        </a:p>
        <a:p>
          <a:r>
            <a:rPr lang="vi-VN" sz="1100">
              <a:solidFill>
                <a:schemeClr val="dk1"/>
              </a:solidFill>
              <a:effectLst/>
              <a:latin typeface="+mn-lt"/>
              <a:ea typeface="+mn-ea"/>
              <a:cs typeface="+mn-cs"/>
            </a:rPr>
            <a:t>Khi ngân hàng cần tăng khoản dự phòng rủi ro, nó sẽ phải chi trả tiền từ vốn tự có của mình để đảm bảo rằng nó có đủ tiền để bù đắp cho các rủi ro tiềm ẩn trong hoạt động kinh doanh. Điều này có thể ảnh hưởng đến vốn tự có của ngân hàng bởi vì nó sẽ giảm đi khi ngân hàng cần chi trả khoản tiền này. Tuy nhiên, khoản dự phòng rủi ro cũng có tác dụng bảo vệ ngân hàng khỏi các rủi ro tiềm ẩn, giúp ngân hàng duy trì sự ổn định và tăng tính khả thi trong hoạt động kinh doanh. Khi ngân hàng có một mức độ rủi ro thấp hơn, nó sẽ cần ít tiền để dự phòng và có thể giữ được vốn tự có cao hơn. Tóm lại, việc quản lý khoản dự phòng rủi ro một cách hiệu quả là rất quan trọng đối với sự tồn tại và phát triển của ngân hàng.</a:t>
          </a:r>
          <a:endParaRPr lang="en-US">
            <a:effectLst/>
          </a:endParaRP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apcdeloitte-my.sharepoint.com/Users/User/AppData/Roaming/Skype/My%20Skype%20Received%20Files/QIS%205/OCQIS_WorkbookQIS5_5.0.1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apcdeloitte-my.sharepoint.com/Users/hoamnguyen/AppData/Local/Temp/wz03d5/SEND%20TO%20CTBC%2018112019/CAR%20calculation%20tool%20-%20CTBC%20v1.1.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apcdeloitte-my.sharepoint.com/Users/huycng/Documents/SMBC%20Project/Tool/CAR%20calculation%20tool%20-%20SMBC%20v1%20-%20VN.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apcdeloitte-my.sharepoint.com/Users/User/Desktop/QIS%20v0.8%20(Thuy)%20-%20V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
      <sheetName val="Results"/>
      <sheetName val="Checks"/>
      <sheetName val="Parameters"/>
      <sheetName val="Related entities"/>
      <sheetName val="Current"/>
      <sheetName val="Current Securitisation"/>
      <sheetName val="Standardised"/>
      <sheetName val="Standardised Securitisation"/>
      <sheetName val="FIRB Corporate agg"/>
      <sheetName val="FIRB Corporate"/>
      <sheetName val="FIRB Corporate DD"/>
      <sheetName val="FIRB Sovereign"/>
      <sheetName val="FIRB Bank"/>
      <sheetName val="FIRB SME Corporate agg"/>
      <sheetName val="FIRB SME Corporate"/>
      <sheetName val="FIRB SME Corporate DD"/>
      <sheetName val="FIRB Trading Book"/>
      <sheetName val="FIRB SL HVCRE agg"/>
      <sheetName val="FIRB SL HVCRE"/>
      <sheetName val="FIRB SL HVCRE DD"/>
      <sheetName val="FIRB SL Other agg"/>
      <sheetName val="FIRB SL Other"/>
      <sheetName val="FIRB SL Other DD"/>
      <sheetName val="IRB Other Retail"/>
      <sheetName val="IRB Retail Mortgage"/>
      <sheetName val="IRB Retail QRE"/>
      <sheetName val="IRB SME Retail"/>
      <sheetName val="AIRB Corporate agg"/>
      <sheetName val="AIRB Corporate"/>
      <sheetName val="AIRB Corporate DD"/>
      <sheetName val="AIRB Sovereign"/>
      <sheetName val="AIRB Bank"/>
      <sheetName val="AIRB SME Corporate agg"/>
      <sheetName val="AIRB SME Corporate"/>
      <sheetName val="AIRB SME Corporate DD"/>
      <sheetName val="AIRB Trading Book"/>
      <sheetName val="AIRB SL HVCRE agg"/>
      <sheetName val="AIRB SL HVCRE"/>
      <sheetName val="AIRB SL HVCRE DD"/>
      <sheetName val="AIRB SL Other agg"/>
      <sheetName val="AIRB SL Other"/>
      <sheetName val="AIRB SL Other DD"/>
      <sheetName val="IRB Equity"/>
      <sheetName val="IRB Equity memo"/>
      <sheetName val="IRB SL slotting"/>
      <sheetName val="IRB Receivables"/>
      <sheetName val="IRB Securitisation"/>
      <sheetName val="Operational risk"/>
    </sheetNames>
    <sheetDataSet>
      <sheetData sheetId="0"/>
      <sheetData sheetId="1"/>
      <sheetData sheetId="2"/>
      <sheetData sheetId="3">
        <row r="316">
          <cell r="C316" t="str">
            <v>Yes</v>
          </cell>
        </row>
        <row r="317">
          <cell r="C317" t="str">
            <v>No</v>
          </cell>
        </row>
        <row r="318">
          <cell r="C318">
            <v>1</v>
          </cell>
        </row>
        <row r="319">
          <cell r="C319">
            <v>2</v>
          </cell>
        </row>
        <row r="353">
          <cell r="C353" t="str">
            <v>RSA</v>
          </cell>
        </row>
        <row r="354">
          <cell r="C354" t="str">
            <v>FIRB</v>
          </cell>
        </row>
        <row r="355">
          <cell r="C355" t="str">
            <v>AIRB</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menu"/>
      <sheetName val="Headers"/>
      <sheetName val="Capital Detail"/>
      <sheetName val="G042441_EN"/>
      <sheetName val="CR"/>
      <sheetName val="FX Risk"/>
      <sheetName val="IS"/>
      <sheetName val="G042541_EN"/>
      <sheetName val="G042441_VN"/>
      <sheetName val="G042541_VN"/>
      <sheetName val="Summary Chart"/>
      <sheetName val="Operational Risk"/>
      <sheetName val="General_IRR"/>
      <sheetName val="CCR_DERIVATIVES"/>
      <sheetName val="1.CreditRisk"/>
      <sheetName val="2.CreditRisk"/>
      <sheetName val="3.CreditRisk"/>
      <sheetName val="4.CreditRisk"/>
      <sheetName val="5.CreditRisk"/>
      <sheetName val="6.CCR_1"/>
      <sheetName val="7.CCR_2"/>
      <sheetName val="8.CCR_3"/>
      <sheetName val="CCR_REPO"/>
      <sheetName val="9.MR"/>
      <sheetName val="10.Summary"/>
      <sheetName val="SPOT_RATE"/>
      <sheetName val="GL_RECON"/>
      <sheetName val="Filename"/>
      <sheetName val="Other Assets"/>
      <sheetName val="Specific_IRR"/>
    </sheetNames>
    <sheetDataSet>
      <sheetData sheetId="0">
        <row r="18">
          <cell r="KI18" t="str">
            <v>20190630</v>
          </cell>
        </row>
        <row r="20">
          <cell r="KI20" t="str">
            <v>20190628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menu"/>
      <sheetName val="Results"/>
      <sheetName val="Report"/>
      <sheetName val="Temporary"/>
      <sheetName val="Data requirement"/>
    </sheetNames>
    <sheetDataSet>
      <sheetData sheetId="0" refreshError="1"/>
      <sheetData sheetId="1">
        <row r="5">
          <cell r="F5">
            <v>42970</v>
          </cell>
        </row>
      </sheetData>
      <sheetData sheetId="2">
        <row r="8">
          <cell r="C8" t="str">
            <v>Rủi ro tín dụng</v>
          </cell>
        </row>
      </sheetData>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eneral information"/>
      <sheetName val="Summary"/>
      <sheetName val="Current"/>
      <sheetName val="Capital"/>
      <sheetName val="CR - Retail"/>
      <sheetName val="CR - NPL"/>
      <sheetName val="CR - FI"/>
      <sheetName val="CR - Sovereign"/>
      <sheetName val="CR - Corporate"/>
      <sheetName val="Other on-balance sheet assets"/>
      <sheetName val="Operational risk"/>
      <sheetName val="RRTDĐT-Dữ liệu &amp; Vốn"/>
      <sheetName val="Repo-style transactions"/>
      <sheetName val="RRLS-Dữ liệu"/>
      <sheetName val="RRLS-Vốn RR cụ thể (VND)"/>
      <sheetName val="RRLS-Vốn RR chung (VND)"/>
      <sheetName val="RRLS-Vốn RR cụ thể (USD)"/>
      <sheetName val="RRLS-Vốn RR chung (USD)"/>
      <sheetName val="RRNH-Dữ liệu"/>
      <sheetName val="RRNH-Vốn"/>
      <sheetName val="RRGCP-Dữ liệu &amp; Vốn"/>
      <sheetName val="RRGHH-Dữ liệu"/>
      <sheetName val="RRGHH-Vốn"/>
      <sheetName val="Quyền chọn-Dữ liệu &amp; Vố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
          <cell r="S2" t="str">
            <v>Lãi suất</v>
          </cell>
          <cell r="T2" t="str">
            <v>Ngoại hối (gồm Vàng tiêu chuẩn)</v>
          </cell>
          <cell r="U2" t="str">
            <v>Cổ phiếu, chứng chỉ quỹ, chứng quyền</v>
          </cell>
          <cell r="V2" t="str">
            <v>Kim loại quý (trừ vàng)</v>
          </cell>
          <cell r="W2" t="str">
            <v>Các hàng hóa khác</v>
          </cell>
          <cell r="X2" t="str">
            <v>Tín dụng</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W266"/>
  <sheetViews>
    <sheetView topLeftCell="D1" zoomScaleNormal="100" workbookViewId="0">
      <selection activeCell="K9" sqref="K9"/>
    </sheetView>
  </sheetViews>
  <sheetFormatPr defaultColWidth="9.28515625" defaultRowHeight="12.75" x14ac:dyDescent="0.25"/>
  <cols>
    <col min="1" max="1" width="18.85546875" style="4" bestFit="1" customWidth="1"/>
    <col min="2" max="2" width="18" style="4" customWidth="1"/>
    <col min="3" max="3" width="22" style="4" customWidth="1"/>
    <col min="4" max="4" width="19.140625" style="4" customWidth="1"/>
    <col min="5" max="5" width="10.5703125" style="4" customWidth="1"/>
    <col min="6" max="6" width="14.42578125" style="4" customWidth="1"/>
    <col min="7" max="7" width="13.5703125" style="3" customWidth="1"/>
    <col min="8" max="8" width="19.5703125" style="3" customWidth="1"/>
    <col min="9" max="10" width="13.28515625" style="2" customWidth="1"/>
    <col min="11" max="11" width="21.140625" style="34" bestFit="1" customWidth="1"/>
    <col min="12" max="12" width="15.5703125" style="66" customWidth="1"/>
    <col min="13" max="13" width="16.28515625" style="66" customWidth="1"/>
    <col min="14" max="14" width="16.28515625" style="77" customWidth="1"/>
    <col min="15" max="15" width="9.28515625" style="1"/>
    <col min="16" max="16" width="15.7109375" style="1" bestFit="1" customWidth="1"/>
    <col min="17" max="16383" width="9.28515625" style="1"/>
    <col min="16384" max="16384" width="9.28515625" style="1" bestFit="1"/>
  </cols>
  <sheetData>
    <row r="1" spans="1:23" ht="20.25" thickBot="1" x14ac:dyDescent="0.3">
      <c r="A1" s="112" t="s">
        <v>129</v>
      </c>
      <c r="K1" s="47"/>
      <c r="N1" s="10"/>
    </row>
    <row r="2" spans="1:23" x14ac:dyDescent="0.25">
      <c r="A2" s="128" t="s">
        <v>0</v>
      </c>
      <c r="B2" s="129"/>
      <c r="C2" s="130"/>
      <c r="K2" s="47"/>
      <c r="L2" s="47"/>
      <c r="M2" s="47"/>
      <c r="N2" s="1"/>
    </row>
    <row r="3" spans="1:23" ht="13.35" customHeight="1" thickBot="1" x14ac:dyDescent="0.3">
      <c r="A3" s="131"/>
      <c r="B3" s="132"/>
      <c r="C3" s="133"/>
      <c r="K3" s="47"/>
      <c r="L3" s="47"/>
      <c r="M3" s="47"/>
      <c r="N3" s="1"/>
    </row>
    <row r="4" spans="1:23" s="10" customFormat="1" ht="13.35" customHeight="1" x14ac:dyDescent="0.25">
      <c r="A4" s="57"/>
      <c r="B4" s="57"/>
      <c r="C4" s="57"/>
      <c r="D4" s="54"/>
      <c r="E4" s="54"/>
      <c r="F4" s="54"/>
      <c r="G4" s="55"/>
      <c r="H4" s="55"/>
      <c r="I4" s="56"/>
      <c r="J4" s="56"/>
      <c r="K4" s="66"/>
      <c r="L4" s="66"/>
      <c r="M4" s="66"/>
    </row>
    <row r="5" spans="1:23" s="10" customFormat="1" ht="36.75" customHeight="1" x14ac:dyDescent="0.25">
      <c r="A5" s="86" t="s">
        <v>1</v>
      </c>
      <c r="B5" s="113">
        <v>45003</v>
      </c>
      <c r="C5" s="57"/>
      <c r="D5" s="86" t="s">
        <v>114</v>
      </c>
      <c r="E5" s="114">
        <v>23620</v>
      </c>
      <c r="F5" s="60"/>
      <c r="G5" s="62"/>
      <c r="H5" s="115" t="s">
        <v>2</v>
      </c>
      <c r="I5" s="116">
        <v>7.0000000000000007E-2</v>
      </c>
      <c r="J5" s="56"/>
      <c r="K5" s="66"/>
      <c r="L5" s="66"/>
      <c r="M5" s="66"/>
    </row>
    <row r="6" spans="1:23" s="10" customFormat="1" ht="13.5" customHeight="1" x14ac:dyDescent="0.25">
      <c r="C6" s="57"/>
      <c r="D6" s="54"/>
      <c r="E6" s="54"/>
      <c r="F6" s="54"/>
      <c r="G6" s="55"/>
      <c r="H6" s="55"/>
      <c r="I6" s="56"/>
      <c r="J6" s="56"/>
      <c r="K6" s="66"/>
      <c r="L6" s="66"/>
      <c r="M6" s="66"/>
    </row>
    <row r="7" spans="1:23" x14ac:dyDescent="0.25">
      <c r="A7" s="134" t="s">
        <v>3</v>
      </c>
      <c r="B7" s="134"/>
      <c r="C7" s="134"/>
      <c r="D7" s="134"/>
      <c r="E7" s="134"/>
      <c r="F7" s="134"/>
      <c r="G7" s="134"/>
      <c r="H7" s="134"/>
      <c r="I7" s="134"/>
      <c r="J7" s="134"/>
      <c r="K7" s="134"/>
      <c r="L7" s="127" t="s">
        <v>125</v>
      </c>
      <c r="M7" s="127"/>
      <c r="N7" s="127"/>
    </row>
    <row r="8" spans="1:23" ht="57.6" customHeight="1" x14ac:dyDescent="0.25">
      <c r="A8" s="5" t="s">
        <v>5</v>
      </c>
      <c r="B8" s="6" t="s">
        <v>6</v>
      </c>
      <c r="C8" s="6" t="s">
        <v>7</v>
      </c>
      <c r="D8" s="9" t="s">
        <v>8</v>
      </c>
      <c r="E8" s="9" t="s">
        <v>9</v>
      </c>
      <c r="F8" s="59" t="s">
        <v>10</v>
      </c>
      <c r="G8" s="9" t="s">
        <v>11</v>
      </c>
      <c r="H8" s="9" t="s">
        <v>12</v>
      </c>
      <c r="I8" s="9" t="s">
        <v>13</v>
      </c>
      <c r="J8" s="9" t="s">
        <v>14</v>
      </c>
      <c r="K8" s="79" t="s">
        <v>119</v>
      </c>
      <c r="L8" s="33" t="s">
        <v>120</v>
      </c>
      <c r="M8" s="31" t="s">
        <v>15</v>
      </c>
      <c r="N8" s="32" t="s">
        <v>16</v>
      </c>
      <c r="O8" s="10"/>
      <c r="P8" s="10"/>
      <c r="Q8" s="10"/>
      <c r="R8" s="10"/>
      <c r="S8" s="10"/>
      <c r="T8" s="10"/>
      <c r="U8" s="10"/>
      <c r="V8" s="10"/>
      <c r="W8" s="10"/>
    </row>
    <row r="9" spans="1:23" ht="15" x14ac:dyDescent="0.25">
      <c r="A9" s="7"/>
      <c r="B9" s="48" t="s">
        <v>17</v>
      </c>
      <c r="C9" s="48">
        <v>13</v>
      </c>
      <c r="D9" s="49" t="s">
        <v>18</v>
      </c>
      <c r="E9" s="49" t="s">
        <v>19</v>
      </c>
      <c r="F9" s="61">
        <v>44638</v>
      </c>
      <c r="G9" s="50">
        <v>46464</v>
      </c>
      <c r="H9" s="58">
        <v>1000</v>
      </c>
      <c r="I9" s="51">
        <v>0.05</v>
      </c>
      <c r="J9" s="124">
        <v>2</v>
      </c>
      <c r="K9" s="80">
        <f>PV($I$5/J9,4*J9,-H9*I9/J9,-H9)*$E$5</f>
        <v>21996371.702236526</v>
      </c>
      <c r="L9" s="44">
        <f>IF(K9="","",(G9-$B$5)/360)</f>
        <v>4.0583333333333336</v>
      </c>
      <c r="M9" s="82">
        <f>IF(K9="","",IF(B9="SOV1",0,IF(B9="SOV2",IF(0&lt;C9&lt;=4,0,IF(C9&lt;=10,IF(L9&lt;0.5,0.25%,IF(L9&lt;=2,1,1.6%)),IF(C9&lt;=16,8%,IF(C9&lt;=18,12%)))),IF(OR(B9="FI1",B9="FI2"),IF(L9&lt;0.5,0.25%,IF(L9&lt;=2,1,1.6%)),IF(B9="",IF(11&lt;=C9&lt;=13,8%,IF(C9&gt;13,12%,"No SR")))))))</f>
        <v>1.6E-2</v>
      </c>
      <c r="N9" s="46">
        <f>IF(K9="","",IF(OR(D9="FX FORWARD",D9="FX Swap"),2,IF(D9="Bond",IF(I9&gt;3%,1,2))))</f>
        <v>1</v>
      </c>
    </row>
    <row r="10" spans="1:23" x14ac:dyDescent="0.25">
      <c r="A10" s="10"/>
      <c r="B10" s="10"/>
      <c r="C10" s="10"/>
      <c r="D10" s="10"/>
      <c r="E10" s="10"/>
      <c r="F10" s="10"/>
      <c r="G10" s="10"/>
      <c r="H10" s="10"/>
      <c r="I10" s="10"/>
      <c r="J10" s="10"/>
      <c r="K10" s="10"/>
      <c r="L10" s="10"/>
      <c r="M10" s="10"/>
      <c r="N10" s="10"/>
    </row>
    <row r="11" spans="1:23" x14ac:dyDescent="0.25">
      <c r="A11" s="10"/>
      <c r="B11" s="10"/>
      <c r="C11" s="10"/>
      <c r="D11" s="70"/>
      <c r="E11" s="10"/>
      <c r="F11" s="68"/>
      <c r="G11" s="10"/>
      <c r="H11" s="10"/>
      <c r="I11" s="10"/>
      <c r="J11" s="10"/>
      <c r="K11" s="68"/>
      <c r="L11" s="10"/>
      <c r="M11" s="10"/>
      <c r="N11" s="10"/>
    </row>
    <row r="12" spans="1:23" x14ac:dyDescent="0.25">
      <c r="A12" s="10"/>
      <c r="B12" s="10"/>
      <c r="C12" s="10"/>
      <c r="D12" s="10"/>
      <c r="E12" s="10"/>
      <c r="F12" s="10"/>
      <c r="G12" s="10"/>
      <c r="H12" s="10"/>
      <c r="I12" s="10"/>
      <c r="J12" s="10"/>
      <c r="K12" s="10"/>
      <c r="L12" s="10"/>
      <c r="M12" s="10"/>
      <c r="N12" s="10"/>
    </row>
    <row r="13" spans="1:23" x14ac:dyDescent="0.25">
      <c r="A13" s="10"/>
      <c r="B13" s="10"/>
      <c r="C13" s="72"/>
      <c r="D13" s="70"/>
      <c r="E13" s="125"/>
      <c r="F13" s="10"/>
      <c r="G13" s="10"/>
      <c r="H13" s="10"/>
      <c r="I13" s="10"/>
      <c r="J13" s="10"/>
      <c r="K13" s="10"/>
      <c r="L13" s="10"/>
      <c r="M13" s="10"/>
      <c r="N13" s="10"/>
    </row>
    <row r="14" spans="1:23" x14ac:dyDescent="0.25">
      <c r="A14" s="10"/>
      <c r="B14" s="10"/>
      <c r="C14" s="72"/>
      <c r="D14" s="71"/>
      <c r="E14" s="10"/>
      <c r="F14" s="81"/>
      <c r="G14" s="10"/>
      <c r="H14" s="10"/>
      <c r="I14" s="10"/>
      <c r="J14" s="10"/>
      <c r="K14" s="10"/>
      <c r="L14" s="10"/>
      <c r="M14" s="10"/>
      <c r="N14" s="10"/>
    </row>
    <row r="15" spans="1:23" x14ac:dyDescent="0.25">
      <c r="A15" s="10"/>
      <c r="B15" s="10"/>
      <c r="C15" s="10"/>
      <c r="D15" s="10"/>
      <c r="E15" s="10"/>
      <c r="F15" s="10"/>
      <c r="G15" s="10"/>
      <c r="H15" s="10"/>
      <c r="I15" s="10"/>
      <c r="J15" s="10"/>
      <c r="K15" s="10"/>
      <c r="L15" s="10"/>
      <c r="M15" s="10"/>
      <c r="N15" s="10"/>
    </row>
    <row r="16" spans="1:23" x14ac:dyDescent="0.25">
      <c r="A16" s="10"/>
      <c r="B16" s="10"/>
      <c r="C16" s="10"/>
      <c r="D16" s="10"/>
      <c r="E16" s="10"/>
      <c r="F16" s="10"/>
      <c r="G16" s="10"/>
      <c r="H16" s="10"/>
      <c r="I16" s="10"/>
      <c r="J16" s="10"/>
      <c r="K16" s="10"/>
      <c r="L16" s="10"/>
      <c r="M16" s="10"/>
      <c r="N16" s="10"/>
    </row>
    <row r="17" spans="1:14" x14ac:dyDescent="0.25">
      <c r="A17" s="10"/>
      <c r="B17" s="10"/>
      <c r="C17" s="10"/>
      <c r="D17" s="10"/>
      <c r="E17" s="10"/>
      <c r="F17" s="10"/>
      <c r="G17" s="10"/>
      <c r="H17" s="10"/>
      <c r="I17" s="10"/>
      <c r="J17" s="10"/>
      <c r="K17" s="10"/>
      <c r="L17" s="10"/>
      <c r="M17" s="10"/>
      <c r="N17" s="10"/>
    </row>
    <row r="18" spans="1:14" x14ac:dyDescent="0.25">
      <c r="A18" s="10"/>
      <c r="B18" s="10"/>
      <c r="C18" s="10"/>
      <c r="D18" s="10"/>
      <c r="E18" s="10"/>
      <c r="F18" s="10"/>
      <c r="G18" s="10"/>
      <c r="H18" s="10"/>
      <c r="I18" s="10"/>
      <c r="J18" s="10"/>
      <c r="K18" s="10"/>
      <c r="L18" s="10"/>
      <c r="M18" s="10"/>
      <c r="N18" s="10"/>
    </row>
    <row r="19" spans="1:14" x14ac:dyDescent="0.25">
      <c r="A19" s="10"/>
      <c r="B19" s="10"/>
      <c r="C19" s="10"/>
      <c r="D19" s="10"/>
      <c r="E19" s="10"/>
      <c r="F19" s="10"/>
      <c r="G19" s="10"/>
      <c r="H19" s="10"/>
      <c r="I19" s="10"/>
      <c r="J19" s="10"/>
      <c r="K19" s="10"/>
      <c r="L19" s="10"/>
      <c r="M19" s="10"/>
      <c r="N19" s="10"/>
    </row>
    <row r="20" spans="1:14" x14ac:dyDescent="0.25">
      <c r="A20" s="10"/>
      <c r="B20" s="10"/>
      <c r="C20" s="10"/>
      <c r="D20" s="10"/>
      <c r="E20" s="10"/>
      <c r="F20" s="10"/>
      <c r="G20" s="10"/>
      <c r="H20" s="10"/>
      <c r="I20" s="10"/>
      <c r="J20" s="10"/>
      <c r="K20" s="10"/>
      <c r="L20" s="10"/>
      <c r="M20" s="10"/>
      <c r="N20" s="10"/>
    </row>
    <row r="21" spans="1:14" x14ac:dyDescent="0.25">
      <c r="A21" s="10"/>
      <c r="B21" s="10"/>
      <c r="C21" s="10"/>
      <c r="D21" s="10"/>
      <c r="E21" s="10"/>
      <c r="F21" s="10"/>
      <c r="G21" s="10"/>
      <c r="H21" s="10"/>
      <c r="I21" s="10"/>
      <c r="J21" s="10"/>
      <c r="K21" s="10"/>
      <c r="L21" s="10"/>
      <c r="M21" s="10"/>
      <c r="N21" s="10"/>
    </row>
    <row r="22" spans="1:14" x14ac:dyDescent="0.25">
      <c r="A22" s="10"/>
      <c r="B22" s="10"/>
      <c r="C22" s="10"/>
      <c r="D22" s="10"/>
      <c r="E22" s="10"/>
      <c r="F22" s="10"/>
      <c r="G22" s="10"/>
      <c r="H22" s="10"/>
      <c r="I22" s="10"/>
      <c r="J22" s="10"/>
      <c r="K22" s="10"/>
      <c r="L22" s="10"/>
      <c r="M22" s="10"/>
      <c r="N22" s="10"/>
    </row>
    <row r="23" spans="1:14" x14ac:dyDescent="0.25">
      <c r="A23" s="10"/>
      <c r="B23" s="10"/>
      <c r="C23" s="10"/>
      <c r="D23" s="10"/>
      <c r="E23" s="10"/>
      <c r="F23" s="10"/>
      <c r="G23" s="10"/>
      <c r="H23" s="10"/>
      <c r="I23" s="10"/>
      <c r="J23" s="10"/>
      <c r="K23" s="10"/>
      <c r="L23" s="10"/>
      <c r="M23" s="10"/>
      <c r="N23" s="10"/>
    </row>
    <row r="24" spans="1:14" x14ac:dyDescent="0.25">
      <c r="A24" s="10"/>
      <c r="B24" s="10"/>
      <c r="C24" s="10"/>
      <c r="D24" s="10"/>
      <c r="E24" s="10"/>
      <c r="F24" s="10"/>
      <c r="G24" s="10"/>
      <c r="H24" s="10"/>
      <c r="I24" s="10"/>
      <c r="J24" s="10"/>
      <c r="K24" s="10"/>
      <c r="L24" s="10"/>
      <c r="M24" s="10"/>
      <c r="N24" s="10"/>
    </row>
    <row r="25" spans="1:14" x14ac:dyDescent="0.25">
      <c r="A25" s="10"/>
      <c r="B25" s="10"/>
      <c r="C25" s="10"/>
      <c r="D25" s="10"/>
      <c r="E25" s="10"/>
      <c r="F25" s="10"/>
      <c r="G25" s="10"/>
      <c r="H25" s="10"/>
      <c r="I25" s="10"/>
      <c r="J25" s="10"/>
      <c r="K25" s="10"/>
      <c r="L25" s="10"/>
      <c r="M25" s="10"/>
      <c r="N25" s="10"/>
    </row>
    <row r="26" spans="1:14" x14ac:dyDescent="0.25">
      <c r="A26" s="10"/>
      <c r="B26" s="10"/>
      <c r="C26" s="10"/>
      <c r="D26" s="10"/>
      <c r="E26" s="10"/>
      <c r="F26" s="10"/>
      <c r="G26" s="10"/>
      <c r="H26" s="10"/>
      <c r="I26" s="10"/>
      <c r="J26" s="10"/>
      <c r="K26" s="10"/>
      <c r="L26" s="10"/>
      <c r="M26" s="10"/>
      <c r="N26" s="10"/>
    </row>
    <row r="27" spans="1:14" x14ac:dyDescent="0.25">
      <c r="A27" s="10"/>
      <c r="B27" s="10"/>
      <c r="C27" s="10"/>
      <c r="D27" s="10"/>
      <c r="E27" s="10"/>
      <c r="F27" s="10"/>
      <c r="G27" s="10"/>
      <c r="H27" s="10"/>
      <c r="I27" s="10"/>
      <c r="J27" s="10"/>
      <c r="K27" s="10"/>
      <c r="L27" s="10"/>
      <c r="M27" s="10"/>
      <c r="N27" s="10"/>
    </row>
    <row r="28" spans="1:14" x14ac:dyDescent="0.25">
      <c r="A28" s="10"/>
      <c r="B28" s="10"/>
      <c r="C28" s="10"/>
      <c r="D28" s="10"/>
      <c r="E28" s="10"/>
      <c r="F28" s="10"/>
      <c r="G28" s="10"/>
      <c r="H28" s="10"/>
      <c r="I28" s="10"/>
      <c r="J28" s="10"/>
      <c r="K28" s="10"/>
      <c r="L28" s="10"/>
      <c r="M28" s="10"/>
      <c r="N28" s="10"/>
    </row>
    <row r="29" spans="1:14" x14ac:dyDescent="0.25">
      <c r="A29" s="10"/>
      <c r="B29" s="10"/>
      <c r="C29" s="10"/>
      <c r="D29" s="10"/>
      <c r="E29" s="10"/>
      <c r="F29" s="10"/>
      <c r="G29" s="10"/>
      <c r="H29" s="10"/>
      <c r="I29" s="10"/>
      <c r="J29" s="10"/>
      <c r="K29" s="10"/>
      <c r="L29" s="10"/>
      <c r="M29" s="10"/>
      <c r="N29" s="10"/>
    </row>
    <row r="30" spans="1:14" x14ac:dyDescent="0.25">
      <c r="A30" s="10"/>
      <c r="B30" s="10"/>
      <c r="C30" s="10"/>
      <c r="D30" s="10"/>
      <c r="E30" s="10"/>
      <c r="F30" s="10"/>
      <c r="G30" s="10"/>
      <c r="H30" s="10"/>
      <c r="I30" s="10"/>
      <c r="J30" s="10"/>
      <c r="K30" s="10"/>
      <c r="L30" s="10"/>
      <c r="M30" s="10"/>
      <c r="N30" s="10"/>
    </row>
    <row r="31" spans="1:14" x14ac:dyDescent="0.25">
      <c r="A31" s="10"/>
      <c r="B31" s="10"/>
      <c r="C31" s="10"/>
      <c r="D31" s="10"/>
      <c r="E31" s="10"/>
      <c r="F31" s="10"/>
      <c r="G31" s="10"/>
      <c r="H31" s="10"/>
      <c r="I31" s="10"/>
      <c r="J31" s="10"/>
      <c r="K31" s="10"/>
      <c r="L31" s="10"/>
      <c r="M31" s="10"/>
      <c r="N31" s="10"/>
    </row>
    <row r="32" spans="1:14" x14ac:dyDescent="0.25">
      <c r="A32" s="10"/>
      <c r="B32" s="10"/>
      <c r="C32" s="10"/>
      <c r="D32" s="10"/>
      <c r="E32" s="10"/>
      <c r="F32" s="10"/>
      <c r="G32" s="10"/>
      <c r="H32" s="10"/>
      <c r="I32" s="10"/>
      <c r="J32" s="10"/>
      <c r="K32" s="10"/>
      <c r="L32" s="10"/>
      <c r="M32" s="10"/>
      <c r="N32" s="10"/>
    </row>
    <row r="33" spans="1:14" x14ac:dyDescent="0.25">
      <c r="A33" s="10"/>
      <c r="B33" s="10"/>
      <c r="C33" s="10"/>
      <c r="D33" s="10"/>
      <c r="E33" s="10"/>
      <c r="F33" s="10"/>
      <c r="G33" s="10"/>
      <c r="H33" s="10"/>
      <c r="I33" s="10"/>
      <c r="J33" s="10"/>
      <c r="K33" s="10"/>
      <c r="L33" s="10"/>
      <c r="M33" s="10"/>
      <c r="N33" s="10"/>
    </row>
    <row r="34" spans="1:14" x14ac:dyDescent="0.25">
      <c r="A34" s="10"/>
      <c r="B34" s="10"/>
      <c r="C34" s="10"/>
      <c r="D34" s="10"/>
      <c r="E34" s="10"/>
      <c r="F34" s="10"/>
      <c r="G34" s="10"/>
      <c r="H34" s="10"/>
      <c r="I34" s="10"/>
      <c r="J34" s="10"/>
      <c r="K34" s="10"/>
      <c r="L34" s="10"/>
      <c r="M34" s="10"/>
      <c r="N34" s="10"/>
    </row>
    <row r="35" spans="1:14" x14ac:dyDescent="0.25">
      <c r="A35" s="10"/>
      <c r="B35" s="10"/>
      <c r="C35" s="10"/>
      <c r="D35" s="10"/>
      <c r="E35" s="10"/>
      <c r="F35" s="10"/>
      <c r="G35" s="10"/>
      <c r="H35" s="10"/>
      <c r="I35" s="10"/>
      <c r="J35" s="10"/>
      <c r="K35" s="10"/>
      <c r="L35" s="10"/>
      <c r="M35" s="10"/>
      <c r="N35" s="10"/>
    </row>
    <row r="36" spans="1:14" x14ac:dyDescent="0.25">
      <c r="A36" s="10"/>
      <c r="B36" s="10"/>
      <c r="C36" s="10"/>
      <c r="D36" s="10"/>
      <c r="E36" s="10"/>
      <c r="F36" s="10"/>
      <c r="G36" s="10"/>
      <c r="H36" s="10"/>
      <c r="I36" s="10"/>
      <c r="J36" s="10"/>
      <c r="K36" s="10"/>
      <c r="L36" s="10"/>
      <c r="M36" s="10"/>
      <c r="N36" s="10"/>
    </row>
    <row r="37" spans="1:14" x14ac:dyDescent="0.25">
      <c r="A37" s="10"/>
      <c r="B37" s="10"/>
      <c r="C37" s="10"/>
      <c r="D37" s="10"/>
      <c r="E37" s="10"/>
      <c r="F37" s="10"/>
      <c r="G37" s="10"/>
      <c r="H37" s="10"/>
      <c r="I37" s="10"/>
      <c r="J37" s="10"/>
      <c r="K37" s="10"/>
      <c r="L37" s="10"/>
      <c r="M37" s="10"/>
      <c r="N37" s="10"/>
    </row>
    <row r="38" spans="1:14" x14ac:dyDescent="0.25">
      <c r="A38" s="10"/>
      <c r="B38" s="10"/>
      <c r="C38" s="10"/>
      <c r="D38" s="10"/>
      <c r="E38" s="10"/>
      <c r="F38" s="10"/>
      <c r="G38" s="10"/>
      <c r="H38" s="10"/>
      <c r="I38" s="10"/>
      <c r="J38" s="10"/>
      <c r="K38" s="10"/>
      <c r="L38" s="10"/>
      <c r="M38" s="10"/>
      <c r="N38" s="10"/>
    </row>
    <row r="39" spans="1:14" x14ac:dyDescent="0.25">
      <c r="A39" s="10"/>
      <c r="B39" s="10"/>
      <c r="C39" s="10"/>
      <c r="D39" s="10"/>
      <c r="E39" s="10"/>
      <c r="F39" s="10"/>
      <c r="G39" s="10"/>
      <c r="H39" s="10"/>
      <c r="I39" s="10"/>
      <c r="J39" s="10"/>
      <c r="K39" s="10"/>
      <c r="L39" s="10"/>
      <c r="M39" s="10"/>
      <c r="N39" s="10"/>
    </row>
    <row r="40" spans="1:14" x14ac:dyDescent="0.25">
      <c r="A40" s="10"/>
      <c r="B40" s="10"/>
      <c r="C40" s="10"/>
      <c r="D40" s="10"/>
      <c r="E40" s="10"/>
      <c r="F40" s="10"/>
      <c r="G40" s="10"/>
      <c r="H40" s="10"/>
      <c r="I40" s="10"/>
      <c r="J40" s="10"/>
      <c r="K40" s="10"/>
      <c r="L40" s="10"/>
      <c r="M40" s="10"/>
      <c r="N40" s="10"/>
    </row>
    <row r="41" spans="1:14" x14ac:dyDescent="0.25">
      <c r="A41" s="10"/>
      <c r="B41" s="10"/>
      <c r="C41" s="10"/>
      <c r="D41" s="10"/>
      <c r="E41" s="10"/>
      <c r="F41" s="10"/>
      <c r="G41" s="10"/>
      <c r="H41" s="10"/>
      <c r="I41" s="10"/>
      <c r="J41" s="10"/>
      <c r="K41" s="10"/>
      <c r="L41" s="10"/>
      <c r="M41" s="10"/>
      <c r="N41" s="10"/>
    </row>
    <row r="42" spans="1:14" x14ac:dyDescent="0.25">
      <c r="A42" s="10"/>
      <c r="B42" s="10"/>
      <c r="C42" s="10"/>
      <c r="D42" s="10"/>
      <c r="E42" s="10"/>
      <c r="F42" s="10"/>
      <c r="G42" s="10"/>
      <c r="H42" s="10"/>
      <c r="I42" s="10"/>
      <c r="J42" s="10"/>
      <c r="K42" s="10"/>
      <c r="L42" s="10"/>
      <c r="M42" s="10"/>
      <c r="N42" s="10"/>
    </row>
    <row r="43" spans="1:14" x14ac:dyDescent="0.25">
      <c r="A43" s="10"/>
      <c r="B43" s="10"/>
      <c r="C43" s="10"/>
      <c r="D43" s="10"/>
      <c r="E43" s="10"/>
      <c r="F43" s="10"/>
      <c r="G43" s="10"/>
      <c r="H43" s="10"/>
      <c r="I43" s="10"/>
      <c r="J43" s="10"/>
      <c r="K43" s="10"/>
      <c r="L43" s="10"/>
      <c r="M43" s="10"/>
      <c r="N43" s="10"/>
    </row>
    <row r="44" spans="1:14" x14ac:dyDescent="0.25">
      <c r="A44" s="10"/>
      <c r="B44" s="10"/>
      <c r="C44" s="10"/>
      <c r="D44" s="10"/>
      <c r="E44" s="10"/>
      <c r="F44" s="10"/>
      <c r="G44" s="10"/>
      <c r="H44" s="10"/>
      <c r="I44" s="10"/>
      <c r="J44" s="10"/>
      <c r="K44" s="10"/>
      <c r="L44" s="10"/>
      <c r="M44" s="10"/>
      <c r="N44" s="10"/>
    </row>
    <row r="45" spans="1:14" x14ac:dyDescent="0.25">
      <c r="A45" s="10"/>
      <c r="B45" s="10"/>
      <c r="C45" s="10"/>
      <c r="D45" s="10"/>
      <c r="E45" s="10"/>
      <c r="F45" s="10"/>
      <c r="G45" s="10"/>
      <c r="H45" s="10"/>
      <c r="I45" s="10"/>
      <c r="J45" s="10"/>
      <c r="K45" s="10"/>
      <c r="L45" s="10"/>
      <c r="M45" s="10"/>
      <c r="N45" s="10"/>
    </row>
    <row r="46" spans="1:14" x14ac:dyDescent="0.25">
      <c r="A46" s="10"/>
      <c r="B46" s="10"/>
      <c r="C46" s="10"/>
      <c r="D46" s="10"/>
      <c r="E46" s="10"/>
      <c r="F46" s="10"/>
      <c r="G46" s="10"/>
      <c r="H46" s="10"/>
      <c r="I46" s="10"/>
      <c r="J46" s="10"/>
      <c r="K46" s="10"/>
      <c r="L46" s="10"/>
      <c r="M46" s="10"/>
      <c r="N46" s="10"/>
    </row>
    <row r="47" spans="1:14" x14ac:dyDescent="0.25">
      <c r="A47" s="10"/>
      <c r="B47" s="10"/>
      <c r="C47" s="10"/>
      <c r="D47" s="10"/>
      <c r="E47" s="10"/>
      <c r="F47" s="10"/>
      <c r="G47" s="10"/>
      <c r="H47" s="10"/>
      <c r="I47" s="10"/>
      <c r="J47" s="10"/>
      <c r="K47" s="10"/>
      <c r="L47" s="10"/>
      <c r="M47" s="10"/>
      <c r="N47" s="10"/>
    </row>
    <row r="48" spans="1:14" x14ac:dyDescent="0.25">
      <c r="A48" s="10"/>
      <c r="B48" s="10"/>
      <c r="C48" s="10"/>
      <c r="D48" s="10"/>
      <c r="E48" s="10"/>
      <c r="F48" s="10"/>
      <c r="G48" s="10"/>
      <c r="H48" s="10"/>
      <c r="I48" s="10"/>
      <c r="J48" s="10"/>
      <c r="K48" s="10"/>
      <c r="L48" s="10"/>
      <c r="M48" s="10"/>
      <c r="N48" s="10"/>
    </row>
    <row r="49" spans="1:14" x14ac:dyDescent="0.25">
      <c r="A49" s="10"/>
      <c r="B49" s="10"/>
      <c r="C49" s="10"/>
      <c r="D49" s="10"/>
      <c r="E49" s="10"/>
      <c r="F49" s="10"/>
      <c r="G49" s="10"/>
      <c r="H49" s="10"/>
      <c r="I49" s="10"/>
      <c r="J49" s="10"/>
      <c r="K49" s="10"/>
      <c r="L49" s="10"/>
      <c r="M49" s="10"/>
      <c r="N49" s="10"/>
    </row>
    <row r="50" spans="1:14" x14ac:dyDescent="0.25">
      <c r="A50" s="10"/>
      <c r="B50" s="10"/>
      <c r="C50" s="10"/>
      <c r="D50" s="10"/>
      <c r="E50" s="10"/>
      <c r="F50" s="10"/>
      <c r="G50" s="10"/>
      <c r="H50" s="10"/>
      <c r="I50" s="10"/>
      <c r="J50" s="10"/>
      <c r="K50" s="10"/>
      <c r="L50" s="10"/>
      <c r="M50" s="10"/>
      <c r="N50" s="10"/>
    </row>
    <row r="51" spans="1:14" x14ac:dyDescent="0.25">
      <c r="A51" s="10"/>
      <c r="B51" s="10"/>
      <c r="C51" s="10"/>
      <c r="D51" s="10"/>
      <c r="E51" s="10"/>
      <c r="F51" s="10"/>
      <c r="G51" s="10"/>
      <c r="H51" s="10"/>
      <c r="I51" s="10"/>
      <c r="J51" s="10"/>
      <c r="K51" s="10"/>
      <c r="L51" s="10"/>
      <c r="M51" s="10"/>
      <c r="N51" s="10"/>
    </row>
    <row r="52" spans="1:14" x14ac:dyDescent="0.25">
      <c r="A52" s="10"/>
      <c r="B52" s="10"/>
      <c r="C52" s="10"/>
      <c r="D52" s="10"/>
      <c r="E52" s="10"/>
      <c r="F52" s="10"/>
      <c r="G52" s="10"/>
      <c r="H52" s="10"/>
      <c r="I52" s="10"/>
      <c r="J52" s="10"/>
      <c r="K52" s="10"/>
      <c r="L52" s="10"/>
      <c r="M52" s="10"/>
      <c r="N52" s="10"/>
    </row>
    <row r="53" spans="1:14" x14ac:dyDescent="0.25">
      <c r="A53" s="10"/>
      <c r="B53" s="10"/>
      <c r="C53" s="10"/>
      <c r="D53" s="10"/>
      <c r="E53" s="10"/>
      <c r="F53" s="10"/>
      <c r="G53" s="10"/>
      <c r="H53" s="10"/>
      <c r="I53" s="10"/>
      <c r="J53" s="10"/>
      <c r="K53" s="10"/>
      <c r="L53" s="10"/>
      <c r="M53" s="10"/>
      <c r="N53" s="10"/>
    </row>
    <row r="54" spans="1:14" x14ac:dyDescent="0.25">
      <c r="A54" s="10"/>
      <c r="B54" s="10"/>
      <c r="C54" s="10"/>
      <c r="D54" s="10"/>
      <c r="E54" s="10"/>
      <c r="F54" s="10"/>
      <c r="G54" s="10"/>
      <c r="H54" s="10"/>
      <c r="I54" s="10"/>
      <c r="J54" s="10"/>
      <c r="K54" s="10"/>
      <c r="L54" s="10"/>
      <c r="M54" s="10"/>
      <c r="N54" s="10"/>
    </row>
    <row r="55" spans="1:14" x14ac:dyDescent="0.25">
      <c r="A55" s="10"/>
      <c r="B55" s="10"/>
      <c r="C55" s="10"/>
      <c r="D55" s="10"/>
      <c r="E55" s="10"/>
      <c r="F55" s="10"/>
      <c r="G55" s="10"/>
      <c r="H55" s="10"/>
      <c r="I55" s="10"/>
      <c r="J55" s="10"/>
      <c r="K55" s="10"/>
      <c r="L55" s="10"/>
      <c r="M55" s="10"/>
      <c r="N55" s="10"/>
    </row>
    <row r="56" spans="1:14" x14ac:dyDescent="0.25">
      <c r="A56" s="10"/>
      <c r="B56" s="10"/>
      <c r="C56" s="10"/>
      <c r="D56" s="10"/>
      <c r="E56" s="10"/>
      <c r="F56" s="10"/>
      <c r="G56" s="10"/>
      <c r="H56" s="10"/>
      <c r="I56" s="10"/>
      <c r="J56" s="10"/>
      <c r="K56" s="10"/>
      <c r="L56" s="10"/>
      <c r="M56" s="10"/>
      <c r="N56" s="10"/>
    </row>
    <row r="57" spans="1:14" x14ac:dyDescent="0.25">
      <c r="A57" s="10"/>
      <c r="B57" s="10"/>
      <c r="C57" s="10"/>
      <c r="D57" s="10"/>
      <c r="E57" s="10"/>
      <c r="F57" s="10"/>
      <c r="G57" s="10"/>
      <c r="H57" s="10"/>
      <c r="I57" s="10"/>
      <c r="J57" s="10"/>
      <c r="K57" s="10"/>
      <c r="L57" s="10"/>
      <c r="M57" s="10"/>
      <c r="N57" s="10"/>
    </row>
    <row r="58" spans="1:14" x14ac:dyDescent="0.25">
      <c r="A58" s="10"/>
      <c r="B58" s="10"/>
      <c r="C58" s="10"/>
      <c r="D58" s="10"/>
      <c r="E58" s="10"/>
      <c r="F58" s="10"/>
      <c r="G58" s="10"/>
      <c r="H58" s="10"/>
      <c r="I58" s="10"/>
      <c r="J58" s="10"/>
      <c r="K58" s="10"/>
      <c r="L58" s="10"/>
      <c r="M58" s="10"/>
      <c r="N58" s="10"/>
    </row>
    <row r="59" spans="1:14" x14ac:dyDescent="0.25">
      <c r="A59" s="10"/>
      <c r="B59" s="10"/>
      <c r="C59" s="10"/>
      <c r="D59" s="10"/>
      <c r="E59" s="10"/>
      <c r="F59" s="10"/>
      <c r="G59" s="10"/>
      <c r="H59" s="10"/>
      <c r="I59" s="10"/>
      <c r="J59" s="10"/>
      <c r="K59" s="10"/>
      <c r="L59" s="10"/>
      <c r="M59" s="10"/>
      <c r="N59" s="10"/>
    </row>
    <row r="60" spans="1:14" x14ac:dyDescent="0.25">
      <c r="A60" s="10"/>
      <c r="B60" s="10"/>
      <c r="C60" s="10"/>
      <c r="D60" s="10"/>
      <c r="E60" s="10"/>
      <c r="F60" s="10"/>
      <c r="G60" s="10"/>
      <c r="H60" s="10"/>
      <c r="I60" s="10"/>
      <c r="J60" s="10"/>
      <c r="K60" s="10"/>
      <c r="L60" s="10"/>
      <c r="M60" s="10"/>
      <c r="N60" s="10"/>
    </row>
    <row r="61" spans="1:14" x14ac:dyDescent="0.25">
      <c r="A61" s="10"/>
      <c r="B61" s="10"/>
      <c r="C61" s="10"/>
      <c r="D61" s="10"/>
      <c r="E61" s="10"/>
      <c r="F61" s="10"/>
      <c r="G61" s="10"/>
      <c r="H61" s="10"/>
      <c r="I61" s="10"/>
      <c r="J61" s="10"/>
      <c r="K61" s="10"/>
      <c r="L61" s="10"/>
      <c r="M61" s="10"/>
      <c r="N61" s="10"/>
    </row>
    <row r="62" spans="1:14" x14ac:dyDescent="0.25">
      <c r="A62" s="10"/>
      <c r="B62" s="10"/>
      <c r="C62" s="10"/>
      <c r="D62" s="10"/>
      <c r="E62" s="10"/>
      <c r="F62" s="10"/>
      <c r="G62" s="10"/>
      <c r="H62" s="10"/>
      <c r="I62" s="10"/>
      <c r="J62" s="10"/>
      <c r="K62" s="10"/>
      <c r="L62" s="10"/>
      <c r="M62" s="10"/>
      <c r="N62" s="10"/>
    </row>
    <row r="63" spans="1:14" x14ac:dyDescent="0.25">
      <c r="A63" s="10"/>
      <c r="B63" s="10"/>
      <c r="C63" s="10"/>
      <c r="D63" s="10"/>
      <c r="E63" s="10"/>
      <c r="F63" s="10"/>
      <c r="G63" s="10"/>
      <c r="H63" s="10"/>
      <c r="I63" s="10"/>
      <c r="J63" s="10"/>
      <c r="K63" s="10"/>
      <c r="L63" s="10"/>
      <c r="M63" s="10"/>
      <c r="N63" s="10"/>
    </row>
    <row r="64" spans="1:14" x14ac:dyDescent="0.25">
      <c r="A64" s="10"/>
      <c r="B64" s="10"/>
      <c r="C64" s="10"/>
      <c r="D64" s="10"/>
      <c r="E64" s="10"/>
      <c r="F64" s="10"/>
      <c r="G64" s="10"/>
      <c r="H64" s="10"/>
      <c r="I64" s="10"/>
      <c r="J64" s="10"/>
      <c r="K64" s="10"/>
      <c r="L64" s="10"/>
      <c r="M64" s="10"/>
      <c r="N64" s="10"/>
    </row>
    <row r="65" spans="1:14" x14ac:dyDescent="0.25">
      <c r="A65" s="10"/>
      <c r="B65" s="10"/>
      <c r="C65" s="10"/>
      <c r="D65" s="10"/>
      <c r="E65" s="10"/>
      <c r="F65" s="10"/>
      <c r="G65" s="10"/>
      <c r="H65" s="10"/>
      <c r="I65" s="10"/>
      <c r="J65" s="10"/>
      <c r="K65" s="10"/>
      <c r="L65" s="10"/>
      <c r="M65" s="10"/>
      <c r="N65" s="10"/>
    </row>
    <row r="66" spans="1:14" x14ac:dyDescent="0.25">
      <c r="A66" s="10"/>
      <c r="B66" s="10"/>
      <c r="C66" s="10"/>
      <c r="D66" s="10"/>
      <c r="E66" s="10"/>
      <c r="F66" s="10"/>
      <c r="G66" s="10"/>
      <c r="H66" s="10"/>
      <c r="I66" s="10"/>
      <c r="J66" s="10"/>
      <c r="K66" s="10"/>
      <c r="L66" s="10"/>
      <c r="M66" s="10"/>
      <c r="N66" s="10"/>
    </row>
    <row r="67" spans="1:14" x14ac:dyDescent="0.25">
      <c r="A67" s="10"/>
      <c r="B67" s="10"/>
      <c r="C67" s="10"/>
      <c r="D67" s="10"/>
      <c r="E67" s="10"/>
      <c r="F67" s="10"/>
      <c r="G67" s="10"/>
      <c r="H67" s="10"/>
      <c r="I67" s="10"/>
      <c r="J67" s="10"/>
      <c r="K67" s="10"/>
      <c r="L67" s="10"/>
      <c r="M67" s="10"/>
      <c r="N67" s="10"/>
    </row>
    <row r="68" spans="1:14" x14ac:dyDescent="0.25">
      <c r="A68" s="10"/>
      <c r="B68" s="10"/>
      <c r="C68" s="10"/>
      <c r="D68" s="10"/>
      <c r="E68" s="10"/>
      <c r="F68" s="10"/>
      <c r="G68" s="10"/>
      <c r="H68" s="10"/>
      <c r="I68" s="10"/>
      <c r="J68" s="10"/>
      <c r="K68" s="10"/>
      <c r="L68" s="10"/>
      <c r="M68" s="10"/>
      <c r="N68" s="10"/>
    </row>
    <row r="69" spans="1:14" x14ac:dyDescent="0.25">
      <c r="A69" s="10"/>
      <c r="B69" s="10"/>
      <c r="C69" s="10"/>
      <c r="D69" s="10"/>
      <c r="E69" s="10"/>
      <c r="F69" s="10"/>
      <c r="G69" s="10"/>
      <c r="H69" s="10"/>
      <c r="I69" s="10"/>
      <c r="J69" s="10"/>
      <c r="K69" s="10"/>
      <c r="L69" s="10"/>
      <c r="M69" s="10"/>
      <c r="N69" s="10"/>
    </row>
    <row r="70" spans="1:14" x14ac:dyDescent="0.25">
      <c r="A70" s="10"/>
      <c r="B70" s="10"/>
      <c r="C70" s="10"/>
      <c r="D70" s="10"/>
      <c r="E70" s="10"/>
      <c r="F70" s="10"/>
      <c r="G70" s="10"/>
      <c r="H70" s="10"/>
      <c r="I70" s="10"/>
      <c r="J70" s="10"/>
      <c r="K70" s="10"/>
      <c r="L70" s="10"/>
      <c r="M70" s="10"/>
      <c r="N70" s="10"/>
    </row>
    <row r="71" spans="1:14" x14ac:dyDescent="0.25">
      <c r="A71" s="10"/>
      <c r="B71" s="10"/>
      <c r="C71" s="10"/>
      <c r="D71" s="10"/>
      <c r="E71" s="10"/>
      <c r="F71" s="10"/>
      <c r="G71" s="10"/>
      <c r="H71" s="10"/>
      <c r="I71" s="10"/>
      <c r="J71" s="10"/>
      <c r="K71" s="10"/>
      <c r="L71" s="10"/>
      <c r="M71" s="10"/>
      <c r="N71" s="10"/>
    </row>
    <row r="72" spans="1:14" x14ac:dyDescent="0.25">
      <c r="A72" s="10"/>
      <c r="B72" s="10"/>
      <c r="C72" s="10"/>
      <c r="D72" s="10"/>
      <c r="E72" s="10"/>
      <c r="F72" s="10"/>
      <c r="G72" s="10"/>
      <c r="H72" s="10"/>
      <c r="I72" s="10"/>
      <c r="J72" s="10"/>
      <c r="K72" s="10"/>
      <c r="L72" s="10"/>
      <c r="M72" s="10"/>
      <c r="N72" s="10"/>
    </row>
    <row r="73" spans="1:14" x14ac:dyDescent="0.25">
      <c r="A73" s="10"/>
      <c r="B73" s="10"/>
      <c r="C73" s="10"/>
      <c r="D73" s="10"/>
      <c r="E73" s="10"/>
      <c r="F73" s="10"/>
      <c r="G73" s="10"/>
      <c r="H73" s="10"/>
      <c r="I73" s="10"/>
      <c r="J73" s="10"/>
      <c r="K73" s="10"/>
      <c r="L73" s="10"/>
      <c r="M73" s="10"/>
      <c r="N73" s="10"/>
    </row>
    <row r="74" spans="1:14" x14ac:dyDescent="0.25">
      <c r="A74" s="10"/>
      <c r="B74" s="10"/>
      <c r="C74" s="10"/>
      <c r="D74" s="10"/>
      <c r="E74" s="10"/>
      <c r="F74" s="10"/>
      <c r="G74" s="10"/>
      <c r="H74" s="10"/>
      <c r="I74" s="10"/>
      <c r="J74" s="10"/>
      <c r="K74" s="10"/>
      <c r="L74" s="10"/>
      <c r="M74" s="10"/>
      <c r="N74" s="10"/>
    </row>
    <row r="75" spans="1:14" x14ac:dyDescent="0.25">
      <c r="A75" s="10"/>
      <c r="B75" s="10"/>
      <c r="C75" s="10"/>
      <c r="D75" s="10"/>
      <c r="E75" s="10"/>
      <c r="F75" s="10"/>
      <c r="G75" s="10"/>
      <c r="H75" s="10"/>
      <c r="I75" s="10"/>
      <c r="J75" s="10"/>
      <c r="K75" s="10"/>
      <c r="L75" s="10"/>
      <c r="M75" s="10"/>
      <c r="N75" s="10"/>
    </row>
    <row r="76" spans="1:14" x14ac:dyDescent="0.25">
      <c r="A76" s="10"/>
      <c r="B76" s="10"/>
      <c r="C76" s="10"/>
      <c r="D76" s="10"/>
      <c r="E76" s="10"/>
      <c r="F76" s="10"/>
      <c r="G76" s="10"/>
      <c r="H76" s="10"/>
      <c r="I76" s="10"/>
      <c r="J76" s="10"/>
      <c r="K76" s="10"/>
      <c r="L76" s="10"/>
      <c r="M76" s="10"/>
      <c r="N76" s="10"/>
    </row>
    <row r="77" spans="1:14" x14ac:dyDescent="0.25">
      <c r="A77" s="10"/>
      <c r="B77" s="10"/>
      <c r="C77" s="10"/>
      <c r="D77" s="10"/>
      <c r="E77" s="10"/>
      <c r="F77" s="10"/>
      <c r="G77" s="10"/>
      <c r="H77" s="10"/>
      <c r="I77" s="10"/>
      <c r="J77" s="10"/>
      <c r="K77" s="10"/>
      <c r="L77" s="10"/>
      <c r="M77" s="10"/>
      <c r="N77" s="10"/>
    </row>
    <row r="78" spans="1:14" x14ac:dyDescent="0.25">
      <c r="A78" s="10"/>
      <c r="B78" s="10"/>
      <c r="C78" s="10"/>
      <c r="D78" s="10"/>
      <c r="E78" s="10"/>
      <c r="F78" s="10"/>
      <c r="G78" s="10"/>
      <c r="H78" s="10"/>
      <c r="I78" s="10"/>
      <c r="J78" s="10"/>
      <c r="K78" s="10"/>
      <c r="L78" s="10"/>
      <c r="M78" s="10"/>
      <c r="N78" s="10"/>
    </row>
    <row r="79" spans="1:14" x14ac:dyDescent="0.25">
      <c r="A79" s="10"/>
      <c r="B79" s="10"/>
      <c r="C79" s="10"/>
      <c r="D79" s="10"/>
      <c r="E79" s="10"/>
      <c r="F79" s="10"/>
      <c r="G79" s="10"/>
      <c r="H79" s="10"/>
      <c r="I79" s="10"/>
      <c r="J79" s="10"/>
      <c r="K79" s="10"/>
      <c r="L79" s="10"/>
      <c r="M79" s="10"/>
      <c r="N79" s="10"/>
    </row>
    <row r="80" spans="1:14" x14ac:dyDescent="0.25">
      <c r="A80" s="10"/>
      <c r="B80" s="10"/>
      <c r="C80" s="10"/>
      <c r="D80" s="10"/>
      <c r="E80" s="10"/>
      <c r="F80" s="10"/>
      <c r="G80" s="10"/>
      <c r="H80" s="10"/>
      <c r="I80" s="10"/>
      <c r="J80" s="10"/>
      <c r="K80" s="10"/>
      <c r="L80" s="10"/>
      <c r="M80" s="10"/>
      <c r="N80" s="10"/>
    </row>
    <row r="81" spans="1:23" x14ac:dyDescent="0.25">
      <c r="A81" s="10"/>
      <c r="B81" s="10"/>
      <c r="C81" s="10"/>
      <c r="D81" s="10"/>
      <c r="E81" s="10"/>
      <c r="F81" s="10"/>
      <c r="G81" s="10"/>
      <c r="H81" s="10"/>
      <c r="I81" s="10"/>
      <c r="J81" s="10"/>
      <c r="K81" s="10"/>
      <c r="L81" s="10"/>
      <c r="M81" s="10"/>
      <c r="N81" s="10"/>
    </row>
    <row r="82" spans="1:23" x14ac:dyDescent="0.25">
      <c r="A82" s="10"/>
      <c r="B82" s="10"/>
      <c r="C82" s="10"/>
      <c r="D82" s="10"/>
      <c r="E82" s="10"/>
      <c r="F82" s="10"/>
      <c r="G82" s="10"/>
      <c r="H82" s="10"/>
      <c r="I82" s="10"/>
      <c r="J82" s="10"/>
      <c r="K82" s="10"/>
      <c r="L82" s="10"/>
      <c r="M82" s="10"/>
      <c r="N82" s="10"/>
    </row>
    <row r="83" spans="1:23" x14ac:dyDescent="0.25">
      <c r="A83" s="10"/>
      <c r="B83" s="10"/>
      <c r="C83" s="10"/>
      <c r="D83" s="10"/>
      <c r="E83" s="10"/>
      <c r="F83" s="10"/>
      <c r="G83" s="10"/>
      <c r="H83" s="10"/>
      <c r="I83" s="10"/>
      <c r="J83" s="10"/>
      <c r="K83" s="10"/>
      <c r="L83" s="10"/>
      <c r="M83" s="10"/>
      <c r="N83" s="10"/>
    </row>
    <row r="84" spans="1:23" x14ac:dyDescent="0.25">
      <c r="A84" s="10"/>
      <c r="B84" s="10"/>
      <c r="C84" s="10"/>
      <c r="D84" s="10"/>
      <c r="E84" s="10"/>
      <c r="F84" s="10"/>
      <c r="G84" s="10"/>
      <c r="H84" s="10"/>
      <c r="I84" s="10"/>
      <c r="J84" s="10"/>
      <c r="K84" s="10"/>
      <c r="L84" s="10"/>
      <c r="M84" s="10"/>
      <c r="N84" s="10"/>
    </row>
    <row r="85" spans="1:23" x14ac:dyDescent="0.25">
      <c r="O85" s="10"/>
      <c r="P85" s="10"/>
      <c r="Q85" s="10"/>
      <c r="R85" s="10"/>
      <c r="S85" s="10"/>
      <c r="T85" s="10"/>
      <c r="U85" s="10"/>
      <c r="V85" s="10"/>
      <c r="W85" s="10"/>
    </row>
    <row r="86" spans="1:23" x14ac:dyDescent="0.25">
      <c r="A86" s="10"/>
      <c r="B86" s="10"/>
      <c r="C86" s="10"/>
      <c r="D86" s="10"/>
      <c r="E86" s="10"/>
      <c r="F86" s="10"/>
      <c r="G86" s="10"/>
      <c r="H86" s="10"/>
      <c r="I86" s="10"/>
      <c r="J86" s="10"/>
      <c r="K86" s="10"/>
      <c r="L86" s="10"/>
      <c r="M86" s="10"/>
      <c r="N86" s="10"/>
    </row>
    <row r="87" spans="1:23" x14ac:dyDescent="0.25">
      <c r="A87" s="10"/>
      <c r="B87" s="10"/>
      <c r="C87" s="10"/>
      <c r="D87" s="10"/>
      <c r="E87" s="10"/>
      <c r="F87" s="10"/>
      <c r="G87" s="10"/>
      <c r="H87" s="10"/>
      <c r="I87" s="10"/>
      <c r="J87" s="10"/>
      <c r="K87" s="10"/>
      <c r="L87" s="10"/>
      <c r="M87" s="10"/>
      <c r="N87" s="10"/>
    </row>
    <row r="88" spans="1:23" x14ac:dyDescent="0.25">
      <c r="A88" s="10"/>
      <c r="B88" s="10"/>
      <c r="C88" s="10"/>
      <c r="D88" s="10"/>
      <c r="E88" s="10"/>
      <c r="F88" s="10"/>
      <c r="G88" s="10"/>
      <c r="H88" s="10"/>
      <c r="I88" s="10"/>
      <c r="J88" s="10"/>
      <c r="K88" s="10"/>
      <c r="L88" s="10"/>
      <c r="M88" s="10"/>
      <c r="N88" s="10"/>
    </row>
    <row r="89" spans="1:23" x14ac:dyDescent="0.25">
      <c r="A89" s="10"/>
      <c r="B89" s="10"/>
      <c r="C89" s="10"/>
      <c r="D89" s="10"/>
      <c r="E89" s="10"/>
      <c r="F89" s="10"/>
      <c r="G89" s="10"/>
      <c r="H89" s="10"/>
      <c r="I89" s="10"/>
      <c r="J89" s="10"/>
      <c r="K89" s="10"/>
      <c r="L89" s="10"/>
      <c r="M89" s="10"/>
      <c r="N89" s="10"/>
    </row>
    <row r="90" spans="1:23" x14ac:dyDescent="0.25">
      <c r="A90" s="10"/>
      <c r="B90" s="10"/>
      <c r="C90" s="10"/>
      <c r="D90" s="10"/>
      <c r="E90" s="10"/>
      <c r="F90" s="10"/>
      <c r="G90" s="10"/>
      <c r="H90" s="10"/>
      <c r="I90" s="10"/>
      <c r="J90" s="10"/>
      <c r="K90" s="10"/>
      <c r="L90" s="10"/>
      <c r="M90" s="10"/>
      <c r="N90" s="10"/>
    </row>
    <row r="91" spans="1:23" x14ac:dyDescent="0.25">
      <c r="A91" s="10"/>
      <c r="B91" s="45"/>
      <c r="C91" s="10"/>
      <c r="D91" s="10"/>
      <c r="E91" s="10"/>
      <c r="F91" s="10"/>
      <c r="G91" s="10"/>
      <c r="H91" s="10"/>
      <c r="I91" s="10"/>
      <c r="J91" s="10"/>
      <c r="K91" s="10"/>
      <c r="L91" s="10"/>
      <c r="M91" s="10"/>
      <c r="N91" s="10"/>
    </row>
    <row r="92" spans="1:23" x14ac:dyDescent="0.25">
      <c r="A92" s="10"/>
      <c r="B92" s="10"/>
      <c r="C92" s="10"/>
      <c r="D92" s="10"/>
      <c r="E92" s="10"/>
      <c r="F92" s="10"/>
      <c r="G92" s="10"/>
      <c r="H92" s="10"/>
      <c r="I92" s="10"/>
      <c r="J92" s="10"/>
      <c r="K92" s="10"/>
      <c r="L92" s="10"/>
      <c r="M92" s="10"/>
      <c r="N92" s="10"/>
    </row>
    <row r="93" spans="1:23" x14ac:dyDescent="0.25">
      <c r="A93" s="10"/>
      <c r="B93" s="10"/>
      <c r="C93" s="10"/>
      <c r="D93" s="10"/>
      <c r="E93" s="10"/>
      <c r="F93" s="10"/>
      <c r="G93" s="10"/>
      <c r="H93" s="10"/>
      <c r="I93" s="10"/>
      <c r="J93" s="10"/>
      <c r="K93" s="10"/>
      <c r="L93" s="10"/>
      <c r="M93" s="10"/>
      <c r="N93" s="10"/>
    </row>
    <row r="94" spans="1:23" x14ac:dyDescent="0.25">
      <c r="A94" s="10"/>
      <c r="B94" s="10"/>
      <c r="C94" s="10"/>
      <c r="D94" s="10"/>
      <c r="E94" s="10"/>
      <c r="F94" s="10"/>
      <c r="G94" s="10"/>
      <c r="H94" s="10"/>
      <c r="I94" s="10"/>
      <c r="J94" s="10"/>
      <c r="K94" s="10"/>
      <c r="L94" s="10"/>
      <c r="M94" s="10"/>
      <c r="N94" s="10"/>
    </row>
    <row r="95" spans="1:23" x14ac:dyDescent="0.25">
      <c r="A95" s="10"/>
      <c r="B95" s="10"/>
      <c r="C95" s="10"/>
      <c r="D95" s="10"/>
      <c r="E95" s="10"/>
      <c r="F95" s="10"/>
      <c r="G95" s="10"/>
      <c r="H95" s="10"/>
      <c r="I95" s="10"/>
      <c r="J95" s="10"/>
      <c r="K95" s="10"/>
      <c r="L95" s="10"/>
      <c r="M95" s="10"/>
      <c r="N95" s="10"/>
    </row>
    <row r="96" spans="1:23" x14ac:dyDescent="0.25">
      <c r="A96" s="10"/>
      <c r="B96" s="10"/>
      <c r="C96" s="10"/>
      <c r="D96" s="10"/>
      <c r="E96" s="10"/>
      <c r="F96" s="10"/>
      <c r="G96" s="10"/>
      <c r="H96" s="10"/>
      <c r="I96" s="10"/>
      <c r="J96" s="10"/>
      <c r="K96" s="10"/>
      <c r="L96" s="10"/>
      <c r="M96" s="10"/>
      <c r="N96" s="10"/>
    </row>
    <row r="97" spans="1:14" x14ac:dyDescent="0.25">
      <c r="A97" s="10"/>
      <c r="B97" s="10"/>
      <c r="C97" s="10"/>
      <c r="D97" s="10"/>
      <c r="E97" s="10"/>
      <c r="F97" s="10"/>
      <c r="G97" s="10"/>
      <c r="H97" s="10"/>
      <c r="I97" s="10"/>
      <c r="J97" s="10"/>
      <c r="K97" s="10"/>
      <c r="L97" s="10"/>
      <c r="M97" s="10"/>
      <c r="N97" s="10"/>
    </row>
    <row r="98" spans="1:14" x14ac:dyDescent="0.25">
      <c r="A98" s="10"/>
      <c r="B98" s="10"/>
      <c r="C98" s="10"/>
      <c r="D98" s="10"/>
      <c r="E98" s="10"/>
      <c r="F98" s="10"/>
      <c r="G98" s="10"/>
      <c r="H98" s="10"/>
      <c r="I98" s="10"/>
      <c r="J98" s="10"/>
      <c r="K98" s="10"/>
      <c r="L98" s="10"/>
      <c r="M98" s="10"/>
      <c r="N98" s="10"/>
    </row>
    <row r="99" spans="1:14" x14ac:dyDescent="0.25">
      <c r="A99" s="10"/>
      <c r="B99" s="10"/>
      <c r="C99" s="10"/>
      <c r="D99" s="10"/>
      <c r="E99" s="10"/>
      <c r="F99" s="10"/>
      <c r="G99" s="10"/>
      <c r="H99" s="10"/>
      <c r="I99" s="10"/>
      <c r="J99" s="10"/>
      <c r="K99" s="10"/>
      <c r="L99" s="10"/>
      <c r="M99" s="10"/>
      <c r="N99" s="10"/>
    </row>
    <row r="100" spans="1:14" x14ac:dyDescent="0.25">
      <c r="A100" s="10"/>
      <c r="B100" s="10"/>
      <c r="C100" s="10"/>
      <c r="D100" s="10"/>
      <c r="E100" s="10"/>
      <c r="F100" s="10"/>
      <c r="G100" s="10"/>
      <c r="H100" s="10"/>
      <c r="I100" s="10"/>
      <c r="J100" s="10"/>
      <c r="K100" s="10"/>
      <c r="L100" s="10"/>
      <c r="M100" s="10"/>
      <c r="N100" s="10"/>
    </row>
    <row r="101" spans="1:14" x14ac:dyDescent="0.25">
      <c r="A101" s="10"/>
      <c r="B101" s="10"/>
      <c r="C101" s="10"/>
      <c r="D101" s="10"/>
      <c r="E101" s="10"/>
      <c r="F101" s="10"/>
      <c r="G101" s="10"/>
      <c r="H101" s="10"/>
      <c r="I101" s="10"/>
      <c r="J101" s="10"/>
      <c r="K101" s="10"/>
      <c r="L101" s="10"/>
      <c r="M101" s="10"/>
      <c r="N101" s="10"/>
    </row>
    <row r="102" spans="1:14" x14ac:dyDescent="0.25">
      <c r="A102" s="10"/>
      <c r="B102" s="10"/>
      <c r="C102" s="10"/>
      <c r="D102" s="10"/>
      <c r="E102" s="10"/>
      <c r="F102" s="10"/>
      <c r="G102" s="10"/>
      <c r="H102" s="10"/>
      <c r="I102" s="10"/>
      <c r="J102" s="10"/>
      <c r="K102" s="10"/>
      <c r="L102" s="10"/>
      <c r="M102" s="10"/>
      <c r="N102" s="10"/>
    </row>
    <row r="103" spans="1:14" x14ac:dyDescent="0.25">
      <c r="A103" s="10"/>
      <c r="B103" s="10"/>
      <c r="C103" s="10"/>
      <c r="D103" s="10"/>
      <c r="E103" s="10"/>
      <c r="F103" s="10"/>
      <c r="G103" s="10"/>
      <c r="H103" s="10"/>
      <c r="I103" s="10"/>
      <c r="J103" s="10"/>
      <c r="K103" s="10"/>
      <c r="L103" s="10"/>
      <c r="M103" s="10"/>
      <c r="N103" s="10"/>
    </row>
    <row r="104" spans="1:14" x14ac:dyDescent="0.25">
      <c r="A104" s="10"/>
      <c r="B104" s="10"/>
      <c r="C104" s="10"/>
      <c r="D104" s="10"/>
      <c r="E104" s="10"/>
      <c r="F104" s="10"/>
      <c r="G104" s="10"/>
      <c r="H104" s="10"/>
      <c r="I104" s="10"/>
      <c r="J104" s="10"/>
      <c r="K104" s="10"/>
      <c r="L104" s="10"/>
      <c r="M104" s="10"/>
      <c r="N104" s="10"/>
    </row>
    <row r="105" spans="1:14" x14ac:dyDescent="0.25">
      <c r="A105" s="10"/>
      <c r="B105" s="10"/>
      <c r="C105" s="10"/>
      <c r="D105" s="10"/>
      <c r="E105" s="10"/>
      <c r="F105" s="10"/>
      <c r="G105" s="10"/>
      <c r="H105" s="10"/>
      <c r="I105" s="10"/>
      <c r="J105" s="10"/>
      <c r="K105" s="10"/>
      <c r="L105" s="10"/>
      <c r="M105" s="10"/>
      <c r="N105" s="10"/>
    </row>
    <row r="106" spans="1:14" x14ac:dyDescent="0.25">
      <c r="A106" s="10"/>
      <c r="B106" s="10"/>
      <c r="C106" s="10"/>
      <c r="D106" s="10"/>
      <c r="E106" s="10"/>
      <c r="F106" s="10"/>
      <c r="G106" s="10"/>
      <c r="H106" s="10"/>
      <c r="I106" s="10"/>
      <c r="J106" s="10"/>
      <c r="K106" s="10"/>
      <c r="L106" s="10"/>
      <c r="M106" s="10"/>
      <c r="N106" s="10"/>
    </row>
    <row r="107" spans="1:14" x14ac:dyDescent="0.25">
      <c r="A107" s="10"/>
      <c r="B107" s="10"/>
      <c r="C107" s="10"/>
      <c r="D107" s="10"/>
      <c r="E107" s="10"/>
      <c r="F107" s="10"/>
      <c r="G107" s="10"/>
      <c r="H107" s="10"/>
      <c r="I107" s="10"/>
      <c r="J107" s="10"/>
      <c r="K107" s="10"/>
      <c r="L107" s="10"/>
      <c r="M107" s="10"/>
      <c r="N107" s="10"/>
    </row>
    <row r="108" spans="1:14" x14ac:dyDescent="0.25">
      <c r="A108" s="10"/>
      <c r="B108" s="10"/>
      <c r="C108" s="10"/>
      <c r="D108" s="10"/>
      <c r="E108" s="10"/>
      <c r="F108" s="10"/>
      <c r="G108" s="10"/>
      <c r="H108" s="10"/>
      <c r="I108" s="10"/>
      <c r="J108" s="10"/>
      <c r="K108" s="10"/>
      <c r="L108" s="10"/>
      <c r="M108" s="10"/>
      <c r="N108" s="10"/>
    </row>
    <row r="109" spans="1:14" x14ac:dyDescent="0.25">
      <c r="A109" s="10"/>
      <c r="B109" s="10"/>
      <c r="C109" s="10"/>
      <c r="D109" s="10"/>
      <c r="E109" s="10"/>
      <c r="F109" s="10"/>
      <c r="G109" s="10"/>
      <c r="H109" s="10"/>
      <c r="I109" s="10"/>
      <c r="J109" s="10"/>
      <c r="K109" s="10"/>
      <c r="L109" s="10"/>
      <c r="M109" s="10"/>
      <c r="N109" s="10"/>
    </row>
    <row r="110" spans="1:14" x14ac:dyDescent="0.25">
      <c r="A110" s="10"/>
      <c r="B110" s="10"/>
      <c r="C110" s="10"/>
      <c r="D110" s="10"/>
      <c r="E110" s="10"/>
      <c r="F110" s="10"/>
      <c r="G110" s="10"/>
      <c r="H110" s="10"/>
      <c r="I110" s="10"/>
      <c r="J110" s="10"/>
      <c r="K110" s="10"/>
      <c r="L110" s="10"/>
      <c r="M110" s="10"/>
      <c r="N110" s="10"/>
    </row>
    <row r="111" spans="1:14" x14ac:dyDescent="0.25">
      <c r="A111" s="10"/>
      <c r="B111" s="10"/>
      <c r="C111" s="10"/>
      <c r="D111" s="10"/>
      <c r="E111" s="10"/>
      <c r="F111" s="10"/>
      <c r="G111" s="10"/>
      <c r="H111" s="10"/>
      <c r="I111" s="10"/>
      <c r="J111" s="10"/>
      <c r="K111" s="10"/>
      <c r="L111" s="10"/>
      <c r="M111" s="10"/>
      <c r="N111" s="10"/>
    </row>
    <row r="112" spans="1:14" x14ac:dyDescent="0.25">
      <c r="A112" s="10"/>
      <c r="B112" s="10"/>
      <c r="C112" s="10"/>
      <c r="D112" s="10"/>
      <c r="E112" s="10"/>
      <c r="F112" s="10"/>
      <c r="G112" s="10"/>
      <c r="H112" s="10"/>
      <c r="I112" s="10"/>
      <c r="J112" s="10"/>
      <c r="K112" s="10"/>
      <c r="L112" s="10"/>
      <c r="M112" s="10"/>
      <c r="N112" s="10"/>
    </row>
    <row r="113" spans="1:14" x14ac:dyDescent="0.25">
      <c r="A113" s="10"/>
      <c r="B113" s="10"/>
      <c r="C113" s="10"/>
      <c r="D113" s="10"/>
      <c r="E113" s="10"/>
      <c r="F113" s="10"/>
      <c r="G113" s="10"/>
      <c r="H113" s="10"/>
      <c r="I113" s="10"/>
      <c r="J113" s="10"/>
      <c r="K113" s="10"/>
      <c r="L113" s="10"/>
      <c r="M113" s="10"/>
      <c r="N113" s="10"/>
    </row>
    <row r="114" spans="1:14" x14ac:dyDescent="0.25">
      <c r="A114" s="10"/>
      <c r="B114" s="10"/>
      <c r="C114" s="10"/>
      <c r="D114" s="10"/>
      <c r="E114" s="10"/>
      <c r="F114" s="10"/>
      <c r="G114" s="10"/>
      <c r="H114" s="10"/>
      <c r="I114" s="10"/>
      <c r="J114" s="10"/>
      <c r="K114" s="10"/>
      <c r="L114" s="10"/>
      <c r="M114" s="10"/>
      <c r="N114" s="10"/>
    </row>
    <row r="115" spans="1:14" x14ac:dyDescent="0.25">
      <c r="A115" s="10"/>
      <c r="B115" s="10"/>
      <c r="C115" s="10"/>
      <c r="D115" s="10"/>
      <c r="E115" s="10"/>
      <c r="F115" s="10"/>
      <c r="G115" s="10"/>
      <c r="H115" s="10"/>
      <c r="I115" s="10"/>
      <c r="J115" s="10"/>
      <c r="K115" s="10"/>
      <c r="L115" s="10"/>
      <c r="M115" s="10"/>
      <c r="N115" s="10"/>
    </row>
    <row r="116" spans="1:14" x14ac:dyDescent="0.25">
      <c r="A116" s="10"/>
      <c r="B116" s="10"/>
      <c r="C116" s="10"/>
      <c r="D116" s="10"/>
      <c r="E116" s="10"/>
      <c r="F116" s="10"/>
      <c r="G116" s="10"/>
      <c r="H116" s="10"/>
      <c r="I116" s="10"/>
      <c r="J116" s="10"/>
      <c r="K116" s="10"/>
      <c r="L116" s="10"/>
      <c r="M116" s="10"/>
      <c r="N116" s="10"/>
    </row>
    <row r="117" spans="1:14" x14ac:dyDescent="0.25">
      <c r="A117" s="10"/>
      <c r="B117" s="10"/>
      <c r="C117" s="10"/>
      <c r="D117" s="10"/>
      <c r="E117" s="10"/>
      <c r="F117" s="10"/>
      <c r="G117" s="10"/>
      <c r="H117" s="10"/>
      <c r="I117" s="10"/>
      <c r="J117" s="10"/>
      <c r="K117" s="10"/>
      <c r="L117" s="10"/>
      <c r="M117" s="10"/>
      <c r="N117" s="10"/>
    </row>
    <row r="118" spans="1:14" x14ac:dyDescent="0.25">
      <c r="A118" s="10"/>
      <c r="B118" s="10"/>
      <c r="C118" s="10"/>
      <c r="D118" s="10"/>
      <c r="E118" s="10"/>
      <c r="F118" s="10"/>
      <c r="G118" s="10"/>
      <c r="H118" s="10"/>
      <c r="I118" s="10"/>
      <c r="J118" s="10"/>
      <c r="K118" s="10"/>
      <c r="L118" s="10"/>
      <c r="M118" s="10"/>
      <c r="N118" s="10"/>
    </row>
    <row r="119" spans="1:14" x14ac:dyDescent="0.25">
      <c r="A119" s="10"/>
      <c r="B119" s="10"/>
      <c r="C119" s="10"/>
      <c r="D119" s="10"/>
      <c r="E119" s="10"/>
      <c r="F119" s="10"/>
      <c r="G119" s="10"/>
      <c r="H119" s="10"/>
      <c r="I119" s="10"/>
      <c r="J119" s="10"/>
      <c r="K119" s="10"/>
      <c r="L119" s="10"/>
      <c r="M119" s="10"/>
      <c r="N119" s="10"/>
    </row>
    <row r="120" spans="1:14" x14ac:dyDescent="0.25">
      <c r="A120" s="10"/>
      <c r="B120" s="10"/>
      <c r="C120" s="10"/>
      <c r="D120" s="10"/>
      <c r="E120" s="10"/>
      <c r="F120" s="10"/>
      <c r="G120" s="10"/>
      <c r="H120" s="10"/>
      <c r="I120" s="10"/>
      <c r="J120" s="10"/>
      <c r="K120" s="10"/>
      <c r="L120" s="10"/>
      <c r="M120" s="10"/>
      <c r="N120" s="10"/>
    </row>
    <row r="121" spans="1:14" x14ac:dyDescent="0.25">
      <c r="A121" s="10"/>
      <c r="B121" s="10"/>
      <c r="C121" s="10"/>
      <c r="D121" s="10"/>
      <c r="E121" s="10"/>
      <c r="F121" s="10"/>
      <c r="G121" s="10"/>
      <c r="H121" s="10"/>
      <c r="I121" s="10"/>
      <c r="J121" s="10"/>
      <c r="K121" s="10"/>
      <c r="L121" s="10"/>
      <c r="M121" s="10"/>
      <c r="N121" s="10"/>
    </row>
    <row r="122" spans="1:14" x14ac:dyDescent="0.25">
      <c r="A122" s="10"/>
      <c r="B122" s="10"/>
      <c r="C122" s="10"/>
      <c r="D122" s="10"/>
      <c r="E122" s="10"/>
      <c r="F122" s="10"/>
      <c r="G122" s="10"/>
      <c r="H122" s="10"/>
      <c r="I122" s="10"/>
      <c r="J122" s="10"/>
      <c r="K122" s="10"/>
      <c r="L122" s="10"/>
      <c r="M122" s="10"/>
      <c r="N122" s="10"/>
    </row>
    <row r="123" spans="1:14" x14ac:dyDescent="0.25">
      <c r="A123" s="10"/>
      <c r="B123" s="10"/>
      <c r="C123" s="10"/>
      <c r="D123" s="10"/>
      <c r="E123" s="10"/>
      <c r="F123" s="10"/>
      <c r="G123" s="10"/>
      <c r="H123" s="10"/>
      <c r="I123" s="10"/>
      <c r="J123" s="10"/>
      <c r="K123" s="10"/>
      <c r="L123" s="10"/>
      <c r="M123" s="10"/>
      <c r="N123" s="10"/>
    </row>
    <row r="124" spans="1:14" x14ac:dyDescent="0.25">
      <c r="A124" s="10"/>
      <c r="B124" s="10"/>
      <c r="C124" s="10"/>
      <c r="D124" s="10"/>
      <c r="E124" s="10"/>
      <c r="F124" s="10"/>
      <c r="G124" s="10"/>
      <c r="H124" s="10"/>
      <c r="I124" s="10"/>
      <c r="J124" s="10"/>
      <c r="K124" s="10"/>
      <c r="L124" s="10"/>
      <c r="M124" s="10"/>
      <c r="N124" s="10"/>
    </row>
    <row r="125" spans="1:14" x14ac:dyDescent="0.25">
      <c r="A125" s="10"/>
      <c r="B125" s="10"/>
      <c r="C125" s="10"/>
      <c r="D125" s="10"/>
      <c r="E125" s="10"/>
      <c r="F125" s="10"/>
      <c r="G125" s="10"/>
      <c r="H125" s="10"/>
      <c r="I125" s="10"/>
      <c r="J125" s="10"/>
      <c r="K125" s="10"/>
      <c r="L125" s="10"/>
      <c r="M125" s="10"/>
      <c r="N125" s="10"/>
    </row>
    <row r="126" spans="1:14" x14ac:dyDescent="0.25">
      <c r="A126" s="10"/>
      <c r="B126" s="10"/>
      <c r="C126" s="10"/>
      <c r="D126" s="10"/>
      <c r="E126" s="10"/>
      <c r="F126" s="10"/>
      <c r="G126" s="10"/>
      <c r="H126" s="10"/>
      <c r="I126" s="10"/>
      <c r="J126" s="10"/>
      <c r="K126" s="10"/>
      <c r="L126" s="10"/>
      <c r="M126" s="10"/>
      <c r="N126" s="10"/>
    </row>
    <row r="127" spans="1:14" x14ac:dyDescent="0.25">
      <c r="A127" s="10"/>
      <c r="B127" s="10"/>
      <c r="C127" s="10"/>
      <c r="D127" s="10"/>
      <c r="E127" s="10"/>
      <c r="F127" s="10"/>
      <c r="G127" s="10"/>
      <c r="H127" s="10"/>
      <c r="I127" s="10"/>
      <c r="J127" s="10"/>
      <c r="K127" s="10"/>
      <c r="L127" s="10"/>
      <c r="M127" s="10"/>
      <c r="N127" s="10"/>
    </row>
    <row r="128" spans="1:14" x14ac:dyDescent="0.25">
      <c r="A128" s="10"/>
      <c r="B128" s="10"/>
      <c r="C128" s="10"/>
      <c r="D128" s="10"/>
      <c r="E128" s="10"/>
      <c r="F128" s="10"/>
      <c r="G128" s="10"/>
      <c r="H128" s="10"/>
      <c r="I128" s="10"/>
      <c r="J128" s="10"/>
      <c r="K128" s="10"/>
      <c r="L128" s="10"/>
      <c r="M128" s="10"/>
      <c r="N128" s="10"/>
    </row>
    <row r="129" spans="1:14" x14ac:dyDescent="0.25">
      <c r="A129" s="10"/>
      <c r="B129" s="10"/>
      <c r="C129" s="10"/>
      <c r="D129" s="10"/>
      <c r="E129" s="10"/>
      <c r="F129" s="10"/>
      <c r="G129" s="10"/>
      <c r="H129" s="10"/>
      <c r="I129" s="10"/>
      <c r="J129" s="10"/>
      <c r="K129" s="10"/>
      <c r="L129" s="10"/>
      <c r="M129" s="10"/>
      <c r="N129" s="10"/>
    </row>
    <row r="130" spans="1:14" x14ac:dyDescent="0.25">
      <c r="A130" s="10"/>
      <c r="B130" s="10"/>
      <c r="C130" s="10"/>
      <c r="D130" s="10"/>
      <c r="E130" s="10"/>
      <c r="F130" s="10"/>
      <c r="G130" s="10"/>
      <c r="H130" s="10"/>
      <c r="I130" s="10"/>
      <c r="J130" s="10"/>
      <c r="K130" s="10"/>
      <c r="L130" s="10"/>
      <c r="M130" s="10"/>
      <c r="N130" s="10"/>
    </row>
    <row r="131" spans="1:14" x14ac:dyDescent="0.25">
      <c r="A131" s="10"/>
      <c r="B131" s="10"/>
      <c r="C131" s="10"/>
      <c r="D131" s="10"/>
      <c r="E131" s="10"/>
      <c r="F131" s="10"/>
      <c r="G131" s="10"/>
      <c r="H131" s="10"/>
      <c r="I131" s="10"/>
      <c r="J131" s="10"/>
      <c r="K131" s="10"/>
      <c r="L131" s="10"/>
      <c r="M131" s="10"/>
      <c r="N131" s="10"/>
    </row>
    <row r="132" spans="1:14" x14ac:dyDescent="0.25">
      <c r="A132" s="10"/>
      <c r="B132" s="10"/>
      <c r="C132" s="10"/>
      <c r="D132" s="10"/>
      <c r="E132" s="10"/>
      <c r="F132" s="10"/>
      <c r="G132" s="10"/>
      <c r="H132" s="10"/>
      <c r="I132" s="10"/>
      <c r="J132" s="10"/>
      <c r="K132" s="10"/>
      <c r="L132" s="10"/>
      <c r="M132" s="10"/>
      <c r="N132" s="10"/>
    </row>
    <row r="133" spans="1:14" x14ac:dyDescent="0.25">
      <c r="A133" s="10"/>
      <c r="B133" s="10"/>
      <c r="C133" s="10"/>
      <c r="D133" s="10"/>
      <c r="E133" s="10"/>
      <c r="F133" s="10"/>
      <c r="G133" s="10"/>
      <c r="H133" s="10"/>
      <c r="I133" s="10"/>
      <c r="J133" s="10"/>
      <c r="K133" s="10"/>
      <c r="L133" s="10"/>
      <c r="M133" s="10"/>
      <c r="N133" s="10"/>
    </row>
    <row r="134" spans="1:14" x14ac:dyDescent="0.25">
      <c r="A134" s="10"/>
      <c r="B134" s="10"/>
      <c r="C134" s="10"/>
      <c r="D134" s="10"/>
      <c r="E134" s="10"/>
      <c r="F134" s="10"/>
      <c r="G134" s="10"/>
      <c r="H134" s="10"/>
      <c r="I134" s="10"/>
      <c r="J134" s="10"/>
      <c r="K134" s="10"/>
      <c r="L134" s="10"/>
      <c r="M134" s="10"/>
      <c r="N134" s="10"/>
    </row>
    <row r="135" spans="1:14" x14ac:dyDescent="0.25">
      <c r="A135" s="10"/>
      <c r="B135" s="10"/>
      <c r="C135" s="10"/>
      <c r="D135" s="10"/>
      <c r="E135" s="10"/>
      <c r="F135" s="10"/>
      <c r="G135" s="10"/>
      <c r="H135" s="10"/>
      <c r="I135" s="10"/>
      <c r="J135" s="10"/>
      <c r="K135" s="10"/>
      <c r="L135" s="10"/>
      <c r="M135" s="10"/>
      <c r="N135" s="10"/>
    </row>
    <row r="136" spans="1:14" x14ac:dyDescent="0.25">
      <c r="A136" s="10"/>
      <c r="B136" s="10"/>
      <c r="C136" s="10"/>
      <c r="D136" s="10"/>
      <c r="E136" s="10"/>
      <c r="F136" s="10"/>
      <c r="G136" s="10"/>
      <c r="H136" s="10"/>
      <c r="I136" s="10"/>
      <c r="J136" s="10"/>
      <c r="K136" s="10"/>
      <c r="L136" s="10"/>
      <c r="M136" s="10"/>
      <c r="N136" s="10"/>
    </row>
    <row r="137" spans="1:14" x14ac:dyDescent="0.25">
      <c r="A137" s="10"/>
      <c r="B137" s="10"/>
      <c r="C137" s="10"/>
      <c r="D137" s="10"/>
      <c r="E137" s="10"/>
      <c r="F137" s="10"/>
      <c r="G137" s="10"/>
      <c r="H137" s="10"/>
      <c r="I137" s="10"/>
      <c r="J137" s="10"/>
      <c r="K137" s="10"/>
      <c r="L137" s="10"/>
      <c r="M137" s="10"/>
      <c r="N137" s="10"/>
    </row>
    <row r="138" spans="1:14" x14ac:dyDescent="0.25">
      <c r="A138" s="10"/>
      <c r="B138" s="10"/>
      <c r="C138" s="10"/>
      <c r="D138" s="10"/>
      <c r="E138" s="10"/>
      <c r="F138" s="10"/>
      <c r="G138" s="10"/>
      <c r="H138" s="10"/>
      <c r="I138" s="10"/>
      <c r="J138" s="10"/>
      <c r="K138" s="10"/>
      <c r="L138" s="10"/>
      <c r="M138" s="10"/>
      <c r="N138" s="10"/>
    </row>
    <row r="139" spans="1:14" x14ac:dyDescent="0.25">
      <c r="A139" s="10"/>
      <c r="B139" s="10"/>
      <c r="C139" s="10"/>
      <c r="D139" s="10"/>
      <c r="E139" s="10"/>
      <c r="F139" s="10"/>
      <c r="G139" s="10"/>
      <c r="H139" s="10"/>
      <c r="I139" s="10"/>
      <c r="J139" s="10"/>
      <c r="K139" s="10"/>
      <c r="L139" s="10"/>
      <c r="M139" s="10"/>
      <c r="N139" s="10"/>
    </row>
    <row r="140" spans="1:14" x14ac:dyDescent="0.25">
      <c r="A140" s="10"/>
      <c r="B140" s="10"/>
      <c r="C140" s="10"/>
      <c r="D140" s="10"/>
      <c r="E140" s="10"/>
      <c r="F140" s="10"/>
      <c r="G140" s="10"/>
      <c r="H140" s="10"/>
      <c r="I140" s="10"/>
      <c r="J140" s="10"/>
      <c r="K140" s="10"/>
      <c r="L140" s="10"/>
      <c r="M140" s="10"/>
      <c r="N140" s="10"/>
    </row>
    <row r="141" spans="1:14" x14ac:dyDescent="0.25">
      <c r="A141" s="10"/>
      <c r="B141" s="10"/>
      <c r="C141" s="10"/>
      <c r="D141" s="10"/>
      <c r="E141" s="10"/>
      <c r="F141" s="10"/>
      <c r="G141" s="10"/>
      <c r="H141" s="10"/>
      <c r="I141" s="10"/>
      <c r="J141" s="10"/>
      <c r="K141" s="10"/>
      <c r="L141" s="10"/>
      <c r="M141" s="10"/>
      <c r="N141" s="10"/>
    </row>
    <row r="142" spans="1:14" x14ac:dyDescent="0.25">
      <c r="A142" s="10"/>
      <c r="B142" s="10"/>
      <c r="C142" s="10"/>
      <c r="D142" s="10"/>
      <c r="E142" s="10"/>
      <c r="F142" s="10"/>
      <c r="G142" s="10"/>
      <c r="H142" s="10"/>
      <c r="I142" s="10"/>
      <c r="J142" s="10"/>
      <c r="K142" s="10"/>
      <c r="L142" s="10"/>
      <c r="M142" s="10"/>
      <c r="N142" s="10"/>
    </row>
    <row r="143" spans="1:14" x14ac:dyDescent="0.25">
      <c r="A143" s="10"/>
      <c r="B143" s="10"/>
      <c r="C143" s="10"/>
      <c r="D143" s="10"/>
      <c r="E143" s="10"/>
      <c r="F143" s="10"/>
      <c r="G143" s="10"/>
      <c r="H143" s="10"/>
      <c r="I143" s="10"/>
      <c r="J143" s="10"/>
      <c r="K143" s="10"/>
      <c r="L143" s="10"/>
      <c r="M143" s="10"/>
      <c r="N143" s="10"/>
    </row>
    <row r="144" spans="1:14" x14ac:dyDescent="0.25">
      <c r="A144" s="10"/>
      <c r="B144" s="10"/>
      <c r="C144" s="10"/>
      <c r="D144" s="10"/>
      <c r="E144" s="10"/>
      <c r="F144" s="10"/>
      <c r="G144" s="10"/>
      <c r="H144" s="10"/>
      <c r="I144" s="10"/>
      <c r="J144" s="10"/>
      <c r="K144" s="10"/>
      <c r="L144" s="10"/>
      <c r="M144" s="10"/>
      <c r="N144" s="10"/>
    </row>
    <row r="145" spans="1:14" x14ac:dyDescent="0.25">
      <c r="A145" s="10"/>
      <c r="B145" s="10"/>
      <c r="C145" s="10"/>
      <c r="D145" s="10"/>
      <c r="E145" s="10"/>
      <c r="F145" s="10"/>
      <c r="G145" s="10"/>
      <c r="H145" s="10"/>
      <c r="I145" s="10"/>
      <c r="J145" s="10"/>
      <c r="K145" s="10"/>
      <c r="L145" s="10"/>
      <c r="M145" s="10"/>
      <c r="N145" s="10"/>
    </row>
    <row r="146" spans="1:14" x14ac:dyDescent="0.25">
      <c r="A146" s="10"/>
      <c r="B146" s="10"/>
      <c r="C146" s="10"/>
      <c r="D146" s="10"/>
      <c r="E146" s="10"/>
      <c r="F146" s="10"/>
      <c r="G146" s="10"/>
      <c r="H146" s="10"/>
      <c r="I146" s="10"/>
      <c r="J146" s="10"/>
      <c r="K146" s="10"/>
      <c r="L146" s="10"/>
      <c r="M146" s="10"/>
      <c r="N146" s="10"/>
    </row>
    <row r="147" spans="1:14" x14ac:dyDescent="0.25">
      <c r="A147" s="10"/>
      <c r="B147" s="10"/>
      <c r="C147" s="10"/>
      <c r="D147" s="10"/>
      <c r="E147" s="10"/>
      <c r="F147" s="10"/>
      <c r="G147" s="10"/>
      <c r="H147" s="10"/>
      <c r="I147" s="10"/>
      <c r="J147" s="10"/>
      <c r="K147" s="10"/>
      <c r="L147" s="10"/>
      <c r="M147" s="10"/>
      <c r="N147" s="10"/>
    </row>
    <row r="148" spans="1:14" x14ac:dyDescent="0.25">
      <c r="A148" s="10"/>
      <c r="B148" s="10"/>
      <c r="C148" s="10"/>
      <c r="D148" s="10"/>
      <c r="E148" s="10"/>
      <c r="F148" s="10"/>
      <c r="G148" s="10"/>
      <c r="H148" s="10"/>
      <c r="I148" s="10"/>
      <c r="J148" s="10"/>
      <c r="K148" s="10"/>
      <c r="L148" s="10"/>
      <c r="M148" s="10"/>
      <c r="N148" s="10"/>
    </row>
    <row r="149" spans="1:14" x14ac:dyDescent="0.25">
      <c r="A149" s="10"/>
      <c r="B149" s="10"/>
      <c r="C149" s="10"/>
      <c r="D149" s="10"/>
      <c r="E149" s="10"/>
      <c r="F149" s="10"/>
      <c r="G149" s="10"/>
      <c r="H149" s="10"/>
      <c r="I149" s="10"/>
      <c r="J149" s="10"/>
      <c r="K149" s="10"/>
      <c r="L149" s="10"/>
      <c r="M149" s="10"/>
      <c r="N149" s="10"/>
    </row>
    <row r="150" spans="1:14" x14ac:dyDescent="0.25">
      <c r="A150" s="10"/>
      <c r="B150" s="10"/>
      <c r="C150" s="10"/>
      <c r="D150" s="10"/>
      <c r="E150" s="10"/>
      <c r="F150" s="10"/>
      <c r="G150" s="10"/>
      <c r="H150" s="10"/>
      <c r="I150" s="10"/>
      <c r="J150" s="10"/>
      <c r="K150" s="10"/>
      <c r="L150" s="10"/>
      <c r="M150" s="10"/>
      <c r="N150" s="10"/>
    </row>
    <row r="151" spans="1:14" x14ac:dyDescent="0.25">
      <c r="A151" s="10"/>
      <c r="B151" s="10"/>
      <c r="C151" s="10"/>
      <c r="D151" s="10"/>
      <c r="E151" s="10"/>
      <c r="F151" s="10"/>
      <c r="G151" s="10"/>
      <c r="H151" s="10"/>
      <c r="I151" s="10"/>
      <c r="J151" s="10"/>
      <c r="K151" s="10"/>
      <c r="L151" s="10"/>
      <c r="M151" s="10"/>
      <c r="N151" s="10"/>
    </row>
    <row r="152" spans="1:14" x14ac:dyDescent="0.25">
      <c r="A152" s="10"/>
      <c r="B152" s="10"/>
      <c r="C152" s="10"/>
      <c r="D152" s="10"/>
      <c r="E152" s="10"/>
      <c r="F152" s="10"/>
      <c r="G152" s="10"/>
      <c r="H152" s="10"/>
      <c r="I152" s="10"/>
      <c r="J152" s="10"/>
      <c r="K152" s="10"/>
      <c r="L152" s="10"/>
      <c r="M152" s="10"/>
      <c r="N152" s="10"/>
    </row>
    <row r="153" spans="1:14" x14ac:dyDescent="0.25">
      <c r="A153" s="10"/>
      <c r="B153" s="10"/>
      <c r="C153" s="10"/>
      <c r="D153" s="10"/>
      <c r="E153" s="10"/>
      <c r="F153" s="10"/>
      <c r="G153" s="10"/>
      <c r="H153" s="10"/>
      <c r="I153" s="10"/>
      <c r="J153" s="10"/>
      <c r="K153" s="10"/>
      <c r="L153" s="10"/>
      <c r="M153" s="10"/>
      <c r="N153" s="10"/>
    </row>
    <row r="154" spans="1:14" x14ac:dyDescent="0.25">
      <c r="A154" s="10"/>
      <c r="B154" s="10"/>
      <c r="C154" s="10"/>
      <c r="D154" s="10"/>
      <c r="E154" s="10"/>
      <c r="F154" s="10"/>
      <c r="G154" s="10"/>
      <c r="H154" s="10"/>
      <c r="I154" s="10"/>
      <c r="J154" s="10"/>
      <c r="K154" s="10"/>
      <c r="L154" s="10"/>
      <c r="M154" s="10"/>
      <c r="N154" s="10"/>
    </row>
    <row r="155" spans="1:14" x14ac:dyDescent="0.25">
      <c r="A155" s="10"/>
      <c r="B155" s="10"/>
      <c r="C155" s="10"/>
      <c r="D155" s="10"/>
      <c r="E155" s="10"/>
      <c r="F155" s="10"/>
      <c r="G155" s="10"/>
      <c r="H155" s="10"/>
      <c r="I155" s="10"/>
      <c r="J155" s="10"/>
      <c r="K155" s="10"/>
      <c r="L155" s="10"/>
      <c r="M155" s="10"/>
      <c r="N155" s="10"/>
    </row>
    <row r="156" spans="1:14" x14ac:dyDescent="0.25">
      <c r="A156" s="10"/>
      <c r="B156" s="10"/>
      <c r="C156" s="10"/>
      <c r="D156" s="10"/>
      <c r="E156" s="10"/>
      <c r="F156" s="10"/>
      <c r="G156" s="10"/>
      <c r="H156" s="10"/>
      <c r="I156" s="10"/>
      <c r="J156" s="10"/>
      <c r="K156" s="10"/>
      <c r="L156" s="10"/>
      <c r="M156" s="10"/>
      <c r="N156" s="10"/>
    </row>
    <row r="157" spans="1:14" x14ac:dyDescent="0.25">
      <c r="A157" s="10"/>
      <c r="B157" s="10"/>
      <c r="C157" s="10"/>
      <c r="D157" s="10"/>
      <c r="E157" s="10"/>
      <c r="F157" s="10"/>
      <c r="G157" s="10"/>
      <c r="H157" s="10"/>
      <c r="I157" s="10"/>
      <c r="J157" s="10"/>
      <c r="K157" s="10"/>
      <c r="L157" s="10"/>
      <c r="M157" s="10"/>
      <c r="N157" s="10"/>
    </row>
    <row r="158" spans="1:14" x14ac:dyDescent="0.25">
      <c r="A158" s="10"/>
      <c r="B158" s="10"/>
      <c r="C158" s="10"/>
      <c r="D158" s="10"/>
      <c r="E158" s="10"/>
      <c r="F158" s="10"/>
      <c r="G158" s="10"/>
      <c r="H158" s="10"/>
      <c r="I158" s="10"/>
      <c r="J158" s="10"/>
      <c r="K158" s="10"/>
      <c r="L158" s="10"/>
      <c r="M158" s="10"/>
      <c r="N158" s="10"/>
    </row>
    <row r="159" spans="1:14" x14ac:dyDescent="0.25">
      <c r="A159" s="10"/>
      <c r="B159" s="10"/>
      <c r="C159" s="10"/>
      <c r="D159" s="10"/>
      <c r="E159" s="10"/>
      <c r="F159" s="10"/>
      <c r="G159" s="10"/>
      <c r="H159" s="10"/>
      <c r="I159" s="10"/>
      <c r="J159" s="10"/>
      <c r="K159" s="10"/>
      <c r="L159" s="10"/>
      <c r="M159" s="10"/>
      <c r="N159" s="10"/>
    </row>
    <row r="160" spans="1:14" x14ac:dyDescent="0.25">
      <c r="A160" s="10"/>
      <c r="B160" s="10"/>
      <c r="C160" s="10"/>
      <c r="D160" s="10"/>
      <c r="E160" s="10"/>
      <c r="F160" s="10"/>
      <c r="G160" s="10"/>
      <c r="H160" s="10"/>
      <c r="I160" s="10"/>
      <c r="J160" s="10"/>
      <c r="K160" s="10"/>
      <c r="L160" s="10"/>
      <c r="M160" s="10"/>
      <c r="N160" s="10"/>
    </row>
    <row r="161" spans="1:14" x14ac:dyDescent="0.25">
      <c r="A161" s="10"/>
      <c r="B161" s="10"/>
      <c r="C161" s="10"/>
      <c r="D161" s="10"/>
      <c r="E161" s="10"/>
      <c r="F161" s="10"/>
      <c r="G161" s="10"/>
      <c r="H161" s="10"/>
      <c r="I161" s="10"/>
      <c r="J161" s="10"/>
      <c r="K161" s="10"/>
      <c r="L161" s="10"/>
      <c r="M161" s="10"/>
      <c r="N161" s="10"/>
    </row>
    <row r="162" spans="1:14" x14ac:dyDescent="0.25">
      <c r="A162" s="10"/>
      <c r="B162" s="10"/>
      <c r="C162" s="10"/>
      <c r="D162" s="10"/>
      <c r="E162" s="10"/>
      <c r="F162" s="10"/>
      <c r="G162" s="10"/>
      <c r="H162" s="10"/>
      <c r="I162" s="10"/>
      <c r="J162" s="10"/>
      <c r="K162" s="10"/>
      <c r="L162" s="10"/>
      <c r="M162" s="10"/>
      <c r="N162" s="10"/>
    </row>
    <row r="163" spans="1:14" x14ac:dyDescent="0.25">
      <c r="A163" s="10"/>
      <c r="B163" s="10"/>
      <c r="C163" s="10"/>
      <c r="D163" s="10"/>
      <c r="E163" s="10"/>
      <c r="F163" s="10"/>
      <c r="G163" s="10"/>
      <c r="H163" s="10"/>
      <c r="I163" s="10"/>
      <c r="J163" s="10"/>
      <c r="K163" s="10"/>
      <c r="L163" s="10"/>
      <c r="M163" s="10"/>
      <c r="N163" s="10"/>
    </row>
    <row r="164" spans="1:14" x14ac:dyDescent="0.25">
      <c r="A164" s="10"/>
      <c r="B164" s="10"/>
      <c r="C164" s="10"/>
      <c r="D164" s="10"/>
      <c r="E164" s="10"/>
      <c r="F164" s="10"/>
      <c r="G164" s="10"/>
      <c r="H164" s="10"/>
      <c r="I164" s="10"/>
      <c r="J164" s="10"/>
      <c r="K164" s="10"/>
      <c r="L164" s="10"/>
      <c r="M164" s="10"/>
      <c r="N164" s="10"/>
    </row>
    <row r="165" spans="1:14" x14ac:dyDescent="0.25">
      <c r="A165" s="10"/>
      <c r="B165" s="10"/>
      <c r="C165" s="10"/>
      <c r="D165" s="10"/>
      <c r="E165" s="10"/>
      <c r="F165" s="10"/>
      <c r="G165" s="10"/>
      <c r="H165" s="10"/>
      <c r="I165" s="10"/>
      <c r="J165" s="10"/>
      <c r="K165" s="10"/>
      <c r="L165" s="10"/>
      <c r="M165" s="10"/>
      <c r="N165" s="10"/>
    </row>
    <row r="166" spans="1:14" x14ac:dyDescent="0.25">
      <c r="A166" s="10"/>
      <c r="B166" s="10"/>
      <c r="C166" s="10"/>
      <c r="D166" s="10"/>
      <c r="E166" s="10"/>
      <c r="F166" s="10"/>
      <c r="G166" s="10"/>
      <c r="H166" s="10"/>
      <c r="I166" s="10"/>
      <c r="J166" s="10"/>
      <c r="K166" s="10"/>
      <c r="L166" s="10"/>
      <c r="M166" s="10"/>
      <c r="N166" s="10"/>
    </row>
    <row r="167" spans="1:14" x14ac:dyDescent="0.25">
      <c r="A167" s="10"/>
      <c r="B167" s="10"/>
      <c r="C167" s="10"/>
      <c r="D167" s="10"/>
      <c r="E167" s="10"/>
      <c r="F167" s="10"/>
      <c r="G167" s="10"/>
      <c r="H167" s="10"/>
      <c r="I167" s="10"/>
      <c r="J167" s="10"/>
      <c r="K167" s="10"/>
      <c r="L167" s="10"/>
      <c r="M167" s="10"/>
      <c r="N167" s="10"/>
    </row>
    <row r="168" spans="1:14" x14ac:dyDescent="0.25">
      <c r="A168" s="10"/>
      <c r="B168" s="10"/>
      <c r="C168" s="10"/>
      <c r="D168" s="10"/>
      <c r="E168" s="10"/>
      <c r="F168" s="10"/>
      <c r="G168" s="10"/>
      <c r="H168" s="10"/>
      <c r="I168" s="10"/>
      <c r="J168" s="10"/>
      <c r="K168" s="10"/>
      <c r="L168" s="10"/>
      <c r="M168" s="10"/>
      <c r="N168" s="10"/>
    </row>
    <row r="169" spans="1:14" x14ac:dyDescent="0.25">
      <c r="A169" s="10"/>
      <c r="B169" s="10"/>
      <c r="C169" s="10"/>
      <c r="D169" s="10"/>
      <c r="E169" s="10"/>
      <c r="F169" s="10"/>
      <c r="G169" s="10"/>
      <c r="H169" s="10"/>
      <c r="I169" s="10"/>
      <c r="J169" s="10"/>
      <c r="K169" s="10"/>
      <c r="L169" s="10"/>
      <c r="M169" s="10"/>
      <c r="N169" s="10"/>
    </row>
    <row r="170" spans="1:14" x14ac:dyDescent="0.25">
      <c r="A170" s="10"/>
      <c r="B170" s="10"/>
      <c r="C170" s="10"/>
      <c r="D170" s="10"/>
      <c r="E170" s="10"/>
      <c r="F170" s="10"/>
      <c r="G170" s="10"/>
      <c r="H170" s="10"/>
      <c r="I170" s="10"/>
      <c r="J170" s="10"/>
      <c r="K170" s="10"/>
      <c r="L170" s="10"/>
      <c r="M170" s="10"/>
      <c r="N170" s="10"/>
    </row>
    <row r="171" spans="1:14" x14ac:dyDescent="0.25">
      <c r="A171" s="10"/>
      <c r="B171" s="10"/>
      <c r="C171" s="10"/>
      <c r="D171" s="10"/>
      <c r="E171" s="10"/>
      <c r="F171" s="10"/>
      <c r="G171" s="10"/>
      <c r="H171" s="10"/>
      <c r="I171" s="10"/>
      <c r="J171" s="10"/>
      <c r="K171" s="10"/>
      <c r="L171" s="10"/>
      <c r="M171" s="10"/>
      <c r="N171" s="10"/>
    </row>
    <row r="172" spans="1:14" x14ac:dyDescent="0.25">
      <c r="A172" s="10"/>
      <c r="B172" s="10"/>
      <c r="C172" s="10"/>
      <c r="D172" s="10"/>
      <c r="E172" s="10"/>
      <c r="F172" s="10"/>
      <c r="G172" s="10"/>
      <c r="H172" s="10"/>
      <c r="I172" s="10"/>
      <c r="J172" s="10"/>
      <c r="K172" s="10"/>
      <c r="L172" s="10"/>
      <c r="M172" s="10"/>
      <c r="N172" s="10"/>
    </row>
    <row r="173" spans="1:14" x14ac:dyDescent="0.25">
      <c r="A173" s="10"/>
      <c r="B173" s="10"/>
      <c r="C173" s="10"/>
      <c r="D173" s="10"/>
      <c r="E173" s="10"/>
      <c r="F173" s="10"/>
      <c r="G173" s="10"/>
      <c r="H173" s="10"/>
      <c r="I173" s="10"/>
      <c r="J173" s="10"/>
      <c r="K173" s="10"/>
      <c r="L173" s="10"/>
      <c r="M173" s="10"/>
      <c r="N173" s="10"/>
    </row>
    <row r="174" spans="1:14" x14ac:dyDescent="0.25">
      <c r="A174" s="10"/>
      <c r="B174" s="10"/>
      <c r="C174" s="10"/>
      <c r="D174" s="10"/>
      <c r="E174" s="10"/>
      <c r="F174" s="10"/>
      <c r="G174" s="10"/>
      <c r="H174" s="10"/>
      <c r="I174" s="10"/>
      <c r="J174" s="10"/>
      <c r="K174" s="10"/>
      <c r="L174" s="10"/>
      <c r="M174" s="10"/>
      <c r="N174" s="10"/>
    </row>
    <row r="175" spans="1:14" x14ac:dyDescent="0.25">
      <c r="A175" s="10"/>
      <c r="B175" s="10"/>
      <c r="C175" s="10"/>
      <c r="D175" s="10"/>
      <c r="E175" s="10"/>
      <c r="F175" s="10"/>
      <c r="G175" s="10"/>
      <c r="H175" s="10"/>
      <c r="I175" s="10"/>
      <c r="J175" s="10"/>
      <c r="K175" s="10"/>
      <c r="L175" s="10"/>
      <c r="M175" s="10"/>
      <c r="N175" s="10"/>
    </row>
    <row r="176" spans="1:14" x14ac:dyDescent="0.25">
      <c r="A176" s="10"/>
      <c r="B176" s="10"/>
      <c r="C176" s="10"/>
      <c r="D176" s="10"/>
      <c r="E176" s="10"/>
      <c r="F176" s="10"/>
      <c r="G176" s="10"/>
      <c r="H176" s="10"/>
      <c r="I176" s="10"/>
      <c r="J176" s="10"/>
      <c r="K176" s="10"/>
      <c r="L176" s="10"/>
      <c r="M176" s="10"/>
      <c r="N176" s="10"/>
    </row>
    <row r="177" spans="1:14" x14ac:dyDescent="0.25">
      <c r="A177" s="10"/>
      <c r="B177" s="10"/>
      <c r="C177" s="10"/>
      <c r="D177" s="10"/>
      <c r="E177" s="10"/>
      <c r="F177" s="10"/>
      <c r="G177" s="10"/>
      <c r="H177" s="10"/>
      <c r="I177" s="10"/>
      <c r="J177" s="10"/>
      <c r="K177" s="10"/>
      <c r="L177" s="10"/>
      <c r="M177" s="10"/>
      <c r="N177" s="10"/>
    </row>
    <row r="178" spans="1:14" x14ac:dyDescent="0.25">
      <c r="A178" s="10"/>
      <c r="B178" s="10"/>
      <c r="C178" s="10"/>
      <c r="D178" s="10"/>
      <c r="E178" s="10"/>
      <c r="F178" s="10"/>
      <c r="G178" s="10"/>
      <c r="H178" s="10"/>
      <c r="I178" s="10"/>
      <c r="J178" s="10"/>
      <c r="K178" s="10"/>
      <c r="L178" s="10"/>
      <c r="M178" s="10"/>
      <c r="N178" s="10"/>
    </row>
    <row r="179" spans="1:14" x14ac:dyDescent="0.25">
      <c r="A179" s="10"/>
      <c r="B179" s="10"/>
      <c r="C179" s="10"/>
      <c r="D179" s="10"/>
      <c r="E179" s="10"/>
      <c r="F179" s="10"/>
      <c r="G179" s="10"/>
      <c r="H179" s="10"/>
      <c r="I179" s="10"/>
      <c r="J179" s="10"/>
      <c r="K179" s="10"/>
      <c r="L179" s="10"/>
      <c r="M179" s="10"/>
      <c r="N179" s="10"/>
    </row>
    <row r="180" spans="1:14" x14ac:dyDescent="0.25">
      <c r="A180" s="10"/>
      <c r="B180" s="10"/>
      <c r="C180" s="10"/>
      <c r="D180" s="10"/>
      <c r="E180" s="10"/>
      <c r="F180" s="10"/>
      <c r="G180" s="10"/>
      <c r="H180" s="10"/>
      <c r="I180" s="10"/>
      <c r="J180" s="10"/>
      <c r="K180" s="10"/>
      <c r="L180" s="10"/>
      <c r="M180" s="10"/>
      <c r="N180" s="10"/>
    </row>
    <row r="181" spans="1:14" x14ac:dyDescent="0.25">
      <c r="A181" s="10"/>
      <c r="B181" s="10"/>
      <c r="C181" s="10"/>
      <c r="D181" s="10"/>
      <c r="E181" s="10"/>
      <c r="F181" s="10"/>
      <c r="G181" s="10"/>
      <c r="H181" s="10"/>
      <c r="I181" s="10"/>
      <c r="J181" s="10"/>
      <c r="K181" s="10"/>
      <c r="L181" s="10"/>
      <c r="M181" s="10"/>
      <c r="N181" s="10"/>
    </row>
    <row r="182" spans="1:14" x14ac:dyDescent="0.25">
      <c r="A182" s="10"/>
      <c r="B182" s="10"/>
      <c r="C182" s="10"/>
      <c r="D182" s="10"/>
      <c r="E182" s="10"/>
      <c r="F182" s="10"/>
      <c r="G182" s="10"/>
      <c r="H182" s="10"/>
      <c r="I182" s="10"/>
      <c r="J182" s="10"/>
      <c r="K182" s="10"/>
      <c r="L182" s="10"/>
      <c r="M182" s="10"/>
      <c r="N182" s="10"/>
    </row>
    <row r="183" spans="1:14" x14ac:dyDescent="0.25">
      <c r="A183" s="10"/>
      <c r="B183" s="10"/>
      <c r="C183" s="10"/>
      <c r="D183" s="10"/>
      <c r="E183" s="10"/>
      <c r="F183" s="10"/>
      <c r="G183" s="10"/>
      <c r="H183" s="10"/>
      <c r="I183" s="10"/>
      <c r="J183" s="10"/>
      <c r="K183" s="10"/>
      <c r="L183" s="10"/>
      <c r="M183" s="10"/>
      <c r="N183" s="10"/>
    </row>
    <row r="184" spans="1:14" x14ac:dyDescent="0.25">
      <c r="A184" s="10"/>
      <c r="B184" s="10"/>
      <c r="C184" s="10"/>
      <c r="D184" s="10"/>
      <c r="E184" s="10"/>
      <c r="F184" s="10"/>
      <c r="G184" s="10"/>
      <c r="H184" s="10"/>
      <c r="I184" s="10"/>
      <c r="J184" s="10"/>
      <c r="K184" s="10"/>
      <c r="L184" s="10"/>
      <c r="M184" s="10"/>
      <c r="N184" s="10"/>
    </row>
    <row r="185" spans="1:14" x14ac:dyDescent="0.25">
      <c r="A185" s="10"/>
      <c r="B185" s="10"/>
      <c r="C185" s="10"/>
      <c r="D185" s="10"/>
      <c r="E185" s="10"/>
      <c r="F185" s="10"/>
      <c r="G185" s="10"/>
      <c r="H185" s="10"/>
      <c r="I185" s="10"/>
      <c r="J185" s="10"/>
      <c r="K185" s="10"/>
      <c r="L185" s="10"/>
      <c r="M185" s="10"/>
      <c r="N185" s="10"/>
    </row>
    <row r="186" spans="1:14" x14ac:dyDescent="0.25">
      <c r="A186" s="10"/>
      <c r="B186" s="10"/>
      <c r="C186" s="10"/>
      <c r="D186" s="10"/>
      <c r="E186" s="10"/>
      <c r="F186" s="10"/>
      <c r="G186" s="10"/>
      <c r="H186" s="10"/>
      <c r="I186" s="10"/>
      <c r="J186" s="10"/>
      <c r="K186" s="10"/>
      <c r="L186" s="10"/>
      <c r="M186" s="10"/>
      <c r="N186" s="10"/>
    </row>
    <row r="187" spans="1:14" x14ac:dyDescent="0.25">
      <c r="A187" s="10"/>
      <c r="B187" s="10"/>
      <c r="C187" s="10"/>
      <c r="D187" s="10"/>
      <c r="E187" s="10"/>
      <c r="F187" s="10"/>
      <c r="G187" s="10"/>
      <c r="H187" s="10"/>
      <c r="I187" s="10"/>
      <c r="J187" s="10"/>
      <c r="K187" s="10"/>
      <c r="L187" s="10"/>
      <c r="M187" s="10"/>
      <c r="N187" s="10"/>
    </row>
    <row r="188" spans="1:14" x14ac:dyDescent="0.25">
      <c r="A188" s="10"/>
      <c r="B188" s="10"/>
      <c r="C188" s="10"/>
      <c r="D188" s="10"/>
      <c r="E188" s="10"/>
      <c r="F188" s="10"/>
      <c r="G188" s="10"/>
      <c r="H188" s="10"/>
      <c r="I188" s="10"/>
      <c r="J188" s="10"/>
      <c r="K188" s="10"/>
      <c r="L188" s="10"/>
      <c r="M188" s="10"/>
      <c r="N188" s="10"/>
    </row>
    <row r="189" spans="1:14" x14ac:dyDescent="0.25">
      <c r="A189" s="10"/>
      <c r="B189" s="10"/>
      <c r="C189" s="10"/>
      <c r="D189" s="10"/>
      <c r="E189" s="10"/>
      <c r="F189" s="10"/>
      <c r="G189" s="10"/>
      <c r="H189" s="10"/>
      <c r="I189" s="10"/>
      <c r="J189" s="10"/>
      <c r="K189" s="10"/>
      <c r="L189" s="10"/>
      <c r="M189" s="10"/>
      <c r="N189" s="10"/>
    </row>
    <row r="190" spans="1:14" x14ac:dyDescent="0.25">
      <c r="A190" s="10"/>
      <c r="B190" s="10"/>
      <c r="C190" s="10"/>
      <c r="D190" s="10"/>
      <c r="E190" s="10"/>
      <c r="F190" s="10"/>
      <c r="G190" s="10"/>
      <c r="H190" s="10"/>
      <c r="I190" s="10"/>
      <c r="J190" s="10"/>
      <c r="K190" s="10"/>
      <c r="L190" s="10"/>
      <c r="M190" s="10"/>
      <c r="N190" s="10"/>
    </row>
    <row r="191" spans="1:14" x14ac:dyDescent="0.25">
      <c r="A191" s="10"/>
      <c r="B191" s="10"/>
      <c r="C191" s="10"/>
      <c r="D191" s="10"/>
      <c r="E191" s="10"/>
      <c r="F191" s="10"/>
      <c r="G191" s="10"/>
      <c r="H191" s="10"/>
      <c r="I191" s="10"/>
      <c r="J191" s="10"/>
      <c r="K191" s="10"/>
      <c r="L191" s="10"/>
      <c r="M191" s="10"/>
      <c r="N191" s="10"/>
    </row>
    <row r="192" spans="1:14" x14ac:dyDescent="0.25">
      <c r="A192" s="10"/>
      <c r="B192" s="10"/>
      <c r="C192" s="10"/>
      <c r="D192" s="10"/>
      <c r="E192" s="10"/>
      <c r="F192" s="10"/>
      <c r="G192" s="10"/>
      <c r="H192" s="10"/>
      <c r="I192" s="10"/>
      <c r="J192" s="10"/>
      <c r="K192" s="10"/>
      <c r="L192" s="10"/>
      <c r="M192" s="10"/>
      <c r="N192" s="10"/>
    </row>
    <row r="193" spans="1:23" x14ac:dyDescent="0.25">
      <c r="A193" s="10"/>
      <c r="B193" s="10"/>
      <c r="C193" s="10"/>
      <c r="D193" s="10"/>
      <c r="E193" s="10"/>
      <c r="F193" s="10"/>
      <c r="G193" s="10"/>
      <c r="H193" s="10"/>
      <c r="I193" s="10"/>
      <c r="J193" s="10"/>
      <c r="K193" s="10"/>
      <c r="L193" s="10"/>
      <c r="M193" s="10"/>
      <c r="N193" s="10"/>
    </row>
    <row r="194" spans="1:23" x14ac:dyDescent="0.25">
      <c r="A194" s="10"/>
      <c r="B194" s="10"/>
      <c r="C194" s="10"/>
      <c r="D194" s="10"/>
      <c r="E194" s="10"/>
      <c r="F194" s="10"/>
      <c r="G194" s="10"/>
      <c r="H194" s="10"/>
      <c r="I194" s="10"/>
      <c r="J194" s="10"/>
      <c r="K194" s="10"/>
      <c r="L194" s="10"/>
      <c r="M194" s="10"/>
      <c r="N194" s="10"/>
    </row>
    <row r="195" spans="1:23" x14ac:dyDescent="0.25">
      <c r="A195" s="10"/>
      <c r="B195" s="10"/>
      <c r="C195" s="10"/>
      <c r="D195" s="10"/>
      <c r="E195" s="10"/>
      <c r="F195" s="10"/>
      <c r="G195" s="10"/>
      <c r="H195" s="10"/>
      <c r="I195" s="10"/>
      <c r="J195" s="10"/>
      <c r="K195" s="10"/>
      <c r="L195" s="10"/>
      <c r="M195" s="10"/>
      <c r="N195" s="10"/>
    </row>
    <row r="196" spans="1:23" x14ac:dyDescent="0.25">
      <c r="K196" s="47"/>
      <c r="L196" s="78"/>
      <c r="O196" s="10"/>
      <c r="P196" s="10"/>
      <c r="Q196" s="10"/>
      <c r="R196" s="10"/>
      <c r="S196" s="10"/>
      <c r="T196" s="10"/>
      <c r="U196" s="10"/>
      <c r="V196" s="10"/>
      <c r="W196" s="10"/>
    </row>
    <row r="197" spans="1:23" x14ac:dyDescent="0.25">
      <c r="O197" s="10"/>
      <c r="P197" s="10"/>
      <c r="Q197" s="10"/>
      <c r="R197" s="10"/>
      <c r="S197" s="10"/>
      <c r="T197" s="10"/>
      <c r="U197" s="10"/>
      <c r="V197" s="10"/>
      <c r="W197" s="10"/>
    </row>
    <row r="198" spans="1:23" x14ac:dyDescent="0.25">
      <c r="O198" s="10"/>
      <c r="P198" s="10"/>
      <c r="Q198" s="10"/>
      <c r="R198" s="10"/>
      <c r="S198" s="10"/>
      <c r="T198" s="10"/>
      <c r="U198" s="10"/>
      <c r="V198" s="10"/>
      <c r="W198" s="10"/>
    </row>
    <row r="199" spans="1:23" x14ac:dyDescent="0.25">
      <c r="O199" s="10"/>
      <c r="P199" s="10"/>
      <c r="Q199" s="10"/>
      <c r="R199" s="10"/>
      <c r="S199" s="10"/>
      <c r="T199" s="10"/>
      <c r="U199" s="10"/>
      <c r="V199" s="10"/>
      <c r="W199" s="10"/>
    </row>
    <row r="200" spans="1:23" x14ac:dyDescent="0.25">
      <c r="O200" s="10"/>
      <c r="P200" s="10"/>
      <c r="Q200" s="10"/>
      <c r="R200" s="10"/>
      <c r="S200" s="10"/>
      <c r="T200" s="10"/>
      <c r="U200" s="10"/>
      <c r="V200" s="10"/>
      <c r="W200" s="10"/>
    </row>
    <row r="201" spans="1:23" x14ac:dyDescent="0.25">
      <c r="O201" s="10"/>
      <c r="P201" s="10"/>
      <c r="Q201" s="10"/>
      <c r="R201" s="10"/>
      <c r="S201" s="10"/>
      <c r="T201" s="10"/>
      <c r="U201" s="10"/>
      <c r="V201" s="10"/>
      <c r="W201" s="10"/>
    </row>
    <row r="202" spans="1:23" x14ac:dyDescent="0.25">
      <c r="O202" s="10"/>
      <c r="P202" s="10"/>
      <c r="Q202" s="10"/>
      <c r="R202" s="10"/>
      <c r="S202" s="10"/>
      <c r="T202" s="10"/>
      <c r="U202" s="10"/>
      <c r="V202" s="10"/>
      <c r="W202" s="10"/>
    </row>
    <row r="203" spans="1:23" x14ac:dyDescent="0.25">
      <c r="O203" s="10"/>
      <c r="P203" s="10"/>
      <c r="Q203" s="10"/>
      <c r="R203" s="10"/>
      <c r="S203" s="10"/>
      <c r="T203" s="10"/>
      <c r="U203" s="10"/>
      <c r="V203" s="10"/>
      <c r="W203" s="10"/>
    </row>
    <row r="204" spans="1:23" x14ac:dyDescent="0.25">
      <c r="O204" s="10"/>
      <c r="P204" s="10"/>
      <c r="Q204" s="10"/>
      <c r="R204" s="10"/>
      <c r="S204" s="10"/>
      <c r="T204" s="10"/>
      <c r="U204" s="10"/>
      <c r="V204" s="10"/>
      <c r="W204" s="10"/>
    </row>
    <row r="205" spans="1:23" x14ac:dyDescent="0.25">
      <c r="O205" s="10"/>
      <c r="P205" s="10"/>
      <c r="Q205" s="10"/>
      <c r="R205" s="10"/>
      <c r="S205" s="10"/>
      <c r="T205" s="10"/>
      <c r="U205" s="10"/>
      <c r="V205" s="10"/>
      <c r="W205" s="10"/>
    </row>
    <row r="206" spans="1:23" x14ac:dyDescent="0.25">
      <c r="O206" s="10"/>
      <c r="P206" s="10"/>
      <c r="Q206" s="10"/>
      <c r="R206" s="10"/>
      <c r="S206" s="10"/>
      <c r="T206" s="10"/>
      <c r="U206" s="10"/>
      <c r="V206" s="10"/>
      <c r="W206" s="10"/>
    </row>
    <row r="207" spans="1:23" x14ac:dyDescent="0.25">
      <c r="O207" s="10"/>
      <c r="P207" s="10"/>
      <c r="Q207" s="10"/>
      <c r="R207" s="10"/>
      <c r="S207" s="10"/>
      <c r="T207" s="10"/>
      <c r="U207" s="10"/>
      <c r="V207" s="10"/>
      <c r="W207" s="10"/>
    </row>
    <row r="208" spans="1:23" x14ac:dyDescent="0.25">
      <c r="O208" s="10"/>
      <c r="P208" s="10"/>
      <c r="Q208" s="10"/>
      <c r="R208" s="10"/>
      <c r="S208" s="10"/>
      <c r="T208" s="10"/>
      <c r="U208" s="10"/>
      <c r="V208" s="10"/>
      <c r="W208" s="10"/>
    </row>
    <row r="209" spans="15:23" x14ac:dyDescent="0.25">
      <c r="O209" s="10"/>
      <c r="P209" s="10"/>
      <c r="Q209" s="10"/>
      <c r="R209" s="10"/>
      <c r="S209" s="10"/>
      <c r="T209" s="10"/>
      <c r="U209" s="10"/>
      <c r="V209" s="10"/>
      <c r="W209" s="10"/>
    </row>
    <row r="210" spans="15:23" x14ac:dyDescent="0.25">
      <c r="O210" s="10"/>
      <c r="P210" s="10"/>
      <c r="Q210" s="10"/>
      <c r="R210" s="10"/>
      <c r="S210" s="10"/>
      <c r="T210" s="10"/>
      <c r="U210" s="10"/>
      <c r="V210" s="10"/>
      <c r="W210" s="10"/>
    </row>
    <row r="211" spans="15:23" x14ac:dyDescent="0.25">
      <c r="O211" s="10"/>
      <c r="P211" s="10"/>
      <c r="Q211" s="10"/>
      <c r="R211" s="10"/>
      <c r="S211" s="10"/>
      <c r="T211" s="10"/>
      <c r="U211" s="10"/>
      <c r="V211" s="10"/>
      <c r="W211" s="10"/>
    </row>
    <row r="212" spans="15:23" x14ac:dyDescent="0.25">
      <c r="O212" s="10"/>
      <c r="P212" s="10"/>
      <c r="Q212" s="10"/>
      <c r="R212" s="10"/>
      <c r="S212" s="10"/>
      <c r="T212" s="10"/>
      <c r="U212" s="10"/>
      <c r="V212" s="10"/>
      <c r="W212" s="10"/>
    </row>
    <row r="213" spans="15:23" x14ac:dyDescent="0.25">
      <c r="O213" s="10"/>
      <c r="P213" s="10"/>
      <c r="Q213" s="10"/>
      <c r="R213" s="10"/>
      <c r="S213" s="10"/>
      <c r="T213" s="10"/>
      <c r="U213" s="10"/>
      <c r="V213" s="10"/>
      <c r="W213" s="10"/>
    </row>
    <row r="214" spans="15:23" x14ac:dyDescent="0.25">
      <c r="O214" s="10"/>
      <c r="P214" s="10"/>
      <c r="Q214" s="10"/>
      <c r="R214" s="10"/>
      <c r="S214" s="10"/>
      <c r="T214" s="10"/>
      <c r="U214" s="10"/>
      <c r="V214" s="10"/>
      <c r="W214" s="10"/>
    </row>
    <row r="215" spans="15:23" x14ac:dyDescent="0.25">
      <c r="O215" s="10"/>
      <c r="P215" s="10"/>
      <c r="Q215" s="10"/>
      <c r="R215" s="10"/>
      <c r="S215" s="10"/>
      <c r="T215" s="10"/>
      <c r="U215" s="10"/>
      <c r="V215" s="10"/>
      <c r="W215" s="10"/>
    </row>
    <row r="216" spans="15:23" x14ac:dyDescent="0.25">
      <c r="O216" s="10"/>
      <c r="P216" s="10"/>
      <c r="Q216" s="10"/>
      <c r="R216" s="10"/>
      <c r="S216" s="10"/>
      <c r="T216" s="10"/>
      <c r="U216" s="10"/>
      <c r="V216" s="10"/>
      <c r="W216" s="10"/>
    </row>
    <row r="217" spans="15:23" x14ac:dyDescent="0.25">
      <c r="O217" s="10"/>
      <c r="P217" s="10"/>
      <c r="Q217" s="10"/>
      <c r="R217" s="10"/>
      <c r="S217" s="10"/>
      <c r="T217" s="10"/>
      <c r="U217" s="10"/>
      <c r="V217" s="10"/>
      <c r="W217" s="10"/>
    </row>
    <row r="218" spans="15:23" x14ac:dyDescent="0.25">
      <c r="O218" s="10"/>
      <c r="P218" s="10"/>
      <c r="Q218" s="10"/>
      <c r="R218" s="10"/>
      <c r="S218" s="10"/>
      <c r="T218" s="10"/>
      <c r="U218" s="10"/>
      <c r="V218" s="10"/>
      <c r="W218" s="10"/>
    </row>
    <row r="219" spans="15:23" x14ac:dyDescent="0.25">
      <c r="O219" s="10"/>
      <c r="P219" s="10"/>
      <c r="Q219" s="10"/>
      <c r="R219" s="10"/>
      <c r="S219" s="10"/>
      <c r="T219" s="10"/>
      <c r="U219" s="10"/>
      <c r="V219" s="10"/>
      <c r="W219" s="10"/>
    </row>
    <row r="220" spans="15:23" x14ac:dyDescent="0.25">
      <c r="O220" s="10"/>
      <c r="P220" s="10"/>
      <c r="Q220" s="10"/>
      <c r="R220" s="10"/>
      <c r="S220" s="10"/>
      <c r="T220" s="10"/>
      <c r="U220" s="10"/>
      <c r="V220" s="10"/>
      <c r="W220" s="10"/>
    </row>
    <row r="221" spans="15:23" x14ac:dyDescent="0.25">
      <c r="O221" s="10"/>
      <c r="P221" s="10"/>
      <c r="Q221" s="10"/>
      <c r="R221" s="10"/>
      <c r="S221" s="10"/>
      <c r="T221" s="10"/>
      <c r="U221" s="10"/>
      <c r="V221" s="10"/>
      <c r="W221" s="10"/>
    </row>
    <row r="222" spans="15:23" x14ac:dyDescent="0.25">
      <c r="O222" s="10"/>
      <c r="P222" s="10"/>
      <c r="Q222" s="10"/>
      <c r="R222" s="10"/>
      <c r="S222" s="10"/>
      <c r="T222" s="10"/>
      <c r="U222" s="10"/>
      <c r="V222" s="10"/>
      <c r="W222" s="10"/>
    </row>
    <row r="223" spans="15:23" x14ac:dyDescent="0.25">
      <c r="O223" s="10"/>
      <c r="P223" s="10"/>
      <c r="Q223" s="10"/>
      <c r="R223" s="10"/>
      <c r="S223" s="10"/>
      <c r="T223" s="10"/>
      <c r="U223" s="10"/>
      <c r="V223" s="10"/>
      <c r="W223" s="10"/>
    </row>
    <row r="224" spans="15:23" x14ac:dyDescent="0.25">
      <c r="O224" s="10"/>
      <c r="P224" s="10"/>
      <c r="Q224" s="10"/>
      <c r="R224" s="10"/>
      <c r="S224" s="10"/>
      <c r="T224" s="10"/>
      <c r="U224" s="10"/>
      <c r="V224" s="10"/>
      <c r="W224" s="10"/>
    </row>
    <row r="225" spans="15:23" x14ac:dyDescent="0.25">
      <c r="O225" s="10"/>
      <c r="P225" s="10"/>
      <c r="Q225" s="10"/>
      <c r="R225" s="10"/>
      <c r="S225" s="10"/>
      <c r="T225" s="10"/>
      <c r="U225" s="10"/>
      <c r="V225" s="10"/>
      <c r="W225" s="10"/>
    </row>
    <row r="226" spans="15:23" x14ac:dyDescent="0.25">
      <c r="O226" s="10"/>
      <c r="P226" s="10"/>
      <c r="Q226" s="10"/>
      <c r="R226" s="10"/>
      <c r="S226" s="10"/>
      <c r="T226" s="10"/>
      <c r="U226" s="10"/>
      <c r="V226" s="10"/>
      <c r="W226" s="10"/>
    </row>
    <row r="227" spans="15:23" x14ac:dyDescent="0.25">
      <c r="O227" s="10"/>
      <c r="P227" s="10"/>
      <c r="Q227" s="10"/>
      <c r="R227" s="10"/>
      <c r="S227" s="10"/>
      <c r="T227" s="10"/>
      <c r="U227" s="10"/>
      <c r="V227" s="10"/>
      <c r="W227" s="10"/>
    </row>
    <row r="228" spans="15:23" x14ac:dyDescent="0.25">
      <c r="O228" s="10"/>
      <c r="P228" s="10"/>
      <c r="Q228" s="10"/>
      <c r="R228" s="10"/>
      <c r="S228" s="10"/>
      <c r="T228" s="10"/>
      <c r="U228" s="10"/>
      <c r="V228" s="10"/>
      <c r="W228" s="10"/>
    </row>
    <row r="229" spans="15:23" x14ac:dyDescent="0.25">
      <c r="O229" s="10"/>
      <c r="P229" s="10"/>
      <c r="Q229" s="10"/>
      <c r="R229" s="10"/>
      <c r="S229" s="10"/>
      <c r="T229" s="10"/>
      <c r="U229" s="10"/>
      <c r="V229" s="10"/>
      <c r="W229" s="10"/>
    </row>
    <row r="230" spans="15:23" x14ac:dyDescent="0.25">
      <c r="O230" s="10"/>
      <c r="P230" s="10"/>
      <c r="Q230" s="10"/>
      <c r="R230" s="10"/>
      <c r="S230" s="10"/>
      <c r="T230" s="10"/>
      <c r="U230" s="10"/>
      <c r="V230" s="10"/>
      <c r="W230" s="10"/>
    </row>
    <row r="231" spans="15:23" x14ac:dyDescent="0.25">
      <c r="O231" s="10"/>
      <c r="P231" s="10"/>
      <c r="Q231" s="10"/>
      <c r="R231" s="10"/>
      <c r="S231" s="10"/>
      <c r="T231" s="10"/>
      <c r="U231" s="10"/>
      <c r="V231" s="10"/>
      <c r="W231" s="10"/>
    </row>
    <row r="232" spans="15:23" x14ac:dyDescent="0.25">
      <c r="O232" s="10"/>
      <c r="P232" s="10"/>
      <c r="Q232" s="10"/>
      <c r="R232" s="10"/>
      <c r="S232" s="10"/>
      <c r="T232" s="10"/>
      <c r="U232" s="10"/>
      <c r="V232" s="10"/>
      <c r="W232" s="10"/>
    </row>
    <row r="233" spans="15:23" x14ac:dyDescent="0.25">
      <c r="O233" s="10"/>
      <c r="P233" s="10"/>
      <c r="Q233" s="10"/>
      <c r="R233" s="10"/>
      <c r="S233" s="10"/>
      <c r="T233" s="10"/>
      <c r="U233" s="10"/>
      <c r="V233" s="10"/>
      <c r="W233" s="10"/>
    </row>
    <row r="234" spans="15:23" x14ac:dyDescent="0.25">
      <c r="O234" s="10"/>
      <c r="P234" s="10"/>
      <c r="Q234" s="10"/>
      <c r="R234" s="10"/>
      <c r="S234" s="10"/>
      <c r="T234" s="10"/>
      <c r="U234" s="10"/>
      <c r="V234" s="10"/>
      <c r="W234" s="10"/>
    </row>
    <row r="235" spans="15:23" x14ac:dyDescent="0.25">
      <c r="O235" s="10"/>
      <c r="P235" s="10"/>
      <c r="Q235" s="10"/>
      <c r="R235" s="10"/>
      <c r="S235" s="10"/>
      <c r="T235" s="10"/>
      <c r="U235" s="10"/>
      <c r="V235" s="10"/>
      <c r="W235" s="10"/>
    </row>
    <row r="236" spans="15:23" x14ac:dyDescent="0.25">
      <c r="O236" s="10"/>
      <c r="P236" s="10"/>
      <c r="Q236" s="10"/>
      <c r="R236" s="10"/>
      <c r="S236" s="10"/>
      <c r="T236" s="10"/>
      <c r="U236" s="10"/>
      <c r="V236" s="10"/>
      <c r="W236" s="10"/>
    </row>
    <row r="237" spans="15:23" x14ac:dyDescent="0.25">
      <c r="O237" s="10"/>
      <c r="P237" s="10"/>
      <c r="Q237" s="10"/>
      <c r="R237" s="10"/>
      <c r="S237" s="10"/>
      <c r="T237" s="10"/>
      <c r="U237" s="10"/>
      <c r="V237" s="10"/>
      <c r="W237" s="10"/>
    </row>
    <row r="238" spans="15:23" x14ac:dyDescent="0.25">
      <c r="O238" s="10"/>
      <c r="P238" s="10"/>
      <c r="Q238" s="10"/>
      <c r="R238" s="10"/>
      <c r="S238" s="10"/>
      <c r="T238" s="10"/>
      <c r="U238" s="10"/>
      <c r="V238" s="10"/>
      <c r="W238" s="10"/>
    </row>
    <row r="239" spans="15:23" x14ac:dyDescent="0.25">
      <c r="O239" s="10"/>
      <c r="P239" s="10"/>
      <c r="Q239" s="10"/>
      <c r="R239" s="10"/>
      <c r="S239" s="10"/>
      <c r="T239" s="10"/>
      <c r="U239" s="10"/>
      <c r="V239" s="10"/>
      <c r="W239" s="10"/>
    </row>
    <row r="240" spans="15:23" x14ac:dyDescent="0.25">
      <c r="O240" s="10"/>
      <c r="P240" s="10"/>
      <c r="Q240" s="10"/>
      <c r="R240" s="10"/>
      <c r="S240" s="10"/>
      <c r="T240" s="10"/>
      <c r="U240" s="10"/>
      <c r="V240" s="10"/>
      <c r="W240" s="10"/>
    </row>
    <row r="241" spans="15:23" x14ac:dyDescent="0.25">
      <c r="O241" s="10"/>
      <c r="P241" s="10"/>
      <c r="Q241" s="10"/>
      <c r="R241" s="10"/>
      <c r="S241" s="10"/>
      <c r="T241" s="10"/>
      <c r="U241" s="10"/>
      <c r="V241" s="10"/>
      <c r="W241" s="10"/>
    </row>
    <row r="242" spans="15:23" x14ac:dyDescent="0.25">
      <c r="O242" s="10"/>
      <c r="P242" s="10"/>
      <c r="Q242" s="10"/>
      <c r="R242" s="10"/>
      <c r="S242" s="10"/>
      <c r="T242" s="10"/>
      <c r="U242" s="10"/>
      <c r="V242" s="10"/>
      <c r="W242" s="10"/>
    </row>
    <row r="243" spans="15:23" x14ac:dyDescent="0.25">
      <c r="O243" s="10"/>
      <c r="P243" s="10"/>
      <c r="Q243" s="10"/>
      <c r="R243" s="10"/>
      <c r="S243" s="10"/>
      <c r="T243" s="10"/>
      <c r="U243" s="10"/>
      <c r="V243" s="10"/>
      <c r="W243" s="10"/>
    </row>
    <row r="244" spans="15:23" x14ac:dyDescent="0.25">
      <c r="O244" s="10"/>
      <c r="P244" s="10"/>
      <c r="Q244" s="10"/>
      <c r="R244" s="10"/>
      <c r="S244" s="10"/>
      <c r="T244" s="10"/>
      <c r="U244" s="10"/>
      <c r="V244" s="10"/>
      <c r="W244" s="10"/>
    </row>
    <row r="245" spans="15:23" x14ac:dyDescent="0.25">
      <c r="O245" s="10"/>
      <c r="P245" s="10"/>
      <c r="Q245" s="10"/>
      <c r="R245" s="10"/>
      <c r="S245" s="10"/>
      <c r="T245" s="10"/>
      <c r="U245" s="10"/>
      <c r="V245" s="10"/>
      <c r="W245" s="10"/>
    </row>
    <row r="246" spans="15:23" x14ac:dyDescent="0.25">
      <c r="O246" s="10"/>
      <c r="P246" s="10"/>
      <c r="Q246" s="10"/>
      <c r="R246" s="10"/>
      <c r="S246" s="10"/>
      <c r="T246" s="10"/>
      <c r="U246" s="10"/>
      <c r="V246" s="10"/>
      <c r="W246" s="10"/>
    </row>
    <row r="247" spans="15:23" x14ac:dyDescent="0.25">
      <c r="O247" s="10"/>
      <c r="P247" s="10"/>
      <c r="Q247" s="10"/>
      <c r="R247" s="10"/>
      <c r="S247" s="10"/>
      <c r="T247" s="10"/>
      <c r="U247" s="10"/>
      <c r="V247" s="10"/>
      <c r="W247" s="10"/>
    </row>
    <row r="248" spans="15:23" x14ac:dyDescent="0.25">
      <c r="O248" s="10"/>
      <c r="P248" s="10"/>
      <c r="Q248" s="10"/>
      <c r="R248" s="10"/>
      <c r="S248" s="10"/>
      <c r="T248" s="10"/>
      <c r="U248" s="10"/>
      <c r="V248" s="10"/>
      <c r="W248" s="10"/>
    </row>
    <row r="249" spans="15:23" x14ac:dyDescent="0.25">
      <c r="O249" s="10"/>
      <c r="P249" s="10"/>
      <c r="Q249" s="10"/>
      <c r="R249" s="10"/>
      <c r="S249" s="10"/>
      <c r="T249" s="10"/>
      <c r="U249" s="10"/>
      <c r="V249" s="10"/>
      <c r="W249" s="10"/>
    </row>
    <row r="250" spans="15:23" x14ac:dyDescent="0.25">
      <c r="O250" s="10"/>
      <c r="P250" s="10"/>
      <c r="Q250" s="10"/>
      <c r="R250" s="10"/>
      <c r="S250" s="10"/>
      <c r="T250" s="10"/>
      <c r="U250" s="10"/>
      <c r="V250" s="10"/>
      <c r="W250" s="10"/>
    </row>
    <row r="251" spans="15:23" x14ac:dyDescent="0.25">
      <c r="O251" s="10"/>
      <c r="P251" s="10"/>
      <c r="Q251" s="10"/>
      <c r="R251" s="10"/>
      <c r="S251" s="10"/>
      <c r="T251" s="10"/>
      <c r="U251" s="10"/>
      <c r="V251" s="10"/>
      <c r="W251" s="10"/>
    </row>
    <row r="252" spans="15:23" x14ac:dyDescent="0.25">
      <c r="O252" s="10"/>
      <c r="P252" s="10"/>
      <c r="Q252" s="10"/>
      <c r="R252" s="10"/>
      <c r="S252" s="10"/>
      <c r="T252" s="10"/>
      <c r="U252" s="10"/>
      <c r="V252" s="10"/>
      <c r="W252" s="10"/>
    </row>
    <row r="253" spans="15:23" x14ac:dyDescent="0.25">
      <c r="O253" s="10"/>
      <c r="P253" s="10"/>
      <c r="Q253" s="10"/>
      <c r="R253" s="10"/>
      <c r="S253" s="10"/>
      <c r="T253" s="10"/>
      <c r="U253" s="10"/>
      <c r="V253" s="10"/>
      <c r="W253" s="10"/>
    </row>
    <row r="254" spans="15:23" x14ac:dyDescent="0.25">
      <c r="O254" s="10"/>
      <c r="P254" s="10"/>
      <c r="Q254" s="10"/>
      <c r="R254" s="10"/>
      <c r="S254" s="10"/>
      <c r="T254" s="10"/>
      <c r="U254" s="10"/>
      <c r="V254" s="10"/>
      <c r="W254" s="10"/>
    </row>
    <row r="255" spans="15:23" x14ac:dyDescent="0.25">
      <c r="O255" s="10"/>
      <c r="P255" s="10"/>
      <c r="Q255" s="10"/>
      <c r="R255" s="10"/>
      <c r="S255" s="10"/>
      <c r="T255" s="10"/>
      <c r="U255" s="10"/>
      <c r="V255" s="10"/>
      <c r="W255" s="10"/>
    </row>
    <row r="256" spans="15:23" x14ac:dyDescent="0.25">
      <c r="O256" s="10"/>
      <c r="P256" s="10"/>
      <c r="Q256" s="10"/>
      <c r="R256" s="10"/>
      <c r="S256" s="10"/>
      <c r="T256" s="10"/>
      <c r="U256" s="10"/>
      <c r="V256" s="10"/>
      <c r="W256" s="10"/>
    </row>
    <row r="257" spans="15:23" x14ac:dyDescent="0.25">
      <c r="O257" s="10"/>
      <c r="P257" s="10"/>
      <c r="Q257" s="10"/>
      <c r="R257" s="10"/>
      <c r="S257" s="10"/>
      <c r="T257" s="10"/>
      <c r="U257" s="10"/>
      <c r="V257" s="10"/>
      <c r="W257" s="10"/>
    </row>
    <row r="258" spans="15:23" x14ac:dyDescent="0.25">
      <c r="O258" s="10"/>
      <c r="P258" s="10"/>
      <c r="Q258" s="10"/>
      <c r="R258" s="10"/>
      <c r="S258" s="10"/>
      <c r="T258" s="10"/>
      <c r="U258" s="10"/>
      <c r="V258" s="10"/>
      <c r="W258" s="10"/>
    </row>
    <row r="259" spans="15:23" x14ac:dyDescent="0.25">
      <c r="O259" s="10"/>
      <c r="P259" s="10"/>
      <c r="Q259" s="10"/>
      <c r="R259" s="10"/>
      <c r="S259" s="10"/>
      <c r="T259" s="10"/>
      <c r="U259" s="10"/>
      <c r="V259" s="10"/>
      <c r="W259" s="10"/>
    </row>
    <row r="260" spans="15:23" x14ac:dyDescent="0.25">
      <c r="O260" s="10"/>
      <c r="P260" s="10"/>
      <c r="Q260" s="10"/>
      <c r="R260" s="10"/>
      <c r="S260" s="10"/>
      <c r="T260" s="10"/>
      <c r="U260" s="10"/>
      <c r="V260" s="10"/>
      <c r="W260" s="10"/>
    </row>
    <row r="261" spans="15:23" x14ac:dyDescent="0.25">
      <c r="O261" s="10"/>
      <c r="P261" s="10"/>
      <c r="Q261" s="10"/>
      <c r="R261" s="10"/>
      <c r="S261" s="10"/>
      <c r="T261" s="10"/>
      <c r="U261" s="10"/>
      <c r="V261" s="10"/>
      <c r="W261" s="10"/>
    </row>
    <row r="262" spans="15:23" x14ac:dyDescent="0.25">
      <c r="O262" s="10"/>
      <c r="P262" s="10"/>
      <c r="Q262" s="10"/>
      <c r="R262" s="10"/>
      <c r="S262" s="10"/>
      <c r="T262" s="10"/>
      <c r="U262" s="10"/>
      <c r="V262" s="10"/>
      <c r="W262" s="10"/>
    </row>
    <row r="263" spans="15:23" x14ac:dyDescent="0.25">
      <c r="O263" s="10"/>
      <c r="P263" s="10"/>
      <c r="Q263" s="10"/>
      <c r="R263" s="10"/>
      <c r="S263" s="10"/>
      <c r="T263" s="10"/>
      <c r="U263" s="10"/>
      <c r="V263" s="10"/>
      <c r="W263" s="10"/>
    </row>
    <row r="264" spans="15:23" x14ac:dyDescent="0.25">
      <c r="O264" s="10"/>
      <c r="P264" s="10"/>
      <c r="Q264" s="10"/>
      <c r="R264" s="10"/>
      <c r="S264" s="10"/>
      <c r="T264" s="10"/>
      <c r="U264" s="10"/>
      <c r="V264" s="10"/>
      <c r="W264" s="10"/>
    </row>
    <row r="265" spans="15:23" x14ac:dyDescent="0.25">
      <c r="O265" s="10"/>
      <c r="P265" s="10"/>
      <c r="Q265" s="10"/>
      <c r="R265" s="10"/>
      <c r="S265" s="10"/>
      <c r="T265" s="10"/>
      <c r="U265" s="10"/>
      <c r="V265" s="10"/>
      <c r="W265" s="10"/>
    </row>
    <row r="266" spans="15:23" x14ac:dyDescent="0.25">
      <c r="O266" s="10"/>
      <c r="P266" s="10"/>
      <c r="Q266" s="10"/>
      <c r="R266" s="10"/>
      <c r="S266" s="10"/>
      <c r="T266" s="10"/>
      <c r="U266" s="10"/>
      <c r="V266" s="10"/>
      <c r="W266" s="10"/>
    </row>
  </sheetData>
  <autoFilter ref="A8:K68" xr:uid="{00000000-0009-0000-0000-000000000000}">
    <sortState xmlns:xlrd2="http://schemas.microsoft.com/office/spreadsheetml/2017/richdata2" ref="A9:K103">
      <sortCondition ref="A8:A68"/>
    </sortState>
  </autoFilter>
  <mergeCells count="3">
    <mergeCell ref="L7:N7"/>
    <mergeCell ref="A2:C3"/>
    <mergeCell ref="A7:K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DBD38-3660-455A-AB21-68A010B0E68C}">
  <dimension ref="A1:AC91"/>
  <sheetViews>
    <sheetView tabSelected="1" zoomScale="87" zoomScaleNormal="94" workbookViewId="0">
      <selection activeCell="D93" sqref="D93"/>
    </sheetView>
  </sheetViews>
  <sheetFormatPr defaultRowHeight="15" x14ac:dyDescent="0.25"/>
  <cols>
    <col min="1" max="1" width="18.140625" customWidth="1"/>
    <col min="2" max="2" width="17.42578125" bestFit="1" customWidth="1"/>
    <col min="3" max="3" width="21.28515625" bestFit="1" customWidth="1"/>
    <col min="4" max="4" width="12.42578125" bestFit="1" customWidth="1"/>
    <col min="5" max="5" width="14.28515625" customWidth="1"/>
    <col min="6" max="6" width="11.140625" customWidth="1"/>
    <col min="7" max="7" width="13.5703125" bestFit="1" customWidth="1"/>
    <col min="8" max="8" width="19.140625" customWidth="1"/>
    <col min="9" max="9" width="12" bestFit="1" customWidth="1"/>
    <col min="10" max="10" width="9.85546875" bestFit="1" customWidth="1"/>
    <col min="11" max="11" width="19" customWidth="1"/>
    <col min="12" max="12" width="16.85546875" customWidth="1"/>
    <col min="13" max="13" width="7.5703125" bestFit="1" customWidth="1"/>
    <col min="14" max="14" width="16.7109375" customWidth="1"/>
    <col min="15" max="15" width="9.140625" customWidth="1"/>
    <col min="16" max="16" width="22" bestFit="1" customWidth="1"/>
    <col min="17" max="17" width="28.140625" bestFit="1" customWidth="1"/>
    <col min="18" max="18" width="33.85546875" bestFit="1" customWidth="1"/>
    <col min="19" max="19" width="20.140625" bestFit="1" customWidth="1"/>
    <col min="20" max="20" width="14.28515625" bestFit="1" customWidth="1"/>
    <col min="21" max="21" width="9.42578125" bestFit="1" customWidth="1"/>
    <col min="23" max="23" width="27.140625" bestFit="1" customWidth="1"/>
    <col min="24" max="24" width="18.85546875" bestFit="1" customWidth="1"/>
    <col min="25" max="25" width="15.42578125" bestFit="1" customWidth="1"/>
    <col min="26" max="26" width="18.28515625" bestFit="1" customWidth="1"/>
    <col min="27" max="27" width="28.140625" bestFit="1" customWidth="1"/>
    <col min="28" max="28" width="24" bestFit="1" customWidth="1"/>
    <col min="29" max="29" width="74.28515625" bestFit="1" customWidth="1"/>
  </cols>
  <sheetData>
    <row r="1" spans="1:18" ht="20.25" thickBot="1" x14ac:dyDescent="0.3">
      <c r="A1" s="112" t="s">
        <v>129</v>
      </c>
    </row>
    <row r="2" spans="1:18" x14ac:dyDescent="0.25">
      <c r="A2" s="136" t="s">
        <v>20</v>
      </c>
      <c r="B2" s="137"/>
      <c r="C2" s="138"/>
    </row>
    <row r="3" spans="1:18" ht="15.75" thickBot="1" x14ac:dyDescent="0.3">
      <c r="A3" s="139"/>
      <c r="B3" s="140"/>
      <c r="C3" s="141"/>
    </row>
    <row r="4" spans="1:18" s="1" customFormat="1" x14ac:dyDescent="0.25">
      <c r="A4" s="57"/>
      <c r="B4" s="57"/>
      <c r="C4" s="57"/>
      <c r="D4" s="54"/>
      <c r="E4" s="54"/>
      <c r="F4" s="54"/>
      <c r="G4" s="55"/>
      <c r="H4" s="55"/>
      <c r="I4" s="64"/>
      <c r="J4" s="64"/>
      <c r="K4" s="66"/>
      <c r="L4" s="66"/>
      <c r="M4" s="66"/>
      <c r="N4" s="10"/>
      <c r="O4" s="10"/>
      <c r="P4" s="10"/>
    </row>
    <row r="5" spans="1:18" s="1" customFormat="1" ht="29.85" customHeight="1" x14ac:dyDescent="0.25">
      <c r="A5" s="86" t="s">
        <v>1</v>
      </c>
      <c r="B5" s="113">
        <f>'Normal scenario'!B5</f>
        <v>45003</v>
      </c>
      <c r="C5" s="57"/>
      <c r="D5" s="86" t="s">
        <v>114</v>
      </c>
      <c r="E5" s="117">
        <v>23500</v>
      </c>
      <c r="F5" s="60"/>
      <c r="G5" s="62"/>
      <c r="H5" s="115" t="s">
        <v>2</v>
      </c>
      <c r="I5" s="118">
        <f>'Normal scenario'!I5+2%</f>
        <v>9.0000000000000011E-2</v>
      </c>
      <c r="J5" s="64"/>
      <c r="K5" s="66"/>
      <c r="L5" s="66"/>
      <c r="M5" s="66"/>
      <c r="N5" s="10"/>
      <c r="O5" s="10"/>
      <c r="P5" s="10"/>
    </row>
    <row r="6" spans="1:18" s="1" customFormat="1" x14ac:dyDescent="0.25">
      <c r="A6" s="10"/>
      <c r="B6" s="10"/>
      <c r="C6" s="57"/>
      <c r="D6" s="54"/>
      <c r="E6" s="54"/>
      <c r="F6" s="54"/>
      <c r="G6" s="55"/>
      <c r="H6" s="55"/>
      <c r="I6" s="64"/>
      <c r="J6" s="64"/>
      <c r="K6" s="66"/>
      <c r="L6" s="66"/>
      <c r="M6" s="66"/>
      <c r="N6" s="10"/>
      <c r="O6" s="10"/>
      <c r="P6" s="10"/>
    </row>
    <row r="7" spans="1:18" s="1" customFormat="1" ht="12.75" x14ac:dyDescent="0.25">
      <c r="A7" s="142" t="s">
        <v>3</v>
      </c>
      <c r="B7" s="142"/>
      <c r="C7" s="142"/>
      <c r="D7" s="142"/>
      <c r="E7" s="142"/>
      <c r="F7" s="142"/>
      <c r="G7" s="142"/>
      <c r="H7" s="142"/>
      <c r="I7" s="142"/>
      <c r="J7" s="142"/>
      <c r="K7" s="143"/>
      <c r="L7" s="144" t="s">
        <v>4</v>
      </c>
      <c r="M7" s="145"/>
      <c r="N7" s="146"/>
      <c r="O7" s="10"/>
      <c r="P7" s="10"/>
    </row>
    <row r="8" spans="1:18" s="1" customFormat="1" ht="54" customHeight="1" x14ac:dyDescent="0.25">
      <c r="A8" s="5" t="s">
        <v>5</v>
      </c>
      <c r="B8" s="6" t="s">
        <v>6</v>
      </c>
      <c r="C8" s="6" t="s">
        <v>7</v>
      </c>
      <c r="D8" s="9" t="s">
        <v>8</v>
      </c>
      <c r="E8" s="9" t="s">
        <v>9</v>
      </c>
      <c r="F8" s="59" t="s">
        <v>10</v>
      </c>
      <c r="G8" s="9" t="s">
        <v>11</v>
      </c>
      <c r="H8" s="9" t="s">
        <v>12</v>
      </c>
      <c r="I8" s="9" t="s">
        <v>13</v>
      </c>
      <c r="J8" s="9" t="s">
        <v>14</v>
      </c>
      <c r="K8" s="79" t="s">
        <v>119</v>
      </c>
      <c r="L8" s="33" t="s">
        <v>120</v>
      </c>
      <c r="M8" s="31" t="s">
        <v>15</v>
      </c>
      <c r="N8" s="32" t="s">
        <v>16</v>
      </c>
      <c r="O8" s="10"/>
      <c r="P8" s="10"/>
    </row>
    <row r="9" spans="1:18" s="1" customFormat="1" ht="12.75" x14ac:dyDescent="0.25">
      <c r="A9" s="7">
        <f>'Normal scenario'!A9</f>
        <v>0</v>
      </c>
      <c r="B9" s="7" t="str">
        <f>'Normal scenario'!B9</f>
        <v>FI1</v>
      </c>
      <c r="C9" s="7">
        <f>'Normal scenario'!C9</f>
        <v>13</v>
      </c>
      <c r="D9" s="7" t="str">
        <f>'Normal scenario'!D9</f>
        <v>Bond</v>
      </c>
      <c r="E9" s="7" t="str">
        <f>'Normal scenario'!E9</f>
        <v>USD</v>
      </c>
      <c r="F9" s="76">
        <f>'Normal scenario'!F9</f>
        <v>44638</v>
      </c>
      <c r="G9" s="76">
        <f>'Normal scenario'!G9</f>
        <v>46464</v>
      </c>
      <c r="H9" s="7">
        <f>'Normal scenario'!H9</f>
        <v>1000</v>
      </c>
      <c r="I9" s="7">
        <f>'Normal scenario'!I9</f>
        <v>0.05</v>
      </c>
      <c r="J9" s="7">
        <f>'Normal scenario'!J9</f>
        <v>2</v>
      </c>
      <c r="K9" s="80">
        <f>PV($I$5/J9,4*J9,-H9*I9/J9,-H9)*$E$5</f>
        <v>20399933.548341405</v>
      </c>
      <c r="L9" s="65">
        <f>IF(K9="","",(G9-'Normal scenario'!$B$5)/360)</f>
        <v>4.0583333333333336</v>
      </c>
      <c r="M9" s="82">
        <f>IF(K9="","",IF(B9="SOV1",0,IF(B9="SOV2",IF(0&lt;C9&lt;=4,0,IF(C9&lt;=10,IF(L9&lt;0.5,0.25%,IF(L9&lt;=2,1,1.6%)),IF(C9&lt;=16,8%,IF(C9&lt;=18,12%)))),IF(OR(B9="FI1",B9="FI2"),IF(L9&lt;0.5,0.25%,IF(L9&lt;=2,1,1.6%)),IF(B9="",IF(11&lt;=C9&lt;=13,8%,IF(C9&gt;13,12%,"No SR")))))))</f>
        <v>1.6E-2</v>
      </c>
      <c r="N9" s="46">
        <f>IF(K9="","",IF(OR(D9="FX FORWARD",D9="FX Swap"),2,IF(D9="Bond",IF(I9&gt;3%,1,2))))</f>
        <v>1</v>
      </c>
      <c r="O9" s="10"/>
      <c r="P9" s="10"/>
    </row>
    <row r="10" spans="1:18" x14ac:dyDescent="0.25">
      <c r="A10" s="67"/>
      <c r="B10" s="67"/>
      <c r="C10" s="67"/>
    </row>
    <row r="11" spans="1:18" x14ac:dyDescent="0.25">
      <c r="A11" s="67"/>
      <c r="B11" s="67"/>
      <c r="C11" s="67"/>
    </row>
    <row r="12" spans="1:18" x14ac:dyDescent="0.25">
      <c r="A12" s="147" t="s">
        <v>121</v>
      </c>
      <c r="B12" s="147"/>
      <c r="C12" s="147"/>
      <c r="D12" s="147"/>
      <c r="E12" s="147"/>
      <c r="F12" s="147"/>
      <c r="G12" s="147"/>
      <c r="H12" s="147"/>
      <c r="P12" s="135"/>
      <c r="Q12" s="135"/>
      <c r="R12" s="135"/>
    </row>
    <row r="13" spans="1:18" x14ac:dyDescent="0.25">
      <c r="A13" s="63"/>
      <c r="B13" s="63"/>
      <c r="C13" s="63"/>
      <c r="D13" s="63"/>
      <c r="E13" s="63"/>
      <c r="P13" s="135"/>
      <c r="Q13" s="135"/>
      <c r="R13" s="135"/>
    </row>
    <row r="15" spans="1:18" ht="10.5" customHeight="1" x14ac:dyDescent="0.25">
      <c r="A15" s="53"/>
    </row>
    <row r="17" spans="16:29" x14ac:dyDescent="0.25">
      <c r="P17" s="135"/>
      <c r="Q17" s="135"/>
      <c r="R17" s="135"/>
      <c r="S17" s="135"/>
      <c r="T17" s="135"/>
      <c r="U17" s="135"/>
      <c r="V17" s="135"/>
      <c r="W17" s="135"/>
      <c r="X17" s="135"/>
      <c r="Y17" s="135"/>
      <c r="Z17" s="135"/>
      <c r="AA17" s="135"/>
      <c r="AB17" s="135"/>
      <c r="AC17" s="135"/>
    </row>
    <row r="18" spans="16:29" ht="12.75" customHeight="1" x14ac:dyDescent="0.25"/>
    <row r="52" spans="1:9" ht="15" customHeight="1" x14ac:dyDescent="0.25">
      <c r="A52" s="69" t="s">
        <v>113</v>
      </c>
      <c r="B52" s="69"/>
      <c r="C52" s="69"/>
      <c r="D52" s="69"/>
      <c r="E52" s="69"/>
      <c r="F52" s="69"/>
      <c r="G52" s="69"/>
      <c r="H52" s="69"/>
      <c r="I52" s="69"/>
    </row>
    <row r="87" spans="1:5" x14ac:dyDescent="0.25">
      <c r="A87" s="12" t="s">
        <v>143</v>
      </c>
      <c r="E87" t="s">
        <v>148</v>
      </c>
    </row>
    <row r="88" spans="1:5" x14ac:dyDescent="0.25">
      <c r="A88" s="12" t="s">
        <v>140</v>
      </c>
      <c r="E88" t="s">
        <v>149</v>
      </c>
    </row>
    <row r="89" spans="1:5" x14ac:dyDescent="0.25">
      <c r="A89" s="12" t="s">
        <v>141</v>
      </c>
      <c r="E89" t="s">
        <v>150</v>
      </c>
    </row>
    <row r="90" spans="1:5" x14ac:dyDescent="0.25">
      <c r="A90" s="12" t="s">
        <v>142</v>
      </c>
      <c r="E90" t="s">
        <v>151</v>
      </c>
    </row>
    <row r="91" spans="1:5" x14ac:dyDescent="0.25">
      <c r="A91" s="12" t="s">
        <v>144</v>
      </c>
      <c r="E91" t="s">
        <v>152</v>
      </c>
    </row>
  </sheetData>
  <mergeCells count="7">
    <mergeCell ref="AA17:AC17"/>
    <mergeCell ref="A2:C3"/>
    <mergeCell ref="A7:K7"/>
    <mergeCell ref="L7:N7"/>
    <mergeCell ref="A12:H12"/>
    <mergeCell ref="P12:R13"/>
    <mergeCell ref="P17:Z17"/>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D19BE-E5A0-45E5-B6D2-76E9619F8AD6}">
  <sheetPr codeName="Sheet3"/>
  <dimension ref="A1:Q38"/>
  <sheetViews>
    <sheetView topLeftCell="A16" workbookViewId="0">
      <selection activeCell="B34" sqref="B34"/>
    </sheetView>
  </sheetViews>
  <sheetFormatPr defaultRowHeight="15" x14ac:dyDescent="0.25"/>
  <cols>
    <col min="1" max="1" width="11.42578125" customWidth="1"/>
    <col min="2" max="2" width="21.140625" customWidth="1"/>
    <col min="3" max="3" width="14.28515625" bestFit="1" customWidth="1"/>
    <col min="4" max="4" width="16.140625" customWidth="1"/>
    <col min="5" max="5" width="11.5703125" bestFit="1" customWidth="1"/>
    <col min="6" max="6" width="16.28515625" customWidth="1"/>
    <col min="10" max="10" width="10.28515625" customWidth="1"/>
    <col min="11" max="11" width="10.7109375" bestFit="1" customWidth="1"/>
  </cols>
  <sheetData>
    <row r="1" spans="1:17" ht="19.5" x14ac:dyDescent="0.25">
      <c r="A1" s="112" t="s">
        <v>130</v>
      </c>
    </row>
    <row r="2" spans="1:17" x14ac:dyDescent="0.25">
      <c r="A2" s="12" t="s">
        <v>127</v>
      </c>
    </row>
    <row r="3" spans="1:17" x14ac:dyDescent="0.25">
      <c r="A3" s="149" t="s">
        <v>122</v>
      </c>
      <c r="B3" s="149"/>
      <c r="C3" s="149"/>
      <c r="D3" s="149"/>
      <c r="E3" s="149"/>
      <c r="F3" s="149"/>
      <c r="G3" s="149"/>
      <c r="H3" s="149"/>
      <c r="I3" s="149"/>
      <c r="J3" s="149"/>
      <c r="K3" s="149"/>
      <c r="L3" s="149"/>
      <c r="M3" s="149"/>
      <c r="N3" s="149"/>
      <c r="O3" s="149"/>
      <c r="P3" s="149"/>
      <c r="Q3" s="149"/>
    </row>
    <row r="4" spans="1:17" ht="57" customHeight="1" x14ac:dyDescent="0.25">
      <c r="A4" s="36"/>
      <c r="B4" s="150" t="s">
        <v>21</v>
      </c>
      <c r="C4" s="152"/>
      <c r="D4" s="38" t="s">
        <v>22</v>
      </c>
      <c r="E4" s="150" t="s">
        <v>23</v>
      </c>
      <c r="F4" s="152"/>
      <c r="G4" s="150" t="s">
        <v>24</v>
      </c>
      <c r="H4" s="152"/>
      <c r="I4" s="38" t="s">
        <v>25</v>
      </c>
      <c r="J4" s="37" t="s">
        <v>26</v>
      </c>
      <c r="K4" s="150" t="s">
        <v>131</v>
      </c>
      <c r="L4" s="152"/>
      <c r="M4" s="39" t="s">
        <v>27</v>
      </c>
      <c r="N4" s="38" t="s">
        <v>28</v>
      </c>
      <c r="O4" s="150" t="s">
        <v>29</v>
      </c>
      <c r="P4" s="151"/>
      <c r="Q4" s="152"/>
    </row>
    <row r="5" spans="1:17" ht="15.75" thickBot="1" x14ac:dyDescent="0.3">
      <c r="A5" s="20" t="s">
        <v>30</v>
      </c>
      <c r="B5" s="75" t="s">
        <v>31</v>
      </c>
      <c r="C5" s="75" t="s">
        <v>32</v>
      </c>
      <c r="D5" s="75" t="s">
        <v>33</v>
      </c>
      <c r="E5" s="86" t="s">
        <v>34</v>
      </c>
      <c r="F5" s="75" t="s">
        <v>35</v>
      </c>
      <c r="G5" s="75" t="s">
        <v>34</v>
      </c>
      <c r="H5" s="75" t="s">
        <v>35</v>
      </c>
      <c r="I5" s="75"/>
      <c r="J5" s="87" t="s">
        <v>36</v>
      </c>
      <c r="K5" s="88" t="s">
        <v>34</v>
      </c>
      <c r="L5" s="75" t="s">
        <v>35</v>
      </c>
      <c r="M5" s="75"/>
      <c r="N5" s="89"/>
      <c r="O5" s="90" t="s">
        <v>37</v>
      </c>
      <c r="P5" s="87" t="s">
        <v>38</v>
      </c>
      <c r="Q5" s="87" t="s">
        <v>39</v>
      </c>
    </row>
    <row r="6" spans="1:17" ht="14.25" hidden="1" customHeight="1" x14ac:dyDescent="0.25">
      <c r="A6" s="24"/>
      <c r="B6" s="17">
        <v>0</v>
      </c>
      <c r="C6" s="17">
        <v>0</v>
      </c>
      <c r="D6" s="17"/>
      <c r="E6" s="110"/>
      <c r="F6" s="17"/>
      <c r="G6" s="17"/>
      <c r="H6" s="17"/>
      <c r="I6" s="17"/>
      <c r="J6" s="17"/>
      <c r="K6" s="14"/>
      <c r="L6" s="15"/>
      <c r="M6" s="15"/>
      <c r="N6" s="13"/>
      <c r="O6" s="14"/>
      <c r="Q6" s="13"/>
    </row>
    <row r="7" spans="1:17" x14ac:dyDescent="0.25">
      <c r="A7" s="153">
        <v>1</v>
      </c>
      <c r="B7" s="91">
        <f>1/12</f>
        <v>8.3333333333333329E-2</v>
      </c>
      <c r="C7" s="91">
        <v>8.3333333333333329E-2</v>
      </c>
      <c r="D7" s="111">
        <v>0</v>
      </c>
      <c r="E7" s="93">
        <f>SUMIFS('Normal scenario'!$K$9:$K$995,'Normal scenario'!$E$9:$E$995,"USD",'Normal scenario'!$K$9:$K$995,"&gt;0",'Normal scenario'!$N$9:$N$995,"=1",'Normal scenario'!$L$9:$L$995,"&gt;="&amp;B6,'Normal scenario'!$L$9:$L$995,"&lt;"&amp;B7)+SUMIFS('Normal scenario'!$K$9:$K$995,'Normal scenario'!$E$9:$E$995,"USD",'Normal scenario'!$K$9:$K$995,"&gt;0",'Normal scenario'!$N$9:$N$995,"=2",'Normal scenario'!$L$9:$L$995,"&gt;="&amp;C6,'Normal scenario'!$L$9:$L$995,"&lt;"&amp;C7)</f>
        <v>0</v>
      </c>
      <c r="F7" s="93">
        <f>SUMIFS('Normal scenario'!$K$9:$K$995,'Normal scenario'!$E$9:$E$995,"USD",'Normal scenario'!$K$9:$K$995,"&lt;0",'Normal scenario'!$N$9:$N$995,"=1",'Normal scenario'!$L$9:$L$995,"&gt;="&amp;B6,'Normal scenario'!$L$9:$L$995,"&lt;"&amp;B7)+SUMIFS('Normal scenario'!$K$9:$K$995,'Normal scenario'!$E$9:$E$995,"USD",'Normal scenario'!$K$9:$K$995,"&lt;0",'Normal scenario'!$N$9:$N$995,"=2",'Normal scenario'!$L$9:$L$995,"&gt;="&amp;C6,'Normal scenario'!$L$9:$L$995,"&lt;"&amp;C7)</f>
        <v>0</v>
      </c>
      <c r="G7" s="93">
        <f>E7*$D7</f>
        <v>0</v>
      </c>
      <c r="H7" s="93">
        <f>F7*$D7</f>
        <v>0</v>
      </c>
      <c r="I7" s="93">
        <f>MIN(ABS(G7),ABS(H7))</f>
        <v>0</v>
      </c>
      <c r="J7" s="93">
        <f>ABS(G7)-ABS(H7)</f>
        <v>0</v>
      </c>
      <c r="K7" s="94"/>
      <c r="L7" s="95"/>
      <c r="M7" s="95"/>
      <c r="N7" s="96"/>
      <c r="O7" s="94"/>
      <c r="P7" s="97"/>
      <c r="Q7" s="98"/>
    </row>
    <row r="8" spans="1:17" x14ac:dyDescent="0.25">
      <c r="A8" s="154"/>
      <c r="B8" s="83">
        <f>1/4</f>
        <v>0.25</v>
      </c>
      <c r="C8" s="83">
        <f>1/4</f>
        <v>0.25</v>
      </c>
      <c r="D8" s="85">
        <v>2E-3</v>
      </c>
      <c r="E8" s="16">
        <f>SUMIFS('Normal scenario'!$K$9:$K$995,'Normal scenario'!$E$9:$E$995,"USD",'Normal scenario'!$K$9:$K$995,"&gt;0",'Normal scenario'!$N$9:$N$995,"=1",'Normal scenario'!$L$9:$L$995,"&gt;="&amp;B7,'Normal scenario'!$L$9:$L$995,"&lt;"&amp;B8)+SUMIFS('Normal scenario'!$K$9:$K$995,'Normal scenario'!$E$9:$E$995,"USD",'Normal scenario'!$K$9:$K$995,"&gt;0",'Normal scenario'!$N$9:$N$995,"=2",'Normal scenario'!$L$9:$L$995,"&gt;="&amp;C7,'Normal scenario'!$L$9:$L$995,"&lt;"&amp;C8)</f>
        <v>0</v>
      </c>
      <c r="F8" s="16">
        <f>SUMIFS('Normal scenario'!$K$9:$K$995,'Normal scenario'!$E$9:$E$995,"USD",'Normal scenario'!$K$9:$K$995,"&lt;0",'Normal scenario'!$N$9:$N$995,"=1",'Normal scenario'!$L$9:$L$995,"&gt;="&amp;B7,'Normal scenario'!$L$9:$L$995,"&lt;"&amp;B8)+SUMIFS('Normal scenario'!$K$9:$K$995,'Normal scenario'!$E$9:$E$995,"USD",'Normal scenario'!$K$9:$K$995,"&lt;0",'Normal scenario'!$N$9:$N$995,"=2",'Normal scenario'!$L$9:$L$995,"&gt;="&amp;C7,'Normal scenario'!$L$9:$L$995,"&lt;"&amp;C8)</f>
        <v>0</v>
      </c>
      <c r="G8" s="16">
        <f t="shared" ref="G8:H21" si="0">E8*$D8</f>
        <v>0</v>
      </c>
      <c r="H8" s="16">
        <f t="shared" si="0"/>
        <v>0</v>
      </c>
      <c r="I8" s="16">
        <f t="shared" ref="I8:I21" si="1">MIN(ABS(G8),ABS(H8))</f>
        <v>0</v>
      </c>
      <c r="J8" s="16">
        <f t="shared" ref="J8:J21" si="2">ABS(G8)-ABS(H8)</f>
        <v>0</v>
      </c>
      <c r="K8" s="18"/>
      <c r="L8" s="21"/>
      <c r="M8" s="21"/>
      <c r="N8" s="19"/>
      <c r="O8" s="18"/>
      <c r="P8" s="99"/>
      <c r="Q8" s="100"/>
    </row>
    <row r="9" spans="1:17" x14ac:dyDescent="0.25">
      <c r="A9" s="154"/>
      <c r="B9" s="83">
        <f>1/2</f>
        <v>0.5</v>
      </c>
      <c r="C9" s="83">
        <f>1/2</f>
        <v>0.5</v>
      </c>
      <c r="D9" s="85">
        <v>4.0000000000000001E-3</v>
      </c>
      <c r="E9" s="16">
        <f>SUMIFS('Normal scenario'!$K$9:$K$995,'Normal scenario'!$E$9:$E$995,"USD",'Normal scenario'!$K$9:$K$995,"&gt;0",'Normal scenario'!$N$9:$N$995,"=1",'Normal scenario'!$L$9:$L$995,"&gt;="&amp;B8,'Normal scenario'!$L$9:$L$995,"&lt;"&amp;B9)+SUMIFS('Normal scenario'!$K$9:$K$995,'Normal scenario'!$E$9:$E$995,"USD",'Normal scenario'!$K$9:$K$995,"&gt;0",'Normal scenario'!$N$9:$N$995,"=2",'Normal scenario'!$L$9:$L$995,"&gt;="&amp;C8,'Normal scenario'!$L$9:$L$995,"&lt;"&amp;C9)</f>
        <v>0</v>
      </c>
      <c r="F9" s="16">
        <f>SUMIFS('Normal scenario'!$K$9:$K$995,'Normal scenario'!$E$9:$E$995,"USD",'Normal scenario'!$K$9:$K$995,"&lt;0",'Normal scenario'!$N$9:$N$995,"=1",'Normal scenario'!$L$9:$L$995,"&gt;="&amp;B8,'Normal scenario'!$L$9:$L$995,"&lt;"&amp;B9)+SUMIFS('Normal scenario'!$K$9:$K$995,'Normal scenario'!$E$9:$E$995,"USD",'Normal scenario'!$K$9:$K$995,"&lt;0",'Normal scenario'!$N$9:$N$995,"=2",'Normal scenario'!$L$9:$L$995,"&gt;="&amp;C8,'Normal scenario'!$L$9:$L$995,"&lt;"&amp;C9)</f>
        <v>0</v>
      </c>
      <c r="G9" s="16">
        <f t="shared" si="0"/>
        <v>0</v>
      </c>
      <c r="H9" s="16">
        <f t="shared" si="0"/>
        <v>0</v>
      </c>
      <c r="I9" s="16">
        <f t="shared" si="1"/>
        <v>0</v>
      </c>
      <c r="J9" s="16">
        <f t="shared" si="2"/>
        <v>0</v>
      </c>
      <c r="K9" s="18"/>
      <c r="L9" s="21"/>
      <c r="M9" s="22" t="s">
        <v>40</v>
      </c>
      <c r="N9" s="19"/>
      <c r="O9" s="18"/>
      <c r="P9" s="99"/>
      <c r="Q9" s="100"/>
    </row>
    <row r="10" spans="1:17" ht="15.75" thickBot="1" x14ac:dyDescent="0.3">
      <c r="A10" s="155"/>
      <c r="B10" s="101">
        <v>1</v>
      </c>
      <c r="C10" s="101">
        <v>1</v>
      </c>
      <c r="D10" s="102">
        <v>7.0000000000000001E-3</v>
      </c>
      <c r="E10" s="103">
        <f>SUMIFS('Normal scenario'!$K$9:$K$995,'Normal scenario'!$E$9:$E$995,"USD",'Normal scenario'!$K$9:$K$995,"&gt;0",'Normal scenario'!$N$9:$N$995,"=1",'Normal scenario'!$L$9:$L$995,"&gt;="&amp;B9,'Normal scenario'!$L$9:$L$995,"&lt;"&amp;B10)+SUMIFS('Normal scenario'!$K$9:$K$995,'Normal scenario'!$E$9:$E$995,"USD",'Normal scenario'!$K$9:$K$995,"&gt;0",'Normal scenario'!$N$9:$N$995,"=2",'Normal scenario'!$L$9:$L$995,"&gt;="&amp;C9,'Normal scenario'!$L$9:$L$995,"&lt;"&amp;C10)</f>
        <v>0</v>
      </c>
      <c r="F10" s="103">
        <f>SUMIFS('Normal scenario'!$K$9:$K$995,'Normal scenario'!$E$9:$E$995,"USD",'Normal scenario'!$K$9:$K$995,"&lt;0",'Normal scenario'!$N$9:$N$995,"=1",'Normal scenario'!$L$9:$L$995,"&gt;="&amp;B9,'Normal scenario'!$L$9:$L$995,"&lt;"&amp;B10)+SUMIFS('Normal scenario'!$K$9:$K$995,'Normal scenario'!$E$9:$E$995,"USD",'Normal scenario'!$K$9:$K$995,"&lt;0",'Normal scenario'!$N$9:$N$995,"=2",'Normal scenario'!$L$9:$L$995,"&gt;="&amp;C9,'Normal scenario'!$L$9:$L$995,"&lt;"&amp;C10)</f>
        <v>0</v>
      </c>
      <c r="G10" s="103">
        <f t="shared" si="0"/>
        <v>0</v>
      </c>
      <c r="H10" s="103">
        <f t="shared" si="0"/>
        <v>0</v>
      </c>
      <c r="I10" s="103">
        <f t="shared" si="1"/>
        <v>0</v>
      </c>
      <c r="J10" s="103">
        <f t="shared" si="2"/>
        <v>0</v>
      </c>
      <c r="K10" s="104">
        <f>SUMIF(J7:J10,"&gt;=0",J7:J10)</f>
        <v>0</v>
      </c>
      <c r="L10" s="103">
        <f>SUMIF(J7:J10,"&lt;0",J7:J10)</f>
        <v>0</v>
      </c>
      <c r="M10" s="105">
        <f>MIN(ABS(K10),ABS(L10))</f>
        <v>0</v>
      </c>
      <c r="N10" s="106">
        <f>ABS(K10)-ABS(L10)</f>
        <v>0</v>
      </c>
      <c r="O10" s="107"/>
      <c r="P10" s="108"/>
      <c r="Q10" s="109"/>
    </row>
    <row r="11" spans="1:17" x14ac:dyDescent="0.25">
      <c r="A11" s="153">
        <v>2</v>
      </c>
      <c r="B11" s="91">
        <v>2</v>
      </c>
      <c r="C11" s="91">
        <v>1.9</v>
      </c>
      <c r="D11" s="92">
        <v>1.2500000000000001E-2</v>
      </c>
      <c r="E11" s="93">
        <f>SUMIFS('Normal scenario'!$K$9:$K$995,'Normal scenario'!$E$9:$E$995,"USD",'Normal scenario'!$K$9:$K$995,"&gt;0",'Normal scenario'!$N$9:$N$995,"=1",'Normal scenario'!$L$9:$L$995,"&gt;="&amp;B10,'Normal scenario'!$L$9:$L$995,"&lt;"&amp;B11)+SUMIFS('Normal scenario'!$K$9:$K$995,'Normal scenario'!$E$9:$E$995,"USD",'Normal scenario'!$K$9:$K$995,"&gt;0",'Normal scenario'!$N$9:$N$995,"=2",'Normal scenario'!$L$9:$L$995,"&gt;="&amp;C10,'Normal scenario'!$L$9:$L$995,"&lt;"&amp;C11)</f>
        <v>0</v>
      </c>
      <c r="F11" s="93">
        <f>SUMIFS('Normal scenario'!$K$9:$K$995,'Normal scenario'!$E$9:$E$995,"USD",'Normal scenario'!$K$9:$K$995,"&lt;0",'Normal scenario'!$N$9:$N$995,"=1",'Normal scenario'!$L$9:$L$995,"&gt;="&amp;B10,'Normal scenario'!$L$9:$L$995,"&lt;"&amp;B11)+SUMIFS('Normal scenario'!$K$9:$K$995,'Normal scenario'!$E$9:$E$995,"USD",'Normal scenario'!$K$9:$K$995,"&lt;0",'Normal scenario'!$N$9:$N$995,"=2",'Normal scenario'!$L$9:$L$995,"&gt;="&amp;C10,'Normal scenario'!$L$9:$L$995,"&lt;"&amp;C11)</f>
        <v>0</v>
      </c>
      <c r="G11" s="93">
        <f t="shared" si="0"/>
        <v>0</v>
      </c>
      <c r="H11" s="93">
        <f t="shared" si="0"/>
        <v>0</v>
      </c>
      <c r="I11" s="93">
        <f t="shared" si="1"/>
        <v>0</v>
      </c>
      <c r="J11" s="93">
        <f t="shared" si="2"/>
        <v>0</v>
      </c>
      <c r="K11" s="94"/>
      <c r="L11" s="95"/>
      <c r="M11" s="95"/>
      <c r="N11" s="96"/>
      <c r="O11" s="94"/>
      <c r="P11" s="97"/>
      <c r="Q11" s="98"/>
    </row>
    <row r="12" spans="1:17" x14ac:dyDescent="0.25">
      <c r="A12" s="154"/>
      <c r="B12" s="83">
        <v>3</v>
      </c>
      <c r="C12" s="83">
        <v>2.8</v>
      </c>
      <c r="D12" s="85">
        <v>1.7500000000000002E-2</v>
      </c>
      <c r="E12" s="16">
        <f>SUMIFS('Normal scenario'!$K$9:$K$995,'Normal scenario'!$E$9:$E$995,"USD",'Normal scenario'!$K$9:$K$995,"&gt;0",'Normal scenario'!$N$9:$N$995,"=1",'Normal scenario'!$L$9:$L$995,"&gt;="&amp;B11,'Normal scenario'!$L$9:$L$995,"&lt;"&amp;B12)+SUMIFS('Normal scenario'!$K$9:$K$995,'Normal scenario'!$E$9:$E$995,"USD",'Normal scenario'!$K$9:$K$995,"&gt;0",'Normal scenario'!$N$9:$N$995,"=2",'Normal scenario'!$L$9:$L$995,"&gt;="&amp;C11,'Normal scenario'!$L$9:$L$995,"&lt;"&amp;C12)</f>
        <v>0</v>
      </c>
      <c r="F12" s="16">
        <f>SUMIFS('Normal scenario'!$K$9:$K$995,'Normal scenario'!$E$9:$E$995,"USD",'Normal scenario'!$K$9:$K$995,"&lt;0",'Normal scenario'!$N$9:$N$995,"=1",'Normal scenario'!$L$9:$L$995,"&gt;="&amp;B11,'Normal scenario'!$L$9:$L$995,"&lt;"&amp;B12)+SUMIFS('Normal scenario'!$K$9:$K$995,'Normal scenario'!$E$9:$E$995,"USD",'Normal scenario'!$K$9:$K$995,"&lt;0",'Normal scenario'!$N$9:$N$995,"=2",'Normal scenario'!$L$9:$L$995,"&gt;="&amp;C11,'Normal scenario'!$L$9:$L$995,"&lt;"&amp;C12)</f>
        <v>0</v>
      </c>
      <c r="G12" s="16">
        <f t="shared" si="0"/>
        <v>0</v>
      </c>
      <c r="H12" s="16">
        <f t="shared" si="0"/>
        <v>0</v>
      </c>
      <c r="I12" s="16">
        <f t="shared" si="1"/>
        <v>0</v>
      </c>
      <c r="J12" s="16">
        <f t="shared" si="2"/>
        <v>0</v>
      </c>
      <c r="K12" s="18"/>
      <c r="L12" s="21"/>
      <c r="M12" s="22" t="s">
        <v>41</v>
      </c>
      <c r="N12" s="19"/>
      <c r="O12" s="18"/>
      <c r="P12" s="99"/>
      <c r="Q12" s="100"/>
    </row>
    <row r="13" spans="1:17" ht="15.75" thickBot="1" x14ac:dyDescent="0.3">
      <c r="A13" s="155"/>
      <c r="B13" s="101">
        <v>4</v>
      </c>
      <c r="C13" s="101">
        <v>3.6</v>
      </c>
      <c r="D13" s="102">
        <v>2.2499999999999999E-2</v>
      </c>
      <c r="E13" s="103">
        <f>SUMIFS('Normal scenario'!$K$9:$K$995,'Normal scenario'!$E$9:$E$995,"USD",'Normal scenario'!$K$9:$K$995,"&gt;0",'Normal scenario'!$N$9:$N$995,"=1",'Normal scenario'!$L$9:$L$995,"&gt;="&amp;B12,'Normal scenario'!$L$9:$L$995,"&lt;"&amp;B13)+SUMIFS('Normal scenario'!$K$9:$K$995,'Normal scenario'!$E$9:$E$995,"USD",'Normal scenario'!$K$9:$K$995,"&gt;0",'Normal scenario'!$N$9:$N$995,"=2",'Normal scenario'!$L$9:$L$995,"&gt;="&amp;C12,'Normal scenario'!$L$9:$L$995,"&lt;"&amp;C13)</f>
        <v>0</v>
      </c>
      <c r="F13" s="103">
        <f>SUMIFS('Normal scenario'!$K$9:$K$995,'Normal scenario'!$E$9:$E$995,"USD",'Normal scenario'!$K$9:$K$995,"&lt;0",'Normal scenario'!$N$9:$N$995,"=1",'Normal scenario'!$L$9:$L$995,"&gt;="&amp;B12,'Normal scenario'!$L$9:$L$995,"&lt;"&amp;B13)+SUMIFS('Normal scenario'!$K$9:$K$995,'Normal scenario'!$E$9:$E$995,"USD",'Normal scenario'!$K$9:$K$995,"&lt;0",'Normal scenario'!$N$9:$N$995,"=2",'Normal scenario'!$L$9:$L$995,"&gt;="&amp;C12,'Normal scenario'!$L$9:$L$995,"&lt;"&amp;C13)</f>
        <v>0</v>
      </c>
      <c r="G13" s="103">
        <f t="shared" si="0"/>
        <v>0</v>
      </c>
      <c r="H13" s="103">
        <f t="shared" si="0"/>
        <v>0</v>
      </c>
      <c r="I13" s="103">
        <f t="shared" si="1"/>
        <v>0</v>
      </c>
      <c r="J13" s="103">
        <f t="shared" si="2"/>
        <v>0</v>
      </c>
      <c r="K13" s="104">
        <f>SUMIF(J11:J13,"&gt;=0",J11:J13)</f>
        <v>0</v>
      </c>
      <c r="L13" s="103">
        <f>SUMIF(J11:J13,"&lt;0",J11:J13)</f>
        <v>0</v>
      </c>
      <c r="M13" s="105">
        <f>MIN(ABS(K13),ABS(L13))</f>
        <v>0</v>
      </c>
      <c r="N13" s="106">
        <f>ABS(K13)-ABS(L13)</f>
        <v>0</v>
      </c>
      <c r="O13" s="107"/>
      <c r="P13" s="108"/>
      <c r="Q13" s="109"/>
    </row>
    <row r="14" spans="1:17" x14ac:dyDescent="0.25">
      <c r="A14" s="153">
        <v>3</v>
      </c>
      <c r="B14" s="91">
        <v>5</v>
      </c>
      <c r="C14" s="91">
        <v>4.3</v>
      </c>
      <c r="D14" s="92">
        <v>2.75E-2</v>
      </c>
      <c r="E14" s="93">
        <f>SUMIFS('Normal scenario'!$K$9:$K$995,'Normal scenario'!$E$9:$E$995,"USD",'Normal scenario'!$K$9:$K$995,"&gt;0",'Normal scenario'!$N$9:$N$995,"=1",'Normal scenario'!$L$9:$L$995,"&gt;="&amp;B13,'Normal scenario'!$L$9:$L$995,"&lt;"&amp;B14)+SUMIFS('Normal scenario'!$K$9:$K$995,'Normal scenario'!$E$9:$E$995,"USD",'Normal scenario'!$K$9:$K$995,"&gt;0",'Normal scenario'!$N$9:$N$995,"=2",'Normal scenario'!$L$9:$L$995,"&gt;="&amp;C13,'Normal scenario'!$L$9:$L$995,"&lt;"&amp;C14)</f>
        <v>21996371.702236526</v>
      </c>
      <c r="F14" s="93">
        <f>SUMIFS('Normal scenario'!$K$9:$K$995,'Normal scenario'!$E$9:$E$995,"USD",'Normal scenario'!$K$9:$K$995,"&lt;0",'Normal scenario'!$N$9:$N$995,"=1",'Normal scenario'!$L$9:$L$995,"&gt;="&amp;B13,'Normal scenario'!$L$9:$L$995,"&lt;"&amp;B14)+SUMIFS('Normal scenario'!$K$9:$K$995,'Normal scenario'!$E$9:$E$995,"USD",'Normal scenario'!$K$9:$K$995,"&lt;0",'Normal scenario'!$N$9:$N$995,"=2",'Normal scenario'!$L$9:$L$995,"&gt;="&amp;C13,'Normal scenario'!$L$9:$L$995,"&lt;"&amp;C14)</f>
        <v>0</v>
      </c>
      <c r="G14" s="93">
        <f t="shared" si="0"/>
        <v>604900.22181150445</v>
      </c>
      <c r="H14" s="93">
        <f t="shared" si="0"/>
        <v>0</v>
      </c>
      <c r="I14" s="93">
        <f t="shared" si="1"/>
        <v>0</v>
      </c>
      <c r="J14" s="93">
        <f t="shared" si="2"/>
        <v>604900.22181150445</v>
      </c>
      <c r="K14" s="94"/>
      <c r="L14" s="95"/>
      <c r="M14" s="95"/>
      <c r="N14" s="96"/>
      <c r="O14" s="94"/>
      <c r="P14" s="97"/>
      <c r="Q14" s="98"/>
    </row>
    <row r="15" spans="1:17" x14ac:dyDescent="0.25">
      <c r="A15" s="154"/>
      <c r="B15" s="83">
        <v>7</v>
      </c>
      <c r="C15" s="83">
        <v>5.7</v>
      </c>
      <c r="D15" s="85">
        <v>3.2500000000000001E-2</v>
      </c>
      <c r="E15" s="16">
        <f>SUMIFS('Normal scenario'!$K$9:$K$995,'Normal scenario'!$E$9:$E$995,"USD",'Normal scenario'!$K$9:$K$995,"&gt;0",'Normal scenario'!$N$9:$N$995,"=1",'Normal scenario'!$L$9:$L$995,"&gt;="&amp;B14,'Normal scenario'!$L$9:$L$995,"&lt;"&amp;B15)+SUMIFS('Normal scenario'!$K$9:$K$995,'Normal scenario'!$E$9:$E$995,"USD",'Normal scenario'!$K$9:$K$995,"&gt;0",'Normal scenario'!$N$9:$N$995,"=2",'Normal scenario'!$L$9:$L$995,"&gt;="&amp;C14,'Normal scenario'!$L$9:$L$995,"&lt;"&amp;C15)</f>
        <v>0</v>
      </c>
      <c r="F15" s="16">
        <f>SUMIFS('Normal scenario'!$K$9:$K$995,'Normal scenario'!$E$9:$E$995,"USD",'Normal scenario'!$K$9:$K$995,"&lt;0",'Normal scenario'!$N$9:$N$995,"=1",'Normal scenario'!$L$9:$L$995,"&gt;="&amp;B14,'Normal scenario'!$L$9:$L$995,"&lt;"&amp;B15)+SUMIFS('Normal scenario'!$K$9:$K$995,'Normal scenario'!$E$9:$E$995,"USD",'Normal scenario'!$K$9:$K$995,"&lt;0",'Normal scenario'!$N$9:$N$995,"=2",'Normal scenario'!$L$9:$L$995,"&gt;="&amp;C14,'Normal scenario'!$L$9:$L$995,"&lt;"&amp;C15)</f>
        <v>0</v>
      </c>
      <c r="G15" s="16">
        <f t="shared" si="0"/>
        <v>0</v>
      </c>
      <c r="H15" s="16">
        <f t="shared" si="0"/>
        <v>0</v>
      </c>
      <c r="I15" s="16">
        <f t="shared" si="1"/>
        <v>0</v>
      </c>
      <c r="J15" s="16">
        <f t="shared" si="2"/>
        <v>0</v>
      </c>
      <c r="K15" s="18"/>
      <c r="L15" s="21"/>
      <c r="M15" s="21"/>
      <c r="N15" s="19"/>
      <c r="O15" s="18"/>
      <c r="P15" s="99"/>
      <c r="Q15" s="100"/>
    </row>
    <row r="16" spans="1:17" x14ac:dyDescent="0.25">
      <c r="A16" s="154"/>
      <c r="B16" s="83">
        <v>10</v>
      </c>
      <c r="C16" s="83">
        <v>7.3</v>
      </c>
      <c r="D16" s="85">
        <v>3.7499999999999999E-2</v>
      </c>
      <c r="E16" s="16">
        <f>SUMIFS('Normal scenario'!$K$9:$K$995,'Normal scenario'!$E$9:$E$995,"USD",'Normal scenario'!$K$9:$K$995,"&gt;0",'Normal scenario'!$N$9:$N$995,"=1",'Normal scenario'!$L$9:$L$995,"&gt;="&amp;B15,'Normal scenario'!$L$9:$L$995,"&lt;"&amp;B16)+SUMIFS('Normal scenario'!$K$9:$K$995,'Normal scenario'!$E$9:$E$995,"USD",'Normal scenario'!$K$9:$K$995,"&gt;0",'Normal scenario'!$N$9:$N$995,"=2",'Normal scenario'!$L$9:$L$995,"&gt;="&amp;C15,'Normal scenario'!$L$9:$L$995,"&lt;"&amp;C16)</f>
        <v>0</v>
      </c>
      <c r="F16" s="16">
        <f>SUMIFS('Normal scenario'!$K$9:$K$995,'Normal scenario'!$E$9:$E$995,"USD",'Normal scenario'!$K$9:$K$995,"&lt;0",'Normal scenario'!$N$9:$N$995,"=1",'Normal scenario'!$L$9:$L$995,"&gt;="&amp;B15,'Normal scenario'!$L$9:$L$995,"&lt;"&amp;B16)+SUMIFS('Normal scenario'!$K$9:$K$995,'Normal scenario'!$E$9:$E$995,"USD",'Normal scenario'!$K$9:$K$995,"&lt;0",'Normal scenario'!$N$9:$N$995,"=2",'Normal scenario'!$L$9:$L$995,"&gt;="&amp;C15,'Normal scenario'!$L$9:$L$995,"&lt;"&amp;C16)</f>
        <v>0</v>
      </c>
      <c r="G16" s="16">
        <f t="shared" si="0"/>
        <v>0</v>
      </c>
      <c r="H16" s="16">
        <f t="shared" si="0"/>
        <v>0</v>
      </c>
      <c r="I16" s="16">
        <f t="shared" si="1"/>
        <v>0</v>
      </c>
      <c r="J16" s="16">
        <f t="shared" si="2"/>
        <v>0</v>
      </c>
      <c r="K16" s="18"/>
      <c r="L16" s="21"/>
      <c r="M16" s="21"/>
      <c r="N16" s="19"/>
      <c r="O16" s="18"/>
      <c r="P16" s="99"/>
      <c r="Q16" s="100"/>
    </row>
    <row r="17" spans="1:17" x14ac:dyDescent="0.25">
      <c r="A17" s="154"/>
      <c r="B17" s="83">
        <v>15</v>
      </c>
      <c r="C17" s="83">
        <v>9.3000000000000007</v>
      </c>
      <c r="D17" s="85">
        <v>4.4999999999999998E-2</v>
      </c>
      <c r="E17" s="16">
        <f>SUMIFS('Normal scenario'!$K$9:$K$995,'Normal scenario'!$E$9:$E$995,"USD",'Normal scenario'!$K$9:$K$995,"&gt;0",'Normal scenario'!$N$9:$N$995,"=1",'Normal scenario'!$L$9:$L$995,"&gt;="&amp;B16,'Normal scenario'!$L$9:$L$995,"&lt;"&amp;B17)+SUMIFS('Normal scenario'!$K$9:$K$995,'Normal scenario'!$E$9:$E$995,"USD",'Normal scenario'!$K$9:$K$995,"&gt;0",'Normal scenario'!$N$9:$N$995,"=2",'Normal scenario'!$L$9:$L$995,"&gt;="&amp;C16,'Normal scenario'!$L$9:$L$995,"&lt;"&amp;C17)</f>
        <v>0</v>
      </c>
      <c r="F17" s="16">
        <f>SUMIFS('Normal scenario'!$K$9:$K$995,'Normal scenario'!$E$9:$E$995,"USD",'Normal scenario'!$K$9:$K$995,"&lt;0",'Normal scenario'!$N$9:$N$995,"=1",'Normal scenario'!$L$9:$L$995,"&gt;="&amp;B16,'Normal scenario'!$L$9:$L$995,"&lt;"&amp;B17)+SUMIFS('Normal scenario'!$K$9:$K$995,'Normal scenario'!$E$9:$E$995,"USD",'Normal scenario'!$K$9:$K$995,"&lt;0",'Normal scenario'!$N$9:$N$995,"=2",'Normal scenario'!$L$9:$L$995,"&gt;="&amp;C16,'Normal scenario'!$L$9:$L$995,"&lt;"&amp;C17)</f>
        <v>0</v>
      </c>
      <c r="G17" s="16">
        <f t="shared" si="0"/>
        <v>0</v>
      </c>
      <c r="H17" s="16">
        <f t="shared" si="0"/>
        <v>0</v>
      </c>
      <c r="I17" s="16">
        <f t="shared" si="1"/>
        <v>0</v>
      </c>
      <c r="J17" s="16">
        <f t="shared" si="2"/>
        <v>0</v>
      </c>
      <c r="K17" s="18"/>
      <c r="L17" s="21"/>
      <c r="M17" s="21"/>
      <c r="N17" s="19"/>
      <c r="O17" s="18"/>
      <c r="P17" s="99"/>
      <c r="Q17" s="100"/>
    </row>
    <row r="18" spans="1:17" x14ac:dyDescent="0.25">
      <c r="A18" s="154"/>
      <c r="B18" s="83">
        <v>20</v>
      </c>
      <c r="C18" s="83">
        <v>10.6</v>
      </c>
      <c r="D18" s="85">
        <v>5.2499999999999998E-2</v>
      </c>
      <c r="E18" s="16">
        <f>SUMIFS('Normal scenario'!$K$9:$K$995,'Normal scenario'!$E$9:$E$995,"USD",'Normal scenario'!$K$9:$K$995,"&gt;0",'Normal scenario'!$N$9:$N$995,"=1",'Normal scenario'!$L$9:$L$995,"&gt;="&amp;B17,'Normal scenario'!$L$9:$L$995,"&lt;"&amp;B18)+SUMIFS('Normal scenario'!$K$9:$K$995,'Normal scenario'!$E$9:$E$995,"USD",'Normal scenario'!$K$9:$K$995,"&gt;0",'Normal scenario'!$N$9:$N$995,"=2",'Normal scenario'!$L$9:$L$995,"&gt;="&amp;C17,'Normal scenario'!$L$9:$L$995,"&lt;"&amp;C18)</f>
        <v>0</v>
      </c>
      <c r="F18" s="16">
        <f>SUMIFS('Normal scenario'!$K$9:$K$995,'Normal scenario'!$E$9:$E$995,"USD",'Normal scenario'!$K$9:$K$995,"&lt;0",'Normal scenario'!$N$9:$N$995,"=1",'Normal scenario'!$L$9:$L$995,"&gt;="&amp;B17,'Normal scenario'!$L$9:$L$995,"&lt;"&amp;B18)+SUMIFS('Normal scenario'!$K$9:$K$995,'Normal scenario'!$E$9:$E$995,"USD",'Normal scenario'!$K$9:$K$995,"&lt;0",'Normal scenario'!$N$9:$N$995,"=2",'Normal scenario'!$L$9:$L$995,"&gt;="&amp;C17,'Normal scenario'!$L$9:$L$995,"&lt;"&amp;C18)</f>
        <v>0</v>
      </c>
      <c r="G18" s="16">
        <f t="shared" si="0"/>
        <v>0</v>
      </c>
      <c r="H18" s="16">
        <f t="shared" si="0"/>
        <v>0</v>
      </c>
      <c r="I18" s="16">
        <f t="shared" si="1"/>
        <v>0</v>
      </c>
      <c r="J18" s="16">
        <f t="shared" si="2"/>
        <v>0</v>
      </c>
      <c r="K18" s="18"/>
      <c r="L18" s="21"/>
      <c r="M18" s="21"/>
      <c r="N18" s="19"/>
      <c r="O18" s="18"/>
      <c r="P18" s="99"/>
      <c r="Q18" s="100"/>
    </row>
    <row r="19" spans="1:17" x14ac:dyDescent="0.25">
      <c r="A19" s="154"/>
      <c r="B19" s="83"/>
      <c r="C19" s="83">
        <v>12</v>
      </c>
      <c r="D19" s="84">
        <v>0.06</v>
      </c>
      <c r="E19" s="16">
        <f>SUMIFS('Normal scenario'!$K$9:$K$995,'Normal scenario'!$E$9:$E$995,"USD",'Normal scenario'!$K$9:$K$995,"&gt;0",'Normal scenario'!$N$9:$N$995,"=1",'Normal scenario'!$L$9:$L$995,"&gt;="&amp;$B$18)+SUMIFS('Normal scenario'!$K$9:$K$995,'Normal scenario'!$E$9:$E$995,"USD",'Normal scenario'!$K$9:$K$995,"&gt;0",'Normal scenario'!$N$9:$N$995,"=2",'Normal scenario'!$L$9:$L$995,"&gt;="&amp;C18,'Normal scenario'!$L$9:$L$995,"&lt;"&amp;C19)</f>
        <v>0</v>
      </c>
      <c r="F19" s="16">
        <f>SUMIFS('Normal scenario'!$K$9:$K$995,'Normal scenario'!$E$9:$E$995,"USD",'Normal scenario'!$K$9:$K$995,"&lt;0",'Normal scenario'!$N$9:$N$995,"=1",'Normal scenario'!$L$9:$L$995,"&gt;="&amp;$B$18)+SUMIFS('Normal scenario'!$K$9:$K$995,'Normal scenario'!$E$9:$E$995,"USD",'Normal scenario'!$K$9:$K$995,"&lt;0",'Normal scenario'!$N$9:$N$995,"=2",'Normal scenario'!$L$9:$L$995,"&gt;="&amp;C18,'Normal scenario'!$L$9:$L$995,"&lt;"&amp;C19)</f>
        <v>0</v>
      </c>
      <c r="G19" s="16">
        <f t="shared" si="0"/>
        <v>0</v>
      </c>
      <c r="H19" s="16">
        <f t="shared" si="0"/>
        <v>0</v>
      </c>
      <c r="I19" s="16">
        <f t="shared" si="1"/>
        <v>0</v>
      </c>
      <c r="J19" s="16">
        <f t="shared" si="2"/>
        <v>0</v>
      </c>
      <c r="K19" s="18"/>
      <c r="L19" s="21"/>
      <c r="M19" s="21"/>
      <c r="N19" s="19"/>
      <c r="O19" s="18"/>
      <c r="P19" s="99"/>
      <c r="Q19" s="100"/>
    </row>
    <row r="20" spans="1:17" x14ac:dyDescent="0.25">
      <c r="A20" s="154"/>
      <c r="B20" s="83"/>
      <c r="C20" s="83">
        <v>20</v>
      </c>
      <c r="D20" s="84">
        <v>0.08</v>
      </c>
      <c r="E20" s="16">
        <f>SUMIFS('Normal scenario'!$K$9:$K$995,'Normal scenario'!$E$9:$E$995,"USD",'Normal scenario'!$K$9:$K$995,"&gt;0",'Normal scenario'!$N$9:$N$995,"=1",'Normal scenario'!$L$9:$L$995,"&gt;="&amp;$B$18)+SUMIFS('Normal scenario'!$K$9:$K$995,'Normal scenario'!$E$9:$E$995,"USD",'Normal scenario'!$K$9:$K$995,"&gt;0",'Normal scenario'!$N$9:$N$995,"=2",'Normal scenario'!$L$9:$L$995,"&gt;="&amp;C19,'Normal scenario'!$L$9:$L$995,"&lt;"&amp;C20)</f>
        <v>0</v>
      </c>
      <c r="F20" s="16">
        <f>SUMIFS('Normal scenario'!$K$9:$K$995,'Normal scenario'!$E$9:$E$995,"USD",'Normal scenario'!$K$9:$K$995,"&lt;0",'Normal scenario'!$N$9:$N$995,"=1",'Normal scenario'!$L$9:$L$995,"&gt;="&amp;$B$18)+SUMIFS('Normal scenario'!$K$9:$K$995,'Normal scenario'!$E$9:$E$995,"USD",'Normal scenario'!$K$9:$K$995,"&lt;0",'Normal scenario'!$N$9:$N$995,"=2",'Normal scenario'!$L$9:$L$995,"&gt;="&amp;C19,'Normal scenario'!$L$9:$L$995,"&lt;"&amp;C20)</f>
        <v>0</v>
      </c>
      <c r="G20" s="16">
        <f t="shared" si="0"/>
        <v>0</v>
      </c>
      <c r="H20" s="16">
        <f t="shared" si="0"/>
        <v>0</v>
      </c>
      <c r="I20" s="16">
        <f t="shared" si="1"/>
        <v>0</v>
      </c>
      <c r="J20" s="16">
        <f t="shared" si="2"/>
        <v>0</v>
      </c>
      <c r="K20" s="18"/>
      <c r="L20" s="21"/>
      <c r="M20" s="22" t="s">
        <v>42</v>
      </c>
      <c r="N20" s="19"/>
      <c r="O20" s="18"/>
      <c r="P20" s="99"/>
      <c r="Q20" s="100"/>
    </row>
    <row r="21" spans="1:17" ht="15.75" thickBot="1" x14ac:dyDescent="0.3">
      <c r="A21" s="155"/>
      <c r="B21" s="101"/>
      <c r="C21" s="101"/>
      <c r="D21" s="102">
        <v>0.125</v>
      </c>
      <c r="E21" s="103">
        <f>SUMIFS('Normal scenario'!$K$9:$K$995,'Normal scenario'!$E$9:$E$995,"USD",'Normal scenario'!$K$9:$K$995,"&gt;0",'Normal scenario'!$N$9:$N$995,"=1",'Normal scenario'!$L$9:$L$995,"&gt;="&amp;$B$18)+SUMIFS('Normal scenario'!$K$9:$K$995,'Normal scenario'!$E$9:$E$995,"USD",'Normal scenario'!$K$9:$K$995,"&gt;0",'Normal scenario'!$N$9:$N$995,"=2",'Normal scenario'!$L$9:$L$995,"&gt;="&amp;$C$20)</f>
        <v>0</v>
      </c>
      <c r="F21" s="103">
        <f>SUMIFS('Normal scenario'!$K$9:$K$995,'Normal scenario'!$E$9:$E$995,"USD",'Normal scenario'!$K$9:$K$995,"&lt;0",'Normal scenario'!$N$9:$N$995,"=1",'Normal scenario'!$L$9:$L$995,"&gt;="&amp;$B$18)+SUMIFS('Normal scenario'!$K$9:$K$995,'Normal scenario'!$E$9:$E$995,"USD",'Normal scenario'!$K$9:$K$995,"&lt;0",'Normal scenario'!$N$9:$N$995,"=2",'Normal scenario'!$L$9:$L$995,"&gt;="&amp;$C$20)</f>
        <v>0</v>
      </c>
      <c r="G21" s="103">
        <f t="shared" si="0"/>
        <v>0</v>
      </c>
      <c r="H21" s="103">
        <f t="shared" si="0"/>
        <v>0</v>
      </c>
      <c r="I21" s="103">
        <f t="shared" si="1"/>
        <v>0</v>
      </c>
      <c r="J21" s="103">
        <f t="shared" si="2"/>
        <v>0</v>
      </c>
      <c r="K21" s="104">
        <f>SUMIF(J14:J21,"&gt;=0",J14:J21)</f>
        <v>604900.22181150445</v>
      </c>
      <c r="L21" s="103">
        <f>SUMIF(J14:J21,"&lt;0",J14:J21)</f>
        <v>0</v>
      </c>
      <c r="M21" s="105">
        <f>MIN(ABS(K21),ABS(L21))</f>
        <v>0</v>
      </c>
      <c r="N21" s="106">
        <f>ABS(K21)-ABS(L21)</f>
        <v>604900.22181150445</v>
      </c>
      <c r="O21" s="107"/>
      <c r="P21" s="108"/>
      <c r="Q21" s="109"/>
    </row>
    <row r="22" spans="1:17" x14ac:dyDescent="0.25">
      <c r="B22" s="11"/>
      <c r="C22" s="11"/>
      <c r="G22" s="12" t="s">
        <v>43</v>
      </c>
      <c r="H22" s="12" t="s">
        <v>44</v>
      </c>
      <c r="I22" s="12" t="s">
        <v>45</v>
      </c>
      <c r="O22" s="12" t="s">
        <v>46</v>
      </c>
      <c r="P22" s="12" t="s">
        <v>47</v>
      </c>
      <c r="Q22" s="12" t="s">
        <v>48</v>
      </c>
    </row>
    <row r="23" spans="1:17" x14ac:dyDescent="0.25">
      <c r="B23" s="11"/>
      <c r="C23" s="11"/>
      <c r="G23" s="12">
        <f>SUM(G7:G21)</f>
        <v>604900.22181150445</v>
      </c>
      <c r="H23" s="12">
        <f>SUM(H7:H21)</f>
        <v>0</v>
      </c>
      <c r="I23" s="12">
        <f>SUM(I7:I21)</f>
        <v>0</v>
      </c>
      <c r="O23" s="12">
        <f>IF(N10*N13&lt;0,MIN(ABS(N10),ABS(N13)),0)</f>
        <v>0</v>
      </c>
      <c r="P23" s="12">
        <f>IF(N13*N21&lt;0,MIN(ABS(N13),ABS(N21)),0)</f>
        <v>0</v>
      </c>
      <c r="Q23" s="12">
        <f>IF(N10*N21&lt;0,MIN(ABS(N10),ABS(N21)),0)</f>
        <v>0</v>
      </c>
    </row>
    <row r="24" spans="1:17" x14ac:dyDescent="0.25">
      <c r="A24" s="29" t="s">
        <v>49</v>
      </c>
      <c r="B24" s="29" t="s">
        <v>50</v>
      </c>
      <c r="C24" s="29" t="s">
        <v>51</v>
      </c>
      <c r="D24" s="27" t="s">
        <v>115</v>
      </c>
      <c r="E24" s="12"/>
    </row>
    <row r="25" spans="1:17" x14ac:dyDescent="0.25">
      <c r="A25" s="23">
        <f>ABS(G23+H23)</f>
        <v>604900.22181150445</v>
      </c>
      <c r="B25" s="23">
        <f>I23*10%</f>
        <v>0</v>
      </c>
      <c r="C25" s="23">
        <f>40%*M10+30%*M13+30%*M21+40%*O23+40%*P23+100%*Q23</f>
        <v>0</v>
      </c>
      <c r="D25" s="28">
        <f>A25+B25+C25</f>
        <v>604900.22181150445</v>
      </c>
    </row>
    <row r="26" spans="1:17" x14ac:dyDescent="0.25">
      <c r="A26" s="60"/>
      <c r="B26" s="60"/>
      <c r="C26" s="60"/>
      <c r="D26" s="74"/>
    </row>
    <row r="27" spans="1:17" x14ac:dyDescent="0.25">
      <c r="A27" s="156" t="s">
        <v>124</v>
      </c>
      <c r="B27" s="156"/>
    </row>
    <row r="28" spans="1:17" x14ac:dyDescent="0.25">
      <c r="A28" s="25" t="s">
        <v>53</v>
      </c>
      <c r="B28" s="26">
        <f>SUMPRODUCT('Normal scenario'!$K$9:$K$995,'Normal scenario'!$M$9:$M$995)</f>
        <v>351941.94723578444</v>
      </c>
    </row>
    <row r="29" spans="1:17" x14ac:dyDescent="0.25">
      <c r="A29" s="25" t="s">
        <v>115</v>
      </c>
      <c r="B29" s="26">
        <f>D25</f>
        <v>604900.22181150445</v>
      </c>
    </row>
    <row r="30" spans="1:17" x14ac:dyDescent="0.25">
      <c r="A30" s="25" t="s">
        <v>116</v>
      </c>
      <c r="B30" s="26">
        <f>B28+B29</f>
        <v>956842.16904728883</v>
      </c>
    </row>
    <row r="31" spans="1:17" x14ac:dyDescent="0.25">
      <c r="A31" s="12"/>
      <c r="B31" s="35"/>
    </row>
    <row r="32" spans="1:17" x14ac:dyDescent="0.25">
      <c r="A32" s="12" t="s">
        <v>126</v>
      </c>
      <c r="B32" s="73"/>
    </row>
    <row r="33" spans="1:2" x14ac:dyDescent="0.25">
      <c r="A33" s="157" t="s">
        <v>52</v>
      </c>
      <c r="B33" s="157"/>
    </row>
    <row r="34" spans="1:2" x14ac:dyDescent="0.25">
      <c r="A34" s="25" t="s">
        <v>123</v>
      </c>
      <c r="B34" s="26">
        <f>'Normal scenario'!K9*0.08</f>
        <v>1759709.736178922</v>
      </c>
    </row>
    <row r="35" spans="1:2" x14ac:dyDescent="0.25">
      <c r="A35" s="12"/>
      <c r="B35" s="73"/>
    </row>
    <row r="36" spans="1:2" x14ac:dyDescent="0.25">
      <c r="A36" s="12" t="s">
        <v>128</v>
      </c>
      <c r="B36" s="73"/>
    </row>
    <row r="37" spans="1:2" ht="29.85" customHeight="1" x14ac:dyDescent="0.25">
      <c r="A37" s="148" t="s">
        <v>117</v>
      </c>
      <c r="B37" s="148"/>
    </row>
    <row r="38" spans="1:2" x14ac:dyDescent="0.25">
      <c r="A38" s="30" t="s">
        <v>118</v>
      </c>
      <c r="B38" s="43">
        <f>B30+B34</f>
        <v>2716551.9052262111</v>
      </c>
    </row>
  </sheetData>
  <mergeCells count="12">
    <mergeCell ref="A37:B37"/>
    <mergeCell ref="A3:Q3"/>
    <mergeCell ref="O4:Q4"/>
    <mergeCell ref="A7:A10"/>
    <mergeCell ref="A11:A13"/>
    <mergeCell ref="A14:A21"/>
    <mergeCell ref="K4:L4"/>
    <mergeCell ref="B4:C4"/>
    <mergeCell ref="E4:F4"/>
    <mergeCell ref="G4:H4"/>
    <mergeCell ref="A27:B27"/>
    <mergeCell ref="A33:B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CE798-F88F-4B26-B195-4EA045A1CB82}">
  <dimension ref="A1:Q41"/>
  <sheetViews>
    <sheetView topLeftCell="A33" workbookViewId="0">
      <selection activeCell="A41" sqref="A41"/>
    </sheetView>
  </sheetViews>
  <sheetFormatPr defaultRowHeight="15" x14ac:dyDescent="0.25"/>
  <cols>
    <col min="1" max="1" width="11.42578125" customWidth="1"/>
    <col min="2" max="2" width="21.7109375" customWidth="1"/>
    <col min="3" max="3" width="14.28515625" bestFit="1" customWidth="1"/>
    <col min="4" max="4" width="92.28515625" customWidth="1"/>
    <col min="5" max="5" width="11.5703125" bestFit="1" customWidth="1"/>
    <col min="6" max="6" width="16.28515625" customWidth="1"/>
    <col min="10" max="10" width="10.28515625" customWidth="1"/>
    <col min="11" max="11" width="10.7109375" bestFit="1" customWidth="1"/>
  </cols>
  <sheetData>
    <row r="1" spans="1:17" ht="19.5" x14ac:dyDescent="0.25">
      <c r="A1" s="112" t="s">
        <v>132</v>
      </c>
    </row>
    <row r="2" spans="1:17" x14ac:dyDescent="0.25">
      <c r="A2" s="12" t="s">
        <v>127</v>
      </c>
    </row>
    <row r="3" spans="1:17" x14ac:dyDescent="0.25">
      <c r="A3" s="158" t="s">
        <v>122</v>
      </c>
      <c r="B3" s="158"/>
      <c r="C3" s="158"/>
      <c r="D3" s="158"/>
      <c r="E3" s="158"/>
      <c r="F3" s="158"/>
      <c r="G3" s="158"/>
      <c r="H3" s="158"/>
      <c r="I3" s="158"/>
      <c r="J3" s="158"/>
      <c r="K3" s="158"/>
      <c r="L3" s="158"/>
      <c r="M3" s="158"/>
      <c r="N3" s="158"/>
      <c r="O3" s="158"/>
      <c r="P3" s="158"/>
      <c r="Q3" s="159"/>
    </row>
    <row r="4" spans="1:17" ht="57" customHeight="1" x14ac:dyDescent="0.25">
      <c r="A4" s="119"/>
      <c r="B4" s="160" t="s">
        <v>21</v>
      </c>
      <c r="C4" s="161"/>
      <c r="D4" s="41" t="s">
        <v>22</v>
      </c>
      <c r="E4" s="160" t="s">
        <v>23</v>
      </c>
      <c r="F4" s="161"/>
      <c r="G4" s="160" t="s">
        <v>24</v>
      </c>
      <c r="H4" s="161"/>
      <c r="I4" s="41" t="s">
        <v>25</v>
      </c>
      <c r="J4" s="40" t="s">
        <v>26</v>
      </c>
      <c r="K4" s="160" t="s">
        <v>131</v>
      </c>
      <c r="L4" s="161"/>
      <c r="M4" s="42" t="s">
        <v>27</v>
      </c>
      <c r="N4" s="41" t="s">
        <v>28</v>
      </c>
      <c r="O4" s="160" t="s">
        <v>29</v>
      </c>
      <c r="P4" s="162"/>
      <c r="Q4" s="161"/>
    </row>
    <row r="5" spans="1:17" ht="15.75" thickBot="1" x14ac:dyDescent="0.3">
      <c r="A5" s="20" t="s">
        <v>30</v>
      </c>
      <c r="B5" s="75" t="s">
        <v>31</v>
      </c>
      <c r="C5" s="75" t="s">
        <v>32</v>
      </c>
      <c r="D5" s="75" t="s">
        <v>33</v>
      </c>
      <c r="E5" s="86" t="s">
        <v>34</v>
      </c>
      <c r="F5" s="75" t="s">
        <v>35</v>
      </c>
      <c r="G5" s="75" t="s">
        <v>34</v>
      </c>
      <c r="H5" s="75" t="s">
        <v>35</v>
      </c>
      <c r="I5" s="75"/>
      <c r="J5" s="87" t="s">
        <v>36</v>
      </c>
      <c r="K5" s="88" t="s">
        <v>34</v>
      </c>
      <c r="L5" s="75" t="s">
        <v>35</v>
      </c>
      <c r="M5" s="75"/>
      <c r="N5" s="89"/>
      <c r="O5" s="90" t="s">
        <v>37</v>
      </c>
      <c r="P5" s="87" t="s">
        <v>38</v>
      </c>
      <c r="Q5" s="87" t="s">
        <v>39</v>
      </c>
    </row>
    <row r="6" spans="1:17" ht="14.25" hidden="1" customHeight="1" x14ac:dyDescent="0.25">
      <c r="A6" s="24"/>
      <c r="B6" s="17">
        <v>0</v>
      </c>
      <c r="C6" s="17">
        <v>0</v>
      </c>
      <c r="D6" s="17"/>
      <c r="E6" s="110"/>
      <c r="F6" s="17"/>
      <c r="G6" s="17"/>
      <c r="H6" s="17"/>
      <c r="I6" s="17"/>
      <c r="J6" s="17"/>
      <c r="K6" s="14"/>
      <c r="L6" s="15"/>
      <c r="M6" s="15"/>
      <c r="N6" s="13"/>
      <c r="O6" s="14"/>
      <c r="Q6" s="13"/>
    </row>
    <row r="7" spans="1:17" x14ac:dyDescent="0.25">
      <c r="A7" s="153">
        <v>1</v>
      </c>
      <c r="B7" s="91">
        <f>1/12</f>
        <v>8.3333333333333329E-2</v>
      </c>
      <c r="C7" s="91">
        <v>8.3333333333333329E-2</v>
      </c>
      <c r="D7" s="111">
        <v>0</v>
      </c>
      <c r="E7" s="93">
        <f>SUMIFS('Stress scenario'!$K$9:$K$995,'Stress scenario'!$E$9:$E$995,"USD",'Stress scenario'!$K$9:$K$995,"&gt;0",'Stress scenario'!$N$9:$N$995,"=1",'Stress scenario'!$L$9:$L$995,"&gt;="&amp;B6,'Stress scenario'!$L$9:$L$995,"&lt;"&amp;B7)+SUMIFS('Stress scenario'!$K$9:$K$995,'Stress scenario'!$E$9:$E$995,"USD",'Stress scenario'!$K$9:$K$995,"&gt;0",'Stress scenario'!$N$9:$N$995,"=2",'Stress scenario'!$L$9:$L$995,"&gt;="&amp;C6,'Stress scenario'!$L$9:$L$995,"&lt;"&amp;C7)</f>
        <v>0</v>
      </c>
      <c r="F7" s="93">
        <f>SUMIFS('Stress scenario'!$K$9:$K$995,'Stress scenario'!$E$9:$E$995,"USD",'Stress scenario'!$K$9:$K$995,"&lt;0",'Stress scenario'!$N$9:$N$995,"=1",'Stress scenario'!$L$9:$L$995,"&gt;="&amp;B6,'Stress scenario'!$L$9:$L$995,"&lt;"&amp;B7)+SUMIFS('Stress scenario'!$K$9:$K$995,'Stress scenario'!$E$9:$E$995,"USD",'Stress scenario'!$K$9:$K$995,"&lt;0",'Stress scenario'!$N$9:$N$995,"=2",'Stress scenario'!$L$9:$L$995,"&gt;="&amp;C6,'Stress scenario'!$L$9:$L$995,"&lt;"&amp;C7)</f>
        <v>0</v>
      </c>
      <c r="G7" s="93">
        <f>E7*$D7</f>
        <v>0</v>
      </c>
      <c r="H7" s="93">
        <f>F7*$D7</f>
        <v>0</v>
      </c>
      <c r="I7" s="93">
        <f>MIN(ABS(G7),ABS(H7))</f>
        <v>0</v>
      </c>
      <c r="J7" s="93">
        <f>ABS(G7)-ABS(H7)</f>
        <v>0</v>
      </c>
      <c r="K7" s="94"/>
      <c r="L7" s="95"/>
      <c r="M7" s="95"/>
      <c r="N7" s="96"/>
      <c r="O7" s="94"/>
      <c r="P7" s="97"/>
      <c r="Q7" s="98"/>
    </row>
    <row r="8" spans="1:17" x14ac:dyDescent="0.25">
      <c r="A8" s="154"/>
      <c r="B8" s="83">
        <f>1/4</f>
        <v>0.25</v>
      </c>
      <c r="C8" s="83">
        <f>1/4</f>
        <v>0.25</v>
      </c>
      <c r="D8" s="85">
        <v>2E-3</v>
      </c>
      <c r="E8" s="16">
        <f>SUMIFS('Stress scenario'!$K$9:$K$995,'Stress scenario'!$E$9:$E$995,"USD",'Stress scenario'!$K$9:$K$995,"&gt;0",'Stress scenario'!$N$9:$N$995,"=1",'Stress scenario'!$L$9:$L$995,"&gt;="&amp;B7,'Stress scenario'!$L$9:$L$995,"&lt;"&amp;B8)+SUMIFS('Stress scenario'!$K$9:$K$995,'Stress scenario'!$E$9:$E$995,"USD",'Stress scenario'!$K$9:$K$995,"&gt;0",'Stress scenario'!$N$9:$N$995,"=2",'Stress scenario'!$L$9:$L$995,"&gt;="&amp;C7,'Stress scenario'!$L$9:$L$995,"&lt;"&amp;C8)</f>
        <v>0</v>
      </c>
      <c r="F8" s="16">
        <f>SUMIFS('Stress scenario'!$K$9:$K$995,'Stress scenario'!$E$9:$E$995,"USD",'Stress scenario'!$K$9:$K$995,"&lt;0",'Stress scenario'!$N$9:$N$995,"=1",'Stress scenario'!$L$9:$L$995,"&gt;="&amp;B7,'Stress scenario'!$L$9:$L$995,"&lt;"&amp;B8)+SUMIFS('Stress scenario'!$K$9:$K$995,'Stress scenario'!$E$9:$E$995,"USD",'Stress scenario'!$K$9:$K$995,"&lt;0",'Stress scenario'!$N$9:$N$995,"=2",'Stress scenario'!$L$9:$L$995,"&gt;="&amp;C7,'Stress scenario'!$L$9:$L$995,"&lt;"&amp;C8)</f>
        <v>0</v>
      </c>
      <c r="G8" s="16">
        <f t="shared" ref="G8:H21" si="0">E8*$D8</f>
        <v>0</v>
      </c>
      <c r="H8" s="16">
        <f t="shared" si="0"/>
        <v>0</v>
      </c>
      <c r="I8" s="16">
        <f t="shared" ref="I8:I21" si="1">MIN(ABS(G8),ABS(H8))</f>
        <v>0</v>
      </c>
      <c r="J8" s="16">
        <f t="shared" ref="J8:J21" si="2">ABS(G8)-ABS(H8)</f>
        <v>0</v>
      </c>
      <c r="K8" s="18"/>
      <c r="L8" s="21"/>
      <c r="M8" s="21"/>
      <c r="N8" s="19"/>
      <c r="O8" s="18"/>
      <c r="P8" s="99"/>
      <c r="Q8" s="100"/>
    </row>
    <row r="9" spans="1:17" x14ac:dyDescent="0.25">
      <c r="A9" s="154"/>
      <c r="B9" s="83">
        <f>1/2</f>
        <v>0.5</v>
      </c>
      <c r="C9" s="83">
        <f>1/2</f>
        <v>0.5</v>
      </c>
      <c r="D9" s="85">
        <v>4.0000000000000001E-3</v>
      </c>
      <c r="E9" s="16">
        <f>SUMIFS('Stress scenario'!$K$9:$K$995,'Stress scenario'!$E$9:$E$995,"USD",'Stress scenario'!$K$9:$K$995,"&gt;0",'Stress scenario'!$N$9:$N$995,"=1",'Stress scenario'!$L$9:$L$995,"&gt;="&amp;B8,'Stress scenario'!$L$9:$L$995,"&lt;"&amp;B9)+SUMIFS('Stress scenario'!$K$9:$K$995,'Stress scenario'!$E$9:$E$995,"USD",'Stress scenario'!$K$9:$K$995,"&gt;0",'Stress scenario'!$N$9:$N$995,"=2",'Stress scenario'!$L$9:$L$995,"&gt;="&amp;C8,'Stress scenario'!$L$9:$L$995,"&lt;"&amp;C9)</f>
        <v>0</v>
      </c>
      <c r="F9" s="16">
        <f>SUMIFS('Stress scenario'!$K$9:$K$995,'Stress scenario'!$E$9:$E$995,"USD",'Stress scenario'!$K$9:$K$995,"&lt;0",'Stress scenario'!$N$9:$N$995,"=1",'Stress scenario'!$L$9:$L$995,"&gt;="&amp;B8,'Stress scenario'!$L$9:$L$995,"&lt;"&amp;B9)+SUMIFS('Stress scenario'!$K$9:$K$995,'Stress scenario'!$E$9:$E$995,"USD",'Stress scenario'!$K$9:$K$995,"&lt;0",'Stress scenario'!$N$9:$N$995,"=2",'Stress scenario'!$L$9:$L$995,"&gt;="&amp;C8,'Stress scenario'!$L$9:$L$995,"&lt;"&amp;C9)</f>
        <v>0</v>
      </c>
      <c r="G9" s="16">
        <f t="shared" si="0"/>
        <v>0</v>
      </c>
      <c r="H9" s="16">
        <f t="shared" si="0"/>
        <v>0</v>
      </c>
      <c r="I9" s="16">
        <f t="shared" si="1"/>
        <v>0</v>
      </c>
      <c r="J9" s="16">
        <f t="shared" si="2"/>
        <v>0</v>
      </c>
      <c r="K9" s="18"/>
      <c r="L9" s="21"/>
      <c r="M9" s="22" t="s">
        <v>40</v>
      </c>
      <c r="N9" s="19"/>
      <c r="O9" s="18"/>
      <c r="P9" s="99"/>
      <c r="Q9" s="100"/>
    </row>
    <row r="10" spans="1:17" ht="15.75" thickBot="1" x14ac:dyDescent="0.3">
      <c r="A10" s="155"/>
      <c r="B10" s="101">
        <v>1</v>
      </c>
      <c r="C10" s="101">
        <v>1</v>
      </c>
      <c r="D10" s="102">
        <v>7.0000000000000001E-3</v>
      </c>
      <c r="E10" s="103">
        <f>SUMIFS('Stress scenario'!$K$9:$K$995,'Stress scenario'!$E$9:$E$995,"USD",'Stress scenario'!$K$9:$K$995,"&gt;0",'Stress scenario'!$N$9:$N$995,"=1",'Stress scenario'!$L$9:$L$995,"&gt;="&amp;B9,'Stress scenario'!$L$9:$L$995,"&lt;"&amp;B10)+SUMIFS('Stress scenario'!$K$9:$K$995,'Stress scenario'!$E$9:$E$995,"USD",'Stress scenario'!$K$9:$K$995,"&gt;0",'Stress scenario'!$N$9:$N$995,"=2",'Stress scenario'!$L$9:$L$995,"&gt;="&amp;C9,'Stress scenario'!$L$9:$L$995,"&lt;"&amp;C10)</f>
        <v>0</v>
      </c>
      <c r="F10" s="103">
        <f>SUMIFS('Stress scenario'!$K$9:$K$995,'Stress scenario'!$E$9:$E$995,"USD",'Stress scenario'!$K$9:$K$995,"&lt;0",'Stress scenario'!$N$9:$N$995,"=1",'Stress scenario'!$L$9:$L$995,"&gt;="&amp;B9,'Stress scenario'!$L$9:$L$995,"&lt;"&amp;B10)+SUMIFS('Stress scenario'!$K$9:$K$995,'Stress scenario'!$E$9:$E$995,"USD",'Stress scenario'!$K$9:$K$995,"&lt;0",'Stress scenario'!$N$9:$N$995,"=2",'Stress scenario'!$L$9:$L$995,"&gt;="&amp;C9,'Stress scenario'!$L$9:$L$995,"&lt;"&amp;C10)</f>
        <v>0</v>
      </c>
      <c r="G10" s="103">
        <f t="shared" si="0"/>
        <v>0</v>
      </c>
      <c r="H10" s="103">
        <f t="shared" si="0"/>
        <v>0</v>
      </c>
      <c r="I10" s="103">
        <f t="shared" si="1"/>
        <v>0</v>
      </c>
      <c r="J10" s="103">
        <f t="shared" si="2"/>
        <v>0</v>
      </c>
      <c r="K10" s="104">
        <f>SUMIF(J7:J10,"&gt;=0",J7:J10)</f>
        <v>0</v>
      </c>
      <c r="L10" s="103">
        <f>SUMIF(J7:J10,"&lt;0",J7:J10)</f>
        <v>0</v>
      </c>
      <c r="M10" s="105">
        <f>MIN(ABS(K10),ABS(L10))</f>
        <v>0</v>
      </c>
      <c r="N10" s="106">
        <f>ABS(K10)-ABS(L10)</f>
        <v>0</v>
      </c>
      <c r="O10" s="107"/>
      <c r="P10" s="108"/>
      <c r="Q10" s="109"/>
    </row>
    <row r="11" spans="1:17" x14ac:dyDescent="0.25">
      <c r="A11" s="153">
        <v>2</v>
      </c>
      <c r="B11" s="91">
        <v>2</v>
      </c>
      <c r="C11" s="91">
        <v>1.9</v>
      </c>
      <c r="D11" s="92">
        <v>1.2500000000000001E-2</v>
      </c>
      <c r="E11" s="93">
        <f>SUMIFS('Stress scenario'!$K$9:$K$995,'Stress scenario'!$E$9:$E$995,"USD",'Stress scenario'!$K$9:$K$995,"&gt;0",'Stress scenario'!$N$9:$N$995,"=1",'Stress scenario'!$L$9:$L$995,"&gt;="&amp;B10,'Stress scenario'!$L$9:$L$995,"&lt;"&amp;B11)+SUMIFS('Stress scenario'!$K$9:$K$995,'Stress scenario'!$E$9:$E$995,"USD",'Stress scenario'!$K$9:$K$995,"&gt;0",'Stress scenario'!$N$9:$N$995,"=2",'Stress scenario'!$L$9:$L$995,"&gt;="&amp;C10,'Stress scenario'!$L$9:$L$995,"&lt;"&amp;C11)</f>
        <v>0</v>
      </c>
      <c r="F11" s="93">
        <f>SUMIFS('Stress scenario'!$K$9:$K$995,'Stress scenario'!$E$9:$E$995,"USD",'Stress scenario'!$K$9:$K$995,"&lt;0",'Stress scenario'!$N$9:$N$995,"=1",'Stress scenario'!$L$9:$L$995,"&gt;="&amp;B10,'Stress scenario'!$L$9:$L$995,"&lt;"&amp;B11)+SUMIFS('Stress scenario'!$K$9:$K$995,'Stress scenario'!$E$9:$E$995,"USD",'Stress scenario'!$K$9:$K$995,"&lt;0",'Stress scenario'!$N$9:$N$995,"=2",'Stress scenario'!$L$9:$L$995,"&gt;="&amp;C10,'Stress scenario'!$L$9:$L$995,"&lt;"&amp;C11)</f>
        <v>0</v>
      </c>
      <c r="G11" s="93">
        <f t="shared" si="0"/>
        <v>0</v>
      </c>
      <c r="H11" s="93">
        <f t="shared" si="0"/>
        <v>0</v>
      </c>
      <c r="I11" s="93">
        <f t="shared" si="1"/>
        <v>0</v>
      </c>
      <c r="J11" s="93">
        <f t="shared" si="2"/>
        <v>0</v>
      </c>
      <c r="K11" s="94"/>
      <c r="L11" s="95"/>
      <c r="M11" s="95"/>
      <c r="N11" s="96"/>
      <c r="O11" s="94"/>
      <c r="P11" s="97"/>
      <c r="Q11" s="98"/>
    </row>
    <row r="12" spans="1:17" x14ac:dyDescent="0.25">
      <c r="A12" s="154"/>
      <c r="B12" s="83">
        <v>3</v>
      </c>
      <c r="C12" s="83">
        <v>2.8</v>
      </c>
      <c r="D12" s="85">
        <v>1.7500000000000002E-2</v>
      </c>
      <c r="E12" s="16">
        <f>SUMIFS('Stress scenario'!$K$9:$K$995,'Stress scenario'!$E$9:$E$995,"USD",'Stress scenario'!$K$9:$K$995,"&gt;0",'Stress scenario'!$N$9:$N$995,"=1",'Stress scenario'!$L$9:$L$995,"&gt;="&amp;B11,'Stress scenario'!$L$9:$L$995,"&lt;"&amp;B12)+SUMIFS('Stress scenario'!$K$9:$K$995,'Stress scenario'!$E$9:$E$995,"USD",'Stress scenario'!$K$9:$K$995,"&gt;0",'Stress scenario'!$N$9:$N$995,"=2",'Stress scenario'!$L$9:$L$995,"&gt;="&amp;C11,'Stress scenario'!$L$9:$L$995,"&lt;"&amp;C12)</f>
        <v>0</v>
      </c>
      <c r="F12" s="16">
        <f>SUMIFS('Stress scenario'!$K$9:$K$995,'Stress scenario'!$E$9:$E$995,"USD",'Stress scenario'!$K$9:$K$995,"&lt;0",'Stress scenario'!$N$9:$N$995,"=1",'Stress scenario'!$L$9:$L$995,"&gt;="&amp;B11,'Stress scenario'!$L$9:$L$995,"&lt;"&amp;B12)+SUMIFS('Stress scenario'!$K$9:$K$995,'Stress scenario'!$E$9:$E$995,"USD",'Stress scenario'!$K$9:$K$995,"&lt;0",'Stress scenario'!$N$9:$N$995,"=2",'Stress scenario'!$L$9:$L$995,"&gt;="&amp;C11,'Stress scenario'!$L$9:$L$995,"&lt;"&amp;C12)</f>
        <v>0</v>
      </c>
      <c r="G12" s="16">
        <f t="shared" si="0"/>
        <v>0</v>
      </c>
      <c r="H12" s="16">
        <f t="shared" si="0"/>
        <v>0</v>
      </c>
      <c r="I12" s="16">
        <f t="shared" si="1"/>
        <v>0</v>
      </c>
      <c r="J12" s="16">
        <f t="shared" si="2"/>
        <v>0</v>
      </c>
      <c r="K12" s="18"/>
      <c r="L12" s="21"/>
      <c r="M12" s="22" t="s">
        <v>41</v>
      </c>
      <c r="N12" s="19"/>
      <c r="O12" s="18"/>
      <c r="P12" s="99"/>
      <c r="Q12" s="100"/>
    </row>
    <row r="13" spans="1:17" ht="15.75" thickBot="1" x14ac:dyDescent="0.3">
      <c r="A13" s="155"/>
      <c r="B13" s="101">
        <v>4</v>
      </c>
      <c r="C13" s="101">
        <v>3.6</v>
      </c>
      <c r="D13" s="102">
        <v>2.2499999999999999E-2</v>
      </c>
      <c r="E13" s="103">
        <f>SUMIFS('Stress scenario'!$K$9:$K$995,'Stress scenario'!$E$9:$E$995,"USD",'Stress scenario'!$K$9:$K$995,"&gt;0",'Stress scenario'!$N$9:$N$995,"=1",'Stress scenario'!$L$9:$L$995,"&gt;="&amp;B12,'Stress scenario'!$L$9:$L$995,"&lt;"&amp;B13)+SUMIFS('Stress scenario'!$K$9:$K$995,'Stress scenario'!$E$9:$E$995,"USD",'Stress scenario'!$K$9:$K$995,"&gt;0",'Stress scenario'!$N$9:$N$995,"=2",'Stress scenario'!$L$9:$L$995,"&gt;="&amp;C12,'Stress scenario'!$L$9:$L$995,"&lt;"&amp;C13)</f>
        <v>0</v>
      </c>
      <c r="F13" s="103">
        <f>SUMIFS('Stress scenario'!$K$9:$K$995,'Stress scenario'!$E$9:$E$995,"USD",'Stress scenario'!$K$9:$K$995,"&lt;0",'Stress scenario'!$N$9:$N$995,"=1",'Stress scenario'!$L$9:$L$995,"&gt;="&amp;B12,'Stress scenario'!$L$9:$L$995,"&lt;"&amp;B13)+SUMIFS('Stress scenario'!$K$9:$K$995,'Stress scenario'!$E$9:$E$995,"USD",'Stress scenario'!$K$9:$K$995,"&lt;0",'Stress scenario'!$N$9:$N$995,"=2",'Stress scenario'!$L$9:$L$995,"&gt;="&amp;C12,'Stress scenario'!$L$9:$L$995,"&lt;"&amp;C13)</f>
        <v>0</v>
      </c>
      <c r="G13" s="103">
        <f t="shared" si="0"/>
        <v>0</v>
      </c>
      <c r="H13" s="103">
        <f t="shared" si="0"/>
        <v>0</v>
      </c>
      <c r="I13" s="103">
        <f t="shared" si="1"/>
        <v>0</v>
      </c>
      <c r="J13" s="103">
        <f t="shared" si="2"/>
        <v>0</v>
      </c>
      <c r="K13" s="104">
        <f>SUMIF(J11:J13,"&gt;=0",J11:J13)</f>
        <v>0</v>
      </c>
      <c r="L13" s="103">
        <f>SUMIF(J11:J13,"&lt;0",J11:J13)</f>
        <v>0</v>
      </c>
      <c r="M13" s="105">
        <f>MIN(ABS(K13),ABS(L13))</f>
        <v>0</v>
      </c>
      <c r="N13" s="106">
        <f>ABS(K13)-ABS(L13)</f>
        <v>0</v>
      </c>
      <c r="O13" s="107"/>
      <c r="P13" s="108"/>
      <c r="Q13" s="109"/>
    </row>
    <row r="14" spans="1:17" x14ac:dyDescent="0.25">
      <c r="A14" s="153">
        <v>3</v>
      </c>
      <c r="B14" s="91">
        <v>5</v>
      </c>
      <c r="C14" s="91">
        <v>4.3</v>
      </c>
      <c r="D14" s="92">
        <v>2.75E-2</v>
      </c>
      <c r="E14" s="93">
        <f>SUMIFS('Stress scenario'!$K$9:$K$995,'Stress scenario'!$E$9:$E$995,"USD",'Stress scenario'!$K$9:$K$995,"&gt;0",'Stress scenario'!$N$9:$N$995,"=1",'Stress scenario'!$L$9:$L$995,"&gt;="&amp;B13,'Stress scenario'!$L$9:$L$995,"&lt;"&amp;B14)+SUMIFS('Stress scenario'!$K$9:$K$995,'Stress scenario'!$E$9:$E$995,"USD",'Stress scenario'!$K$9:$K$995,"&gt;0",'Stress scenario'!$N$9:$N$995,"=2",'Stress scenario'!$L$9:$L$995,"&gt;="&amp;C13,'Stress scenario'!$L$9:$L$995,"&lt;"&amp;C14)</f>
        <v>20399933.548341405</v>
      </c>
      <c r="F14" s="93">
        <f>SUMIFS('Stress scenario'!$K$9:$K$995,'Stress scenario'!$E$9:$E$995,"USD",'Stress scenario'!$K$9:$K$995,"&lt;0",'Stress scenario'!$N$9:$N$995,"=1",'Stress scenario'!$L$9:$L$995,"&gt;="&amp;B13,'Stress scenario'!$L$9:$L$995,"&lt;"&amp;B14)+SUMIFS('Stress scenario'!$K$9:$K$995,'Stress scenario'!$E$9:$E$995,"USD",'Stress scenario'!$K$9:$K$995,"&lt;0",'Stress scenario'!$N$9:$N$995,"=2",'Stress scenario'!$L$9:$L$995,"&gt;="&amp;C13,'Stress scenario'!$L$9:$L$995,"&lt;"&amp;C14)</f>
        <v>0</v>
      </c>
      <c r="G14" s="93">
        <f t="shared" si="0"/>
        <v>560998.1725793886</v>
      </c>
      <c r="H14" s="93">
        <f t="shared" si="0"/>
        <v>0</v>
      </c>
      <c r="I14" s="93">
        <f t="shared" si="1"/>
        <v>0</v>
      </c>
      <c r="J14" s="93">
        <f t="shared" si="2"/>
        <v>560998.1725793886</v>
      </c>
      <c r="K14" s="94"/>
      <c r="L14" s="95"/>
      <c r="M14" s="95"/>
      <c r="N14" s="96"/>
      <c r="O14" s="94"/>
      <c r="P14" s="97"/>
      <c r="Q14" s="98"/>
    </row>
    <row r="15" spans="1:17" x14ac:dyDescent="0.25">
      <c r="A15" s="154"/>
      <c r="B15" s="83">
        <v>7</v>
      </c>
      <c r="C15" s="83">
        <v>5.7</v>
      </c>
      <c r="D15" s="85">
        <v>3.2500000000000001E-2</v>
      </c>
      <c r="E15" s="16">
        <f>SUMIFS('Stress scenario'!$K$9:$K$995,'Stress scenario'!$E$9:$E$995,"USD",'Stress scenario'!$K$9:$K$995,"&gt;0",'Stress scenario'!$N$9:$N$995,"=1",'Stress scenario'!$L$9:$L$995,"&gt;="&amp;B14,'Stress scenario'!$L$9:$L$995,"&lt;"&amp;B15)+SUMIFS('Stress scenario'!$K$9:$K$995,'Stress scenario'!$E$9:$E$995,"USD",'Stress scenario'!$K$9:$K$995,"&gt;0",'Stress scenario'!$N$9:$N$995,"=2",'Stress scenario'!$L$9:$L$995,"&gt;="&amp;C14,'Stress scenario'!$L$9:$L$995,"&lt;"&amp;C15)</f>
        <v>0</v>
      </c>
      <c r="F15" s="16">
        <f>SUMIFS('Stress scenario'!$K$9:$K$995,'Stress scenario'!$E$9:$E$995,"USD",'Stress scenario'!$K$9:$K$995,"&lt;0",'Stress scenario'!$N$9:$N$995,"=1",'Stress scenario'!$L$9:$L$995,"&gt;="&amp;B14,'Stress scenario'!$L$9:$L$995,"&lt;"&amp;B15)+SUMIFS('Stress scenario'!$K$9:$K$995,'Stress scenario'!$E$9:$E$995,"USD",'Stress scenario'!$K$9:$K$995,"&lt;0",'Stress scenario'!$N$9:$N$995,"=2",'Stress scenario'!$L$9:$L$995,"&gt;="&amp;C14,'Stress scenario'!$L$9:$L$995,"&lt;"&amp;C15)</f>
        <v>0</v>
      </c>
      <c r="G15" s="16">
        <f t="shared" si="0"/>
        <v>0</v>
      </c>
      <c r="H15" s="16">
        <f t="shared" si="0"/>
        <v>0</v>
      </c>
      <c r="I15" s="16">
        <f t="shared" si="1"/>
        <v>0</v>
      </c>
      <c r="J15" s="16">
        <f t="shared" si="2"/>
        <v>0</v>
      </c>
      <c r="K15" s="18"/>
      <c r="L15" s="21"/>
      <c r="M15" s="21"/>
      <c r="N15" s="19"/>
      <c r="O15" s="18"/>
      <c r="P15" s="99"/>
      <c r="Q15" s="100"/>
    </row>
    <row r="16" spans="1:17" x14ac:dyDescent="0.25">
      <c r="A16" s="154"/>
      <c r="B16" s="83">
        <v>10</v>
      </c>
      <c r="C16" s="83">
        <v>7.3</v>
      </c>
      <c r="D16" s="85">
        <v>3.7499999999999999E-2</v>
      </c>
      <c r="E16" s="16">
        <f>SUMIFS('Stress scenario'!$K$9:$K$995,'Stress scenario'!$E$9:$E$995,"USD",'Stress scenario'!$K$9:$K$995,"&gt;0",'Stress scenario'!$N$9:$N$995,"=1",'Stress scenario'!$L$9:$L$995,"&gt;="&amp;B15,'Stress scenario'!$L$9:$L$995,"&lt;"&amp;B16)+SUMIFS('Stress scenario'!$K$9:$K$995,'Stress scenario'!$E$9:$E$995,"USD",'Stress scenario'!$K$9:$K$995,"&gt;0",'Stress scenario'!$N$9:$N$995,"=2",'Stress scenario'!$L$9:$L$995,"&gt;="&amp;C15,'Stress scenario'!$L$9:$L$995,"&lt;"&amp;C16)</f>
        <v>0</v>
      </c>
      <c r="F16" s="16">
        <f>SUMIFS('Stress scenario'!$K$9:$K$995,'Stress scenario'!$E$9:$E$995,"USD",'Stress scenario'!$K$9:$K$995,"&lt;0",'Stress scenario'!$N$9:$N$995,"=1",'Stress scenario'!$L$9:$L$995,"&gt;="&amp;B15,'Stress scenario'!$L$9:$L$995,"&lt;"&amp;B16)+SUMIFS('Stress scenario'!$K$9:$K$995,'Stress scenario'!$E$9:$E$995,"USD",'Stress scenario'!$K$9:$K$995,"&lt;0",'Stress scenario'!$N$9:$N$995,"=2",'Stress scenario'!$L$9:$L$995,"&gt;="&amp;C15,'Stress scenario'!$L$9:$L$995,"&lt;"&amp;C16)</f>
        <v>0</v>
      </c>
      <c r="G16" s="16">
        <f t="shared" si="0"/>
        <v>0</v>
      </c>
      <c r="H16" s="16">
        <f t="shared" si="0"/>
        <v>0</v>
      </c>
      <c r="I16" s="16">
        <f t="shared" si="1"/>
        <v>0</v>
      </c>
      <c r="J16" s="16">
        <f t="shared" si="2"/>
        <v>0</v>
      </c>
      <c r="K16" s="18"/>
      <c r="L16" s="21"/>
      <c r="M16" s="21"/>
      <c r="N16" s="19"/>
      <c r="O16" s="18"/>
      <c r="P16" s="99"/>
      <c r="Q16" s="100"/>
    </row>
    <row r="17" spans="1:17" x14ac:dyDescent="0.25">
      <c r="A17" s="154"/>
      <c r="B17" s="83">
        <v>15</v>
      </c>
      <c r="C17" s="83">
        <v>9.3000000000000007</v>
      </c>
      <c r="D17" s="85">
        <v>4.4999999999999998E-2</v>
      </c>
      <c r="E17" s="16">
        <f>SUMIFS('Stress scenario'!$K$9:$K$995,'Stress scenario'!$E$9:$E$995,"USD",'Stress scenario'!$K$9:$K$995,"&gt;0",'Stress scenario'!$N$9:$N$995,"=1",'Stress scenario'!$L$9:$L$995,"&gt;="&amp;B16,'Stress scenario'!$L$9:$L$995,"&lt;"&amp;B17)+SUMIFS('Stress scenario'!$K$9:$K$995,'Stress scenario'!$E$9:$E$995,"USD",'Stress scenario'!$K$9:$K$995,"&gt;0",'Stress scenario'!$N$9:$N$995,"=2",'Stress scenario'!$L$9:$L$995,"&gt;="&amp;C16,'Stress scenario'!$L$9:$L$995,"&lt;"&amp;C17)</f>
        <v>0</v>
      </c>
      <c r="F17" s="16">
        <f>SUMIFS('Stress scenario'!$K$9:$K$995,'Stress scenario'!$E$9:$E$995,"USD",'Stress scenario'!$K$9:$K$995,"&lt;0",'Stress scenario'!$N$9:$N$995,"=1",'Stress scenario'!$L$9:$L$995,"&gt;="&amp;B16,'Stress scenario'!$L$9:$L$995,"&lt;"&amp;B17)+SUMIFS('Stress scenario'!$K$9:$K$995,'Stress scenario'!$E$9:$E$995,"USD",'Stress scenario'!$K$9:$K$995,"&lt;0",'Stress scenario'!$N$9:$N$995,"=2",'Stress scenario'!$L$9:$L$995,"&gt;="&amp;C16,'Stress scenario'!$L$9:$L$995,"&lt;"&amp;C17)</f>
        <v>0</v>
      </c>
      <c r="G17" s="16">
        <f t="shared" si="0"/>
        <v>0</v>
      </c>
      <c r="H17" s="16">
        <f t="shared" si="0"/>
        <v>0</v>
      </c>
      <c r="I17" s="16">
        <f t="shared" si="1"/>
        <v>0</v>
      </c>
      <c r="J17" s="16">
        <f t="shared" si="2"/>
        <v>0</v>
      </c>
      <c r="K17" s="18"/>
      <c r="L17" s="21"/>
      <c r="M17" s="21"/>
      <c r="N17" s="19"/>
      <c r="O17" s="18"/>
      <c r="P17" s="99"/>
      <c r="Q17" s="100"/>
    </row>
    <row r="18" spans="1:17" x14ac:dyDescent="0.25">
      <c r="A18" s="154"/>
      <c r="B18" s="83">
        <v>20</v>
      </c>
      <c r="C18" s="83">
        <v>10.6</v>
      </c>
      <c r="D18" s="85">
        <v>5.2499999999999998E-2</v>
      </c>
      <c r="E18" s="16">
        <f>SUMIFS('Stress scenario'!$K$9:$K$995,'Stress scenario'!$E$9:$E$995,"USD",'Stress scenario'!$K$9:$K$995,"&gt;0",'Stress scenario'!$N$9:$N$995,"=1",'Stress scenario'!$L$9:$L$995,"&gt;="&amp;B17,'Stress scenario'!$L$9:$L$995,"&lt;"&amp;B18)+SUMIFS('Stress scenario'!$K$9:$K$995,'Stress scenario'!$E$9:$E$995,"USD",'Stress scenario'!$K$9:$K$995,"&gt;0",'Stress scenario'!$N$9:$N$995,"=2",'Stress scenario'!$L$9:$L$995,"&gt;="&amp;C17,'Stress scenario'!$L$9:$L$995,"&lt;"&amp;C18)</f>
        <v>0</v>
      </c>
      <c r="F18" s="16">
        <f>SUMIFS('Stress scenario'!$K$9:$K$995,'Stress scenario'!$E$9:$E$995,"USD",'Stress scenario'!$K$9:$K$995,"&lt;0",'Stress scenario'!$N$9:$N$995,"=1",'Stress scenario'!$L$9:$L$995,"&gt;="&amp;B17,'Stress scenario'!$L$9:$L$995,"&lt;"&amp;B18)+SUMIFS('Stress scenario'!$K$9:$K$995,'Stress scenario'!$E$9:$E$995,"USD",'Stress scenario'!$K$9:$K$995,"&lt;0",'Stress scenario'!$N$9:$N$995,"=2",'Stress scenario'!$L$9:$L$995,"&gt;="&amp;C17,'Stress scenario'!$L$9:$L$995,"&lt;"&amp;C18)</f>
        <v>0</v>
      </c>
      <c r="G18" s="16">
        <f t="shared" si="0"/>
        <v>0</v>
      </c>
      <c r="H18" s="16">
        <f t="shared" si="0"/>
        <v>0</v>
      </c>
      <c r="I18" s="16">
        <f t="shared" si="1"/>
        <v>0</v>
      </c>
      <c r="J18" s="16">
        <f t="shared" si="2"/>
        <v>0</v>
      </c>
      <c r="K18" s="18"/>
      <c r="L18" s="21"/>
      <c r="M18" s="21"/>
      <c r="N18" s="19"/>
      <c r="O18" s="18"/>
      <c r="P18" s="99"/>
      <c r="Q18" s="100"/>
    </row>
    <row r="19" spans="1:17" x14ac:dyDescent="0.25">
      <c r="A19" s="154"/>
      <c r="B19" s="83"/>
      <c r="C19" s="83">
        <v>12</v>
      </c>
      <c r="D19" s="84">
        <v>0.06</v>
      </c>
      <c r="E19" s="16">
        <f>SUMIFS('Stress scenario'!$K$9:$K$995,'Stress scenario'!$E$9:$E$995,"USD",'Stress scenario'!$K$9:$K$995,"&gt;0",'Stress scenario'!$N$9:$N$995,"=1",'Stress scenario'!$L$9:$L$995,"&gt;="&amp;$B$18)+SUMIFS('Stress scenario'!$K$9:$K$995,'Stress scenario'!$E$9:$E$995,"USD",'Stress scenario'!$K$9:$K$995,"&gt;0",'Stress scenario'!$N$9:$N$995,"=2",'Stress scenario'!$L$9:$L$995,"&gt;="&amp;C18,'Stress scenario'!$L$9:$L$995,"&lt;"&amp;C19)</f>
        <v>0</v>
      </c>
      <c r="F19" s="16">
        <f>SUMIFS('Stress scenario'!$K$9:$K$995,'Stress scenario'!$E$9:$E$995,"USD",'Stress scenario'!$K$9:$K$995,"&lt;0",'Stress scenario'!$N$9:$N$995,"=1",'Stress scenario'!$L$9:$L$995,"&gt;="&amp;$B$18)+SUMIFS('Stress scenario'!$K$9:$K$995,'Stress scenario'!$E$9:$E$995,"USD",'Stress scenario'!$K$9:$K$995,"&lt;0",'Stress scenario'!$N$9:$N$995,"=2",'Stress scenario'!$L$9:$L$995,"&gt;="&amp;C18,'Stress scenario'!$L$9:$L$995,"&lt;"&amp;C19)</f>
        <v>0</v>
      </c>
      <c r="G19" s="16">
        <f t="shared" si="0"/>
        <v>0</v>
      </c>
      <c r="H19" s="16">
        <f t="shared" si="0"/>
        <v>0</v>
      </c>
      <c r="I19" s="16">
        <f t="shared" si="1"/>
        <v>0</v>
      </c>
      <c r="J19" s="16">
        <f t="shared" si="2"/>
        <v>0</v>
      </c>
      <c r="K19" s="18"/>
      <c r="L19" s="21"/>
      <c r="M19" s="21"/>
      <c r="N19" s="19"/>
      <c r="O19" s="18"/>
      <c r="P19" s="99"/>
      <c r="Q19" s="100"/>
    </row>
    <row r="20" spans="1:17" x14ac:dyDescent="0.25">
      <c r="A20" s="154"/>
      <c r="B20" s="83"/>
      <c r="C20" s="83">
        <v>20</v>
      </c>
      <c r="D20" s="84">
        <v>0.08</v>
      </c>
      <c r="E20" s="16">
        <f>SUMIFS('Stress scenario'!$K$9:$K$995,'Stress scenario'!$E$9:$E$995,"USD",'Stress scenario'!$K$9:$K$995,"&gt;0",'Stress scenario'!$N$9:$N$995,"=1",'Stress scenario'!$L$9:$L$995,"&gt;="&amp;$B$18)+SUMIFS('Stress scenario'!$K$9:$K$995,'Stress scenario'!$E$9:$E$995,"USD",'Stress scenario'!$K$9:$K$995,"&gt;0",'Stress scenario'!$N$9:$N$995,"=2",'Stress scenario'!$L$9:$L$995,"&gt;="&amp;C19,'Stress scenario'!$L$9:$L$995,"&lt;"&amp;C20)</f>
        <v>0</v>
      </c>
      <c r="F20" s="16">
        <f>SUMIFS('Stress scenario'!$K$9:$K$995,'Stress scenario'!$E$9:$E$995,"USD",'Stress scenario'!$K$9:$K$995,"&lt;0",'Stress scenario'!$N$9:$N$995,"=1",'Stress scenario'!$L$9:$L$995,"&gt;="&amp;$B$18)+SUMIFS('Stress scenario'!$K$9:$K$995,'Stress scenario'!$E$9:$E$995,"USD",'Stress scenario'!$K$9:$K$995,"&lt;0",'Stress scenario'!$N$9:$N$995,"=2",'Stress scenario'!$L$9:$L$995,"&gt;="&amp;C19,'Stress scenario'!$L$9:$L$995,"&lt;"&amp;C20)</f>
        <v>0</v>
      </c>
      <c r="G20" s="16">
        <f t="shared" si="0"/>
        <v>0</v>
      </c>
      <c r="H20" s="16">
        <f t="shared" si="0"/>
        <v>0</v>
      </c>
      <c r="I20" s="16">
        <f t="shared" si="1"/>
        <v>0</v>
      </c>
      <c r="J20" s="16">
        <f t="shared" si="2"/>
        <v>0</v>
      </c>
      <c r="K20" s="18"/>
      <c r="L20" s="21"/>
      <c r="M20" s="22" t="s">
        <v>42</v>
      </c>
      <c r="N20" s="19"/>
      <c r="O20" s="18"/>
      <c r="P20" s="99"/>
      <c r="Q20" s="100"/>
    </row>
    <row r="21" spans="1:17" ht="15.75" thickBot="1" x14ac:dyDescent="0.3">
      <c r="A21" s="155"/>
      <c r="B21" s="101"/>
      <c r="C21" s="101"/>
      <c r="D21" s="102">
        <v>0.125</v>
      </c>
      <c r="E21" s="103">
        <f>SUMIFS('Stress scenario'!$K$9:$K$995,'Stress scenario'!$E$9:$E$995,"USD",'Stress scenario'!$K$9:$K$995,"&gt;0",'Stress scenario'!$N$9:$N$995,"=1",'Stress scenario'!$L$9:$L$995,"&gt;="&amp;$B$18)+SUMIFS('Stress scenario'!$K$9:$K$995,'Stress scenario'!$E$9:$E$995,"USD",'Stress scenario'!$K$9:$K$995,"&gt;0",'Stress scenario'!$N$9:$N$995,"=2",'Stress scenario'!$L$9:$L$995,"&gt;="&amp;$C$20)</f>
        <v>0</v>
      </c>
      <c r="F21" s="103">
        <f>SUMIFS('Stress scenario'!$K$9:$K$995,'Stress scenario'!$E$9:$E$995,"USD",'Stress scenario'!$K$9:$K$995,"&lt;0",'Stress scenario'!$N$9:$N$995,"=1",'Stress scenario'!$L$9:$L$995,"&gt;="&amp;$B$18)+SUMIFS('Stress scenario'!$K$9:$K$995,'Stress scenario'!$E$9:$E$995,"USD",'Stress scenario'!$K$9:$K$995,"&lt;0",'Stress scenario'!$N$9:$N$995,"=2",'Stress scenario'!$L$9:$L$995,"&gt;="&amp;$C$20)</f>
        <v>0</v>
      </c>
      <c r="G21" s="103">
        <f t="shared" si="0"/>
        <v>0</v>
      </c>
      <c r="H21" s="103">
        <f t="shared" si="0"/>
        <v>0</v>
      </c>
      <c r="I21" s="103">
        <f t="shared" si="1"/>
        <v>0</v>
      </c>
      <c r="J21" s="103">
        <f t="shared" si="2"/>
        <v>0</v>
      </c>
      <c r="K21" s="104">
        <f>SUMIF(J14:J21,"&gt;=0",J14:J21)</f>
        <v>560998.1725793886</v>
      </c>
      <c r="L21" s="103">
        <f>SUMIF(J14:J21,"&lt;0",J14:J21)</f>
        <v>0</v>
      </c>
      <c r="M21" s="105">
        <f>MIN(ABS(K21),ABS(L21))</f>
        <v>0</v>
      </c>
      <c r="N21" s="106">
        <f>ABS(K21)-ABS(L21)</f>
        <v>560998.1725793886</v>
      </c>
      <c r="O21" s="107"/>
      <c r="P21" s="108"/>
      <c r="Q21" s="109"/>
    </row>
    <row r="22" spans="1:17" x14ac:dyDescent="0.25">
      <c r="B22" s="11"/>
      <c r="C22" s="11"/>
      <c r="G22" s="12" t="s">
        <v>43</v>
      </c>
      <c r="H22" s="12" t="s">
        <v>44</v>
      </c>
      <c r="I22" s="12" t="s">
        <v>45</v>
      </c>
      <c r="O22" s="12" t="s">
        <v>46</v>
      </c>
      <c r="P22" s="12" t="s">
        <v>47</v>
      </c>
      <c r="Q22" s="12" t="s">
        <v>48</v>
      </c>
    </row>
    <row r="23" spans="1:17" x14ac:dyDescent="0.25">
      <c r="B23" s="11"/>
      <c r="C23" s="11"/>
      <c r="G23" s="12">
        <f>SUM(G7:G21)</f>
        <v>560998.1725793886</v>
      </c>
      <c r="H23" s="12">
        <f>SUM(H7:H21)</f>
        <v>0</v>
      </c>
      <c r="I23" s="12">
        <f>SUM(I7:I21)</f>
        <v>0</v>
      </c>
      <c r="O23" s="12">
        <f>IF(N10*N13&lt;0,MIN(ABS(N10),ABS(N13)),0)</f>
        <v>0</v>
      </c>
      <c r="P23" s="12">
        <f>IF(N13*N21&lt;0,MIN(ABS(N13),ABS(N21)),0)</f>
        <v>0</v>
      </c>
      <c r="Q23" s="12">
        <f>IF(N10*N21&lt;0,MIN(ABS(N10),ABS(N21)),0)</f>
        <v>0</v>
      </c>
    </row>
    <row r="24" spans="1:17" x14ac:dyDescent="0.25">
      <c r="A24" s="29" t="s">
        <v>49</v>
      </c>
      <c r="B24" s="29" t="s">
        <v>50</v>
      </c>
      <c r="C24" s="29" t="s">
        <v>51</v>
      </c>
      <c r="D24" s="27" t="s">
        <v>115</v>
      </c>
      <c r="E24" s="12"/>
    </row>
    <row r="25" spans="1:17" x14ac:dyDescent="0.25">
      <c r="A25" s="23">
        <f>ABS(G23+H23)</f>
        <v>560998.1725793886</v>
      </c>
      <c r="B25" s="23">
        <f>I23*10%</f>
        <v>0</v>
      </c>
      <c r="C25" s="23">
        <f>40%*M10+30%*M13+30%*M21+40%*O23+40%*P23+100%*Q23</f>
        <v>0</v>
      </c>
      <c r="D25" s="28">
        <f>A25+B25+C25</f>
        <v>560998.1725793886</v>
      </c>
    </row>
    <row r="26" spans="1:17" x14ac:dyDescent="0.25">
      <c r="A26" s="60"/>
      <c r="B26" s="60"/>
      <c r="C26" s="60"/>
      <c r="D26" s="74"/>
    </row>
    <row r="27" spans="1:17" x14ac:dyDescent="0.25">
      <c r="A27" s="156" t="s">
        <v>124</v>
      </c>
      <c r="B27" s="156"/>
    </row>
    <row r="28" spans="1:17" x14ac:dyDescent="0.25">
      <c r="A28" s="25" t="s">
        <v>53</v>
      </c>
      <c r="B28" s="26">
        <f>SUMPRODUCT('Stress scenario'!$K$9:$K$995,'Stress scenario'!$M$9:$M$995)</f>
        <v>326398.93677346245</v>
      </c>
    </row>
    <row r="29" spans="1:17" x14ac:dyDescent="0.25">
      <c r="A29" s="25" t="s">
        <v>115</v>
      </c>
      <c r="B29" s="26">
        <f>D25</f>
        <v>560998.1725793886</v>
      </c>
    </row>
    <row r="30" spans="1:17" x14ac:dyDescent="0.25">
      <c r="A30" s="25" t="s">
        <v>116</v>
      </c>
      <c r="B30" s="26">
        <f>B28+B29</f>
        <v>887397.10935285105</v>
      </c>
    </row>
    <row r="31" spans="1:17" x14ac:dyDescent="0.25">
      <c r="A31" s="12"/>
      <c r="B31" s="35"/>
    </row>
    <row r="32" spans="1:17" x14ac:dyDescent="0.25">
      <c r="A32" s="12" t="s">
        <v>126</v>
      </c>
      <c r="B32" s="73"/>
    </row>
    <row r="33" spans="1:6" x14ac:dyDescent="0.25">
      <c r="A33" s="157" t="s">
        <v>52</v>
      </c>
      <c r="B33" s="157"/>
    </row>
    <row r="34" spans="1:6" x14ac:dyDescent="0.25">
      <c r="A34" s="25" t="s">
        <v>123</v>
      </c>
      <c r="B34" s="26">
        <f>'Stress scenario'!K9*0.08</f>
        <v>1631994.6838673125</v>
      </c>
    </row>
    <row r="35" spans="1:6" x14ac:dyDescent="0.25">
      <c r="A35" s="12"/>
      <c r="B35" s="73"/>
    </row>
    <row r="36" spans="1:6" x14ac:dyDescent="0.25">
      <c r="A36" s="12" t="s">
        <v>128</v>
      </c>
      <c r="B36" s="73"/>
    </row>
    <row r="37" spans="1:6" ht="29.85" customHeight="1" x14ac:dyDescent="0.25">
      <c r="A37" s="148" t="s">
        <v>117</v>
      </c>
      <c r="B37" s="148"/>
    </row>
    <row r="38" spans="1:6" x14ac:dyDescent="0.25">
      <c r="A38" s="30" t="s">
        <v>118</v>
      </c>
      <c r="B38" s="43">
        <f>B30+B34</f>
        <v>2519391.7932201633</v>
      </c>
    </row>
    <row r="41" spans="1:6" ht="40.9" customHeight="1" x14ac:dyDescent="0.25">
      <c r="A41" s="12" t="s">
        <v>145</v>
      </c>
      <c r="D41" s="53" t="s">
        <v>153</v>
      </c>
      <c r="E41" s="53"/>
      <c r="F41" s="53"/>
    </row>
  </sheetData>
  <mergeCells count="12">
    <mergeCell ref="A37:B37"/>
    <mergeCell ref="A3:Q3"/>
    <mergeCell ref="B4:C4"/>
    <mergeCell ref="E4:F4"/>
    <mergeCell ref="G4:H4"/>
    <mergeCell ref="K4:L4"/>
    <mergeCell ref="O4:Q4"/>
    <mergeCell ref="A7:A10"/>
    <mergeCell ref="A11:A13"/>
    <mergeCell ref="A14:A21"/>
    <mergeCell ref="A27:B27"/>
    <mergeCell ref="A33:B3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7BC3B-B9C7-4CBF-A03B-02B90E95470D}">
  <sheetPr codeName="Sheet4">
    <tabColor theme="9"/>
  </sheetPr>
  <dimension ref="A1:E20"/>
  <sheetViews>
    <sheetView zoomScaleNormal="100" workbookViewId="0">
      <selection activeCell="C5" sqref="C5:F10"/>
    </sheetView>
  </sheetViews>
  <sheetFormatPr defaultRowHeight="15" x14ac:dyDescent="0.25"/>
  <cols>
    <col min="1" max="1" width="19.42578125" customWidth="1"/>
    <col min="2" max="2" width="24.5703125" customWidth="1"/>
    <col min="3" max="3" width="19.140625" customWidth="1"/>
    <col min="4" max="4" width="11.5703125" bestFit="1" customWidth="1"/>
    <col min="5" max="5" width="14.5703125" customWidth="1"/>
    <col min="6" max="6" width="12.7109375" customWidth="1"/>
    <col min="7" max="7" width="16.28515625" customWidth="1"/>
    <col min="8" max="8" width="9.140625" customWidth="1"/>
  </cols>
  <sheetData>
    <row r="1" spans="1:2" ht="19.5" x14ac:dyDescent="0.25">
      <c r="A1" s="112" t="s">
        <v>135</v>
      </c>
    </row>
    <row r="2" spans="1:2" x14ac:dyDescent="0.25">
      <c r="A2" s="12" t="s">
        <v>134</v>
      </c>
    </row>
    <row r="3" spans="1:2" x14ac:dyDescent="0.25">
      <c r="A3" s="120" t="s">
        <v>133</v>
      </c>
      <c r="B3" s="121">
        <f>3500000</f>
        <v>3500000</v>
      </c>
    </row>
    <row r="5" spans="1:2" x14ac:dyDescent="0.25">
      <c r="A5" s="12" t="s">
        <v>138</v>
      </c>
    </row>
    <row r="9" spans="1:2" ht="15.75" thickBot="1" x14ac:dyDescent="0.3"/>
    <row r="10" spans="1:2" ht="15.75" thickBot="1" x14ac:dyDescent="0.3">
      <c r="A10" s="122" t="s">
        <v>136</v>
      </c>
      <c r="B10" s="123">
        <f>$B$3/(12.5*'Normal KMR'!B38)</f>
        <v>0.10307183877522268</v>
      </c>
    </row>
    <row r="13" spans="1:2" x14ac:dyDescent="0.25">
      <c r="A13" s="12" t="s">
        <v>139</v>
      </c>
    </row>
    <row r="18" spans="1:5" ht="15.75" thickBot="1" x14ac:dyDescent="0.3"/>
    <row r="19" spans="1:5" ht="15.75" thickBot="1" x14ac:dyDescent="0.3">
      <c r="A19" s="122" t="s">
        <v>137</v>
      </c>
      <c r="B19" s="123">
        <f>($B$3-('Normal scenario'!K9-'Stress scenario'!K9))/(12.5*'Stress KMR'!B38)</f>
        <v>6.044512334214884E-2</v>
      </c>
      <c r="D19" t="s">
        <v>146</v>
      </c>
    </row>
    <row r="20" spans="1:5" ht="18" x14ac:dyDescent="0.35">
      <c r="D20" s="126" t="s">
        <v>147</v>
      </c>
      <c r="E20" s="52"/>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B209A-3613-4C94-8B70-7B58AA87B9BF}">
  <sheetPr codeName="Sheet5"/>
  <dimension ref="A1:B5"/>
  <sheetViews>
    <sheetView workbookViewId="0">
      <selection activeCell="F19" sqref="F19"/>
    </sheetView>
  </sheetViews>
  <sheetFormatPr defaultRowHeight="15" x14ac:dyDescent="0.25"/>
  <cols>
    <col min="1" max="1" width="16.85546875" customWidth="1"/>
    <col min="2" max="2" width="17.7109375" customWidth="1"/>
  </cols>
  <sheetData>
    <row r="1" spans="1:2" x14ac:dyDescent="0.25">
      <c r="A1" t="s">
        <v>55</v>
      </c>
      <c r="B1" t="s">
        <v>56</v>
      </c>
    </row>
    <row r="2" spans="1:2" x14ac:dyDescent="0.25">
      <c r="A2" t="s">
        <v>57</v>
      </c>
      <c r="B2" t="s">
        <v>58</v>
      </c>
    </row>
    <row r="3" spans="1:2" x14ac:dyDescent="0.25">
      <c r="A3" t="s">
        <v>59</v>
      </c>
      <c r="B3" t="s">
        <v>60</v>
      </c>
    </row>
    <row r="4" spans="1:2" x14ac:dyDescent="0.25">
      <c r="A4" t="s">
        <v>17</v>
      </c>
      <c r="B4" t="s">
        <v>61</v>
      </c>
    </row>
    <row r="5" spans="1:2" x14ac:dyDescent="0.25">
      <c r="A5" t="s">
        <v>62</v>
      </c>
      <c r="B5" t="s">
        <v>63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F4A95-B9D5-41BD-91D2-61E665847C15}">
  <sheetPr codeName="Sheet6"/>
  <dimension ref="A1:D26"/>
  <sheetViews>
    <sheetView workbookViewId="0">
      <selection activeCell="B26" sqref="B26"/>
    </sheetView>
  </sheetViews>
  <sheetFormatPr defaultRowHeight="15" x14ac:dyDescent="0.25"/>
  <cols>
    <col min="1" max="1" width="7.28515625" customWidth="1"/>
    <col min="2" max="3" width="19.7109375" bestFit="1" customWidth="1"/>
  </cols>
  <sheetData>
    <row r="1" spans="1:4" x14ac:dyDescent="0.25">
      <c r="A1" t="s">
        <v>64</v>
      </c>
      <c r="B1" t="s">
        <v>65</v>
      </c>
      <c r="C1" t="s">
        <v>66</v>
      </c>
      <c r="D1" t="s">
        <v>67</v>
      </c>
    </row>
    <row r="2" spans="1:4" x14ac:dyDescent="0.25">
      <c r="A2">
        <v>1</v>
      </c>
      <c r="B2" t="s">
        <v>68</v>
      </c>
      <c r="C2" t="s">
        <v>69</v>
      </c>
      <c r="D2" t="s">
        <v>68</v>
      </c>
    </row>
    <row r="3" spans="1:4" x14ac:dyDescent="0.25">
      <c r="A3">
        <v>2</v>
      </c>
      <c r="B3" t="s">
        <v>70</v>
      </c>
      <c r="C3" t="s">
        <v>71</v>
      </c>
      <c r="D3" t="s">
        <v>70</v>
      </c>
    </row>
    <row r="4" spans="1:4" x14ac:dyDescent="0.25">
      <c r="A4">
        <v>3</v>
      </c>
      <c r="B4" t="s">
        <v>72</v>
      </c>
      <c r="C4" t="s">
        <v>73</v>
      </c>
      <c r="D4" t="s">
        <v>72</v>
      </c>
    </row>
    <row r="5" spans="1:4" x14ac:dyDescent="0.25">
      <c r="A5">
        <v>4</v>
      </c>
      <c r="B5" t="s">
        <v>74</v>
      </c>
      <c r="C5" t="s">
        <v>75</v>
      </c>
      <c r="D5" t="s">
        <v>74</v>
      </c>
    </row>
    <row r="6" spans="1:4" x14ac:dyDescent="0.25">
      <c r="A6">
        <v>5</v>
      </c>
      <c r="B6" t="s">
        <v>76</v>
      </c>
      <c r="C6" t="s">
        <v>77</v>
      </c>
      <c r="D6" t="s">
        <v>76</v>
      </c>
    </row>
    <row r="7" spans="1:4" x14ac:dyDescent="0.25">
      <c r="A7">
        <v>6</v>
      </c>
      <c r="B7" t="s">
        <v>78</v>
      </c>
      <c r="C7" t="s">
        <v>79</v>
      </c>
      <c r="D7" t="s">
        <v>78</v>
      </c>
    </row>
    <row r="8" spans="1:4" x14ac:dyDescent="0.25">
      <c r="A8">
        <v>7</v>
      </c>
      <c r="B8" t="s">
        <v>80</v>
      </c>
      <c r="C8" t="s">
        <v>81</v>
      </c>
      <c r="D8" t="s">
        <v>80</v>
      </c>
    </row>
    <row r="9" spans="1:4" x14ac:dyDescent="0.25">
      <c r="A9">
        <v>8</v>
      </c>
      <c r="B9" t="s">
        <v>82</v>
      </c>
      <c r="C9" t="s">
        <v>83</v>
      </c>
      <c r="D9" t="s">
        <v>82</v>
      </c>
    </row>
    <row r="10" spans="1:4" x14ac:dyDescent="0.25">
      <c r="A10">
        <v>9</v>
      </c>
      <c r="B10" t="s">
        <v>84</v>
      </c>
      <c r="C10" t="s">
        <v>85</v>
      </c>
      <c r="D10" t="s">
        <v>84</v>
      </c>
    </row>
    <row r="11" spans="1:4" x14ac:dyDescent="0.25">
      <c r="A11">
        <v>10</v>
      </c>
      <c r="B11" t="s">
        <v>86</v>
      </c>
      <c r="C11" t="s">
        <v>87</v>
      </c>
      <c r="D11" t="s">
        <v>86</v>
      </c>
    </row>
    <row r="12" spans="1:4" x14ac:dyDescent="0.25">
      <c r="A12">
        <v>11</v>
      </c>
      <c r="B12" t="s">
        <v>88</v>
      </c>
      <c r="C12" t="s">
        <v>89</v>
      </c>
      <c r="D12" t="s">
        <v>88</v>
      </c>
    </row>
    <row r="13" spans="1:4" x14ac:dyDescent="0.25">
      <c r="A13">
        <v>12</v>
      </c>
      <c r="B13" t="s">
        <v>90</v>
      </c>
      <c r="C13" t="s">
        <v>91</v>
      </c>
      <c r="D13" t="s">
        <v>90</v>
      </c>
    </row>
    <row r="14" spans="1:4" x14ac:dyDescent="0.25">
      <c r="A14">
        <v>13</v>
      </c>
      <c r="B14" t="s">
        <v>92</v>
      </c>
      <c r="C14" t="s">
        <v>93</v>
      </c>
      <c r="D14" t="s">
        <v>92</v>
      </c>
    </row>
    <row r="15" spans="1:4" x14ac:dyDescent="0.25">
      <c r="A15">
        <v>14</v>
      </c>
      <c r="B15" t="s">
        <v>94</v>
      </c>
      <c r="C15" t="s">
        <v>95</v>
      </c>
      <c r="D15" t="s">
        <v>94</v>
      </c>
    </row>
    <row r="16" spans="1:4" x14ac:dyDescent="0.25">
      <c r="A16">
        <v>15</v>
      </c>
      <c r="B16" t="s">
        <v>96</v>
      </c>
      <c r="C16" t="s">
        <v>97</v>
      </c>
      <c r="D16" t="s">
        <v>96</v>
      </c>
    </row>
    <row r="17" spans="1:4" x14ac:dyDescent="0.25">
      <c r="A17">
        <v>16</v>
      </c>
      <c r="B17" t="s">
        <v>98</v>
      </c>
      <c r="C17" t="s">
        <v>99</v>
      </c>
      <c r="D17" t="s">
        <v>98</v>
      </c>
    </row>
    <row r="18" spans="1:4" x14ac:dyDescent="0.25">
      <c r="A18">
        <v>17</v>
      </c>
      <c r="B18" t="s">
        <v>100</v>
      </c>
      <c r="C18" t="s">
        <v>101</v>
      </c>
      <c r="D18" t="s">
        <v>100</v>
      </c>
    </row>
    <row r="19" spans="1:4" x14ac:dyDescent="0.25">
      <c r="A19">
        <v>17</v>
      </c>
      <c r="B19" t="s">
        <v>102</v>
      </c>
      <c r="C19" t="s">
        <v>103</v>
      </c>
      <c r="D19" t="s">
        <v>102</v>
      </c>
    </row>
    <row r="20" spans="1:4" x14ac:dyDescent="0.25">
      <c r="A20">
        <v>17</v>
      </c>
      <c r="B20" t="s">
        <v>104</v>
      </c>
      <c r="C20" t="s">
        <v>105</v>
      </c>
      <c r="D20" t="s">
        <v>104</v>
      </c>
    </row>
    <row r="21" spans="1:4" x14ac:dyDescent="0.25">
      <c r="A21">
        <v>17</v>
      </c>
      <c r="B21" s="8" t="s">
        <v>106</v>
      </c>
      <c r="C21" s="8" t="s">
        <v>107</v>
      </c>
      <c r="D21" s="8" t="s">
        <v>106</v>
      </c>
    </row>
    <row r="22" spans="1:4" x14ac:dyDescent="0.25">
      <c r="A22">
        <v>17</v>
      </c>
      <c r="B22" s="8" t="s">
        <v>54</v>
      </c>
      <c r="C22" s="8" t="s">
        <v>54</v>
      </c>
      <c r="D22" s="8" t="s">
        <v>54</v>
      </c>
    </row>
    <row r="23" spans="1:4" x14ac:dyDescent="0.25">
      <c r="A23">
        <v>17</v>
      </c>
      <c r="B23" s="8" t="s">
        <v>108</v>
      </c>
      <c r="C23" s="8"/>
      <c r="D23" s="8" t="s">
        <v>109</v>
      </c>
    </row>
    <row r="24" spans="1:4" x14ac:dyDescent="0.25">
      <c r="A24">
        <v>17</v>
      </c>
      <c r="B24" s="8" t="s">
        <v>110</v>
      </c>
      <c r="C24" s="8"/>
      <c r="D24" s="8" t="s">
        <v>111</v>
      </c>
    </row>
    <row r="25" spans="1:4" x14ac:dyDescent="0.25">
      <c r="A25">
        <v>17</v>
      </c>
      <c r="B25" s="8" t="s">
        <v>111</v>
      </c>
      <c r="C25" s="8"/>
      <c r="D25" s="8"/>
    </row>
    <row r="26" spans="1:4" x14ac:dyDescent="0.25">
      <c r="A26">
        <v>18</v>
      </c>
      <c r="B26" s="8" t="s">
        <v>112</v>
      </c>
      <c r="C26" s="8" t="s">
        <v>112</v>
      </c>
      <c r="D26" s="8" t="s">
        <v>112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6CC1F81F7D9E7488ED9C84B8917317D" ma:contentTypeVersion="8" ma:contentTypeDescription="Create a new document." ma:contentTypeScope="" ma:versionID="658c8d717184ab91460dce4ab37ca419">
  <xsd:schema xmlns:xsd="http://www.w3.org/2001/XMLSchema" xmlns:xs="http://www.w3.org/2001/XMLSchema" xmlns:p="http://schemas.microsoft.com/office/2006/metadata/properties" xmlns:ns3="156f14a9-ad27-465c-beea-0400167b42e7" xmlns:ns4="c97abbac-8556-4a61-a3b4-2d7730bb058e" targetNamespace="http://schemas.microsoft.com/office/2006/metadata/properties" ma:root="true" ma:fieldsID="4d95b75efd7065c5ffa83723efaaca3a" ns3:_="" ns4:_="">
    <xsd:import namespace="156f14a9-ad27-465c-beea-0400167b42e7"/>
    <xsd:import namespace="c97abbac-8556-4a61-a3b4-2d7730bb058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6f14a9-ad27-465c-beea-0400167b42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97abbac-8556-4a61-a3b4-2d7730bb058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F77C49B-D99A-46C1-B2CE-E6C379360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56f14a9-ad27-465c-beea-0400167b42e7"/>
    <ds:schemaRef ds:uri="c97abbac-8556-4a61-a3b4-2d7730bb0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3B9899E-403F-41D8-930F-F1B3A14D2257}">
  <ds:schemaRefs>
    <ds:schemaRef ds:uri="http://schemas.microsoft.com/sharepoint/v3/contenttype/forms"/>
  </ds:schemaRefs>
</ds:datastoreItem>
</file>

<file path=customXml/itemProps3.xml><?xml version="1.0" encoding="utf-8"?>
<ds:datastoreItem xmlns:ds="http://schemas.openxmlformats.org/officeDocument/2006/customXml" ds:itemID="{62B15B75-ABB6-4176-AD9A-5BED27BDD52E}">
  <ds:schemaRefs>
    <ds:schemaRef ds:uri="http://purl.org/dc/terms/"/>
    <ds:schemaRef ds:uri="http://www.w3.org/XML/1998/namespace"/>
    <ds:schemaRef ds:uri="http://purl.org/dc/elements/1.1/"/>
    <ds:schemaRef ds:uri="c97abbac-8556-4a61-a3b4-2d7730bb058e"/>
    <ds:schemaRef ds:uri="156f14a9-ad27-465c-beea-0400167b42e7"/>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Normal scenario</vt:lpstr>
      <vt:lpstr>Stress scenario</vt:lpstr>
      <vt:lpstr>Normal KMR</vt:lpstr>
      <vt:lpstr>Stress KMR</vt:lpstr>
      <vt:lpstr>Results</vt: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Nguyen Minh, Hoa (VN - Hanoi)</dc:creator>
  <cp:keywords/>
  <dc:description/>
  <cp:lastModifiedBy>thao</cp:lastModifiedBy>
  <cp:revision/>
  <dcterms:created xsi:type="dcterms:W3CDTF">2019-11-21T07:23:15Z</dcterms:created>
  <dcterms:modified xsi:type="dcterms:W3CDTF">2023-04-12T01:34:34Z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0x010100C6CC1F81F7D9E7488ED9C84B8917317D</vt:lpwstr>
  </property>
  <property fmtid="{D5CDD505-2E9C-101B-9397-08002B2CF9AE}" pid="3" name="MSIP_Label_ea60d57e-af5b-4752-ac57-3e4f28ca11dc_Enabled">
    <vt:lpwstr>true</vt:lpwstr>
  </property>
  <property fmtid="{D5CDD505-2E9C-101B-9397-08002B2CF9AE}" pid="4" name="MSIP_Label_ea60d57e-af5b-4752-ac57-3e4f28ca11dc_SetDate">
    <vt:lpwstr>2023-02-07T14:07:24Z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1f064b57-c395-4398-a3f3-14c542752935</vt:lpwstr>
  </property>
  <property fmtid="{D5CDD505-2E9C-101B-9397-08002B2CF9AE}" pid="9" name="MSIP_Label_ea60d57e-af5b-4752-ac57-3e4f28ca11dc_ContentBits">
    <vt:lpwstr>0</vt:lpwstr>
  </property>
</Properties>
</file>