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aisf\Documents\"/>
    </mc:Choice>
  </mc:AlternateContent>
  <xr:revisionPtr revIDLastSave="0" documentId="13_ncr:1_{BC771D28-5C08-4933-87C6-D75550C13CFE}" xr6:coauthVersionLast="47" xr6:coauthVersionMax="47" xr10:uidLastSave="{00000000-0000-0000-0000-000000000000}"/>
  <bookViews>
    <workbookView xWindow="-108" yWindow="-108" windowWidth="23256" windowHeight="12456" xr2:uid="{A4465122-4272-4FA2-BEC5-CE116F7637BE}"/>
  </bookViews>
  <sheets>
    <sheet name="Controle de Estoque" sheetId="1" r:id="rId1"/>
    <sheet name="Folha Simplificada" sheetId="3" r:id="rId2"/>
    <sheet name="Controle Estoque_Lucro" sheetId="4" r:id="rId3"/>
    <sheet name="Recibo" sheetId="5" r:id="rId4"/>
    <sheet name="Empre Nacional" sheetId="6" r:id="rId5"/>
    <sheet name="concatenar" sheetId="19" r:id="rId6"/>
    <sheet name="Estoque Data" sheetId="7" r:id="rId7"/>
    <sheet name="Boletim Escolar" sheetId="9" r:id="rId8"/>
    <sheet name="Financeiro Receitas" sheetId="10" r:id="rId9"/>
    <sheet name="Relatorio com Filtros" sheetId="11" r:id="rId10"/>
    <sheet name="Procv" sheetId="12" r:id="rId11"/>
    <sheet name="Comissoes" sheetId="13" r:id="rId12"/>
    <sheet name="ProcH" sheetId="14" r:id="rId13"/>
    <sheet name="Orçamento" sheetId="16" r:id="rId14"/>
    <sheet name="Estoque" sheetId="17" r:id="rId15"/>
    <sheet name="Credito" sheetId="18" r:id="rId16"/>
    <sheet name="Função Pgto" sheetId="21" r:id="rId17"/>
    <sheet name="Fluxo de caixa" sheetId="22" r:id="rId18"/>
    <sheet name="Relatorio de Faturamento" sheetId="23" r:id="rId19"/>
    <sheet name="Folha de pagamento" sheetId="24" r:id="rId20"/>
    <sheet name="Pedido de compra" sheetId="25" r:id="rId21"/>
    <sheet name="Aumento de salario" sheetId="26" r:id="rId22"/>
    <sheet name="Cardapio" sheetId="27" r:id="rId23"/>
    <sheet name="comanda" sheetId="28" r:id="rId24"/>
  </sheets>
  <definedNames>
    <definedName name="_xlnm._FilterDatabase" localSheetId="9" hidden="1">'Relatorio com Filtros'!$B$3:$E$11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8" l="1"/>
  <c r="C15" i="28"/>
  <c r="C16" i="28"/>
  <c r="C17" i="28"/>
  <c r="C13" i="28"/>
  <c r="E14" i="28"/>
  <c r="E15" i="28"/>
  <c r="E16" i="28"/>
  <c r="E17" i="28"/>
  <c r="E13" i="28"/>
  <c r="E10" i="28"/>
  <c r="C6" i="28"/>
  <c r="E7" i="28"/>
  <c r="E8" i="28"/>
  <c r="E9" i="28"/>
  <c r="E6" i="28"/>
  <c r="C8" i="28"/>
  <c r="C9" i="28"/>
  <c r="C10" i="28"/>
  <c r="C7" i="28"/>
  <c r="E3" i="28"/>
  <c r="E5" i="26"/>
  <c r="E6" i="26"/>
  <c r="E7" i="26"/>
  <c r="E8" i="26"/>
  <c r="E9" i="26"/>
  <c r="E10" i="26"/>
  <c r="E11" i="26"/>
  <c r="D5" i="26"/>
  <c r="D6" i="26"/>
  <c r="D7" i="26"/>
  <c r="D8" i="26"/>
  <c r="D9" i="26"/>
  <c r="D10" i="26"/>
  <c r="D11" i="26"/>
  <c r="D4" i="26"/>
  <c r="E4" i="26" s="1"/>
  <c r="G5" i="25"/>
  <c r="G6" i="25"/>
  <c r="G7" i="25"/>
  <c r="G8" i="25"/>
  <c r="G9" i="25"/>
  <c r="G10" i="25"/>
  <c r="G11" i="25"/>
  <c r="G12" i="25"/>
  <c r="G13" i="25"/>
  <c r="G20" i="25" s="1"/>
  <c r="G14" i="25"/>
  <c r="G15" i="25"/>
  <c r="G4" i="25"/>
  <c r="D20" i="25"/>
  <c r="D19" i="25"/>
  <c r="D18" i="25"/>
  <c r="E5" i="25"/>
  <c r="E6" i="25"/>
  <c r="E7" i="25"/>
  <c r="E8" i="25"/>
  <c r="E9" i="25"/>
  <c r="E10" i="25"/>
  <c r="E11" i="25"/>
  <c r="E12" i="25"/>
  <c r="E13" i="25"/>
  <c r="E14" i="25"/>
  <c r="E15" i="25"/>
  <c r="E4" i="25"/>
  <c r="P20" i="24"/>
  <c r="L5" i="24"/>
  <c r="L6" i="24"/>
  <c r="L7" i="24"/>
  <c r="L8" i="24"/>
  <c r="L20" i="24" s="1"/>
  <c r="L9" i="24"/>
  <c r="L10" i="24"/>
  <c r="L11" i="24"/>
  <c r="L12" i="24"/>
  <c r="L13" i="24"/>
  <c r="L14" i="24"/>
  <c r="L15" i="24"/>
  <c r="L16" i="24"/>
  <c r="L17" i="24"/>
  <c r="L18" i="24"/>
  <c r="L19" i="24"/>
  <c r="L4" i="24"/>
  <c r="I5" i="24"/>
  <c r="Q5" i="24" s="1"/>
  <c r="J5" i="24"/>
  <c r="K5" i="24"/>
  <c r="M5" i="24"/>
  <c r="N5" i="24"/>
  <c r="O5" i="24"/>
  <c r="I6" i="24"/>
  <c r="Q6" i="24" s="1"/>
  <c r="J6" i="24"/>
  <c r="K6" i="24"/>
  <c r="K20" i="24" s="1"/>
  <c r="M6" i="24"/>
  <c r="N6" i="24"/>
  <c r="N20" i="24" s="1"/>
  <c r="O6" i="24"/>
  <c r="I7" i="24"/>
  <c r="J7" i="24"/>
  <c r="Q7" i="24" s="1"/>
  <c r="K7" i="24"/>
  <c r="M7" i="24"/>
  <c r="N7" i="24"/>
  <c r="O7" i="24"/>
  <c r="I8" i="24"/>
  <c r="J8" i="24"/>
  <c r="K8" i="24"/>
  <c r="M8" i="24"/>
  <c r="N8" i="24"/>
  <c r="O8" i="24"/>
  <c r="I9" i="24"/>
  <c r="J9" i="24"/>
  <c r="K9" i="24"/>
  <c r="M9" i="24"/>
  <c r="N9" i="24"/>
  <c r="O9" i="24"/>
  <c r="I10" i="24"/>
  <c r="J10" i="24"/>
  <c r="Q10" i="24" s="1"/>
  <c r="K10" i="24"/>
  <c r="M10" i="24"/>
  <c r="N10" i="24"/>
  <c r="O10" i="24"/>
  <c r="I11" i="24"/>
  <c r="J11" i="24"/>
  <c r="Q11" i="24" s="1"/>
  <c r="K11" i="24"/>
  <c r="M11" i="24"/>
  <c r="N11" i="24"/>
  <c r="O11" i="24"/>
  <c r="I12" i="24"/>
  <c r="Q12" i="24" s="1"/>
  <c r="J12" i="24"/>
  <c r="K12" i="24"/>
  <c r="M12" i="24"/>
  <c r="N12" i="24"/>
  <c r="O12" i="24"/>
  <c r="I13" i="24"/>
  <c r="J13" i="24"/>
  <c r="Q13" i="24" s="1"/>
  <c r="K13" i="24"/>
  <c r="M13" i="24"/>
  <c r="N13" i="24"/>
  <c r="O13" i="24"/>
  <c r="I14" i="24"/>
  <c r="J14" i="24"/>
  <c r="Q14" i="24" s="1"/>
  <c r="K14" i="24"/>
  <c r="M14" i="24"/>
  <c r="N14" i="24"/>
  <c r="O14" i="24"/>
  <c r="I15" i="24"/>
  <c r="J15" i="24"/>
  <c r="K15" i="24"/>
  <c r="M15" i="24"/>
  <c r="N15" i="24"/>
  <c r="O15" i="24"/>
  <c r="I16" i="24"/>
  <c r="J16" i="24"/>
  <c r="Q16" i="24" s="1"/>
  <c r="K16" i="24"/>
  <c r="M16" i="24"/>
  <c r="N16" i="24"/>
  <c r="O16" i="24"/>
  <c r="I17" i="24"/>
  <c r="J17" i="24"/>
  <c r="Q17" i="24" s="1"/>
  <c r="K17" i="24"/>
  <c r="M17" i="24"/>
  <c r="N17" i="24"/>
  <c r="O17" i="24"/>
  <c r="I18" i="24"/>
  <c r="J18" i="24"/>
  <c r="Q18" i="24" s="1"/>
  <c r="K18" i="24"/>
  <c r="M18" i="24"/>
  <c r="N18" i="24"/>
  <c r="O18" i="24"/>
  <c r="I19" i="24"/>
  <c r="J19" i="24"/>
  <c r="Q19" i="24" s="1"/>
  <c r="K19" i="24"/>
  <c r="M19" i="24"/>
  <c r="N19" i="24"/>
  <c r="O19" i="24"/>
  <c r="J4" i="24"/>
  <c r="O4" i="24"/>
  <c r="N4" i="24"/>
  <c r="M4" i="24"/>
  <c r="M20" i="24"/>
  <c r="I20" i="24"/>
  <c r="K4" i="24"/>
  <c r="I4" i="24"/>
  <c r="D13" i="23"/>
  <c r="E13" i="23"/>
  <c r="F13" i="23"/>
  <c r="G13" i="23"/>
  <c r="D12" i="23"/>
  <c r="E12" i="23"/>
  <c r="F12" i="23"/>
  <c r="G12" i="23"/>
  <c r="D11" i="23"/>
  <c r="E11" i="23"/>
  <c r="F11" i="23"/>
  <c r="G11" i="23"/>
  <c r="D10" i="23"/>
  <c r="E10" i="23"/>
  <c r="F10" i="23"/>
  <c r="G10" i="23"/>
  <c r="C13" i="23"/>
  <c r="C12" i="23"/>
  <c r="C11" i="23"/>
  <c r="C10" i="23"/>
  <c r="L5" i="23"/>
  <c r="L6" i="23"/>
  <c r="L7" i="23"/>
  <c r="L8" i="23"/>
  <c r="L4" i="23"/>
  <c r="K5" i="23"/>
  <c r="K6" i="23"/>
  <c r="K7" i="23"/>
  <c r="K8" i="23"/>
  <c r="K4" i="23"/>
  <c r="J5" i="23"/>
  <c r="J6" i="23"/>
  <c r="J7" i="23"/>
  <c r="J8" i="23"/>
  <c r="J4" i="23"/>
  <c r="I5" i="23"/>
  <c r="I6" i="23"/>
  <c r="I7" i="23"/>
  <c r="I8" i="23"/>
  <c r="I4" i="23"/>
  <c r="E21" i="22"/>
  <c r="D21" i="22"/>
  <c r="E19" i="22"/>
  <c r="D19" i="22"/>
  <c r="E17" i="22"/>
  <c r="D17" i="22"/>
  <c r="K16" i="22"/>
  <c r="J16" i="22"/>
  <c r="H16" i="22"/>
  <c r="G16" i="22"/>
  <c r="G17" i="22" s="1"/>
  <c r="G19" i="22" s="1"/>
  <c r="G21" i="22" s="1"/>
  <c r="E16" i="22"/>
  <c r="D16" i="22"/>
  <c r="K8" i="22"/>
  <c r="J8" i="22"/>
  <c r="H8" i="22"/>
  <c r="G8" i="22"/>
  <c r="E8" i="22"/>
  <c r="D8" i="22"/>
  <c r="C7" i="21"/>
  <c r="H4" i="19"/>
  <c r="H5" i="19"/>
  <c r="H6" i="19"/>
  <c r="H3" i="19"/>
  <c r="I12" i="6"/>
  <c r="I13" i="6"/>
  <c r="I14" i="6"/>
  <c r="I15" i="6"/>
  <c r="H12" i="6"/>
  <c r="H13" i="6"/>
  <c r="H14" i="6"/>
  <c r="H15" i="6"/>
  <c r="G12" i="6"/>
  <c r="G13" i="6"/>
  <c r="G14" i="6"/>
  <c r="G15" i="6"/>
  <c r="F12" i="6"/>
  <c r="F13" i="6"/>
  <c r="F14" i="6"/>
  <c r="F15" i="6"/>
  <c r="I11" i="6"/>
  <c r="H11" i="6"/>
  <c r="G11" i="6"/>
  <c r="F11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6" i="6"/>
  <c r="F7" i="6"/>
  <c r="F8" i="6"/>
  <c r="F5" i="6"/>
  <c r="F4" i="6"/>
  <c r="F3" i="16"/>
  <c r="H6" i="16" s="1"/>
  <c r="C6" i="18"/>
  <c r="C5" i="18"/>
  <c r="C4" i="18"/>
  <c r="H5" i="17"/>
  <c r="H6" i="17"/>
  <c r="H7" i="17"/>
  <c r="H8" i="17"/>
  <c r="H4" i="17"/>
  <c r="F5" i="17"/>
  <c r="F6" i="17"/>
  <c r="F7" i="17"/>
  <c r="F8" i="17"/>
  <c r="F4" i="17"/>
  <c r="G5" i="13"/>
  <c r="G4" i="13"/>
  <c r="F5" i="13"/>
  <c r="F4" i="13"/>
  <c r="C7" i="14"/>
  <c r="E7" i="13"/>
  <c r="F7" i="13" s="1"/>
  <c r="G7" i="13" s="1"/>
  <c r="E6" i="13"/>
  <c r="F6" i="13" s="1"/>
  <c r="G6" i="13" s="1"/>
  <c r="E5" i="13"/>
  <c r="E4" i="13"/>
  <c r="C11" i="12"/>
  <c r="C10" i="12"/>
  <c r="H2" i="11"/>
  <c r="H3" i="11"/>
  <c r="H4" i="11"/>
  <c r="I4" i="10"/>
  <c r="I12" i="10"/>
  <c r="I11" i="10"/>
  <c r="I10" i="10"/>
  <c r="I9" i="10"/>
  <c r="I8" i="10"/>
  <c r="I7" i="10"/>
  <c r="E14" i="11"/>
  <c r="E13" i="11"/>
  <c r="D14" i="11"/>
  <c r="D13" i="11"/>
  <c r="E12" i="11"/>
  <c r="K4" i="9"/>
  <c r="K3" i="9"/>
  <c r="H8" i="7"/>
  <c r="H7" i="7"/>
  <c r="H6" i="7"/>
  <c r="H5" i="7"/>
  <c r="H4" i="7"/>
  <c r="H14" i="10"/>
  <c r="H15" i="10" s="1"/>
  <c r="H16" i="10" s="1"/>
  <c r="G16" i="10"/>
  <c r="E15" i="10"/>
  <c r="E16" i="10" s="1"/>
  <c r="F15" i="10"/>
  <c r="F16" i="10" s="1"/>
  <c r="G15" i="10"/>
  <c r="D14" i="10"/>
  <c r="D15" i="10" s="1"/>
  <c r="D16" i="10" s="1"/>
  <c r="E14" i="10"/>
  <c r="F14" i="10"/>
  <c r="G14" i="10"/>
  <c r="C14" i="10"/>
  <c r="C15" i="10" s="1"/>
  <c r="C16" i="10" s="1"/>
  <c r="G5" i="9"/>
  <c r="H5" i="9" s="1"/>
  <c r="G6" i="9"/>
  <c r="H6" i="9" s="1"/>
  <c r="G7" i="9"/>
  <c r="H7" i="9" s="1"/>
  <c r="G8" i="9"/>
  <c r="H8" i="9" s="1"/>
  <c r="G4" i="9"/>
  <c r="H4" i="9" s="1"/>
  <c r="C3" i="5"/>
  <c r="G5" i="7"/>
  <c r="G6" i="7"/>
  <c r="G7" i="7"/>
  <c r="G8" i="7"/>
  <c r="G4" i="7"/>
  <c r="E5" i="7"/>
  <c r="E6" i="7"/>
  <c r="E7" i="7"/>
  <c r="E8" i="7"/>
  <c r="E4" i="7"/>
  <c r="E15" i="5"/>
  <c r="E14" i="5"/>
  <c r="I5" i="3"/>
  <c r="I6" i="3"/>
  <c r="I7" i="3"/>
  <c r="J7" i="3" s="1"/>
  <c r="I8" i="3"/>
  <c r="J8" i="3" s="1"/>
  <c r="I4" i="3"/>
  <c r="H5" i="3"/>
  <c r="H6" i="3"/>
  <c r="H7" i="3"/>
  <c r="H8" i="3"/>
  <c r="H4" i="3"/>
  <c r="G5" i="3"/>
  <c r="J5" i="3" s="1"/>
  <c r="G6" i="3"/>
  <c r="G7" i="3"/>
  <c r="G8" i="3"/>
  <c r="G4" i="3"/>
  <c r="E8" i="5"/>
  <c r="E9" i="5"/>
  <c r="E10" i="5"/>
  <c r="E11" i="5"/>
  <c r="E7" i="5"/>
  <c r="E12" i="5" s="1"/>
  <c r="G8" i="4"/>
  <c r="H8" i="4" s="1"/>
  <c r="I8" i="4" s="1"/>
  <c r="G9" i="4"/>
  <c r="H9" i="4" s="1"/>
  <c r="G10" i="4"/>
  <c r="H10" i="4" s="1"/>
  <c r="G11" i="4"/>
  <c r="H11" i="4" s="1"/>
  <c r="I11" i="4" s="1"/>
  <c r="G7" i="4"/>
  <c r="H7" i="4" s="1"/>
  <c r="E8" i="4"/>
  <c r="E9" i="4"/>
  <c r="F9" i="4" s="1"/>
  <c r="E10" i="4"/>
  <c r="F10" i="4" s="1"/>
  <c r="E11" i="4"/>
  <c r="F11" i="4" s="1"/>
  <c r="E7" i="4"/>
  <c r="F7" i="4" s="1"/>
  <c r="F8" i="4"/>
  <c r="E5" i="1"/>
  <c r="E6" i="1"/>
  <c r="E7" i="1"/>
  <c r="E4" i="1"/>
  <c r="G18" i="25" l="1"/>
  <c r="G19" i="25"/>
  <c r="G17" i="25"/>
  <c r="Q8" i="24"/>
  <c r="Q20" i="24" s="1"/>
  <c r="Q15" i="24"/>
  <c r="Q9" i="24"/>
  <c r="J20" i="24"/>
  <c r="Q4" i="24"/>
  <c r="O20" i="24"/>
  <c r="J17" i="22"/>
  <c r="J19" i="22" s="1"/>
  <c r="J21" i="22" s="1"/>
  <c r="K17" i="22"/>
  <c r="K19" i="22" s="1"/>
  <c r="K21" i="22" s="1"/>
  <c r="H17" i="22"/>
  <c r="H19" i="22" s="1"/>
  <c r="H21" i="22" s="1"/>
  <c r="G6" i="16"/>
  <c r="E6" i="16"/>
  <c r="F6" i="16"/>
  <c r="E13" i="5"/>
  <c r="E16" i="5" s="1"/>
  <c r="J6" i="3"/>
  <c r="J4" i="3"/>
  <c r="I10" i="4"/>
  <c r="I9" i="4"/>
  <c r="I7" i="4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tc={0EF44127-84CA-4230-80A1-CB666C934036}</author>
  </authors>
  <commentList>
    <comment ref="H3" authorId="0" shapeId="0" xr:uid="{0EF44127-84CA-4230-80A1-CB666C934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Produtos acima de 10 unid. estoque OK.
Produtos com menos de 10 unid. estoque deverá ser reabastecido.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tc={BD54B9D1-F30F-4554-827F-29767C258A7C}</author>
    <author>tc={C375C3D5-EBAE-4B5F-8663-645966C817A2}</author>
  </authors>
  <commentList>
    <comment ref="G3" authorId="0" shapeId="0" xr:uid="{BD54B9D1-F30F-4554-827F-29767C258A7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Aritmética das notas por matéria.</t>
      </text>
    </comment>
    <comment ref="H3" authorId="1" shapeId="0" xr:uid="{C375C3D5-EBAE-4B5F-8663-645966C817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Alunos são aprovados quando a nota for igual ou superior a 7.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tc={2F23F0D2-B8A6-4FB6-8780-7CB8EFFCCB7B}</author>
  </authors>
  <commentList>
    <comment ref="B16" authorId="0" shapeId="0" xr:uid="{2F23F0D2-B8A6-4FB6-8780-7CB8EFFCCB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Prejuízo Total quando lucro for menor que 1.000. Lucro Médio quando lucro for menor que 5.000. Lucro Total maior que 5.000.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tc={595499E5-5401-4101-B03E-1F3B81089432}</author>
  </authors>
  <commentList>
    <comment ref="L3" authorId="0" shapeId="0" xr:uid="{595499E5-5401-4101-B03E-1F3B810894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&gt;= 500 Meta Alcançada
&lt;500 Abaixo da Meta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tc={31A5B90E-AEC5-48D2-8132-8D04C221B397}</author>
  </authors>
  <commentList>
    <comment ref="I4" authorId="0" shapeId="0" xr:uid="{31A5B90E-AEC5-48D2-8132-8D04C221B3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40% sobre o salário bruto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tc={397C59FE-D5FD-4C72-8C78-2246F4E3ABA5}</author>
  </authors>
  <commentList>
    <comment ref="C4" authorId="0" shapeId="0" xr:uid="{397C59FE-D5FD-4C72-8C78-2246F4E3A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Pedido Minino 5</t>
      </text>
    </comment>
  </commentList>
</comments>
</file>

<file path=xl/sharedStrings.xml><?xml version="1.0" encoding="utf-8"?>
<sst xmlns="http://schemas.openxmlformats.org/spreadsheetml/2006/main" count="516" uniqueCount="346">
  <si>
    <t>Controle de estoque</t>
  </si>
  <si>
    <t>Produto</t>
  </si>
  <si>
    <t>Quantidade</t>
  </si>
  <si>
    <t>Valor</t>
  </si>
  <si>
    <t>Sub-total</t>
  </si>
  <si>
    <t>Achocolatado</t>
  </si>
  <si>
    <t>Chocolate</t>
  </si>
  <si>
    <t>Miojo</t>
  </si>
  <si>
    <t>Feijão</t>
  </si>
  <si>
    <t>Total</t>
  </si>
  <si>
    <t>Folha de Pagamento Simplificada</t>
  </si>
  <si>
    <t>Colaborador</t>
  </si>
  <si>
    <t>INSS</t>
  </si>
  <si>
    <t>FGTS</t>
  </si>
  <si>
    <t>Vale Transporte</t>
  </si>
  <si>
    <t>INSS R$</t>
  </si>
  <si>
    <t>FGTS R$</t>
  </si>
  <si>
    <t>Vale Transporte R$</t>
  </si>
  <si>
    <t>Salário Liquido</t>
  </si>
  <si>
    <t>Salário Bruto</t>
  </si>
  <si>
    <t>João Pedro</t>
  </si>
  <si>
    <t>Tiago Souza</t>
  </si>
  <si>
    <t>Rafaela Cristina</t>
  </si>
  <si>
    <t>Marias de Lurdes</t>
  </si>
  <si>
    <t>Rafael Henrique</t>
  </si>
  <si>
    <t>Controle de Estoque/ Lucro</t>
  </si>
  <si>
    <t>Lucro</t>
  </si>
  <si>
    <t>Dolár</t>
  </si>
  <si>
    <t>QTD</t>
  </si>
  <si>
    <t>Vl. Custo U$</t>
  </si>
  <si>
    <t>Vl. Venda U$</t>
  </si>
  <si>
    <t>Sub-Total</t>
  </si>
  <si>
    <t>Caderno</t>
  </si>
  <si>
    <t>Caneta</t>
  </si>
  <si>
    <t>Borracha</t>
  </si>
  <si>
    <t>Apostila</t>
  </si>
  <si>
    <t>Pasta</t>
  </si>
  <si>
    <t>Vl. Custo R$</t>
  </si>
  <si>
    <t>Vl. Venda R$</t>
  </si>
  <si>
    <t>Sub-Total R$</t>
  </si>
  <si>
    <t>Sub-Total U$</t>
  </si>
  <si>
    <t xml:space="preserve">Recibo de Compra </t>
  </si>
  <si>
    <t>Data</t>
  </si>
  <si>
    <t>Cliente</t>
  </si>
  <si>
    <t>Valor Unitário</t>
  </si>
  <si>
    <t>Valor Total</t>
  </si>
  <si>
    <t>Vl. Desconto</t>
  </si>
  <si>
    <t>Mais Caro</t>
  </si>
  <si>
    <t>Mais Barato</t>
  </si>
  <si>
    <t>Biscoito</t>
  </si>
  <si>
    <t>Macarrão</t>
  </si>
  <si>
    <t>Milho</t>
  </si>
  <si>
    <t>Sabonete</t>
  </si>
  <si>
    <t>Pedro</t>
  </si>
  <si>
    <t>Desconto</t>
  </si>
  <si>
    <t>Máximo</t>
  </si>
  <si>
    <t>Média</t>
  </si>
  <si>
    <t>Mínimo</t>
  </si>
  <si>
    <t>Empresa Nacional S/A</t>
  </si>
  <si>
    <t>Janeiro</t>
  </si>
  <si>
    <t>Fevereiro</t>
  </si>
  <si>
    <t>Março</t>
  </si>
  <si>
    <t>Parafusos</t>
  </si>
  <si>
    <t>Pregos</t>
  </si>
  <si>
    <t>Tintas</t>
  </si>
  <si>
    <t>Martelos</t>
  </si>
  <si>
    <t>Marretas</t>
  </si>
  <si>
    <t>Abril</t>
  </si>
  <si>
    <t>Maio</t>
  </si>
  <si>
    <t>Junho</t>
  </si>
  <si>
    <t>Contole de Estoque</t>
  </si>
  <si>
    <t>Data Validade</t>
  </si>
  <si>
    <t>Dias p/ Vencimento</t>
  </si>
  <si>
    <t>Café</t>
  </si>
  <si>
    <t>Maior</t>
  </si>
  <si>
    <t>Menor</t>
  </si>
  <si>
    <t>1º Bimestre</t>
  </si>
  <si>
    <t>2º Bimestre</t>
  </si>
  <si>
    <t>3º Bimestre</t>
  </si>
  <si>
    <t>4º Bimestre</t>
  </si>
  <si>
    <t>Resultado</t>
  </si>
  <si>
    <t>Física</t>
  </si>
  <si>
    <t>Matemática</t>
  </si>
  <si>
    <t>Química</t>
  </si>
  <si>
    <t>Biologia</t>
  </si>
  <si>
    <t>Português</t>
  </si>
  <si>
    <t>Matérias</t>
  </si>
  <si>
    <t>Boletim Escolar</t>
  </si>
  <si>
    <t>Financeiro</t>
  </si>
  <si>
    <t>Receitas</t>
  </si>
  <si>
    <t>Despesas</t>
  </si>
  <si>
    <t>Aluguel</t>
  </si>
  <si>
    <t>Academia</t>
  </si>
  <si>
    <t>Internet</t>
  </si>
  <si>
    <t>Alimentação</t>
  </si>
  <si>
    <t>Transporte</t>
  </si>
  <si>
    <t>Saldo</t>
  </si>
  <si>
    <t>Situação</t>
  </si>
  <si>
    <t>Diversos</t>
  </si>
  <si>
    <t xml:space="preserve">Total </t>
  </si>
  <si>
    <t>Relatório de Vendas</t>
  </si>
  <si>
    <t>Vendedor</t>
  </si>
  <si>
    <t>Rafaela</t>
  </si>
  <si>
    <t>Prato</t>
  </si>
  <si>
    <t>Caneca</t>
  </si>
  <si>
    <t>Tiago</t>
  </si>
  <si>
    <t>Contagem</t>
  </si>
  <si>
    <t>Aprovados</t>
  </si>
  <si>
    <t>Reprovados</t>
  </si>
  <si>
    <t>Total de Vendas</t>
  </si>
  <si>
    <t>Canecas</t>
  </si>
  <si>
    <t>Pratos</t>
  </si>
  <si>
    <t>Total Semestre</t>
  </si>
  <si>
    <t>COD</t>
  </si>
  <si>
    <t>NOME</t>
  </si>
  <si>
    <t>Maria</t>
  </si>
  <si>
    <t>Cod Pesquisa</t>
  </si>
  <si>
    <t>Nome</t>
  </si>
  <si>
    <t>Cargo</t>
  </si>
  <si>
    <t>Analista</t>
  </si>
  <si>
    <t>Consultor</t>
  </si>
  <si>
    <t>Recepcionista</t>
  </si>
  <si>
    <t>Gerente</t>
  </si>
  <si>
    <t>Gerenciamento de Comissões</t>
  </si>
  <si>
    <t>Categoria</t>
  </si>
  <si>
    <t>Comissão</t>
  </si>
  <si>
    <t>Salário Liquído</t>
  </si>
  <si>
    <t>Vendas</t>
  </si>
  <si>
    <t>A</t>
  </si>
  <si>
    <t>B</t>
  </si>
  <si>
    <t>D</t>
  </si>
  <si>
    <t>C</t>
  </si>
  <si>
    <t>E</t>
  </si>
  <si>
    <t>Semana</t>
  </si>
  <si>
    <t>Dia</t>
  </si>
  <si>
    <t>Segunda</t>
  </si>
  <si>
    <t>Terça</t>
  </si>
  <si>
    <t>Quarta</t>
  </si>
  <si>
    <t>Quinta</t>
  </si>
  <si>
    <t>Sexta</t>
  </si>
  <si>
    <t>Domingo</t>
  </si>
  <si>
    <t>Sábado</t>
  </si>
  <si>
    <t>Pesquisa Dia</t>
  </si>
  <si>
    <t>Mês</t>
  </si>
  <si>
    <t>domingo</t>
  </si>
  <si>
    <t>Produtos</t>
  </si>
  <si>
    <t>Orçamento</t>
  </si>
  <si>
    <t>Forma de Pagamento</t>
  </si>
  <si>
    <t>Opcionais</t>
  </si>
  <si>
    <t>Parcelamento</t>
  </si>
  <si>
    <t>1x</t>
  </si>
  <si>
    <t>6x</t>
  </si>
  <si>
    <t>12x</t>
  </si>
  <si>
    <t>18x</t>
  </si>
  <si>
    <t>Forma PG</t>
  </si>
  <si>
    <t>Alarme</t>
  </si>
  <si>
    <t>Som</t>
  </si>
  <si>
    <t>Seguro</t>
  </si>
  <si>
    <t>Veiculo</t>
  </si>
  <si>
    <t>Estoque Loja</t>
  </si>
  <si>
    <t>Modelo</t>
  </si>
  <si>
    <t>Vl. Custo</t>
  </si>
  <si>
    <t>Vl. Venda</t>
  </si>
  <si>
    <t>QTD.</t>
  </si>
  <si>
    <t>Margem</t>
  </si>
  <si>
    <t>Nº</t>
  </si>
  <si>
    <t>Vectra</t>
  </si>
  <si>
    <t>Omega</t>
  </si>
  <si>
    <t>Monza</t>
  </si>
  <si>
    <t>C4 Pallas</t>
  </si>
  <si>
    <t>2.2</t>
  </si>
  <si>
    <t>1.8</t>
  </si>
  <si>
    <t>3.2</t>
  </si>
  <si>
    <t>4.1</t>
  </si>
  <si>
    <t>Azera</t>
  </si>
  <si>
    <t>Juros</t>
  </si>
  <si>
    <t>Taxa</t>
  </si>
  <si>
    <t>Parcelas</t>
  </si>
  <si>
    <t>SOBRENOME</t>
  </si>
  <si>
    <t>Souza</t>
  </si>
  <si>
    <t>Silva</t>
  </si>
  <si>
    <t>Alves</t>
  </si>
  <si>
    <t>Augusto</t>
  </si>
  <si>
    <t>TELEFONE</t>
  </si>
  <si>
    <t>61 9956-8956</t>
  </si>
  <si>
    <t xml:space="preserve">61 9956-2356 </t>
  </si>
  <si>
    <t>61 9978-4512</t>
  </si>
  <si>
    <t>61 9978-3265</t>
  </si>
  <si>
    <t>CIDADE</t>
  </si>
  <si>
    <t>ESTADO</t>
  </si>
  <si>
    <t>Brasilía</t>
  </si>
  <si>
    <t>Anápolis</t>
  </si>
  <si>
    <t>Palmas</t>
  </si>
  <si>
    <t>DF</t>
  </si>
  <si>
    <t>GO</t>
  </si>
  <si>
    <t>TO</t>
  </si>
  <si>
    <t>Requerimento</t>
  </si>
  <si>
    <t>Nº de Parcelas</t>
  </si>
  <si>
    <t>Valor Presente</t>
  </si>
  <si>
    <t>Valor Futuro</t>
  </si>
  <si>
    <t>Mensalidade</t>
  </si>
  <si>
    <t>Fluxo de Caixa</t>
  </si>
  <si>
    <t>Entrada</t>
  </si>
  <si>
    <t>Saída</t>
  </si>
  <si>
    <t>Previsto</t>
  </si>
  <si>
    <t>Realizado</t>
  </si>
  <si>
    <t>Venda Direta</t>
  </si>
  <si>
    <t>Outros Rendimentos</t>
  </si>
  <si>
    <t>Contas a Receber</t>
  </si>
  <si>
    <t>Energia</t>
  </si>
  <si>
    <t>Material de Escritório</t>
  </si>
  <si>
    <t>Contabilidade</t>
  </si>
  <si>
    <t>Estoque</t>
  </si>
  <si>
    <t>TOTAL</t>
  </si>
  <si>
    <t>TOTAL SAÍDAS</t>
  </si>
  <si>
    <t>2- SALDO ANTERIOR</t>
  </si>
  <si>
    <t>4- NECESSIDADE EMPRESTIMOS</t>
  </si>
  <si>
    <t>5- SALDO FINAL (3+4)</t>
  </si>
  <si>
    <t>3- SALDO ACUMULADO (1+2)</t>
  </si>
  <si>
    <t>1- SALDO (ENTRADAS - SAIDAS)</t>
  </si>
  <si>
    <t>Confeitaria Real</t>
  </si>
  <si>
    <t>Croissant</t>
  </si>
  <si>
    <t>Torta de Limão</t>
  </si>
  <si>
    <t>Mil Folhas</t>
  </si>
  <si>
    <t>Pastel de Nata</t>
  </si>
  <si>
    <t>Docinhos</t>
  </si>
  <si>
    <t>Seg</t>
  </si>
  <si>
    <t>Ter</t>
  </si>
  <si>
    <t>Qua</t>
  </si>
  <si>
    <t>Qui</t>
  </si>
  <si>
    <t>Sex</t>
  </si>
  <si>
    <t>Vl. Unitário</t>
  </si>
  <si>
    <t>Vl. Vendas</t>
  </si>
  <si>
    <t>Maior Venda</t>
  </si>
  <si>
    <t>Menor Venda</t>
  </si>
  <si>
    <t>Média Semanal</t>
  </si>
  <si>
    <t>Meta</t>
  </si>
  <si>
    <t>Total Vendas</t>
  </si>
  <si>
    <t>Folha de Pagamento</t>
  </si>
  <si>
    <t>Funcionário</t>
  </si>
  <si>
    <t>Faltas</t>
  </si>
  <si>
    <t>Adiantamento</t>
  </si>
  <si>
    <t>IR</t>
  </si>
  <si>
    <t>Outros</t>
  </si>
  <si>
    <t>Vl. Transporte</t>
  </si>
  <si>
    <t>Vl. Refeiçao</t>
  </si>
  <si>
    <t>Assist. Médica</t>
  </si>
  <si>
    <t>Valor Liq. Receber</t>
  </si>
  <si>
    <t>Nº Dependentes</t>
  </si>
  <si>
    <t>Vl. dia Trabalhado</t>
  </si>
  <si>
    <t>Salário Base</t>
  </si>
  <si>
    <t>Rafael</t>
  </si>
  <si>
    <t>Lucas</t>
  </si>
  <si>
    <t>Denise</t>
  </si>
  <si>
    <t>Flávio</t>
  </si>
  <si>
    <t>Eduardo</t>
  </si>
  <si>
    <t>Elaine</t>
  </si>
  <si>
    <t>Douglas</t>
  </si>
  <si>
    <t>Josiane</t>
  </si>
  <si>
    <t>Marcelo</t>
  </si>
  <si>
    <t>Melissa</t>
  </si>
  <si>
    <t>Monia</t>
  </si>
  <si>
    <t>William</t>
  </si>
  <si>
    <t>Rose</t>
  </si>
  <si>
    <t>Itamar</t>
  </si>
  <si>
    <t>Sandra</t>
  </si>
  <si>
    <t>Túlio</t>
  </si>
  <si>
    <t>Diretor</t>
  </si>
  <si>
    <t>Coordenador</t>
  </si>
  <si>
    <t>Instrutor</t>
  </si>
  <si>
    <t>Secretraria</t>
  </si>
  <si>
    <t>Divulgador</t>
  </si>
  <si>
    <t>Suporte</t>
  </si>
  <si>
    <t>Salário Familia</t>
  </si>
  <si>
    <t>TOTAIS</t>
  </si>
  <si>
    <t>Sal. Bruto</t>
  </si>
  <si>
    <t>Aliquota</t>
  </si>
  <si>
    <t>Pedido Compra</t>
  </si>
  <si>
    <t>Tamanho</t>
  </si>
  <si>
    <t>Descrição</t>
  </si>
  <si>
    <t>Preço Unitário</t>
  </si>
  <si>
    <t>Preço Total</t>
  </si>
  <si>
    <t>Total Geral</t>
  </si>
  <si>
    <t>Média Geral</t>
  </si>
  <si>
    <t>Tamanhos</t>
  </si>
  <si>
    <t>Totais</t>
  </si>
  <si>
    <t>P</t>
  </si>
  <si>
    <t>M</t>
  </si>
  <si>
    <t>G</t>
  </si>
  <si>
    <t>Pequeno</t>
  </si>
  <si>
    <t>Médio</t>
  </si>
  <si>
    <t>Grande</t>
  </si>
  <si>
    <t>Camiseta Manga Curta</t>
  </si>
  <si>
    <t>Calça Jeans</t>
  </si>
  <si>
    <t>Calça Sarja</t>
  </si>
  <si>
    <t>Vestido Longo</t>
  </si>
  <si>
    <t>Mini Saia</t>
  </si>
  <si>
    <t>Camiseta Manga Longa</t>
  </si>
  <si>
    <t>Bermuda Masculina</t>
  </si>
  <si>
    <t>Vestido Infantil</t>
  </si>
  <si>
    <t>Terno</t>
  </si>
  <si>
    <t>Bermuda Feminina</t>
  </si>
  <si>
    <t>Short Feminino</t>
  </si>
  <si>
    <t>Camiseta Infantil</t>
  </si>
  <si>
    <t>Salário</t>
  </si>
  <si>
    <t>Aumento</t>
  </si>
  <si>
    <t>Novo Salário</t>
  </si>
  <si>
    <t>Até R$ 1.000,00</t>
  </si>
  <si>
    <t>Acima de R$ 1.000,00</t>
  </si>
  <si>
    <t>João Dos Santos</t>
  </si>
  <si>
    <t>Maria da Silva</t>
  </si>
  <si>
    <t>Manoel Flores</t>
  </si>
  <si>
    <t>Lambarildo Peixe</t>
  </si>
  <si>
    <t>Sebastião Silva</t>
  </si>
  <si>
    <t>Ana Flávia</t>
  </si>
  <si>
    <t>Silva Helena</t>
  </si>
  <si>
    <t>Alberto Roverto</t>
  </si>
  <si>
    <t>Aumento de Salário</t>
  </si>
  <si>
    <t>Comanda</t>
  </si>
  <si>
    <t>Código</t>
  </si>
  <si>
    <t xml:space="preserve">Nome </t>
  </si>
  <si>
    <t>Preço</t>
  </si>
  <si>
    <t>Carnes</t>
  </si>
  <si>
    <t>Peixes</t>
  </si>
  <si>
    <t>Restaurante Serve Bem</t>
  </si>
  <si>
    <t>Feijoada</t>
  </si>
  <si>
    <t>Cozido Portuguesa</t>
  </si>
  <si>
    <t>Carne de Porco Cozida</t>
  </si>
  <si>
    <t>Carne de Porco Assada</t>
  </si>
  <si>
    <t>Chanfana</t>
  </si>
  <si>
    <t>Leitão</t>
  </si>
  <si>
    <t>Bife da Casa</t>
  </si>
  <si>
    <t>Costelinha</t>
  </si>
  <si>
    <t>Carne Assada</t>
  </si>
  <si>
    <t>Rojões</t>
  </si>
  <si>
    <t>Lulas Grelhadas</t>
  </si>
  <si>
    <t>Pargo ao Forno</t>
  </si>
  <si>
    <t>Files Grelhados</t>
  </si>
  <si>
    <t>Linguado Grelhados</t>
  </si>
  <si>
    <t>Chocos Grelhados</t>
  </si>
  <si>
    <t>Caldeiradas</t>
  </si>
  <si>
    <t>Sardinhas</t>
  </si>
  <si>
    <t>Bacalhau</t>
  </si>
  <si>
    <t>Salada de Bacalhau</t>
  </si>
  <si>
    <t>Bacalhau na Brasa</t>
  </si>
  <si>
    <t>Código do Prato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</si>
</sst>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$-409]* #,##0.00_ ;_-[$$-409]* \-#,##0.00\ ;_-[$$-409]* &quot;-&quot;??_ ;_-@_ 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indent="1"/>
    </xf>
    <xf numFmtId="164" fontId="0" fillId="0" borderId="1" xfId="0" applyNumberForma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 applyAlignment="1">
      <alignment horizontal="left"/>
    </xf>
    <xf numFmtId="9" fontId="0" fillId="0" borderId="1" xfId="0" applyNumberFormat="1" applyBorder="1"/>
    <xf numFmtId="44" fontId="0" fillId="0" borderId="1" xfId="1" applyFont="1" applyBorder="1"/>
    <xf numFmtId="44" fontId="0" fillId="0" borderId="0" xfId="1" applyFont="1"/>
    <xf numFmtId="4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5" xfId="0" applyBorder="1"/>
    <xf numFmtId="0" fontId="2" fillId="0" borderId="6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166" fontId="0" fillId="0" borderId="7" xfId="0" applyNumberFormat="1" applyBorder="1"/>
    <xf numFmtId="44" fontId="2" fillId="0" borderId="7" xfId="0" applyNumberFormat="1" applyFont="1" applyBorder="1"/>
    <xf numFmtId="44" fontId="0" fillId="0" borderId="9" xfId="1" applyFont="1" applyBorder="1"/>
    <xf numFmtId="44" fontId="0" fillId="0" borderId="9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/>
    <xf numFmtId="14" fontId="0" fillId="3" borderId="1" xfId="0" applyNumberFormat="1" applyFill="1" applyBorder="1" applyAlignment="1">
      <alignment horizontal="center"/>
    </xf>
    <xf numFmtId="0" fontId="0" fillId="3" borderId="8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44" fontId="0" fillId="3" borderId="9" xfId="1" applyFont="1" applyFill="1" applyBorder="1"/>
    <xf numFmtId="14" fontId="0" fillId="3" borderId="9" xfId="0" applyNumberForma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44" fontId="0" fillId="0" borderId="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27" xfId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7" xfId="0" applyFont="1" applyBorder="1"/>
    <xf numFmtId="44" fontId="0" fillId="0" borderId="6" xfId="1" applyFont="1" applyBorder="1" applyAlignment="1">
      <alignment horizontal="center"/>
    </xf>
    <xf numFmtId="44" fontId="0" fillId="0" borderId="8" xfId="1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0" fillId="0" borderId="4" xfId="0" applyBorder="1"/>
    <xf numFmtId="0" fontId="2" fillId="2" borderId="8" xfId="0" applyFont="1" applyFill="1" applyBorder="1"/>
    <xf numFmtId="44" fontId="0" fillId="0" borderId="7" xfId="0" applyNumberForma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44" fontId="0" fillId="0" borderId="9" xfId="1" applyFont="1" applyFill="1" applyBorder="1"/>
    <xf numFmtId="44" fontId="0" fillId="0" borderId="10" xfId="1" applyFont="1" applyBorder="1"/>
    <xf numFmtId="164" fontId="0" fillId="0" borderId="7" xfId="1" applyNumberFormat="1" applyFont="1" applyBorder="1"/>
    <xf numFmtId="164" fontId="0" fillId="0" borderId="9" xfId="0" applyNumberFormat="1" applyBorder="1"/>
    <xf numFmtId="9" fontId="0" fillId="0" borderId="9" xfId="0" applyNumberFormat="1" applyBorder="1"/>
    <xf numFmtId="164" fontId="0" fillId="0" borderId="10" xfId="1" applyNumberFormat="1" applyFont="1" applyBorder="1"/>
    <xf numFmtId="0" fontId="0" fillId="0" borderId="3" xfId="0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9" fontId="0" fillId="0" borderId="5" xfId="0" applyNumberFormat="1" applyBorder="1"/>
    <xf numFmtId="0" fontId="0" fillId="0" borderId="2" xfId="0" applyBorder="1"/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2" xfId="0" applyBorder="1"/>
    <xf numFmtId="0" fontId="2" fillId="0" borderId="1" xfId="0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0" fillId="3" borderId="38" xfId="0" applyFill="1" applyBorder="1"/>
    <xf numFmtId="0" fontId="0" fillId="3" borderId="35" xfId="0" applyFill="1" applyBorder="1"/>
    <xf numFmtId="0" fontId="0" fillId="0" borderId="2" xfId="0" applyBorder="1" applyAlignment="1">
      <alignment horizontal="center"/>
    </xf>
    <xf numFmtId="0" fontId="0" fillId="3" borderId="39" xfId="0" applyFill="1" applyBorder="1"/>
    <xf numFmtId="0" fontId="0" fillId="3" borderId="34" xfId="0" applyFill="1" applyBorder="1"/>
    <xf numFmtId="0" fontId="0" fillId="0" borderId="42" xfId="0" applyBorder="1" applyAlignment="1">
      <alignment horizontal="right"/>
    </xf>
    <xf numFmtId="0" fontId="0" fillId="3" borderId="43" xfId="0" applyFill="1" applyBorder="1"/>
    <xf numFmtId="0" fontId="0" fillId="3" borderId="44" xfId="0" applyFill="1" applyBorder="1"/>
    <xf numFmtId="0" fontId="2" fillId="2" borderId="1" xfId="0" applyFont="1" applyFill="1" applyBorder="1" applyAlignment="1">
      <alignment horizontal="center"/>
    </xf>
    <xf numFmtId="0" fontId="2" fillId="0" borderId="4" xfId="0" applyFont="1" applyBorder="1"/>
    <xf numFmtId="0" fontId="0" fillId="0" borderId="6" xfId="0" applyBorder="1" applyAlignment="1">
      <alignment horizontal="center"/>
    </xf>
    <xf numFmtId="44" fontId="0" fillId="0" borderId="7" xfId="0" applyNumberFormat="1" applyBorder="1"/>
    <xf numFmtId="0" fontId="0" fillId="0" borderId="8" xfId="0" applyBorder="1" applyAlignment="1">
      <alignment horizontal="center"/>
    </xf>
    <xf numFmtId="44" fontId="0" fillId="0" borderId="10" xfId="0" applyNumberFormat="1" applyBorder="1"/>
    <xf numFmtId="0" fontId="2" fillId="2" borderId="22" xfId="0" applyFont="1" applyFill="1" applyBorder="1" applyAlignment="1">
      <alignment horizontal="center"/>
    </xf>
    <xf numFmtId="0" fontId="2" fillId="2" borderId="1" xfId="0" applyFont="1" applyFill="1" applyBorder="1"/>
    <xf numFmtId="10" fontId="0" fillId="0" borderId="1" xfId="0" applyNumberFormat="1" applyBorder="1"/>
    <xf numFmtId="0" fontId="4" fillId="0" borderId="0" xfId="0" applyFont="1"/>
    <xf numFmtId="0" fontId="4" fillId="0" borderId="0" xfId="0" applyFont="1" applyAlignment="1">
      <alignment horizontal="center"/>
    </xf>
    <xf numFmtId="8" fontId="0" fillId="0" borderId="1" xfId="0" applyNumberFormat="1" applyBorder="1"/>
    <xf numFmtId="0" fontId="0" fillId="0" borderId="9" xfId="0" applyBorder="1"/>
    <xf numFmtId="0" fontId="0" fillId="0" borderId="12" xfId="0" applyBorder="1"/>
    <xf numFmtId="0" fontId="2" fillId="0" borderId="9" xfId="0" applyFont="1" applyBorder="1"/>
    <xf numFmtId="0" fontId="2" fillId="0" borderId="2" xfId="0" applyFont="1" applyBorder="1"/>
    <xf numFmtId="44" fontId="2" fillId="0" borderId="5" xfId="1" applyFont="1" applyBorder="1"/>
    <xf numFmtId="44" fontId="0" fillId="0" borderId="7" xfId="1" applyFont="1" applyBorder="1"/>
    <xf numFmtId="44" fontId="0" fillId="0" borderId="27" xfId="1" applyFont="1" applyBorder="1"/>
    <xf numFmtId="44" fontId="2" fillId="0" borderId="4" xfId="1" applyFont="1" applyBorder="1"/>
    <xf numFmtId="44" fontId="0" fillId="0" borderId="22" xfId="1" applyFont="1" applyBorder="1"/>
    <xf numFmtId="44" fontId="2" fillId="0" borderId="2" xfId="1" applyFont="1" applyBorder="1"/>
    <xf numFmtId="44" fontId="2" fillId="0" borderId="12" xfId="1" applyFont="1" applyBorder="1"/>
    <xf numFmtId="44" fontId="2" fillId="0" borderId="1" xfId="1" applyFont="1" applyBorder="1"/>
    <xf numFmtId="44" fontId="2" fillId="0" borderId="7" xfId="1" applyFont="1" applyBorder="1"/>
    <xf numFmtId="44" fontId="2" fillId="0" borderId="9" xfId="1" applyFont="1" applyBorder="1"/>
    <xf numFmtId="0" fontId="2" fillId="2" borderId="3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44" fontId="0" fillId="0" borderId="6" xfId="1" applyFont="1" applyBorder="1"/>
    <xf numFmtId="9" fontId="0" fillId="0" borderId="7" xfId="2" applyFont="1" applyBorder="1"/>
    <xf numFmtId="44" fontId="0" fillId="0" borderId="8" xfId="1" applyFont="1" applyBorder="1"/>
    <xf numFmtId="9" fontId="0" fillId="0" borderId="10" xfId="2" applyFont="1" applyBorder="1"/>
    <xf numFmtId="44" fontId="2" fillId="0" borderId="9" xfId="0" applyNumberFormat="1" applyFont="1" applyBorder="1"/>
    <xf numFmtId="0" fontId="2" fillId="2" borderId="5" xfId="0" applyFont="1" applyFill="1" applyBorder="1"/>
    <xf numFmtId="0" fontId="0" fillId="0" borderId="11" xfId="0" applyBorder="1"/>
    <xf numFmtId="44" fontId="0" fillId="0" borderId="2" xfId="1" applyFont="1" applyBorder="1"/>
    <xf numFmtId="0" fontId="0" fillId="0" borderId="11" xfId="0" applyBorder="1" applyAlignment="1">
      <alignment horizontal="center"/>
    </xf>
    <xf numFmtId="44" fontId="0" fillId="0" borderId="5" xfId="0" applyNumberForma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9" fontId="0" fillId="0" borderId="10" xfId="0" applyNumberFormat="1" applyBorder="1"/>
    <xf numFmtId="0" fontId="2" fillId="4" borderId="4" xfId="0" applyFont="1" applyFill="1" applyBorder="1"/>
    <xf numFmtId="9" fontId="2" fillId="4" borderId="5" xfId="0" applyNumberFormat="1" applyFont="1" applyFill="1" applyBorder="1"/>
    <xf numFmtId="44" fontId="0" fillId="0" borderId="2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166" fontId="2" fillId="6" borderId="12" xfId="0" applyNumberFormat="1" applyFont="1" applyFill="1" applyBorder="1"/>
    <xf numFmtId="166" fontId="0" fillId="6" borderId="7" xfId="0" applyNumberFormat="1" applyFill="1" applyBorder="1"/>
    <xf numFmtId="166" fontId="2" fillId="6" borderId="10" xfId="0" applyNumberFormat="1" applyFont="1" applyFill="1" applyBorder="1"/>
    <xf numFmtId="0" fontId="2" fillId="6" borderId="1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 indent="1"/>
    </xf>
    <xf numFmtId="0" fontId="2" fillId="6" borderId="26" xfId="0" applyFont="1" applyFill="1" applyBorder="1" applyAlignment="1">
      <alignment horizontal="left" indent="1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/>
    <xf numFmtId="9" fontId="2" fillId="6" borderId="5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left" indent="1"/>
    </xf>
    <xf numFmtId="0" fontId="2" fillId="6" borderId="2" xfId="0" applyFont="1" applyFill="1" applyBorder="1" applyAlignment="1">
      <alignment horizontal="left" indent="1"/>
    </xf>
    <xf numFmtId="0" fontId="2" fillId="6" borderId="20" xfId="0" applyFont="1" applyFill="1" applyBorder="1" applyAlignment="1">
      <alignment horizontal="left" indent="1"/>
    </xf>
    <xf numFmtId="0" fontId="2" fillId="6" borderId="12" xfId="0" applyFont="1" applyFill="1" applyBorder="1"/>
    <xf numFmtId="0" fontId="2" fillId="6" borderId="5" xfId="0" applyFont="1" applyFill="1" applyBorder="1"/>
    <xf numFmtId="0" fontId="2" fillId="6" borderId="1" xfId="0" applyFont="1" applyFill="1" applyBorder="1"/>
    <xf numFmtId="0" fontId="2" fillId="6" borderId="7" xfId="0" applyFont="1" applyFill="1" applyBorder="1"/>
    <xf numFmtId="44" fontId="2" fillId="6" borderId="10" xfId="0" applyNumberFormat="1" applyFont="1" applyFill="1" applyBorder="1"/>
    <xf numFmtId="44" fontId="2" fillId="6" borderId="7" xfId="0" applyNumberFormat="1" applyFont="1" applyFill="1" applyBorder="1"/>
    <xf numFmtId="44" fontId="2" fillId="6" borderId="5" xfId="0" applyNumberFormat="1" applyFont="1" applyFill="1" applyBorder="1"/>
    <xf numFmtId="16" fontId="0" fillId="0" borderId="6" xfId="0" applyNumberFormat="1" applyBorder="1" applyAlignment="1">
      <alignment horizontal="center"/>
    </xf>
    <xf numFmtId="16" fontId="0" fillId="0" borderId="2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8" fontId="0" fillId="6" borderId="38" xfId="0" applyNumberFormat="1" applyFill="1" applyBorder="1"/>
    <xf numFmtId="8" fontId="0" fillId="6" borderId="22" xfId="0" applyNumberFormat="1" applyFill="1" applyBorder="1"/>
    <xf numFmtId="8" fontId="0" fillId="6" borderId="27" xfId="0" applyNumberFormat="1" applyFill="1" applyBorder="1"/>
    <xf numFmtId="0" fontId="2" fillId="6" borderId="36" xfId="0" applyFont="1" applyFill="1" applyBorder="1" applyAlignment="1">
      <alignment horizontal="right"/>
    </xf>
    <xf numFmtId="0" fontId="0" fillId="0" borderId="49" xfId="0" applyBorder="1"/>
    <xf numFmtId="0" fontId="0" fillId="0" borderId="51" xfId="0" applyBorder="1"/>
    <xf numFmtId="0" fontId="2" fillId="3" borderId="16" xfId="0" applyFont="1" applyFill="1" applyBorder="1"/>
    <xf numFmtId="0" fontId="2" fillId="0" borderId="49" xfId="0" applyFont="1" applyBorder="1" applyAlignment="1">
      <alignment horizontal="center"/>
    </xf>
    <xf numFmtId="22" fontId="0" fillId="0" borderId="7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left"/>
    </xf>
    <xf numFmtId="14" fontId="0" fillId="6" borderId="12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9" fontId="0" fillId="6" borderId="22" xfId="0" applyNumberFormat="1" applyFill="1" applyBorder="1" applyAlignment="1">
      <alignment horizontal="left"/>
    </xf>
    <xf numFmtId="9" fontId="0" fillId="6" borderId="27" xfId="0" applyNumberFormat="1" applyFill="1" applyBorder="1" applyAlignment="1">
      <alignment horizontal="left"/>
    </xf>
    <xf numFmtId="0" fontId="2" fillId="2" borderId="3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3" borderId="40" xfId="0" applyFill="1" applyBorder="1" applyAlignment="1">
      <alignment horizontal="center" vertical="center"/>
    </xf>
    <xf numFmtId="44" fontId="0" fillId="6" borderId="46" xfId="0" applyNumberFormat="1" applyFill="1" applyBorder="1" applyAlignment="1">
      <alignment horizontal="center"/>
    </xf>
    <xf numFmtId="44" fontId="0" fillId="6" borderId="47" xfId="0" applyNumberFormat="1" applyFill="1" applyBorder="1" applyAlignment="1">
      <alignment horizontal="center"/>
    </xf>
    <xf numFmtId="44" fontId="0" fillId="6" borderId="29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0" fontId="0" fillId="0" borderId="2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2" fillId="0" borderId="16" xfId="0" applyFont="1" applyBorder="1" applyAlignment="1">
      <alignment horizontal="center" vertical="center" textRotation="90"/>
    </xf>
    <xf numFmtId="0" fontId="2" fillId="0" borderId="49" xfId="0" applyFont="1" applyBorder="1" applyAlignment="1">
      <alignment horizontal="center" vertical="center" textRotation="90"/>
    </xf>
    <xf numFmtId="0" fontId="2" fillId="0" borderId="45" xfId="0" applyFont="1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4" fontId="2" fillId="5" borderId="14" xfId="1" applyFont="1" applyFill="1" applyBorder="1" applyAlignment="1">
      <alignment horizontal="center"/>
    </xf>
    <xf numFmtId="44" fontId="2" fillId="5" borderId="15" xfId="1" applyFont="1" applyFill="1" applyBorder="1" applyAlignment="1">
      <alignment horizontal="center"/>
    </xf>
    <xf numFmtId="44" fontId="2" fillId="2" borderId="25" xfId="1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2" fillId="2" borderId="42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8"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EB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2D-46AF-837E-145F521FE5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2D-46AF-837E-145F521FE5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2D-46AF-837E-145F521FE5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32D-46AF-837E-145F521FE5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32D-46AF-837E-145F521FE5D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Recibo!$B$7:$B$11</c:f>
              <c:strCache>
                <c:ptCount val="5"/>
                <c:pt idx="0">
                  <c:v>Chocolate</c:v>
                </c:pt>
                <c:pt idx="1">
                  <c:v>Biscoito</c:v>
                </c:pt>
                <c:pt idx="2">
                  <c:v>Macarrão</c:v>
                </c:pt>
                <c:pt idx="3">
                  <c:v>Milho</c:v>
                </c:pt>
                <c:pt idx="4">
                  <c:v>Sabonete</c:v>
                </c:pt>
              </c:strCache>
            </c:strRef>
          </c:cat>
          <c:val>
            <c:numRef>
              <c:f>Recibo!$C$7:$C$11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44FE-86D3-FBF17CF42F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1º</a:t>
            </a:r>
            <a:r>
              <a:rPr lang="pt-BR" baseline="0"/>
              <a:t>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'Empre Nacional'!$B$4:$B$8</c:f>
              <c:strCache>
                <c:ptCount val="5"/>
                <c:pt idx="0">
                  <c:v>Parafusos</c:v>
                </c:pt>
                <c:pt idx="1">
                  <c:v>Pregos</c:v>
                </c:pt>
                <c:pt idx="2">
                  <c:v>Tintas</c:v>
                </c:pt>
                <c:pt idx="3">
                  <c:v>Martelos</c:v>
                </c:pt>
                <c:pt idx="4">
                  <c:v>Marretas</c:v>
                </c:pt>
              </c:strCache>
            </c:strRef>
          </c:cat>
          <c:val>
            <c:numRef>
              <c:f>'Empre Nacional'!$C$4:$C$8</c:f>
              <c:numCache>
                <c:formatCode>_("R$"* #,##0.00_);_("R$"* \(#,##0.00\);_("R$"* "-"??_);_(@_)</c:formatCode>
                <c:ptCount val="5"/>
                <c:pt idx="0">
                  <c:v>15000</c:v>
                </c:pt>
                <c:pt idx="1">
                  <c:v>12000</c:v>
                </c:pt>
                <c:pt idx="2">
                  <c:v>50000</c:v>
                </c:pt>
                <c:pt idx="3">
                  <c:v>12000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D-4F67-A5CC-24468AA317C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'Empre Nacional'!$B$4:$B$8</c:f>
              <c:strCache>
                <c:ptCount val="5"/>
                <c:pt idx="0">
                  <c:v>Parafusos</c:v>
                </c:pt>
                <c:pt idx="1">
                  <c:v>Pregos</c:v>
                </c:pt>
                <c:pt idx="2">
                  <c:v>Tintas</c:v>
                </c:pt>
                <c:pt idx="3">
                  <c:v>Martelos</c:v>
                </c:pt>
                <c:pt idx="4">
                  <c:v>Marretas</c:v>
                </c:pt>
              </c:strCache>
            </c:strRef>
          </c:cat>
          <c:val>
            <c:numRef>
              <c:f>'Empre Nacional'!$D$4:$D$8</c:f>
              <c:numCache>
                <c:formatCode>_("R$"* #,##0.00_);_("R$"* \(#,##0.00\);_("R$"* "-"??_);_(@_)</c:formatCode>
                <c:ptCount val="5"/>
                <c:pt idx="0">
                  <c:v>8000</c:v>
                </c:pt>
                <c:pt idx="1">
                  <c:v>9000</c:v>
                </c:pt>
                <c:pt idx="2">
                  <c:v>45000</c:v>
                </c:pt>
                <c:pt idx="3">
                  <c:v>12000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D-4F67-A5CC-24468AA317C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'Empre Nacional'!$B$4:$B$8</c:f>
              <c:strCache>
                <c:ptCount val="5"/>
                <c:pt idx="0">
                  <c:v>Parafusos</c:v>
                </c:pt>
                <c:pt idx="1">
                  <c:v>Pregos</c:v>
                </c:pt>
                <c:pt idx="2">
                  <c:v>Tintas</c:v>
                </c:pt>
                <c:pt idx="3">
                  <c:v>Martelos</c:v>
                </c:pt>
                <c:pt idx="4">
                  <c:v>Marretas</c:v>
                </c:pt>
              </c:strCache>
            </c:strRef>
          </c:cat>
          <c:val>
            <c:numRef>
              <c:f>'Empre Nacional'!$E$4:$E$8</c:f>
              <c:numCache>
                <c:formatCode>_("R$"* #,##0.00_);_("R$"* \(#,##0.00\);_("R$"* "-"??_);_(@_)</c:formatCode>
                <c:ptCount val="5"/>
                <c:pt idx="0">
                  <c:v>1000</c:v>
                </c:pt>
                <c:pt idx="1">
                  <c:v>8000</c:v>
                </c:pt>
                <c:pt idx="2">
                  <c:v>40000</c:v>
                </c:pt>
                <c:pt idx="3">
                  <c:v>4500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D-4F67-A5CC-24468AA317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92592960"/>
        <c:axId val="892594208"/>
      </c:barChart>
      <c:catAx>
        <c:axId val="89259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594208"/>
        <c:crosses val="autoZero"/>
        <c:auto val="1"/>
        <c:lblAlgn val="ctr"/>
        <c:lblOffset val="100"/>
        <c:noMultiLvlLbl val="0"/>
      </c:catAx>
      <c:valAx>
        <c:axId val="892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5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Boletim Escolar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'Boletim Escolar'!$C$3</c:f>
              <c:strCache>
                <c:ptCount val="1"/>
                <c:pt idx="0">
                  <c:v>1º Bimestre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'Boletim Escolar'!$B$4:$B$8</c:f>
              <c:strCache>
                <c:ptCount val="5"/>
                <c:pt idx="0">
                  <c:v>Matemática</c:v>
                </c:pt>
                <c:pt idx="1">
                  <c:v>Física</c:v>
                </c:pt>
                <c:pt idx="2">
                  <c:v>Química</c:v>
                </c:pt>
                <c:pt idx="3">
                  <c:v>Biologia</c:v>
                </c:pt>
                <c:pt idx="4">
                  <c:v>Português</c:v>
                </c:pt>
              </c:strCache>
            </c:strRef>
          </c:cat>
          <c:val>
            <c:numRef>
              <c:f>'Boletim Escolar'!$C$4:$C$8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B-498F-B8A9-2E1D6FFC4AC0}"/>
            </c:ext>
          </c:extLst>
        </c:ser>
        <c:ser>
          <c:idx val="1"/>
          <c:order val="1"/>
          <c:tx>
            <c:strRef>
              <c:f>'Boletim Escolar'!$D$3</c:f>
              <c:strCache>
                <c:ptCount val="1"/>
                <c:pt idx="0">
                  <c:v>2º Bimestre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'Boletim Escolar'!$B$4:$B$8</c:f>
              <c:strCache>
                <c:ptCount val="5"/>
                <c:pt idx="0">
                  <c:v>Matemática</c:v>
                </c:pt>
                <c:pt idx="1">
                  <c:v>Física</c:v>
                </c:pt>
                <c:pt idx="2">
                  <c:v>Química</c:v>
                </c:pt>
                <c:pt idx="3">
                  <c:v>Biologia</c:v>
                </c:pt>
                <c:pt idx="4">
                  <c:v>Português</c:v>
                </c:pt>
              </c:strCache>
            </c:strRef>
          </c:cat>
          <c:val>
            <c:numRef>
              <c:f>'Boletim Escolar'!$D$4:$D$8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B-498F-B8A9-2E1D6FFC4AC0}"/>
            </c:ext>
          </c:extLst>
        </c:ser>
        <c:ser>
          <c:idx val="2"/>
          <c:order val="2"/>
          <c:tx>
            <c:strRef>
              <c:f>'Boletim Escolar'!$E$3</c:f>
              <c:strCache>
                <c:ptCount val="1"/>
                <c:pt idx="0">
                  <c:v>3º Bimestre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'Boletim Escolar'!$B$4:$B$8</c:f>
              <c:strCache>
                <c:ptCount val="5"/>
                <c:pt idx="0">
                  <c:v>Matemática</c:v>
                </c:pt>
                <c:pt idx="1">
                  <c:v>Física</c:v>
                </c:pt>
                <c:pt idx="2">
                  <c:v>Química</c:v>
                </c:pt>
                <c:pt idx="3">
                  <c:v>Biologia</c:v>
                </c:pt>
                <c:pt idx="4">
                  <c:v>Português</c:v>
                </c:pt>
              </c:strCache>
            </c:strRef>
          </c:cat>
          <c:val>
            <c:numRef>
              <c:f>'Boletim Escolar'!$E$4:$E$8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B-498F-B8A9-2E1D6FFC4AC0}"/>
            </c:ext>
          </c:extLst>
        </c:ser>
        <c:ser>
          <c:idx val="3"/>
          <c:order val="3"/>
          <c:tx>
            <c:strRef>
              <c:f>'Boletim Escolar'!$F$3</c:f>
              <c:strCache>
                <c:ptCount val="1"/>
                <c:pt idx="0">
                  <c:v>4º Bimestre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'Boletim Escolar'!$B$4:$B$8</c:f>
              <c:strCache>
                <c:ptCount val="5"/>
                <c:pt idx="0">
                  <c:v>Matemática</c:v>
                </c:pt>
                <c:pt idx="1">
                  <c:v>Física</c:v>
                </c:pt>
                <c:pt idx="2">
                  <c:v>Química</c:v>
                </c:pt>
                <c:pt idx="3">
                  <c:v>Biologia</c:v>
                </c:pt>
                <c:pt idx="4">
                  <c:v>Português</c:v>
                </c:pt>
              </c:strCache>
            </c:strRef>
          </c:cat>
          <c:val>
            <c:numRef>
              <c:f>'Boletim Escolar'!$F$4:$F$8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B-498F-B8A9-2E1D6FFC4A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3880479"/>
        <c:axId val="1633867999"/>
      </c:lineChart>
      <c:catAx>
        <c:axId val="163388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3867999"/>
        <c:crosses val="autoZero"/>
        <c:auto val="1"/>
        <c:lblAlgn val="ctr"/>
        <c:lblOffset val="100"/>
        <c:noMultiLvlLbl val="0"/>
      </c:catAx>
      <c:valAx>
        <c:axId val="1633867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38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909536307961505"/>
          <c:y val="0.19486111111111112"/>
          <c:w val="0.79646019247594046"/>
          <c:h val="0.635020414114902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'Folha de pagamento'!$G$3</c:f>
              <c:strCache>
                <c:ptCount val="1"/>
                <c:pt idx="0">
                  <c:v>Salário Bruto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'Folha de pagamento'!$B$4:$B$19</c:f>
              <c:strCache>
                <c:ptCount val="16"/>
                <c:pt idx="0">
                  <c:v>Rafael</c:v>
                </c:pt>
                <c:pt idx="1">
                  <c:v>Lucas</c:v>
                </c:pt>
                <c:pt idx="2">
                  <c:v>Denise</c:v>
                </c:pt>
                <c:pt idx="3">
                  <c:v>Flávio</c:v>
                </c:pt>
                <c:pt idx="4">
                  <c:v>Eduardo</c:v>
                </c:pt>
                <c:pt idx="5">
                  <c:v>Elaine</c:v>
                </c:pt>
                <c:pt idx="6">
                  <c:v>Douglas</c:v>
                </c:pt>
                <c:pt idx="7">
                  <c:v>Josiane</c:v>
                </c:pt>
                <c:pt idx="8">
                  <c:v>Marcelo</c:v>
                </c:pt>
                <c:pt idx="9">
                  <c:v>Melissa</c:v>
                </c:pt>
                <c:pt idx="10">
                  <c:v>Monia</c:v>
                </c:pt>
                <c:pt idx="11">
                  <c:v>William</c:v>
                </c:pt>
                <c:pt idx="12">
                  <c:v>Rose</c:v>
                </c:pt>
                <c:pt idx="13">
                  <c:v>Itamar</c:v>
                </c:pt>
                <c:pt idx="14">
                  <c:v>Sandra</c:v>
                </c:pt>
                <c:pt idx="15">
                  <c:v>Túlio</c:v>
                </c:pt>
              </c:strCache>
            </c:strRef>
          </c:cat>
          <c:val>
            <c:numRef>
              <c:f>'Folha de pagamento'!$G$4:$G$19</c:f>
              <c:numCache>
                <c:formatCode>_("R$"* #,##0.00_);_("R$"* \(#,##0.00\);_("R$"* "-"??_);_(@_)</c:formatCode>
                <c:ptCount val="16"/>
                <c:pt idx="0">
                  <c:v>6225</c:v>
                </c:pt>
                <c:pt idx="1">
                  <c:v>5700</c:v>
                </c:pt>
                <c:pt idx="2">
                  <c:v>4500</c:v>
                </c:pt>
                <c:pt idx="3">
                  <c:v>3815</c:v>
                </c:pt>
                <c:pt idx="4">
                  <c:v>1755</c:v>
                </c:pt>
                <c:pt idx="5">
                  <c:v>1845</c:v>
                </c:pt>
                <c:pt idx="6">
                  <c:v>1641</c:v>
                </c:pt>
                <c:pt idx="7">
                  <c:v>1416</c:v>
                </c:pt>
                <c:pt idx="8">
                  <c:v>1290</c:v>
                </c:pt>
                <c:pt idx="9">
                  <c:v>780</c:v>
                </c:pt>
                <c:pt idx="10">
                  <c:v>780</c:v>
                </c:pt>
                <c:pt idx="11">
                  <c:v>866</c:v>
                </c:pt>
                <c:pt idx="12">
                  <c:v>900</c:v>
                </c:pt>
                <c:pt idx="13">
                  <c:v>795</c:v>
                </c:pt>
                <c:pt idx="14">
                  <c:v>635</c:v>
                </c:pt>
                <c:pt idx="1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0-4994-B439-94B19F6B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74358928"/>
        <c:axId val="1474375568"/>
        <c:axId val="0"/>
      </c:bar3DChart>
      <c:catAx>
        <c:axId val="1474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375568"/>
        <c:crosses val="autoZero"/>
        <c:auto val="1"/>
        <c:lblAlgn val="ctr"/>
        <c:lblOffset val="100"/>
        <c:noMultiLvlLbl val="0"/>
      </c:catAx>
      <c:valAx>
        <c:axId val="1474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3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'Pedido de compra'!$C$3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14-40EF-A87D-CEC74E185D3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C14-40EF-A87D-CEC74E185D3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14-40EF-A87D-CEC74E185D3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C14-40EF-A87D-CEC74E185D3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C14-40EF-A87D-CEC74E185D3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C14-40EF-A87D-CEC74E185D3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C14-40EF-A87D-CEC74E185D3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9C14-40EF-A87D-CEC74E185D3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C14-40EF-A87D-CEC74E185D3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9C14-40EF-A87D-CEC74E185D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9C14-40EF-A87D-CEC74E185D3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9C14-40EF-A87D-CEC74E185D3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C14-40EF-A87D-CEC74E185D3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C14-40EF-A87D-CEC74E185D3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C14-40EF-A87D-CEC74E185D3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C14-40EF-A87D-CEC74E185D3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C14-40EF-A87D-CEC74E185D3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C14-40EF-A87D-CEC74E185D3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C14-40EF-A87D-CEC74E185D3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9C14-40EF-A87D-CEC74E185D3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C14-40EF-A87D-CEC74E185D3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9C14-40EF-A87D-CEC74E185D3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C14-40EF-A87D-CEC74E185D3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9C14-40EF-A87D-CEC74E185D3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'Pedido de compra'!$B$4:$B$15</c:f>
              <c:strCache>
                <c:ptCount val="12"/>
                <c:pt idx="0">
                  <c:v>Camiseta Manga Curta</c:v>
                </c:pt>
                <c:pt idx="1">
                  <c:v>Calça Jeans</c:v>
                </c:pt>
                <c:pt idx="2">
                  <c:v>Calça Sarja</c:v>
                </c:pt>
                <c:pt idx="3">
                  <c:v>Vestido Longo</c:v>
                </c:pt>
                <c:pt idx="4">
                  <c:v>Mini Saia</c:v>
                </c:pt>
                <c:pt idx="5">
                  <c:v>Camiseta Manga Longa</c:v>
                </c:pt>
                <c:pt idx="6">
                  <c:v>Bermuda Masculina</c:v>
                </c:pt>
                <c:pt idx="7">
                  <c:v>Camiseta Infantil</c:v>
                </c:pt>
                <c:pt idx="8">
                  <c:v>Vestido Infantil</c:v>
                </c:pt>
                <c:pt idx="9">
                  <c:v>Terno</c:v>
                </c:pt>
                <c:pt idx="10">
                  <c:v>Bermuda Feminina</c:v>
                </c:pt>
                <c:pt idx="11">
                  <c:v>Short Feminino</c:v>
                </c:pt>
              </c:strCache>
            </c:strRef>
          </c:cat>
          <c:val>
            <c:numRef>
              <c:f>'Pedido de compra'!$C$4:$C$15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18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4-40EF-A87D-CEC74E185D3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038236056605581"/>
          <c:y val="4.0822495976251261E-2"/>
          <c:w val="0.8268517696205504"/>
          <c:h val="0.4952174094497761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'Pedido de compra'!$F$3</c:f>
              <c:strCache>
                <c:ptCount val="1"/>
                <c:pt idx="0">
                  <c:v>Preço Unitário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'Pedido de compra'!$B$4:$B$15</c:f>
              <c:strCache>
                <c:ptCount val="12"/>
                <c:pt idx="0">
                  <c:v>Camiseta Manga Curta</c:v>
                </c:pt>
                <c:pt idx="1">
                  <c:v>Calça Jeans</c:v>
                </c:pt>
                <c:pt idx="2">
                  <c:v>Calça Sarja</c:v>
                </c:pt>
                <c:pt idx="3">
                  <c:v>Vestido Longo</c:v>
                </c:pt>
                <c:pt idx="4">
                  <c:v>Mini Saia</c:v>
                </c:pt>
                <c:pt idx="5">
                  <c:v>Camiseta Manga Longa</c:v>
                </c:pt>
                <c:pt idx="6">
                  <c:v>Bermuda Masculina</c:v>
                </c:pt>
                <c:pt idx="7">
                  <c:v>Camiseta Infantil</c:v>
                </c:pt>
                <c:pt idx="8">
                  <c:v>Vestido Infantil</c:v>
                </c:pt>
                <c:pt idx="9">
                  <c:v>Terno</c:v>
                </c:pt>
                <c:pt idx="10">
                  <c:v>Bermuda Feminina</c:v>
                </c:pt>
                <c:pt idx="11">
                  <c:v>Short Feminino</c:v>
                </c:pt>
              </c:strCache>
            </c:strRef>
          </c:cat>
          <c:val>
            <c:numRef>
              <c:f>'Pedido de compra'!$F$4:$F$15</c:f>
              <c:numCache>
                <c:formatCode>_("R$"* #,##0.00_);_("R$"* \(#,##0.00\);_("R$"* "-"??_);_(@_)</c:formatCode>
                <c:ptCount val="12"/>
                <c:pt idx="0">
                  <c:v>6.9</c:v>
                </c:pt>
                <c:pt idx="1">
                  <c:v>15.2</c:v>
                </c:pt>
                <c:pt idx="2">
                  <c:v>12.5</c:v>
                </c:pt>
                <c:pt idx="3">
                  <c:v>23.45</c:v>
                </c:pt>
                <c:pt idx="4">
                  <c:v>13.5</c:v>
                </c:pt>
                <c:pt idx="5">
                  <c:v>19.8</c:v>
                </c:pt>
                <c:pt idx="6">
                  <c:v>10.4</c:v>
                </c:pt>
                <c:pt idx="7">
                  <c:v>6.7</c:v>
                </c:pt>
                <c:pt idx="8">
                  <c:v>18.7</c:v>
                </c:pt>
                <c:pt idx="9">
                  <c:v>12.6</c:v>
                </c:pt>
                <c:pt idx="10">
                  <c:v>87.3</c:v>
                </c:pt>
                <c:pt idx="11">
                  <c:v>13.56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F-44B5-9FEE-1A05F289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52760512"/>
        <c:axId val="1552747200"/>
        <c:axId val="0"/>
      </c:bar3DChart>
      <c:catAx>
        <c:axId val="15527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747200"/>
        <c:crosses val="autoZero"/>
        <c:auto val="1"/>
        <c:lblAlgn val="ctr"/>
        <c:lblOffset val="100"/>
        <c:noMultiLvlLbl val="0"/>
      </c:catAx>
      <c:valAx>
        <c:axId val="15527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7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'Aumento de salario'!$C$3</c:f>
              <c:strCache>
                <c:ptCount val="1"/>
                <c:pt idx="0">
                  <c:v>Salário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'Aumento de salario'!$B$4:$B$11</c:f>
              <c:strCache>
                <c:ptCount val="8"/>
                <c:pt idx="0">
                  <c:v>João Dos Santos</c:v>
                </c:pt>
                <c:pt idx="1">
                  <c:v>Maria da Silva</c:v>
                </c:pt>
                <c:pt idx="2">
                  <c:v>Manoel Flores</c:v>
                </c:pt>
                <c:pt idx="3">
                  <c:v>Lambarildo Peixe</c:v>
                </c:pt>
                <c:pt idx="4">
                  <c:v>Sebastião Silva</c:v>
                </c:pt>
                <c:pt idx="5">
                  <c:v>Ana Flávia</c:v>
                </c:pt>
                <c:pt idx="6">
                  <c:v>Silva Helena</c:v>
                </c:pt>
                <c:pt idx="7">
                  <c:v>Alberto Roverto</c:v>
                </c:pt>
              </c:strCache>
            </c:strRef>
          </c:cat>
          <c:val>
            <c:numRef>
              <c:f>'Aumento de salario'!$C$4:$C$11</c:f>
              <c:numCache>
                <c:formatCode>_("R$"* #,##0.00_);_("R$"* \(#,##0.00\);_("R$"* "-"??_);_(@_)</c:formatCode>
                <c:ptCount val="8"/>
                <c:pt idx="0">
                  <c:v>900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1400</c:v>
                </c:pt>
                <c:pt idx="5">
                  <c:v>990</c:v>
                </c:pt>
                <c:pt idx="6">
                  <c:v>854</c:v>
                </c:pt>
                <c:pt idx="7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3DD-8FC4-CF0859BF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858991"/>
        <c:axId val="136853583"/>
      </c:barChart>
      <c:catAx>
        <c:axId val="1368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53583"/>
        <c:crosses val="autoZero"/>
        <c:auto val="1"/>
        <c:lblAlgn val="ctr"/>
        <c:lblOffset val="100"/>
        <c:noMultiLvlLbl val="0"/>
      </c:catAx>
      <c:valAx>
        <c:axId val="1368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Radio" checked="Checked" firstButton="1" fmlaLink="$C$10" lockText="1" noThreeD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D$10" lockText="1" noThreeD="1"/>
</file>

<file path=xl/ctrlProps/ctrlProp4.xml><?xml version="1.0" encoding="utf-8"?>
<formControlPr xmlns="http://schemas.microsoft.com/office/spreadsheetml/2009/9/main" objectType="CheckBox" fmlaLink="$E$10" lockText="1" noThreeD="1"/>
</file>

<file path=xl/ctrlProps/ctrlProp5.xml><?xml version="1.0" encoding="utf-8"?>
<formControlPr xmlns="http://schemas.microsoft.com/office/spreadsheetml/2009/9/main" objectType="CheckBox" fmlaLink="$F$10" lockText="1" noThreeD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</xdr:colOff>
      <xdr:row>1</xdr:row>
      <xdr:rowOff>5080</xdr:rowOff>
    </xdr:from>
    <xdr:to>
      <xdr:col>11</xdr:col>
      <xdr:colOff>13854</xdr:colOff>
      <xdr:row>16</xdr:row>
      <xdr:rowOff>6927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C1B533-A0C1-E413-0B04-07B4A16F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5328</xdr:colOff>
      <xdr:row>15</xdr:row>
      <xdr:rowOff>175845</xdr:rowOff>
    </xdr:from>
    <xdr:to>
      <xdr:col>9</xdr:col>
      <xdr:colOff>10656</xdr:colOff>
      <xdr:row>32</xdr:row>
      <xdr:rowOff>15986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27662-FDA0-7D7F-4EC7-7AF6ED772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9</xdr:row>
      <xdr:rowOff>0</xdr:rowOff>
    </xdr:from>
    <xdr:to>
      <xdr:col>8</xdr:col>
      <xdr:colOff>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52EE51-3D14-3F16-99AE-20B7F96AE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</xdr:row>
          <xdr:rowOff>7620</xdr:rowOff>
        </xdr:from>
        <xdr:to>
          <xdr:col>3</xdr:col>
          <xdr:colOff>563880</xdr:colOff>
          <xdr:row>4</xdr:row>
          <xdr:rowOff>167640</xdr:rowOff>
        </xdr:to>
        <xdr:sp macro="" textlink="">
          <xdr:nvSpPr>
            <xdr:cNvPr id="15362" name="Option 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D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 Vista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5</xdr:row>
          <xdr:rowOff>22860</xdr:rowOff>
        </xdr:from>
        <xdr:to>
          <xdr:col>3</xdr:col>
          <xdr:colOff>571500</xdr:colOff>
          <xdr:row>6</xdr:row>
          <xdr:rowOff>0</xdr:rowOff>
        </xdr:to>
        <xdr:sp macro="" textlink="">
          <xdr:nvSpPr>
            <xdr:cNvPr id="15363" name="Option Button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D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 Prazo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0</xdr:rowOff>
        </xdr:from>
        <xdr:to>
          <xdr:col>3</xdr:col>
          <xdr:colOff>304800</xdr:colOff>
          <xdr:row>6</xdr:row>
          <xdr:rowOff>182880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D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Alarme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6</xdr:row>
          <xdr:rowOff>0</xdr:rowOff>
        </xdr:from>
        <xdr:to>
          <xdr:col>5</xdr:col>
          <xdr:colOff>121920</xdr:colOff>
          <xdr:row>7</xdr:row>
          <xdr:rowOff>7620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D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</xdr:colOff>
          <xdr:row>6</xdr:row>
          <xdr:rowOff>0</xdr:rowOff>
        </xdr:from>
        <xdr:to>
          <xdr:col>7</xdr:col>
          <xdr:colOff>114300</xdr:colOff>
          <xdr:row>6</xdr:row>
          <xdr:rowOff>182880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D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Seguro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1188720</xdr:colOff>
          <xdr:row>2</xdr:row>
          <xdr:rowOff>15240</xdr:rowOff>
        </xdr:from>
        <xdr:to>
          <xdr:col>2</xdr:col>
          <xdr:colOff>419100</xdr:colOff>
          <xdr:row>2</xdr:row>
          <xdr:rowOff>182880</xdr:rowOff>
        </xdr:to>
        <xdr:sp macro="" textlink="">
          <xdr:nvSpPr>
            <xdr:cNvPr id="15367" name="Button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D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Vectra</a:t>
              </a:r>
            </a:p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 </a:t>
              </a:r>
            </a:p>
            <a:p>
              <a:pPr algn="ctr" rtl="0">
                <a:defRPr sz="1000"/>
              </a:pPr>
              <a:endParaRPr lang="pt-BR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632460</xdr:colOff>
          <xdr:row>3</xdr:row>
          <xdr:rowOff>7620</xdr:rowOff>
        </xdr:from>
        <xdr:to>
          <xdr:col>1</xdr:col>
          <xdr:colOff>1135380</xdr:colOff>
          <xdr:row>3</xdr:row>
          <xdr:rowOff>167640</xdr:rowOff>
        </xdr:to>
        <xdr:sp macro="" textlink="">
          <xdr:nvSpPr>
            <xdr:cNvPr id="15368" name="Button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D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C4</a:t>
              </a:r>
            </a:p>
            <a:p>
              <a:pPr algn="ctr" rtl="0">
                <a:defRPr sz="1000"/>
              </a:pPr>
              <a:endParaRPr lang="pt-BR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617220</xdr:colOff>
          <xdr:row>2</xdr:row>
          <xdr:rowOff>7620</xdr:rowOff>
        </xdr:from>
        <xdr:to>
          <xdr:col>1</xdr:col>
          <xdr:colOff>1127760</xdr:colOff>
          <xdr:row>2</xdr:row>
          <xdr:rowOff>167640</xdr:rowOff>
        </xdr:to>
        <xdr:sp macro="" textlink="">
          <xdr:nvSpPr>
            <xdr:cNvPr id="15369" name="Button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D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Omega</a:t>
              </a:r>
            </a:p>
            <a:p>
              <a:pPr algn="ctr" rtl="0">
                <a:defRPr sz="1000"/>
              </a:pPr>
              <a:endParaRPr lang="pt-BR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</xdr:colOff>
          <xdr:row>2</xdr:row>
          <xdr:rowOff>7620</xdr:rowOff>
        </xdr:from>
        <xdr:to>
          <xdr:col>1</xdr:col>
          <xdr:colOff>548640</xdr:colOff>
          <xdr:row>2</xdr:row>
          <xdr:rowOff>160020</xdr:rowOff>
        </xdr:to>
        <xdr:sp macro="" textlink="">
          <xdr:nvSpPr>
            <xdr:cNvPr id="15370" name="Button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D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Azera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</xdr:colOff>
          <xdr:row>3</xdr:row>
          <xdr:rowOff>7620</xdr:rowOff>
        </xdr:from>
        <xdr:to>
          <xdr:col>1</xdr:col>
          <xdr:colOff>556260</xdr:colOff>
          <xdr:row>3</xdr:row>
          <xdr:rowOff>167640</xdr:rowOff>
        </xdr:to>
        <xdr:sp macro="" textlink="">
          <xdr:nvSpPr>
            <xdr:cNvPr id="15371" name="Button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D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Monza</a:t>
              </a:r>
            </a:p>
            <a:p>
              <a:pPr algn="ctr" rtl="0">
                <a:defRPr sz="1000"/>
              </a:pPr>
              <a:endParaRPr lang="pt-BR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325244</xdr:colOff>
      <xdr:row>20</xdr:row>
      <xdr:rowOff>187036</xdr:rowOff>
    </xdr:from>
    <xdr:to>
      <xdr:col>12</xdr:col>
      <xdr:colOff>18585</xdr:colOff>
      <xdr:row>43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4930B-387B-3B93-D440-07AF8F5C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284787</xdr:colOff>
      <xdr:row>0</xdr:row>
      <xdr:rowOff>186768</xdr:rowOff>
    </xdr:from>
    <xdr:to>
      <xdr:col>16</xdr:col>
      <xdr:colOff>7697</xdr:colOff>
      <xdr:row>14</xdr:row>
      <xdr:rowOff>177030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1EF0D8-933E-9989-06B2-4F23099A9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277091</xdr:colOff>
      <xdr:row>16</xdr:row>
      <xdr:rowOff>0</xdr:rowOff>
    </xdr:from>
    <xdr:to>
      <xdr:col>15</xdr:col>
      <xdr:colOff>592666</xdr:colOff>
      <xdr:row>30</xdr:row>
      <xdr:rowOff>161636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F1144B-104E-E218-B6FF-4ED5B4D4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1728</xdr:colOff>
      <xdr:row>1</xdr:row>
      <xdr:rowOff>10809</xdr:rowOff>
    </xdr:from>
    <xdr:to>
      <xdr:col>11</xdr:col>
      <xdr:colOff>5403</xdr:colOff>
      <xdr:row>12</xdr:row>
      <xdr:rowOff>43235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AC7ACF-785E-DBED-CA2B-9D133E29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is ferreira" id="{DACB09FE-4C3A-4383-91CF-4D54E5286604}" userId="dafa1d04ef6263d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2-23T16:36:01.18" personId="{DACB09FE-4C3A-4383-91CF-4D54E5286604}" id="{0EF44127-84CA-4230-80A1-CB666C934036}">
    <text>Produtos acima de 10 unid. estoque OK.
Produtos com menos de 10 unid. estoque deverá ser reabastecido.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3-02-21T03:56:55.88" personId="{DACB09FE-4C3A-4383-91CF-4D54E5286604}" id="{BD54B9D1-F30F-4554-827F-29767C258A7C}">
    <text>Média Aritmética das notas por matéria.</text>
  </threadedComment>
  <threadedComment ref="H3" dT="2023-02-21T03:55:19.76" personId="{DACB09FE-4C3A-4383-91CF-4D54E5286604}" id="{C375C3D5-EBAE-4B5F-8663-645966C817A2}">
    <text>Alunos são aprovados quando a nota for igual ou superior a 7.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6" dT="2023-02-21T04:00:40.26" personId="{DACB09FE-4C3A-4383-91CF-4D54E5286604}" id="{2F23F0D2-B8A6-4FB6-8780-7CB8EFFCCB7B}">
    <text>Prejuízo Total quando lucro for menor que 1.000. Lucro Médio quando lucro for menor que 5.000. Lucro Total maior que 5.000.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3" dT="2023-02-21T21:18:44.64" personId="{DACB09FE-4C3A-4383-91CF-4D54E5286604}" id="{595499E5-5401-4101-B03E-1F3B81089432}">
    <text>&gt;= 500 Meta Alcançada
&lt;500 Abaixo da Meta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" dT="2023-02-22T00:27:06.19" personId="{DACB09FE-4C3A-4383-91CF-4D54E5286604}" id="{31A5B90E-AEC5-48D2-8132-8D04C221B397}">
    <text>40% sobre o salário bruto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4" dT="2023-02-22T02:03:32.87" personId="{DACB09FE-4C3A-4383-91CF-4D54E5286604}" id="{397C59FE-D5FD-4C72-8C78-2246F4E3ABA5}">
    <text>Pedido Minino 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3CEA-AA30-4DA1-AAE6-FF299B429514}">
  <sheetPr codeName="Planilha1"/>
  <dimension ref="B2:E8"/>
  <sheetViews>
    <sheetView tabSelected="1" zoomScale="140" zoomScaleNormal="140" workbookViewId="0">
      <selection activeCell="H12" sqref="H12"/>
    </sheetView>
  </sheetViews>
  <sheetFormatPr defaultRowHeight="14.4" x14ac:dyDescent="0.3"/>
  <cols>
    <col min="1" max="1" width="8.88671875" customWidth="1"/>
    <col min="2" max="2" width="13.5546875" customWidth="1"/>
    <col min="3" max="3" width="12.21875" customWidth="1"/>
    <col min="5" max="5" width="10.77734375" customWidth="1"/>
  </cols>
  <sheetData>
    <row r="2" spans="2:5" x14ac:dyDescent="0.3">
      <c r="B2" s="189" t="s">
        <v>0</v>
      </c>
      <c r="C2" s="189"/>
      <c r="D2" s="189"/>
      <c r="E2" s="189"/>
    </row>
    <row r="3" spans="2:5" x14ac:dyDescent="0.3">
      <c r="B3" s="8" t="s">
        <v>1</v>
      </c>
      <c r="C3" s="8" t="s">
        <v>2</v>
      </c>
      <c r="D3" s="8" t="s">
        <v>3</v>
      </c>
      <c r="E3" s="8" t="s">
        <v>4</v>
      </c>
    </row>
    <row r="4" spans="2:5" x14ac:dyDescent="0.3">
      <c r="B4" s="6" t="s">
        <v>5</v>
      </c>
      <c r="C4" s="5">
        <v>10</v>
      </c>
      <c r="D4" s="7">
        <v>6.3</v>
      </c>
      <c r="E4" s="3">
        <f>D4*C4</f>
        <v>63</v>
      </c>
    </row>
    <row r="5" spans="2:5" x14ac:dyDescent="0.3">
      <c r="B5" s="6" t="s">
        <v>6</v>
      </c>
      <c r="C5" s="5">
        <v>5</v>
      </c>
      <c r="D5" s="7">
        <v>8.5</v>
      </c>
      <c r="E5" s="3">
        <f t="shared" ref="E5:E7" si="0">D5*C5</f>
        <v>42.5</v>
      </c>
    </row>
    <row r="6" spans="2:5" x14ac:dyDescent="0.3">
      <c r="B6" s="6" t="s">
        <v>7</v>
      </c>
      <c r="C6" s="5">
        <v>6</v>
      </c>
      <c r="D6" s="7">
        <v>1.56</v>
      </c>
      <c r="E6" s="3">
        <f t="shared" si="0"/>
        <v>9.36</v>
      </c>
    </row>
    <row r="7" spans="2:5" x14ac:dyDescent="0.3">
      <c r="B7" s="6" t="s">
        <v>8</v>
      </c>
      <c r="C7" s="5">
        <v>4</v>
      </c>
      <c r="D7" s="7">
        <v>8.32</v>
      </c>
      <c r="E7" s="3">
        <f t="shared" si="0"/>
        <v>33.28</v>
      </c>
    </row>
    <row r="8" spans="2:5" x14ac:dyDescent="0.3">
      <c r="B8" s="190" t="s">
        <v>9</v>
      </c>
      <c r="C8" s="190"/>
      <c r="D8" s="190"/>
      <c r="E8" s="10">
        <f>E4+E5+E6+E7</f>
        <v>148.13999999999999</v>
      </c>
    </row>
  </sheetData>
  <mergeCells count="2">
    <mergeCell ref="B2:E2"/>
    <mergeCell ref="B8:D8"/>
  </mergeCells>
  <pageMargins left="0.511811024" right="0.511811024" top="0.78740157499999996" bottom="0.78740157499999996" header="0.31496062000000002" footer="0.31496062000000002"/>
  <pageSetup paperSize="121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C3EC-82D9-4684-9C7D-D610583D0FAA}">
  <sheetPr codeName="Planilha10"/>
  <dimension ref="B1:H14"/>
  <sheetViews>
    <sheetView zoomScale="150" zoomScaleNormal="150" workbookViewId="0">
      <selection activeCell="E5" sqref="E5"/>
    </sheetView>
  </sheetViews>
  <sheetFormatPr defaultRowHeight="14.4" x14ac:dyDescent="0.3"/>
  <cols>
    <col min="2" max="5" width="14" customWidth="1"/>
    <col min="6" max="6" width="3.21875" customWidth="1"/>
    <col min="7" max="7" width="11.77734375" customWidth="1"/>
    <col min="8" max="8" width="9.44140625" bestFit="1" customWidth="1"/>
  </cols>
  <sheetData>
    <row r="1" spans="2:8" ht="15" thickBot="1" x14ac:dyDescent="0.35"/>
    <row r="2" spans="2:8" x14ac:dyDescent="0.3">
      <c r="B2" s="220" t="s">
        <v>100</v>
      </c>
      <c r="C2" s="221"/>
      <c r="D2" s="221"/>
      <c r="E2" s="222"/>
      <c r="G2" s="11" t="s">
        <v>105</v>
      </c>
      <c r="H2" s="13">
        <f>SUMIF(D4:D11,"Tiago",E4:E11)</f>
        <v>30</v>
      </c>
    </row>
    <row r="3" spans="2:8" x14ac:dyDescent="0.3">
      <c r="B3" s="36" t="s">
        <v>42</v>
      </c>
      <c r="C3" s="9" t="s">
        <v>1</v>
      </c>
      <c r="D3" s="9" t="s">
        <v>101</v>
      </c>
      <c r="E3" s="37" t="s">
        <v>3</v>
      </c>
      <c r="G3" s="11" t="s">
        <v>102</v>
      </c>
      <c r="H3" s="13">
        <f>SUMIF(D4:D11,"Rafaela",E4:E11)</f>
        <v>50</v>
      </c>
    </row>
    <row r="4" spans="2:8" x14ac:dyDescent="0.3">
      <c r="B4" s="167">
        <v>45204</v>
      </c>
      <c r="C4" s="5" t="s">
        <v>103</v>
      </c>
      <c r="D4" s="5" t="s">
        <v>105</v>
      </c>
      <c r="E4" s="51">
        <v>10</v>
      </c>
      <c r="G4" s="11" t="s">
        <v>53</v>
      </c>
      <c r="H4" s="13">
        <f>SUMIF(D4:D11,"Pedro",E4:E11)</f>
        <v>20</v>
      </c>
    </row>
    <row r="5" spans="2:8" x14ac:dyDescent="0.3">
      <c r="B5" s="167">
        <v>45204</v>
      </c>
      <c r="C5" s="5" t="s">
        <v>104</v>
      </c>
      <c r="D5" s="5" t="s">
        <v>102</v>
      </c>
      <c r="E5" s="51">
        <v>20</v>
      </c>
    </row>
    <row r="6" spans="2:8" x14ac:dyDescent="0.3">
      <c r="B6" s="167">
        <v>45204</v>
      </c>
      <c r="C6" s="5" t="s">
        <v>103</v>
      </c>
      <c r="D6" s="5" t="s">
        <v>53</v>
      </c>
      <c r="E6" s="51">
        <v>10</v>
      </c>
    </row>
    <row r="7" spans="2:8" x14ac:dyDescent="0.3">
      <c r="B7" s="167">
        <v>45205</v>
      </c>
      <c r="C7" s="5" t="s">
        <v>103</v>
      </c>
      <c r="D7" s="5" t="s">
        <v>105</v>
      </c>
      <c r="E7" s="51">
        <v>10</v>
      </c>
    </row>
    <row r="8" spans="2:8" x14ac:dyDescent="0.3">
      <c r="B8" s="167">
        <v>45205</v>
      </c>
      <c r="C8" s="5" t="s">
        <v>103</v>
      </c>
      <c r="D8" s="5" t="s">
        <v>53</v>
      </c>
      <c r="E8" s="51">
        <v>10</v>
      </c>
    </row>
    <row r="9" spans="2:8" x14ac:dyDescent="0.3">
      <c r="B9" s="167">
        <v>45208</v>
      </c>
      <c r="C9" s="5" t="s">
        <v>104</v>
      </c>
      <c r="D9" s="5" t="s">
        <v>102</v>
      </c>
      <c r="E9" s="51">
        <v>20</v>
      </c>
    </row>
    <row r="10" spans="2:8" x14ac:dyDescent="0.3">
      <c r="B10" s="167">
        <v>45208</v>
      </c>
      <c r="C10" s="5" t="s">
        <v>103</v>
      </c>
      <c r="D10" s="5" t="s">
        <v>102</v>
      </c>
      <c r="E10" s="51">
        <v>10</v>
      </c>
    </row>
    <row r="11" spans="2:8" ht="15" thickBot="1" x14ac:dyDescent="0.35">
      <c r="B11" s="168">
        <v>45208</v>
      </c>
      <c r="C11" s="85" t="s">
        <v>103</v>
      </c>
      <c r="D11" s="85" t="s">
        <v>105</v>
      </c>
      <c r="E11" s="53">
        <v>10</v>
      </c>
    </row>
    <row r="12" spans="2:8" x14ac:dyDescent="0.3">
      <c r="B12" s="223" t="s">
        <v>109</v>
      </c>
      <c r="C12" s="224"/>
      <c r="D12" s="224"/>
      <c r="E12" s="166">
        <f>SUM(E4:E11)</f>
        <v>100</v>
      </c>
    </row>
    <row r="13" spans="2:8" x14ac:dyDescent="0.3">
      <c r="B13" s="96" t="s">
        <v>110</v>
      </c>
      <c r="C13" s="82" t="s">
        <v>28</v>
      </c>
      <c r="D13" s="80">
        <f>COUNTIF(C4:C11,"Caneca")</f>
        <v>2</v>
      </c>
      <c r="E13" s="170">
        <f>SUMIF(C4:C11,"Caneca",E4:E11)</f>
        <v>40</v>
      </c>
    </row>
    <row r="14" spans="2:8" ht="15" thickBot="1" x14ac:dyDescent="0.35">
      <c r="B14" s="98" t="s">
        <v>111</v>
      </c>
      <c r="C14" s="172" t="s">
        <v>28</v>
      </c>
      <c r="D14" s="169">
        <f>COUNTIF(C4:C11,"Prato")</f>
        <v>6</v>
      </c>
      <c r="E14" s="171">
        <f>SUMIF(C4:C11,"Prato",E4:E11)</f>
        <v>60</v>
      </c>
    </row>
  </sheetData>
  <mergeCells count="2">
    <mergeCell ref="B2:E2"/>
    <mergeCell ref="B12:D1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D9B0-0155-4FE8-91A8-483296E80A84}">
  <sheetPr codeName="Planilha11"/>
  <dimension ref="B1:D11"/>
  <sheetViews>
    <sheetView zoomScale="150" zoomScaleNormal="150" workbookViewId="0">
      <selection activeCell="F9" sqref="F9"/>
    </sheetView>
  </sheetViews>
  <sheetFormatPr defaultRowHeight="14.4" x14ac:dyDescent="0.3"/>
  <cols>
    <col min="2" max="2" width="12" bestFit="1" customWidth="1"/>
    <col min="4" max="4" width="12.44140625" bestFit="1" customWidth="1"/>
  </cols>
  <sheetData>
    <row r="1" spans="2:4" ht="15" thickBot="1" x14ac:dyDescent="0.35"/>
    <row r="2" spans="2:4" ht="15" thickBot="1" x14ac:dyDescent="0.35">
      <c r="B2" s="173" t="s">
        <v>113</v>
      </c>
      <c r="C2" s="174" t="s">
        <v>114</v>
      </c>
      <c r="D2" s="175" t="s">
        <v>118</v>
      </c>
    </row>
    <row r="3" spans="2:4" x14ac:dyDescent="0.3">
      <c r="B3" s="131">
        <v>1</v>
      </c>
      <c r="C3" s="79" t="s">
        <v>105</v>
      </c>
      <c r="D3" s="107" t="s">
        <v>119</v>
      </c>
    </row>
    <row r="4" spans="2:4" x14ac:dyDescent="0.3">
      <c r="B4" s="96">
        <v>2</v>
      </c>
      <c r="C4" s="2" t="s">
        <v>53</v>
      </c>
      <c r="D4" s="20" t="s">
        <v>120</v>
      </c>
    </row>
    <row r="5" spans="2:4" x14ac:dyDescent="0.3">
      <c r="B5" s="96">
        <v>3</v>
      </c>
      <c r="C5" s="2" t="s">
        <v>102</v>
      </c>
      <c r="D5" s="20" t="s">
        <v>121</v>
      </c>
    </row>
    <row r="6" spans="2:4" ht="15" thickBot="1" x14ac:dyDescent="0.35">
      <c r="B6" s="98">
        <v>4</v>
      </c>
      <c r="C6" s="106" t="s">
        <v>115</v>
      </c>
      <c r="D6" s="21" t="s">
        <v>122</v>
      </c>
    </row>
    <row r="8" spans="2:4" ht="15" thickBot="1" x14ac:dyDescent="0.35"/>
    <row r="9" spans="2:4" x14ac:dyDescent="0.3">
      <c r="B9" s="58" t="s">
        <v>116</v>
      </c>
      <c r="C9" s="22">
        <v>2</v>
      </c>
    </row>
    <row r="10" spans="2:4" x14ac:dyDescent="0.3">
      <c r="B10" s="176" t="s">
        <v>117</v>
      </c>
      <c r="C10" s="20" t="str">
        <f>VLOOKUP(C9,B3:D6,2,FALSE)</f>
        <v>Pedro</v>
      </c>
    </row>
    <row r="11" spans="2:4" ht="15" thickBot="1" x14ac:dyDescent="0.35">
      <c r="B11" s="177" t="s">
        <v>118</v>
      </c>
      <c r="C11" s="21" t="str">
        <f>VLOOKUP(C9,B3:D6,3,FALSE)</f>
        <v>Consultor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CAD2-DE6C-4C0D-991B-B2BAF089BE3F}">
  <sheetPr codeName="Planilha12"/>
  <dimension ref="B1:J10"/>
  <sheetViews>
    <sheetView zoomScale="150" zoomScaleNormal="150" workbookViewId="0">
      <selection activeCell="G14" sqref="G14"/>
    </sheetView>
  </sheetViews>
  <sheetFormatPr defaultRowHeight="14.4" x14ac:dyDescent="0.3"/>
  <cols>
    <col min="2" max="2" width="11.77734375" customWidth="1"/>
    <col min="3" max="3" width="14" customWidth="1"/>
    <col min="4" max="4" width="13.109375" bestFit="1" customWidth="1"/>
    <col min="5" max="6" width="10.44140625" bestFit="1" customWidth="1"/>
    <col min="7" max="7" width="13.21875" bestFit="1" customWidth="1"/>
    <col min="8" max="8" width="3.5546875" customWidth="1"/>
    <col min="9" max="9" width="13.109375" bestFit="1" customWidth="1"/>
  </cols>
  <sheetData>
    <row r="1" spans="2:10" ht="15" thickBot="1" x14ac:dyDescent="0.35"/>
    <row r="2" spans="2:10" x14ac:dyDescent="0.3">
      <c r="B2" s="191" t="s">
        <v>123</v>
      </c>
      <c r="C2" s="192"/>
      <c r="D2" s="192"/>
      <c r="E2" s="192"/>
      <c r="F2" s="192"/>
      <c r="G2" s="193"/>
      <c r="I2" s="38" t="s">
        <v>127</v>
      </c>
      <c r="J2" s="54" t="s">
        <v>124</v>
      </c>
    </row>
    <row r="3" spans="2:10" x14ac:dyDescent="0.3">
      <c r="B3" s="178" t="s">
        <v>117</v>
      </c>
      <c r="C3" s="151" t="s">
        <v>19</v>
      </c>
      <c r="D3" s="151" t="s">
        <v>127</v>
      </c>
      <c r="E3" s="151" t="s">
        <v>124</v>
      </c>
      <c r="F3" s="151" t="s">
        <v>125</v>
      </c>
      <c r="G3" s="179" t="s">
        <v>126</v>
      </c>
      <c r="I3" s="56">
        <v>5000</v>
      </c>
      <c r="J3" s="52" t="s">
        <v>128</v>
      </c>
    </row>
    <row r="4" spans="2:10" x14ac:dyDescent="0.3">
      <c r="B4" s="29" t="s">
        <v>105</v>
      </c>
      <c r="C4" s="49">
        <v>1800</v>
      </c>
      <c r="D4" s="49">
        <v>9000</v>
      </c>
      <c r="E4" s="5" t="str">
        <f>VLOOKUP(D4,I3:J7,2,TRUE)</f>
        <v>A</v>
      </c>
      <c r="F4" s="49">
        <f>HLOOKUP(E4,C9:G10,2,FALSE)</f>
        <v>80</v>
      </c>
      <c r="G4" s="63">
        <f>C4+F4</f>
        <v>1880</v>
      </c>
      <c r="I4" s="56">
        <v>10000</v>
      </c>
      <c r="J4" s="52" t="s">
        <v>129</v>
      </c>
    </row>
    <row r="5" spans="2:10" x14ac:dyDescent="0.3">
      <c r="B5" s="29" t="s">
        <v>53</v>
      </c>
      <c r="C5" s="13">
        <v>2300</v>
      </c>
      <c r="D5" s="13">
        <v>21000</v>
      </c>
      <c r="E5" s="5" t="str">
        <f>VLOOKUP(D5,I3:J7,2,TRUE)</f>
        <v>D</v>
      </c>
      <c r="F5" s="13">
        <f>HLOOKUP(E5,C9:G10,2,FALSE)</f>
        <v>140</v>
      </c>
      <c r="G5" s="63">
        <f t="shared" ref="G5:G7" si="0">C5+F5</f>
        <v>2440</v>
      </c>
      <c r="I5" s="56">
        <v>15000</v>
      </c>
      <c r="J5" s="52" t="s">
        <v>131</v>
      </c>
    </row>
    <row r="6" spans="2:10" x14ac:dyDescent="0.3">
      <c r="B6" s="29" t="s">
        <v>102</v>
      </c>
      <c r="C6" s="13">
        <v>1800</v>
      </c>
      <c r="D6" s="13">
        <v>15000</v>
      </c>
      <c r="E6" s="5" t="str">
        <f>VLOOKUP(D6,I3:J7,2,TRUE)</f>
        <v>C</v>
      </c>
      <c r="F6" s="13">
        <f>HLOOKUP(E6,C9:G10,2,FALSE)</f>
        <v>120</v>
      </c>
      <c r="G6" s="63">
        <f t="shared" si="0"/>
        <v>1920</v>
      </c>
      <c r="I6" s="56">
        <v>20000</v>
      </c>
      <c r="J6" s="52" t="s">
        <v>130</v>
      </c>
    </row>
    <row r="7" spans="2:10" ht="15" thickBot="1" x14ac:dyDescent="0.35">
      <c r="B7" s="30" t="s">
        <v>115</v>
      </c>
      <c r="C7" s="34">
        <v>2500</v>
      </c>
      <c r="D7" s="34">
        <v>26000</v>
      </c>
      <c r="E7" s="31" t="str">
        <f>VLOOKUP(D7,I3:J7,2,TRUE)</f>
        <v>E</v>
      </c>
      <c r="F7" s="34">
        <f>HLOOKUP(E7,C9:G10,2,FALSE)</f>
        <v>160</v>
      </c>
      <c r="G7" s="63">
        <f t="shared" si="0"/>
        <v>2660</v>
      </c>
      <c r="I7" s="57">
        <v>25000</v>
      </c>
      <c r="J7" s="50" t="s">
        <v>132</v>
      </c>
    </row>
    <row r="8" spans="2:10" ht="15" thickBot="1" x14ac:dyDescent="0.35"/>
    <row r="9" spans="2:10" x14ac:dyDescent="0.3">
      <c r="B9" s="64" t="s">
        <v>124</v>
      </c>
      <c r="C9" s="65" t="s">
        <v>128</v>
      </c>
      <c r="D9" s="65" t="s">
        <v>129</v>
      </c>
      <c r="E9" s="65" t="s">
        <v>131</v>
      </c>
      <c r="F9" s="65" t="s">
        <v>130</v>
      </c>
      <c r="G9" s="66" t="s">
        <v>132</v>
      </c>
    </row>
    <row r="10" spans="2:10" ht="15" thickBot="1" x14ac:dyDescent="0.35">
      <c r="B10" s="67" t="s">
        <v>3</v>
      </c>
      <c r="C10" s="68">
        <v>80</v>
      </c>
      <c r="D10" s="68">
        <v>100</v>
      </c>
      <c r="E10" s="34">
        <v>120</v>
      </c>
      <c r="F10" s="34">
        <v>140</v>
      </c>
      <c r="G10" s="69">
        <v>160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3951-92DF-4BBA-BA4F-8C0641DEA431}">
  <sheetPr codeName="Planilha13"/>
  <dimension ref="B1:I7"/>
  <sheetViews>
    <sheetView zoomScale="150" zoomScaleNormal="150" workbookViewId="0">
      <selection activeCell="D8" sqref="D8"/>
    </sheetView>
  </sheetViews>
  <sheetFormatPr defaultRowHeight="14.4" x14ac:dyDescent="0.3"/>
  <cols>
    <col min="2" max="2" width="11.33203125" bestFit="1" customWidth="1"/>
  </cols>
  <sheetData>
    <row r="1" spans="2:9" ht="15" thickBot="1" x14ac:dyDescent="0.35"/>
    <row r="2" spans="2:9" x14ac:dyDescent="0.3">
      <c r="B2" s="60" t="s">
        <v>133</v>
      </c>
      <c r="C2" s="61" t="s">
        <v>135</v>
      </c>
      <c r="D2" s="61" t="s">
        <v>136</v>
      </c>
      <c r="E2" s="61" t="s">
        <v>137</v>
      </c>
      <c r="F2" s="61" t="s">
        <v>138</v>
      </c>
      <c r="G2" s="61" t="s">
        <v>139</v>
      </c>
      <c r="H2" s="61" t="s">
        <v>141</v>
      </c>
      <c r="I2" s="22" t="s">
        <v>140</v>
      </c>
    </row>
    <row r="3" spans="2:9" ht="15" thickBot="1" x14ac:dyDescent="0.35">
      <c r="B3" s="62" t="s">
        <v>134</v>
      </c>
      <c r="C3" s="31">
        <v>1</v>
      </c>
      <c r="D3" s="31">
        <v>2</v>
      </c>
      <c r="E3" s="31">
        <v>3</v>
      </c>
      <c r="F3" s="31">
        <v>4</v>
      </c>
      <c r="G3" s="31">
        <v>5</v>
      </c>
      <c r="H3" s="31">
        <v>6</v>
      </c>
      <c r="I3" s="50">
        <v>7</v>
      </c>
    </row>
    <row r="5" spans="2:9" ht="15" thickBot="1" x14ac:dyDescent="0.35"/>
    <row r="6" spans="2:9" x14ac:dyDescent="0.3">
      <c r="B6" s="58" t="s">
        <v>142</v>
      </c>
      <c r="C6" s="22" t="s">
        <v>144</v>
      </c>
    </row>
    <row r="7" spans="2:9" ht="15" thickBot="1" x14ac:dyDescent="0.35">
      <c r="B7" s="59" t="s">
        <v>143</v>
      </c>
      <c r="C7" s="21">
        <f>HLOOKUP(C6,C2:I3,2,FALSE)</f>
        <v>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A560-634D-4684-8F8C-6F26E8AEE61E}">
  <sheetPr codeName="Planilha15"/>
  <dimension ref="A1:H11"/>
  <sheetViews>
    <sheetView zoomScale="165" zoomScaleNormal="165" workbookViewId="0">
      <selection activeCell="H6" sqref="H6"/>
    </sheetView>
  </sheetViews>
  <sheetFormatPr defaultRowHeight="14.4" x14ac:dyDescent="0.3"/>
  <cols>
    <col min="2" max="2" width="18.5546875" bestFit="1" customWidth="1"/>
    <col min="4" max="4" width="11.77734375" bestFit="1" customWidth="1"/>
    <col min="5" max="5" width="14" bestFit="1" customWidth="1"/>
    <col min="6" max="6" width="12.88671875" bestFit="1" customWidth="1"/>
    <col min="7" max="8" width="14" bestFit="1" customWidth="1"/>
  </cols>
  <sheetData>
    <row r="1" spans="1:8" ht="15" thickBot="1" x14ac:dyDescent="0.35"/>
    <row r="2" spans="1:8" ht="15" thickBot="1" x14ac:dyDescent="0.35">
      <c r="B2" s="198" t="s">
        <v>146</v>
      </c>
      <c r="C2" s="199"/>
      <c r="D2" s="199"/>
      <c r="E2" s="199"/>
      <c r="F2" s="199"/>
      <c r="G2" s="199"/>
      <c r="H2" s="200"/>
    </row>
    <row r="3" spans="1:8" x14ac:dyDescent="0.3">
      <c r="B3" s="232"/>
      <c r="C3" s="233"/>
      <c r="D3" s="234"/>
      <c r="E3" s="183" t="s">
        <v>3</v>
      </c>
      <c r="F3" s="229">
        <f>VLOOKUP(B10,Estoque!B4:H8,5,FALSE)+IF(D10=TRUE,1000)+IF(E10=TRUE,1000)+IF(F10=TRUE,1000)</f>
        <v>28000</v>
      </c>
      <c r="G3" s="230"/>
      <c r="H3" s="231"/>
    </row>
    <row r="4" spans="1:8" x14ac:dyDescent="0.3">
      <c r="B4" s="235"/>
      <c r="C4" s="236"/>
      <c r="D4" s="237"/>
      <c r="E4" s="225" t="s">
        <v>149</v>
      </c>
      <c r="F4" s="226"/>
      <c r="G4" s="226"/>
      <c r="H4" s="227"/>
    </row>
    <row r="5" spans="1:8" x14ac:dyDescent="0.3">
      <c r="B5" s="228" t="s">
        <v>147</v>
      </c>
      <c r="C5" s="89"/>
      <c r="D5" s="86"/>
      <c r="E5" s="81">
        <v>1</v>
      </c>
      <c r="F5" s="5">
        <v>6</v>
      </c>
      <c r="G5" s="5">
        <v>12</v>
      </c>
      <c r="H5" s="52">
        <v>18</v>
      </c>
    </row>
    <row r="6" spans="1:8" x14ac:dyDescent="0.3">
      <c r="B6" s="228"/>
      <c r="C6" s="90"/>
      <c r="D6" s="87"/>
      <c r="E6" s="180">
        <f>PMT(Orçamento!B3,Orçamento!E5,0,Orçamento!F3)</f>
        <v>-28000</v>
      </c>
      <c r="F6" s="181">
        <f>PMT(Credito!E3,Orçamento!F5,0,Orçamento!F3)</f>
        <v>-4179.091744797488</v>
      </c>
      <c r="G6" s="181">
        <f>PMT(Credito!E3,Orçamento!G5,0,Orçamento!F3)</f>
        <v>-1821.1129985555783</v>
      </c>
      <c r="H6" s="182">
        <f>PMT(Credito!E3,Orçamento!H5,0,Orçamento!F3)</f>
        <v>-1052.3206364700507</v>
      </c>
    </row>
    <row r="7" spans="1:8" ht="15" thickBot="1" x14ac:dyDescent="0.35">
      <c r="B7" s="91" t="s">
        <v>148</v>
      </c>
      <c r="C7" s="48"/>
      <c r="D7" s="92"/>
      <c r="E7" s="92"/>
      <c r="F7" s="92"/>
      <c r="G7" s="92"/>
      <c r="H7" s="93"/>
    </row>
    <row r="8" spans="1:8" x14ac:dyDescent="0.3">
      <c r="A8" s="103"/>
      <c r="B8" s="103"/>
      <c r="C8" s="103"/>
      <c r="D8" s="103"/>
      <c r="E8" s="103"/>
      <c r="F8" s="103"/>
    </row>
    <row r="9" spans="1:8" x14ac:dyDescent="0.3">
      <c r="A9" s="103"/>
      <c r="B9" s="104" t="s">
        <v>158</v>
      </c>
      <c r="C9" s="104" t="s">
        <v>154</v>
      </c>
      <c r="D9" s="104" t="s">
        <v>155</v>
      </c>
      <c r="E9" s="104" t="s">
        <v>156</v>
      </c>
      <c r="F9" s="104" t="s">
        <v>157</v>
      </c>
    </row>
    <row r="10" spans="1:8" x14ac:dyDescent="0.3">
      <c r="A10" s="103"/>
      <c r="B10" s="103">
        <v>3</v>
      </c>
      <c r="C10" s="104">
        <v>1</v>
      </c>
      <c r="D10" s="104" t="b">
        <v>0</v>
      </c>
      <c r="E10" s="104" t="b">
        <v>0</v>
      </c>
      <c r="F10" s="104" t="b">
        <v>0</v>
      </c>
    </row>
    <row r="11" spans="1:8" x14ac:dyDescent="0.3">
      <c r="A11" s="103"/>
      <c r="B11" s="103"/>
      <c r="C11" s="103"/>
      <c r="D11" s="103"/>
      <c r="E11" s="103"/>
      <c r="F11" s="103"/>
    </row>
  </sheetData>
  <mergeCells count="5">
    <mergeCell ref="B2:H2"/>
    <mergeCell ref="E4:H4"/>
    <mergeCell ref="B5:B6"/>
    <mergeCell ref="F3:H3"/>
    <mergeCell ref="B3:D4"/>
  </mergeCells>
  <pageMargins left="0.511811024" right="0.511811024" top="0.78740157499999996" bottom="0.78740157499999996" header="0.31496062000000002" footer="0.31496062000000002"/>
  <pageSetup paperSize="121" orientation="portrait" horizontalDpi="203" verticalDpi="20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Option Button 2">
              <controlPr defaultSize="0" autoFill="0" autoLine="0" autoPict="0">
                <anchor moveWithCells="1">
                  <from>
                    <xdr:col>2</xdr:col>
                    <xdr:colOff>22860</xdr:colOff>
                    <xdr:row>4</xdr:row>
                    <xdr:rowOff>7620</xdr:rowOff>
                  </from>
                  <to>
                    <xdr:col>3</xdr:col>
                    <xdr:colOff>563880</xdr:colOff>
                    <xdr:row>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5" name="Option Button 3">
              <controlPr defaultSize="0" autoFill="0" autoLine="0" autoPict="0">
                <anchor moveWithCells="1">
                  <from>
                    <xdr:col>2</xdr:col>
                    <xdr:colOff>15240</xdr:colOff>
                    <xdr:row>5</xdr:row>
                    <xdr:rowOff>22860</xdr:rowOff>
                  </from>
                  <to>
                    <xdr:col>3</xdr:col>
                    <xdr:colOff>571500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6" name="Check Box 4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0</xdr:rowOff>
                  </from>
                  <to>
                    <xdr:col>3</xdr:col>
                    <xdr:colOff>304800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7" name="Check Box 5">
              <controlPr defaultSize="0" autoFill="0" autoLine="0" autoPict="0">
                <anchor moveWithCells="1">
                  <from>
                    <xdr:col>4</xdr:col>
                    <xdr:colOff>22860</xdr:colOff>
                    <xdr:row>6</xdr:row>
                    <xdr:rowOff>0</xdr:rowOff>
                  </from>
                  <to>
                    <xdr:col>5</xdr:col>
                    <xdr:colOff>121920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8" name="Check Box 6">
              <controlPr defaultSize="0" autoFill="0" autoLine="0" autoPict="0">
                <anchor moveWithCells="1">
                  <from>
                    <xdr:col>6</xdr:col>
                    <xdr:colOff>53340</xdr:colOff>
                    <xdr:row>6</xdr:row>
                    <xdr:rowOff>0</xdr:rowOff>
                  </from>
                  <to>
                    <xdr:col>7</xdr:col>
                    <xdr:colOff>114300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9" name="Button 7">
              <controlPr defaultSize="0" print="0" autoFill="0" autoPict="0" macro="[0]!vectra">
                <anchor moveWithCells="1" sizeWithCells="1">
                  <from>
                    <xdr:col>1</xdr:col>
                    <xdr:colOff>1188720</xdr:colOff>
                    <xdr:row>2</xdr:row>
                    <xdr:rowOff>15240</xdr:rowOff>
                  </from>
                  <to>
                    <xdr:col>2</xdr:col>
                    <xdr:colOff>419100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0" name="Button 8">
              <controlPr defaultSize="0" print="0" autoFill="0" autoPict="0" macro="[0]!pallas">
                <anchor moveWithCells="1" sizeWithCells="1">
                  <from>
                    <xdr:col>1</xdr:col>
                    <xdr:colOff>632460</xdr:colOff>
                    <xdr:row>3</xdr:row>
                    <xdr:rowOff>7620</xdr:rowOff>
                  </from>
                  <to>
                    <xdr:col>1</xdr:col>
                    <xdr:colOff>1135380</xdr:colOff>
                    <xdr:row>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1" name="Button 9">
              <controlPr defaultSize="0" print="0" autoFill="0" autoPict="0" macro="[0]!omega">
                <anchor moveWithCells="1" sizeWithCells="1">
                  <from>
                    <xdr:col>1</xdr:col>
                    <xdr:colOff>617220</xdr:colOff>
                    <xdr:row>2</xdr:row>
                    <xdr:rowOff>7620</xdr:rowOff>
                  </from>
                  <to>
                    <xdr:col>1</xdr:col>
                    <xdr:colOff>1127760</xdr:colOff>
                    <xdr:row>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2" name="Button 10">
              <controlPr defaultSize="0" print="0" autoFill="0" autoPict="0" macro="[0]!azera">
                <anchor moveWithCells="1" sizeWithCells="1">
                  <from>
                    <xdr:col>1</xdr:col>
                    <xdr:colOff>22860</xdr:colOff>
                    <xdr:row>2</xdr:row>
                    <xdr:rowOff>7620</xdr:rowOff>
                  </from>
                  <to>
                    <xdr:col>1</xdr:col>
                    <xdr:colOff>548640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3" name="Button 11">
              <controlPr defaultSize="0" print="0" autoFill="0" autoPict="0" macro="[0]!monza">
                <anchor moveWithCells="1" sizeWithCells="1">
                  <from>
                    <xdr:col>1</xdr:col>
                    <xdr:colOff>30480</xdr:colOff>
                    <xdr:row>3</xdr:row>
                    <xdr:rowOff>7620</xdr:rowOff>
                  </from>
                  <to>
                    <xdr:col>1</xdr:col>
                    <xdr:colOff>556260</xdr:colOff>
                    <xdr:row>3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7AA8-288F-42ED-906E-42D59DC89141}">
  <sheetPr codeName="Planilha16"/>
  <dimension ref="B1:H8"/>
  <sheetViews>
    <sheetView zoomScale="165" zoomScaleNormal="165" workbookViewId="0">
      <selection activeCell="G11" sqref="G11"/>
    </sheetView>
  </sheetViews>
  <sheetFormatPr defaultRowHeight="14.4" x14ac:dyDescent="0.3"/>
  <cols>
    <col min="5" max="5" width="12.88671875" bestFit="1" customWidth="1"/>
    <col min="6" max="6" width="14" bestFit="1" customWidth="1"/>
    <col min="8" max="8" width="14" bestFit="1" customWidth="1"/>
  </cols>
  <sheetData>
    <row r="1" spans="2:8" ht="15" thickBot="1" x14ac:dyDescent="0.35"/>
    <row r="2" spans="2:8" x14ac:dyDescent="0.3">
      <c r="B2" s="191" t="s">
        <v>159</v>
      </c>
      <c r="C2" s="192"/>
      <c r="D2" s="192"/>
      <c r="E2" s="192"/>
      <c r="F2" s="192"/>
      <c r="G2" s="137" t="s">
        <v>164</v>
      </c>
      <c r="H2" s="138">
        <v>2.5</v>
      </c>
    </row>
    <row r="3" spans="2:8" x14ac:dyDescent="0.3">
      <c r="B3" s="23" t="s">
        <v>165</v>
      </c>
      <c r="C3" s="4" t="s">
        <v>158</v>
      </c>
      <c r="D3" s="4" t="s">
        <v>160</v>
      </c>
      <c r="E3" s="4" t="s">
        <v>161</v>
      </c>
      <c r="F3" s="4" t="s">
        <v>162</v>
      </c>
      <c r="G3" s="4" t="s">
        <v>163</v>
      </c>
      <c r="H3" s="55" t="s">
        <v>31</v>
      </c>
    </row>
    <row r="4" spans="2:8" x14ac:dyDescent="0.3">
      <c r="B4" s="96">
        <v>1</v>
      </c>
      <c r="C4" s="5" t="s">
        <v>166</v>
      </c>
      <c r="D4" s="5" t="s">
        <v>170</v>
      </c>
      <c r="E4" s="13">
        <v>20000</v>
      </c>
      <c r="F4" s="15">
        <f>(E4*H$2)+E4</f>
        <v>70000</v>
      </c>
      <c r="G4" s="5">
        <v>5</v>
      </c>
      <c r="H4" s="97">
        <f>G4*F4</f>
        <v>350000</v>
      </c>
    </row>
    <row r="5" spans="2:8" x14ac:dyDescent="0.3">
      <c r="B5" s="96">
        <v>2</v>
      </c>
      <c r="C5" s="5" t="s">
        <v>167</v>
      </c>
      <c r="D5" s="5" t="s">
        <v>173</v>
      </c>
      <c r="E5" s="13">
        <v>12000</v>
      </c>
      <c r="F5" s="15">
        <f t="shared" ref="F5:F8" si="0">(E5*H$2)+E5</f>
        <v>42000</v>
      </c>
      <c r="G5" s="5">
        <v>5</v>
      </c>
      <c r="H5" s="97">
        <f t="shared" ref="H5:H8" si="1">G5*F5</f>
        <v>210000</v>
      </c>
    </row>
    <row r="6" spans="2:8" x14ac:dyDescent="0.3">
      <c r="B6" s="96">
        <v>3</v>
      </c>
      <c r="C6" s="5" t="s">
        <v>169</v>
      </c>
      <c r="D6" s="5" t="s">
        <v>171</v>
      </c>
      <c r="E6" s="13">
        <v>8000</v>
      </c>
      <c r="F6" s="15">
        <f t="shared" si="0"/>
        <v>28000</v>
      </c>
      <c r="G6" s="5">
        <v>4</v>
      </c>
      <c r="H6" s="97">
        <f t="shared" si="1"/>
        <v>112000</v>
      </c>
    </row>
    <row r="7" spans="2:8" x14ac:dyDescent="0.3">
      <c r="B7" s="96">
        <v>4</v>
      </c>
      <c r="C7" s="5" t="s">
        <v>174</v>
      </c>
      <c r="D7" s="5" t="s">
        <v>172</v>
      </c>
      <c r="E7" s="13">
        <v>30000</v>
      </c>
      <c r="F7" s="15">
        <f t="shared" si="0"/>
        <v>105000</v>
      </c>
      <c r="G7" s="5">
        <v>7</v>
      </c>
      <c r="H7" s="97">
        <f t="shared" si="1"/>
        <v>735000</v>
      </c>
    </row>
    <row r="8" spans="2:8" ht="15" thickBot="1" x14ac:dyDescent="0.35">
      <c r="B8" s="98">
        <v>5</v>
      </c>
      <c r="C8" s="31" t="s">
        <v>168</v>
      </c>
      <c r="D8" s="31" t="s">
        <v>171</v>
      </c>
      <c r="E8" s="34">
        <v>5000</v>
      </c>
      <c r="F8" s="35">
        <f t="shared" si="0"/>
        <v>17500</v>
      </c>
      <c r="G8" s="31">
        <v>8</v>
      </c>
      <c r="H8" s="99">
        <f t="shared" si="1"/>
        <v>140000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C7DC-9D8A-4443-BA4D-4CA74A21762C}">
  <sheetPr codeName="Planilha17"/>
  <dimension ref="B2:E6"/>
  <sheetViews>
    <sheetView zoomScale="155" zoomScaleNormal="155" workbookViewId="0">
      <selection activeCell="C7" sqref="C7"/>
    </sheetView>
  </sheetViews>
  <sheetFormatPr defaultRowHeight="14.4" x14ac:dyDescent="0.3"/>
  <sheetData>
    <row r="2" spans="2:5" x14ac:dyDescent="0.3">
      <c r="B2" s="101" t="s">
        <v>177</v>
      </c>
      <c r="C2" s="101" t="s">
        <v>175</v>
      </c>
      <c r="E2" s="100" t="s">
        <v>176</v>
      </c>
    </row>
    <row r="3" spans="2:5" x14ac:dyDescent="0.3">
      <c r="B3" s="5" t="s">
        <v>150</v>
      </c>
      <c r="C3" s="102">
        <v>1.7999999999999999E-2</v>
      </c>
      <c r="E3" s="238">
        <v>4.3999999999999997E-2</v>
      </c>
    </row>
    <row r="4" spans="2:5" x14ac:dyDescent="0.3">
      <c r="B4" s="5" t="s">
        <v>151</v>
      </c>
      <c r="C4" s="102">
        <f>E3*6</f>
        <v>0.26400000000000001</v>
      </c>
      <c r="E4" s="239"/>
    </row>
    <row r="5" spans="2:5" x14ac:dyDescent="0.3">
      <c r="B5" s="5" t="s">
        <v>152</v>
      </c>
      <c r="C5" s="102">
        <f>E3*12</f>
        <v>0.52800000000000002</v>
      </c>
    </row>
    <row r="6" spans="2:5" x14ac:dyDescent="0.3">
      <c r="B6" s="5" t="s">
        <v>153</v>
      </c>
      <c r="C6" s="102">
        <f>E3*18</f>
        <v>0.79199999999999993</v>
      </c>
    </row>
  </sheetData>
  <mergeCells count="1">
    <mergeCell ref="E3:E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69A-41EA-4609-BB22-D3B447AC9960}">
  <dimension ref="B2:C7"/>
  <sheetViews>
    <sheetView zoomScale="141" zoomScaleNormal="141" workbookViewId="0">
      <selection activeCell="G11" sqref="G11"/>
    </sheetView>
  </sheetViews>
  <sheetFormatPr defaultRowHeight="14.4" x14ac:dyDescent="0.3"/>
  <cols>
    <col min="2" max="2" width="13.21875" bestFit="1" customWidth="1"/>
    <col min="3" max="3" width="13" bestFit="1" customWidth="1"/>
  </cols>
  <sheetData>
    <row r="2" spans="2:3" x14ac:dyDescent="0.3">
      <c r="B2" s="101" t="s">
        <v>176</v>
      </c>
      <c r="C2" s="102">
        <v>4.4999999999999998E-2</v>
      </c>
    </row>
    <row r="3" spans="2:3" x14ac:dyDescent="0.3">
      <c r="B3" s="101" t="s">
        <v>197</v>
      </c>
      <c r="C3" s="2">
        <v>18</v>
      </c>
    </row>
    <row r="4" spans="2:3" x14ac:dyDescent="0.3">
      <c r="B4" s="101" t="s">
        <v>198</v>
      </c>
      <c r="C4" s="15">
        <v>-3200</v>
      </c>
    </row>
    <row r="5" spans="2:3" x14ac:dyDescent="0.3">
      <c r="B5" s="101" t="s">
        <v>199</v>
      </c>
      <c r="C5" s="15">
        <v>12000</v>
      </c>
    </row>
    <row r="6" spans="2:3" x14ac:dyDescent="0.3">
      <c r="B6" s="240"/>
      <c r="C6" s="240"/>
    </row>
    <row r="7" spans="2:3" x14ac:dyDescent="0.3">
      <c r="B7" s="101" t="s">
        <v>200</v>
      </c>
      <c r="C7" s="105">
        <f>PMT(C2,C3,C4,C5)</f>
        <v>-183.68469833510855</v>
      </c>
    </row>
  </sheetData>
  <mergeCells count="1">
    <mergeCell ref="B6:C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2FDF-408A-491A-B1BA-6A51BECA4245}">
  <dimension ref="B1:K21"/>
  <sheetViews>
    <sheetView zoomScale="99" zoomScaleNormal="99" workbookViewId="0">
      <selection activeCell="K16" sqref="K16"/>
    </sheetView>
  </sheetViews>
  <sheetFormatPr defaultRowHeight="14.4" x14ac:dyDescent="0.3"/>
  <cols>
    <col min="2" max="2" width="4.6640625" customWidth="1"/>
    <col min="3" max="3" width="27.6640625" bestFit="1" customWidth="1"/>
    <col min="4" max="4" width="13.21875" style="14" bestFit="1" customWidth="1"/>
    <col min="5" max="5" width="11.88671875" style="14" bestFit="1" customWidth="1"/>
    <col min="6" max="6" width="28.33203125" bestFit="1" customWidth="1"/>
    <col min="7" max="7" width="13" style="14" bestFit="1" customWidth="1"/>
    <col min="8" max="8" width="12" style="14" bestFit="1" customWidth="1"/>
    <col min="9" max="9" width="28.33203125" bestFit="1" customWidth="1"/>
    <col min="10" max="10" width="13" style="14" bestFit="1" customWidth="1"/>
    <col min="11" max="11" width="13.21875" style="14" bestFit="1" customWidth="1"/>
  </cols>
  <sheetData>
    <row r="1" spans="2:11" ht="15" thickBot="1" x14ac:dyDescent="0.35"/>
    <row r="2" spans="2:11" ht="15" thickBot="1" x14ac:dyDescent="0.35">
      <c r="B2" s="220" t="s">
        <v>201</v>
      </c>
      <c r="C2" s="221"/>
      <c r="D2" s="221"/>
      <c r="E2" s="221"/>
      <c r="F2" s="221"/>
      <c r="G2" s="221"/>
      <c r="H2" s="221"/>
      <c r="I2" s="221"/>
      <c r="J2" s="221"/>
      <c r="K2" s="251"/>
    </row>
    <row r="3" spans="2:11" ht="15" thickBot="1" x14ac:dyDescent="0.35">
      <c r="B3" s="255" t="s">
        <v>59</v>
      </c>
      <c r="C3" s="256"/>
      <c r="D3" s="256"/>
      <c r="E3" s="257"/>
      <c r="F3" s="256" t="s">
        <v>60</v>
      </c>
      <c r="G3" s="256"/>
      <c r="H3" s="257"/>
      <c r="I3" s="249" t="s">
        <v>61</v>
      </c>
      <c r="J3" s="249"/>
      <c r="K3" s="250"/>
    </row>
    <row r="4" spans="2:11" x14ac:dyDescent="0.3">
      <c r="B4" s="243" t="s">
        <v>202</v>
      </c>
      <c r="C4" s="61"/>
      <c r="D4" s="113" t="s">
        <v>204</v>
      </c>
      <c r="E4" s="110" t="s">
        <v>205</v>
      </c>
      <c r="F4" s="95"/>
      <c r="G4" s="113" t="s">
        <v>204</v>
      </c>
      <c r="H4" s="110" t="s">
        <v>205</v>
      </c>
      <c r="I4" s="109"/>
      <c r="J4" s="115" t="s">
        <v>204</v>
      </c>
      <c r="K4" s="116" t="s">
        <v>205</v>
      </c>
    </row>
    <row r="5" spans="2:11" x14ac:dyDescent="0.3">
      <c r="B5" s="244"/>
      <c r="C5" s="2" t="s">
        <v>206</v>
      </c>
      <c r="D5" s="13">
        <v>15000</v>
      </c>
      <c r="E5" s="111">
        <v>8000</v>
      </c>
      <c r="F5" s="2" t="s">
        <v>206</v>
      </c>
      <c r="G5" s="13">
        <v>10000</v>
      </c>
      <c r="H5" s="111">
        <v>4000</v>
      </c>
      <c r="I5" s="2" t="s">
        <v>206</v>
      </c>
      <c r="J5" s="13">
        <v>12000</v>
      </c>
      <c r="K5" s="111">
        <v>8000</v>
      </c>
    </row>
    <row r="6" spans="2:11" x14ac:dyDescent="0.3">
      <c r="B6" s="244"/>
      <c r="C6" s="2" t="s">
        <v>208</v>
      </c>
      <c r="D6" s="13">
        <v>5000</v>
      </c>
      <c r="E6" s="111">
        <v>1500</v>
      </c>
      <c r="F6" s="2" t="s">
        <v>208</v>
      </c>
      <c r="G6" s="13">
        <v>4500</v>
      </c>
      <c r="H6" s="111">
        <v>3000</v>
      </c>
      <c r="I6" s="2" t="s">
        <v>208</v>
      </c>
      <c r="J6" s="13">
        <v>5000</v>
      </c>
      <c r="K6" s="111">
        <v>3500</v>
      </c>
    </row>
    <row r="7" spans="2:11" x14ac:dyDescent="0.3">
      <c r="B7" s="244"/>
      <c r="C7" s="2" t="s">
        <v>207</v>
      </c>
      <c r="D7" s="13">
        <v>1000</v>
      </c>
      <c r="E7" s="111">
        <v>100</v>
      </c>
      <c r="F7" s="2" t="s">
        <v>207</v>
      </c>
      <c r="G7" s="13">
        <v>2000</v>
      </c>
      <c r="H7" s="111">
        <v>800</v>
      </c>
      <c r="I7" s="2" t="s">
        <v>207</v>
      </c>
      <c r="J7" s="13">
        <v>1500</v>
      </c>
      <c r="K7" s="111">
        <v>1000</v>
      </c>
    </row>
    <row r="8" spans="2:11" x14ac:dyDescent="0.3">
      <c r="B8" s="245"/>
      <c r="C8" s="84" t="s">
        <v>213</v>
      </c>
      <c r="D8" s="117">
        <f>SUM(D5:D7)</f>
        <v>21000</v>
      </c>
      <c r="E8" s="118">
        <f>SUM(E5:E7)</f>
        <v>9600</v>
      </c>
      <c r="F8" s="84" t="s">
        <v>213</v>
      </c>
      <c r="G8" s="117">
        <f>SUM(G5:G7)</f>
        <v>16500</v>
      </c>
      <c r="H8" s="118">
        <f>SUM(H5:H7)</f>
        <v>7800</v>
      </c>
      <c r="I8" s="84" t="s">
        <v>213</v>
      </c>
      <c r="J8" s="117">
        <f>SUM(J5:J7)</f>
        <v>18500</v>
      </c>
      <c r="K8" s="118">
        <f>SUM(K5:K7)</f>
        <v>12500</v>
      </c>
    </row>
    <row r="9" spans="2:11" x14ac:dyDescent="0.3">
      <c r="B9" s="252"/>
      <c r="C9" s="253"/>
      <c r="D9" s="253"/>
      <c r="E9" s="254"/>
      <c r="F9" s="253"/>
      <c r="G9" s="253"/>
      <c r="H9" s="254"/>
      <c r="I9" s="241"/>
      <c r="J9" s="241"/>
      <c r="K9" s="242"/>
    </row>
    <row r="10" spans="2:11" x14ac:dyDescent="0.3">
      <c r="B10" s="258" t="s">
        <v>203</v>
      </c>
      <c r="C10" s="2" t="s">
        <v>91</v>
      </c>
      <c r="D10" s="13">
        <v>3500</v>
      </c>
      <c r="E10" s="111">
        <v>3500</v>
      </c>
      <c r="F10" s="2" t="s">
        <v>91</v>
      </c>
      <c r="G10" s="13">
        <v>3500</v>
      </c>
      <c r="H10" s="111">
        <v>3500</v>
      </c>
      <c r="I10" s="2" t="s">
        <v>91</v>
      </c>
      <c r="J10" s="13">
        <v>3500</v>
      </c>
      <c r="K10" s="111">
        <v>3500</v>
      </c>
    </row>
    <row r="11" spans="2:11" x14ac:dyDescent="0.3">
      <c r="B11" s="258"/>
      <c r="C11" s="2" t="s">
        <v>209</v>
      </c>
      <c r="D11" s="13">
        <v>250</v>
      </c>
      <c r="E11" s="111">
        <v>350</v>
      </c>
      <c r="F11" s="2" t="s">
        <v>209</v>
      </c>
      <c r="G11" s="13">
        <v>240</v>
      </c>
      <c r="H11" s="111">
        <v>280</v>
      </c>
      <c r="I11" s="2" t="s">
        <v>209</v>
      </c>
      <c r="J11" s="13">
        <v>340</v>
      </c>
      <c r="K11" s="111">
        <v>410</v>
      </c>
    </row>
    <row r="12" spans="2:11" x14ac:dyDescent="0.3">
      <c r="B12" s="258"/>
      <c r="C12" s="2" t="s">
        <v>93</v>
      </c>
      <c r="D12" s="13">
        <v>100</v>
      </c>
      <c r="E12" s="111">
        <v>100</v>
      </c>
      <c r="F12" s="2" t="s">
        <v>93</v>
      </c>
      <c r="G12" s="13">
        <v>100</v>
      </c>
      <c r="H12" s="111">
        <v>100</v>
      </c>
      <c r="I12" s="2" t="s">
        <v>93</v>
      </c>
      <c r="J12" s="13">
        <v>100</v>
      </c>
      <c r="K12" s="111">
        <v>100</v>
      </c>
    </row>
    <row r="13" spans="2:11" x14ac:dyDescent="0.3">
      <c r="B13" s="258"/>
      <c r="C13" s="2" t="s">
        <v>210</v>
      </c>
      <c r="D13" s="13">
        <v>50</v>
      </c>
      <c r="E13" s="111">
        <v>150</v>
      </c>
      <c r="F13" s="2" t="s">
        <v>210</v>
      </c>
      <c r="G13" s="13">
        <v>160</v>
      </c>
      <c r="H13" s="111">
        <v>220</v>
      </c>
      <c r="I13" s="2" t="s">
        <v>210</v>
      </c>
      <c r="J13" s="13">
        <v>500</v>
      </c>
      <c r="K13" s="111">
        <v>800</v>
      </c>
    </row>
    <row r="14" spans="2:11" x14ac:dyDescent="0.3">
      <c r="B14" s="258"/>
      <c r="C14" s="2" t="s">
        <v>211</v>
      </c>
      <c r="D14" s="13">
        <v>360</v>
      </c>
      <c r="E14" s="111">
        <v>360</v>
      </c>
      <c r="F14" s="2" t="s">
        <v>211</v>
      </c>
      <c r="G14" s="13">
        <v>360</v>
      </c>
      <c r="H14" s="111">
        <v>360</v>
      </c>
      <c r="I14" s="2" t="s">
        <v>211</v>
      </c>
      <c r="J14" s="13">
        <v>360</v>
      </c>
      <c r="K14" s="111">
        <v>360</v>
      </c>
    </row>
    <row r="15" spans="2:11" ht="15" thickBot="1" x14ac:dyDescent="0.35">
      <c r="B15" s="259"/>
      <c r="C15" s="83" t="s">
        <v>212</v>
      </c>
      <c r="D15" s="114">
        <v>5000</v>
      </c>
      <c r="E15" s="112">
        <v>3500</v>
      </c>
      <c r="F15" s="83" t="s">
        <v>212</v>
      </c>
      <c r="G15" s="114">
        <v>2000</v>
      </c>
      <c r="H15" s="112">
        <v>1800</v>
      </c>
      <c r="I15" s="83" t="s">
        <v>212</v>
      </c>
      <c r="J15" s="114">
        <v>3000</v>
      </c>
      <c r="K15" s="112">
        <v>2100</v>
      </c>
    </row>
    <row r="16" spans="2:11" x14ac:dyDescent="0.3">
      <c r="B16" s="246"/>
      <c r="C16" s="95" t="s">
        <v>214</v>
      </c>
      <c r="D16" s="113">
        <f>SUM(D10:D15)</f>
        <v>9260</v>
      </c>
      <c r="E16" s="113">
        <f>SUM(E10:E15)</f>
        <v>7960</v>
      </c>
      <c r="F16" s="95" t="s">
        <v>214</v>
      </c>
      <c r="G16" s="113">
        <f>SUM(G10:G15)</f>
        <v>6360</v>
      </c>
      <c r="H16" s="113">
        <f>SUM(H10:H15)</f>
        <v>6260</v>
      </c>
      <c r="I16" s="95" t="s">
        <v>214</v>
      </c>
      <c r="J16" s="113">
        <f>SUM(J10:J15)</f>
        <v>7800</v>
      </c>
      <c r="K16" s="113">
        <f>SUM(K10:K15)</f>
        <v>7270</v>
      </c>
    </row>
    <row r="17" spans="2:11" x14ac:dyDescent="0.3">
      <c r="B17" s="247"/>
      <c r="C17" s="4" t="s">
        <v>219</v>
      </c>
      <c r="D17" s="117">
        <f>D8-D16</f>
        <v>11740</v>
      </c>
      <c r="E17" s="118">
        <f>E8-E16</f>
        <v>1640</v>
      </c>
      <c r="F17" s="4" t="s">
        <v>219</v>
      </c>
      <c r="G17" s="117">
        <f>G8-G16</f>
        <v>10140</v>
      </c>
      <c r="H17" s="117">
        <f>H8-H16</f>
        <v>1540</v>
      </c>
      <c r="I17" s="4" t="s">
        <v>219</v>
      </c>
      <c r="J17" s="117">
        <f>J8-J16</f>
        <v>10700</v>
      </c>
      <c r="K17" s="117">
        <f>K8-K16</f>
        <v>5230</v>
      </c>
    </row>
    <row r="18" spans="2:11" x14ac:dyDescent="0.3">
      <c r="B18" s="247"/>
      <c r="C18" s="4" t="s">
        <v>215</v>
      </c>
      <c r="D18" s="117"/>
      <c r="E18" s="118"/>
      <c r="F18" s="4" t="s">
        <v>215</v>
      </c>
      <c r="G18" s="117"/>
      <c r="H18" s="118"/>
      <c r="I18" s="4" t="s">
        <v>215</v>
      </c>
      <c r="J18" s="117"/>
      <c r="K18" s="118"/>
    </row>
    <row r="19" spans="2:11" x14ac:dyDescent="0.3">
      <c r="B19" s="247"/>
      <c r="C19" s="4" t="s">
        <v>218</v>
      </c>
      <c r="D19" s="117">
        <f>D17+D18</f>
        <v>11740</v>
      </c>
      <c r="E19" s="117">
        <f>E17+E18</f>
        <v>1640</v>
      </c>
      <c r="F19" s="4" t="s">
        <v>218</v>
      </c>
      <c r="G19" s="117">
        <f>G17+G18</f>
        <v>10140</v>
      </c>
      <c r="H19" s="117">
        <f>H17+H18</f>
        <v>1540</v>
      </c>
      <c r="I19" s="4" t="s">
        <v>218</v>
      </c>
      <c r="J19" s="117">
        <f>J17+J18</f>
        <v>10700</v>
      </c>
      <c r="K19" s="117">
        <f>K17+K18</f>
        <v>5230</v>
      </c>
    </row>
    <row r="20" spans="2:11" x14ac:dyDescent="0.3">
      <c r="B20" s="247"/>
      <c r="C20" s="4" t="s">
        <v>216</v>
      </c>
      <c r="D20" s="117"/>
      <c r="E20" s="118"/>
      <c r="F20" s="4" t="s">
        <v>216</v>
      </c>
      <c r="G20" s="117"/>
      <c r="H20" s="118"/>
      <c r="I20" s="4" t="s">
        <v>216</v>
      </c>
      <c r="J20" s="117"/>
      <c r="K20" s="118"/>
    </row>
    <row r="21" spans="2:11" ht="15" thickBot="1" x14ac:dyDescent="0.35">
      <c r="B21" s="248"/>
      <c r="C21" s="108" t="s">
        <v>217</v>
      </c>
      <c r="D21" s="119">
        <f>D19+D20</f>
        <v>11740</v>
      </c>
      <c r="E21" s="119">
        <f>E19+E20</f>
        <v>1640</v>
      </c>
      <c r="F21" s="108" t="s">
        <v>217</v>
      </c>
      <c r="G21" s="119">
        <f>G19+G20</f>
        <v>10140</v>
      </c>
      <c r="H21" s="119">
        <f>H19+H20</f>
        <v>1540</v>
      </c>
      <c r="I21" s="108" t="s">
        <v>217</v>
      </c>
      <c r="J21" s="119">
        <f>J19+J20</f>
        <v>10700</v>
      </c>
      <c r="K21" s="119">
        <f>K19+K20</f>
        <v>5230</v>
      </c>
    </row>
  </sheetData>
  <mergeCells count="10">
    <mergeCell ref="I9:K9"/>
    <mergeCell ref="B4:B8"/>
    <mergeCell ref="B16:B21"/>
    <mergeCell ref="I3:K3"/>
    <mergeCell ref="B2:K2"/>
    <mergeCell ref="B9:E9"/>
    <mergeCell ref="F9:H9"/>
    <mergeCell ref="B3:E3"/>
    <mergeCell ref="B10:B15"/>
    <mergeCell ref="F3:H3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C3DC-8C59-4AD9-8BC2-729EB4DF24D6}">
  <dimension ref="B1:L13"/>
  <sheetViews>
    <sheetView zoomScale="146" zoomScaleNormal="146" workbookViewId="0">
      <selection activeCell="L4" sqref="L4"/>
    </sheetView>
  </sheetViews>
  <sheetFormatPr defaultRowHeight="14.4" x14ac:dyDescent="0.3"/>
  <cols>
    <col min="2" max="2" width="14.21875" bestFit="1" customWidth="1"/>
    <col min="8" max="8" width="10.21875" bestFit="1" customWidth="1"/>
    <col min="9" max="9" width="12.77734375" bestFit="1" customWidth="1"/>
    <col min="10" max="10" width="12.21875" bestFit="1" customWidth="1"/>
    <col min="11" max="11" width="14.21875" bestFit="1" customWidth="1"/>
    <col min="12" max="12" width="14" bestFit="1" customWidth="1"/>
  </cols>
  <sheetData>
    <row r="1" spans="2:12" ht="15" thickBot="1" x14ac:dyDescent="0.35"/>
    <row r="2" spans="2:12" x14ac:dyDescent="0.3">
      <c r="B2" s="191" t="s">
        <v>220</v>
      </c>
      <c r="C2" s="192"/>
      <c r="D2" s="192"/>
      <c r="E2" s="192"/>
      <c r="F2" s="192"/>
      <c r="G2" s="192"/>
      <c r="H2" s="192"/>
      <c r="I2" s="192"/>
      <c r="J2" s="192"/>
      <c r="K2" s="192"/>
      <c r="L2" s="193"/>
    </row>
    <row r="3" spans="2:12" x14ac:dyDescent="0.3">
      <c r="B3" s="36" t="s">
        <v>145</v>
      </c>
      <c r="C3" s="9" t="s">
        <v>226</v>
      </c>
      <c r="D3" s="9" t="s">
        <v>227</v>
      </c>
      <c r="E3" s="9" t="s">
        <v>228</v>
      </c>
      <c r="F3" s="9" t="s">
        <v>229</v>
      </c>
      <c r="G3" s="9" t="s">
        <v>230</v>
      </c>
      <c r="H3" s="9" t="s">
        <v>231</v>
      </c>
      <c r="I3" s="9" t="s">
        <v>237</v>
      </c>
      <c r="J3" s="9" t="s">
        <v>232</v>
      </c>
      <c r="K3" s="9" t="s">
        <v>235</v>
      </c>
      <c r="L3" s="37" t="s">
        <v>236</v>
      </c>
    </row>
    <row r="4" spans="2:12" x14ac:dyDescent="0.3">
      <c r="B4" s="18" t="s">
        <v>221</v>
      </c>
      <c r="C4" s="5">
        <v>140</v>
      </c>
      <c r="D4" s="5">
        <v>110</v>
      </c>
      <c r="E4" s="5">
        <v>150</v>
      </c>
      <c r="F4" s="5">
        <v>120</v>
      </c>
      <c r="G4" s="5">
        <v>90</v>
      </c>
      <c r="H4" s="13">
        <v>2.2999999999999998</v>
      </c>
      <c r="I4" s="5">
        <f>SUM(C4:G4)</f>
        <v>610</v>
      </c>
      <c r="J4" s="15">
        <f>I4*H4</f>
        <v>1403</v>
      </c>
      <c r="K4" s="5">
        <f>AVERAGE(C4:G4)</f>
        <v>122</v>
      </c>
      <c r="L4" s="20" t="str">
        <f>IF(K4&gt;=500,"Meta Alcançada","Abaixo da Meta")</f>
        <v>Abaixo da Meta</v>
      </c>
    </row>
    <row r="5" spans="2:12" x14ac:dyDescent="0.3">
      <c r="B5" s="18" t="s">
        <v>222</v>
      </c>
      <c r="C5" s="5">
        <v>75</v>
      </c>
      <c r="D5" s="5">
        <v>90</v>
      </c>
      <c r="E5" s="5">
        <v>95</v>
      </c>
      <c r="F5" s="5">
        <v>230</v>
      </c>
      <c r="G5" s="5">
        <v>122</v>
      </c>
      <c r="H5" s="13">
        <v>5.25</v>
      </c>
      <c r="I5" s="5">
        <f t="shared" ref="I5:I8" si="0">SUM(C5:G5)</f>
        <v>612</v>
      </c>
      <c r="J5" s="15">
        <f t="shared" ref="J5:J8" si="1">I5*H5</f>
        <v>3213</v>
      </c>
      <c r="K5" s="5">
        <f t="shared" ref="K5:K8" si="2">AVERAGE(C5:G5)</f>
        <v>122.4</v>
      </c>
      <c r="L5" s="20" t="str">
        <f t="shared" ref="L5:L8" si="3">IF(K5&gt;=500,"Meta Alcançada","Abaixo da Meta")</f>
        <v>Abaixo da Meta</v>
      </c>
    </row>
    <row r="6" spans="2:12" x14ac:dyDescent="0.3">
      <c r="B6" s="18" t="s">
        <v>223</v>
      </c>
      <c r="C6" s="5">
        <v>90</v>
      </c>
      <c r="D6" s="5">
        <v>100</v>
      </c>
      <c r="E6" s="5">
        <v>85</v>
      </c>
      <c r="F6" s="5">
        <v>80</v>
      </c>
      <c r="G6" s="5">
        <v>70</v>
      </c>
      <c r="H6" s="13">
        <v>2.34</v>
      </c>
      <c r="I6" s="5">
        <f t="shared" si="0"/>
        <v>425</v>
      </c>
      <c r="J6" s="15">
        <f t="shared" si="1"/>
        <v>994.49999999999989</v>
      </c>
      <c r="K6" s="5">
        <f t="shared" si="2"/>
        <v>85</v>
      </c>
      <c r="L6" s="20" t="str">
        <f t="shared" si="3"/>
        <v>Abaixo da Meta</v>
      </c>
    </row>
    <row r="7" spans="2:12" x14ac:dyDescent="0.3">
      <c r="B7" s="18" t="s">
        <v>224</v>
      </c>
      <c r="C7" s="5">
        <v>240</v>
      </c>
      <c r="D7" s="5">
        <v>198</v>
      </c>
      <c r="E7" s="5">
        <v>257</v>
      </c>
      <c r="F7" s="5">
        <v>200</v>
      </c>
      <c r="G7" s="5">
        <v>290</v>
      </c>
      <c r="H7" s="13">
        <v>5.62</v>
      </c>
      <c r="I7" s="5">
        <f t="shared" si="0"/>
        <v>1185</v>
      </c>
      <c r="J7" s="15">
        <f t="shared" si="1"/>
        <v>6659.7</v>
      </c>
      <c r="K7" s="5">
        <f t="shared" si="2"/>
        <v>237</v>
      </c>
      <c r="L7" s="20" t="str">
        <f t="shared" si="3"/>
        <v>Abaixo da Meta</v>
      </c>
    </row>
    <row r="8" spans="2:12" ht="15" thickBot="1" x14ac:dyDescent="0.35">
      <c r="B8" s="19" t="s">
        <v>225</v>
      </c>
      <c r="C8" s="31">
        <v>135</v>
      </c>
      <c r="D8" s="31">
        <v>24</v>
      </c>
      <c r="E8" s="31">
        <v>72</v>
      </c>
      <c r="F8" s="31">
        <v>75</v>
      </c>
      <c r="G8" s="31">
        <v>95</v>
      </c>
      <c r="H8" s="34">
        <v>1.23</v>
      </c>
      <c r="I8" s="5">
        <f t="shared" si="0"/>
        <v>401</v>
      </c>
      <c r="J8" s="15">
        <f t="shared" si="1"/>
        <v>493.23</v>
      </c>
      <c r="K8" s="5">
        <f t="shared" si="2"/>
        <v>80.2</v>
      </c>
      <c r="L8" s="20" t="str">
        <f t="shared" si="3"/>
        <v>Abaixo da Meta</v>
      </c>
    </row>
    <row r="9" spans="2:12" ht="15" thickBot="1" x14ac:dyDescent="0.35"/>
    <row r="10" spans="2:12" x14ac:dyDescent="0.3">
      <c r="B10" s="120" t="s">
        <v>9</v>
      </c>
      <c r="C10" s="61">
        <f>SUM(C4:C8)</f>
        <v>680</v>
      </c>
      <c r="D10" s="61">
        <f t="shared" ref="D10:G10" si="4">SUM(D4:D8)</f>
        <v>522</v>
      </c>
      <c r="E10" s="61">
        <f t="shared" si="4"/>
        <v>659</v>
      </c>
      <c r="F10" s="61">
        <f t="shared" si="4"/>
        <v>705</v>
      </c>
      <c r="G10" s="61">
        <f t="shared" si="4"/>
        <v>667</v>
      </c>
    </row>
    <row r="11" spans="2:12" x14ac:dyDescent="0.3">
      <c r="B11" s="121" t="s">
        <v>56</v>
      </c>
      <c r="C11" s="2">
        <f>AVERAGE(C4:C8)</f>
        <v>136</v>
      </c>
      <c r="D11" s="2">
        <f t="shared" ref="D11:G11" si="5">AVERAGE(D4:D8)</f>
        <v>104.4</v>
      </c>
      <c r="E11" s="2">
        <f t="shared" si="5"/>
        <v>131.80000000000001</v>
      </c>
      <c r="F11" s="2">
        <f t="shared" si="5"/>
        <v>141</v>
      </c>
      <c r="G11" s="2">
        <f t="shared" si="5"/>
        <v>133.4</v>
      </c>
    </row>
    <row r="12" spans="2:12" x14ac:dyDescent="0.3">
      <c r="B12" s="121" t="s">
        <v>233</v>
      </c>
      <c r="C12" s="2">
        <f>MAX(C4:C8)</f>
        <v>240</v>
      </c>
      <c r="D12" s="2">
        <f t="shared" ref="D12:G12" si="6">MAX(D4:D8)</f>
        <v>198</v>
      </c>
      <c r="E12" s="2">
        <f t="shared" si="6"/>
        <v>257</v>
      </c>
      <c r="F12" s="2">
        <f t="shared" si="6"/>
        <v>230</v>
      </c>
      <c r="G12" s="2">
        <f t="shared" si="6"/>
        <v>290</v>
      </c>
    </row>
    <row r="13" spans="2:12" ht="15" thickBot="1" x14ac:dyDescent="0.35">
      <c r="B13" s="122" t="s">
        <v>234</v>
      </c>
      <c r="C13" s="106">
        <f>MIN(C4:C8)</f>
        <v>75</v>
      </c>
      <c r="D13" s="106">
        <f t="shared" ref="D13:G13" si="7">MIN(D4:D8)</f>
        <v>24</v>
      </c>
      <c r="E13" s="106">
        <f t="shared" si="7"/>
        <v>72</v>
      </c>
      <c r="F13" s="106">
        <f t="shared" si="7"/>
        <v>75</v>
      </c>
      <c r="G13" s="106">
        <f t="shared" si="7"/>
        <v>70</v>
      </c>
    </row>
  </sheetData>
  <mergeCells count="1">
    <mergeCell ref="B2:L2"/>
  </mergeCells>
  <conditionalFormatting sqref="L4">
    <cfRule type="cellIs" dxfId="0" priority="1" operator="lessThan">
      <formula>$L$4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E731-231B-41E6-A8DB-47D1121391C5}">
  <sheetPr codeName="Planilha2"/>
  <dimension ref="B1:K8"/>
  <sheetViews>
    <sheetView zoomScale="136" workbookViewId="0">
      <selection activeCell="D13" sqref="D13"/>
    </sheetView>
  </sheetViews>
  <sheetFormatPr defaultRowHeight="14.4" x14ac:dyDescent="0.3"/>
  <cols>
    <col min="2" max="2" width="15.33203125" bestFit="1" customWidth="1"/>
    <col min="3" max="3" width="13" bestFit="1" customWidth="1"/>
    <col min="4" max="4" width="6" bestFit="1" customWidth="1"/>
    <col min="5" max="5" width="6.33203125" bestFit="1" customWidth="1"/>
    <col min="6" max="6" width="15.44140625" bestFit="1" customWidth="1"/>
    <col min="7" max="7" width="9.44140625" bestFit="1" customWidth="1"/>
    <col min="8" max="8" width="10.77734375" bestFit="1" customWidth="1"/>
    <col min="9" max="9" width="18.21875" bestFit="1" customWidth="1"/>
    <col min="10" max="10" width="14.5546875" bestFit="1" customWidth="1"/>
    <col min="11" max="11" width="17.6640625" customWidth="1"/>
  </cols>
  <sheetData>
    <row r="1" spans="2:11" ht="15" thickBot="1" x14ac:dyDescent="0.35"/>
    <row r="2" spans="2:11" x14ac:dyDescent="0.3">
      <c r="B2" s="191" t="s">
        <v>10</v>
      </c>
      <c r="C2" s="192"/>
      <c r="D2" s="192"/>
      <c r="E2" s="192"/>
      <c r="F2" s="192"/>
      <c r="G2" s="192"/>
      <c r="H2" s="192"/>
      <c r="I2" s="192"/>
      <c r="J2" s="193"/>
      <c r="K2" s="1"/>
    </row>
    <row r="3" spans="2:11" x14ac:dyDescent="0.3">
      <c r="B3" s="36" t="s">
        <v>11</v>
      </c>
      <c r="C3" s="9" t="s">
        <v>19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37" t="s">
        <v>18</v>
      </c>
    </row>
    <row r="4" spans="2:11" x14ac:dyDescent="0.3">
      <c r="B4" s="29" t="s">
        <v>20</v>
      </c>
      <c r="C4" s="3">
        <v>1500</v>
      </c>
      <c r="D4" s="12">
        <v>0.2</v>
      </c>
      <c r="E4" s="12">
        <v>0.08</v>
      </c>
      <c r="F4" s="12">
        <v>7.0000000000000007E-2</v>
      </c>
      <c r="G4" s="3">
        <f>C4*D4</f>
        <v>300</v>
      </c>
      <c r="H4" s="13">
        <f>C4*E4</f>
        <v>120</v>
      </c>
      <c r="I4" s="13">
        <f>C4*F4</f>
        <v>105.00000000000001</v>
      </c>
      <c r="J4" s="70">
        <f>C4-G4-H4-I4</f>
        <v>975</v>
      </c>
    </row>
    <row r="5" spans="2:11" x14ac:dyDescent="0.3">
      <c r="B5" s="29" t="s">
        <v>21</v>
      </c>
      <c r="C5" s="3">
        <v>1600</v>
      </c>
      <c r="D5" s="12">
        <v>0.2</v>
      </c>
      <c r="E5" s="12">
        <v>0.08</v>
      </c>
      <c r="F5" s="12">
        <v>7.0000000000000007E-2</v>
      </c>
      <c r="G5" s="3">
        <f t="shared" ref="G5:G8" si="0">C5*D5</f>
        <v>320</v>
      </c>
      <c r="H5" s="13">
        <f t="shared" ref="H5:H8" si="1">C5*E5</f>
        <v>128</v>
      </c>
      <c r="I5" s="13">
        <f t="shared" ref="I5:I8" si="2">C5*F5</f>
        <v>112.00000000000001</v>
      </c>
      <c r="J5" s="70">
        <f t="shared" ref="J5:J8" si="3">C5-G5-H5-I5</f>
        <v>1040</v>
      </c>
    </row>
    <row r="6" spans="2:11" x14ac:dyDescent="0.3">
      <c r="B6" s="29" t="s">
        <v>22</v>
      </c>
      <c r="C6" s="3">
        <v>1800</v>
      </c>
      <c r="D6" s="12">
        <v>0.2</v>
      </c>
      <c r="E6" s="12">
        <v>0.08</v>
      </c>
      <c r="F6" s="12">
        <v>7.0000000000000007E-2</v>
      </c>
      <c r="G6" s="3">
        <f t="shared" si="0"/>
        <v>360</v>
      </c>
      <c r="H6" s="13">
        <f t="shared" si="1"/>
        <v>144</v>
      </c>
      <c r="I6" s="13">
        <f t="shared" si="2"/>
        <v>126.00000000000001</v>
      </c>
      <c r="J6" s="70">
        <f t="shared" si="3"/>
        <v>1170</v>
      </c>
    </row>
    <row r="7" spans="2:11" x14ac:dyDescent="0.3">
      <c r="B7" s="29" t="s">
        <v>23</v>
      </c>
      <c r="C7" s="3">
        <v>2200</v>
      </c>
      <c r="D7" s="12">
        <v>0.2</v>
      </c>
      <c r="E7" s="12">
        <v>0.08</v>
      </c>
      <c r="F7" s="12">
        <v>7.0000000000000007E-2</v>
      </c>
      <c r="G7" s="3">
        <f t="shared" si="0"/>
        <v>440</v>
      </c>
      <c r="H7" s="13">
        <f t="shared" si="1"/>
        <v>176</v>
      </c>
      <c r="I7" s="13">
        <f t="shared" si="2"/>
        <v>154.00000000000003</v>
      </c>
      <c r="J7" s="70">
        <f t="shared" si="3"/>
        <v>1430</v>
      </c>
    </row>
    <row r="8" spans="2:11" ht="15" thickBot="1" x14ac:dyDescent="0.35">
      <c r="B8" s="30" t="s">
        <v>24</v>
      </c>
      <c r="C8" s="71">
        <v>1800</v>
      </c>
      <c r="D8" s="72">
        <v>0.2</v>
      </c>
      <c r="E8" s="72">
        <v>0.08</v>
      </c>
      <c r="F8" s="72">
        <v>7.0000000000000007E-2</v>
      </c>
      <c r="G8" s="71">
        <f t="shared" si="0"/>
        <v>360</v>
      </c>
      <c r="H8" s="34">
        <f t="shared" si="1"/>
        <v>144</v>
      </c>
      <c r="I8" s="34">
        <f t="shared" si="2"/>
        <v>126.00000000000001</v>
      </c>
      <c r="J8" s="73">
        <f t="shared" si="3"/>
        <v>1170</v>
      </c>
    </row>
  </sheetData>
  <mergeCells count="1">
    <mergeCell ref="B2:J2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FCFE-A4B4-45DB-BDB1-CE377498CBE7}">
  <dimension ref="B1:Q26"/>
  <sheetViews>
    <sheetView topLeftCell="B1" zoomScale="102" zoomScaleNormal="102" workbookViewId="0">
      <selection activeCell="Q22" sqref="Q22"/>
    </sheetView>
  </sheetViews>
  <sheetFormatPr defaultRowHeight="14.4" x14ac:dyDescent="0.3"/>
  <cols>
    <col min="2" max="2" width="18.21875" bestFit="1" customWidth="1"/>
    <col min="3" max="3" width="15" bestFit="1" customWidth="1"/>
    <col min="4" max="4" width="12.109375" bestFit="1" customWidth="1"/>
    <col min="5" max="5" width="19.5546875" bestFit="1" customWidth="1"/>
    <col min="6" max="7" width="12.5546875" bestFit="1" customWidth="1"/>
    <col min="8" max="8" width="9" bestFit="1" customWidth="1"/>
    <col min="9" max="9" width="13.77734375" bestFit="1" customWidth="1"/>
    <col min="10" max="10" width="12.6640625" bestFit="1" customWidth="1"/>
    <col min="11" max="11" width="12.88671875" bestFit="1" customWidth="1"/>
    <col min="12" max="12" width="12.6640625" bestFit="1" customWidth="1"/>
    <col min="13" max="13" width="14.44140625" bestFit="1" customWidth="1"/>
    <col min="14" max="14" width="12.6640625" bestFit="1" customWidth="1"/>
    <col min="15" max="15" width="16.88671875" bestFit="1" customWidth="1"/>
    <col min="16" max="16" width="11" bestFit="1" customWidth="1"/>
    <col min="17" max="17" width="17.88671875" bestFit="1" customWidth="1"/>
  </cols>
  <sheetData>
    <row r="1" spans="2:17" ht="15" thickBot="1" x14ac:dyDescent="0.35"/>
    <row r="2" spans="2:17" x14ac:dyDescent="0.3">
      <c r="B2" s="191" t="s">
        <v>238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3"/>
    </row>
    <row r="3" spans="2:17" s="1" customFormat="1" x14ac:dyDescent="0.3">
      <c r="B3" s="36" t="s">
        <v>239</v>
      </c>
      <c r="C3" s="9" t="s">
        <v>248</v>
      </c>
      <c r="D3" s="9" t="s">
        <v>118</v>
      </c>
      <c r="E3" s="9" t="s">
        <v>249</v>
      </c>
      <c r="F3" s="9" t="s">
        <v>250</v>
      </c>
      <c r="G3" s="9" t="s">
        <v>19</v>
      </c>
      <c r="H3" s="9" t="s">
        <v>240</v>
      </c>
      <c r="I3" s="9" t="s">
        <v>241</v>
      </c>
      <c r="J3" s="9" t="s">
        <v>12</v>
      </c>
      <c r="K3" s="9" t="s">
        <v>273</v>
      </c>
      <c r="L3" s="9" t="s">
        <v>242</v>
      </c>
      <c r="M3" s="9" t="s">
        <v>244</v>
      </c>
      <c r="N3" s="9" t="s">
        <v>245</v>
      </c>
      <c r="O3" s="9" t="s">
        <v>246</v>
      </c>
      <c r="P3" s="9" t="s">
        <v>243</v>
      </c>
      <c r="Q3" s="37" t="s">
        <v>247</v>
      </c>
    </row>
    <row r="4" spans="2:17" x14ac:dyDescent="0.3">
      <c r="B4" s="18" t="s">
        <v>251</v>
      </c>
      <c r="C4" s="5">
        <v>0</v>
      </c>
      <c r="D4" s="2" t="s">
        <v>267</v>
      </c>
      <c r="E4" s="5">
        <v>207.5</v>
      </c>
      <c r="F4" s="13">
        <v>6255</v>
      </c>
      <c r="G4" s="13">
        <v>6225</v>
      </c>
      <c r="H4" s="5">
        <v>0</v>
      </c>
      <c r="I4" s="15">
        <f>G4*40%</f>
        <v>2490</v>
      </c>
      <c r="J4" s="13">
        <f>G4*(VLOOKUP(G4,B$23:C$26,2,TRUE))</f>
        <v>933.75</v>
      </c>
      <c r="K4" s="13">
        <f>C4*6.66</f>
        <v>0</v>
      </c>
      <c r="L4" s="13">
        <f>IF(G4&lt;900,0,IF(G4&lt;1800,135,IF(G4&gt;1800,315)))</f>
        <v>315</v>
      </c>
      <c r="M4" s="13">
        <f>IF(G4&gt;834,50,G4*6%)</f>
        <v>50</v>
      </c>
      <c r="N4" s="2">
        <f>IF(G4&gt;1000,G4*6%,100)</f>
        <v>373.5</v>
      </c>
      <c r="O4" s="15">
        <f>G4*6%</f>
        <v>373.5</v>
      </c>
      <c r="P4" s="2">
        <v>0</v>
      </c>
      <c r="Q4" s="97">
        <f>G4-I4-J4+K4-L4-M4+N4+O4</f>
        <v>3183.25</v>
      </c>
    </row>
    <row r="5" spans="2:17" x14ac:dyDescent="0.3">
      <c r="B5" s="18" t="s">
        <v>252</v>
      </c>
      <c r="C5" s="5">
        <v>0</v>
      </c>
      <c r="D5" s="2" t="s">
        <v>122</v>
      </c>
      <c r="E5" s="5">
        <v>190</v>
      </c>
      <c r="F5" s="13">
        <v>5700</v>
      </c>
      <c r="G5" s="13">
        <v>5700</v>
      </c>
      <c r="H5" s="5">
        <v>0</v>
      </c>
      <c r="I5" s="15">
        <f t="shared" ref="I5:I19" si="0">G5*40%</f>
        <v>2280</v>
      </c>
      <c r="J5" s="13">
        <f t="shared" ref="J5:J19" si="1">G5*(VLOOKUP(G5,B$23:C$26,2,TRUE))</f>
        <v>855</v>
      </c>
      <c r="K5" s="13">
        <f t="shared" ref="K5:K19" si="2">C5*6.66</f>
        <v>0</v>
      </c>
      <c r="L5" s="13">
        <f t="shared" ref="L5:L19" si="3">IF(G5&lt;900,0,IF(G5&lt;1800,135,IF(G5&gt;1800,315)))</f>
        <v>315</v>
      </c>
      <c r="M5" s="13">
        <f t="shared" ref="M5:M19" si="4">IF(G5&gt;834,50,G5*6%)</f>
        <v>50</v>
      </c>
      <c r="N5" s="2">
        <f t="shared" ref="N5:N19" si="5">IF(G5&gt;1000,G5*6%,100)</f>
        <v>342</v>
      </c>
      <c r="O5" s="15">
        <f t="shared" ref="O5:O19" si="6">G5*6%</f>
        <v>342</v>
      </c>
      <c r="P5" s="2">
        <v>1</v>
      </c>
      <c r="Q5" s="97">
        <f t="shared" ref="Q5:Q19" si="7">G5-I5-J5+K5-L5-M5+N5+O5</f>
        <v>2884</v>
      </c>
    </row>
    <row r="6" spans="2:17" x14ac:dyDescent="0.3">
      <c r="B6" s="18" t="s">
        <v>253</v>
      </c>
      <c r="C6" s="5">
        <v>2</v>
      </c>
      <c r="D6" s="2" t="s">
        <v>119</v>
      </c>
      <c r="E6" s="5">
        <v>150</v>
      </c>
      <c r="F6" s="13">
        <v>4500</v>
      </c>
      <c r="G6" s="13">
        <v>4500</v>
      </c>
      <c r="H6" s="5">
        <v>0</v>
      </c>
      <c r="I6" s="15">
        <f t="shared" si="0"/>
        <v>1800</v>
      </c>
      <c r="J6" s="13">
        <f t="shared" si="1"/>
        <v>675</v>
      </c>
      <c r="K6" s="13">
        <f t="shared" si="2"/>
        <v>13.32</v>
      </c>
      <c r="L6" s="13">
        <f t="shared" si="3"/>
        <v>315</v>
      </c>
      <c r="M6" s="13">
        <f t="shared" si="4"/>
        <v>50</v>
      </c>
      <c r="N6" s="2">
        <f t="shared" si="5"/>
        <v>270</v>
      </c>
      <c r="O6" s="15">
        <f t="shared" si="6"/>
        <v>270</v>
      </c>
      <c r="P6" s="2">
        <v>2</v>
      </c>
      <c r="Q6" s="97">
        <f t="shared" si="7"/>
        <v>2213.3199999999997</v>
      </c>
    </row>
    <row r="7" spans="2:17" x14ac:dyDescent="0.3">
      <c r="B7" s="18" t="s">
        <v>254</v>
      </c>
      <c r="C7" s="5">
        <v>2</v>
      </c>
      <c r="D7" s="2" t="s">
        <v>268</v>
      </c>
      <c r="E7" s="5">
        <v>131.58000000000001</v>
      </c>
      <c r="F7" s="13">
        <v>3815</v>
      </c>
      <c r="G7" s="13">
        <v>3815</v>
      </c>
      <c r="H7" s="5">
        <v>1</v>
      </c>
      <c r="I7" s="15">
        <f t="shared" si="0"/>
        <v>1526</v>
      </c>
      <c r="J7" s="13">
        <f t="shared" si="1"/>
        <v>572.25</v>
      </c>
      <c r="K7" s="13">
        <f t="shared" si="2"/>
        <v>13.32</v>
      </c>
      <c r="L7" s="13">
        <f t="shared" si="3"/>
        <v>315</v>
      </c>
      <c r="M7" s="13">
        <f t="shared" si="4"/>
        <v>50</v>
      </c>
      <c r="N7" s="2">
        <f t="shared" si="5"/>
        <v>228.9</v>
      </c>
      <c r="O7" s="15">
        <f t="shared" si="6"/>
        <v>228.9</v>
      </c>
      <c r="P7" s="2">
        <v>3</v>
      </c>
      <c r="Q7" s="97">
        <f t="shared" si="7"/>
        <v>1822.8700000000001</v>
      </c>
    </row>
    <row r="8" spans="2:17" x14ac:dyDescent="0.3">
      <c r="B8" s="18" t="s">
        <v>255</v>
      </c>
      <c r="C8" s="5">
        <v>0</v>
      </c>
      <c r="D8" s="2" t="s">
        <v>269</v>
      </c>
      <c r="E8" s="5">
        <v>60.53</v>
      </c>
      <c r="F8" s="13">
        <v>1755</v>
      </c>
      <c r="G8" s="13">
        <v>1755</v>
      </c>
      <c r="H8" s="5">
        <v>1</v>
      </c>
      <c r="I8" s="15">
        <f t="shared" si="0"/>
        <v>702</v>
      </c>
      <c r="J8" s="13">
        <f t="shared" si="1"/>
        <v>263.25</v>
      </c>
      <c r="K8" s="13">
        <f t="shared" si="2"/>
        <v>0</v>
      </c>
      <c r="L8" s="13">
        <f t="shared" si="3"/>
        <v>135</v>
      </c>
      <c r="M8" s="13">
        <f t="shared" si="4"/>
        <v>50</v>
      </c>
      <c r="N8" s="2">
        <f t="shared" si="5"/>
        <v>105.3</v>
      </c>
      <c r="O8" s="15">
        <f t="shared" si="6"/>
        <v>105.3</v>
      </c>
      <c r="P8" s="2">
        <v>4</v>
      </c>
      <c r="Q8" s="97">
        <f t="shared" si="7"/>
        <v>815.34999999999991</v>
      </c>
    </row>
    <row r="9" spans="2:17" x14ac:dyDescent="0.3">
      <c r="B9" s="18" t="s">
        <v>256</v>
      </c>
      <c r="C9" s="5">
        <v>0</v>
      </c>
      <c r="D9" s="2" t="s">
        <v>269</v>
      </c>
      <c r="E9" s="5">
        <v>60.5</v>
      </c>
      <c r="F9" s="13">
        <v>1845</v>
      </c>
      <c r="G9" s="13">
        <v>1845</v>
      </c>
      <c r="H9" s="5">
        <v>0</v>
      </c>
      <c r="I9" s="15">
        <f t="shared" si="0"/>
        <v>738</v>
      </c>
      <c r="J9" s="13">
        <f t="shared" si="1"/>
        <v>276.75</v>
      </c>
      <c r="K9" s="13">
        <f t="shared" si="2"/>
        <v>0</v>
      </c>
      <c r="L9" s="13">
        <f t="shared" si="3"/>
        <v>315</v>
      </c>
      <c r="M9" s="13">
        <f t="shared" si="4"/>
        <v>50</v>
      </c>
      <c r="N9" s="2">
        <f t="shared" si="5"/>
        <v>110.7</v>
      </c>
      <c r="O9" s="15">
        <f t="shared" si="6"/>
        <v>110.7</v>
      </c>
      <c r="P9" s="2">
        <v>5</v>
      </c>
      <c r="Q9" s="97">
        <f t="shared" si="7"/>
        <v>686.65000000000009</v>
      </c>
    </row>
    <row r="10" spans="2:17" x14ac:dyDescent="0.3">
      <c r="B10" s="18" t="s">
        <v>257</v>
      </c>
      <c r="C10" s="5">
        <v>3</v>
      </c>
      <c r="D10" s="2" t="s">
        <v>269</v>
      </c>
      <c r="E10" s="5">
        <v>61.5</v>
      </c>
      <c r="F10" s="13">
        <v>1642</v>
      </c>
      <c r="G10" s="13">
        <v>1641</v>
      </c>
      <c r="H10" s="5">
        <v>5</v>
      </c>
      <c r="I10" s="15">
        <f t="shared" si="0"/>
        <v>656.40000000000009</v>
      </c>
      <c r="J10" s="13">
        <f t="shared" si="1"/>
        <v>246.14999999999998</v>
      </c>
      <c r="K10" s="13">
        <f t="shared" si="2"/>
        <v>19.98</v>
      </c>
      <c r="L10" s="13">
        <f t="shared" si="3"/>
        <v>135</v>
      </c>
      <c r="M10" s="13">
        <f t="shared" si="4"/>
        <v>50</v>
      </c>
      <c r="N10" s="2">
        <f t="shared" si="5"/>
        <v>98.46</v>
      </c>
      <c r="O10" s="15">
        <f t="shared" si="6"/>
        <v>98.46</v>
      </c>
      <c r="P10" s="2">
        <v>6</v>
      </c>
      <c r="Q10" s="97">
        <f t="shared" si="7"/>
        <v>770.35</v>
      </c>
    </row>
    <row r="11" spans="2:17" x14ac:dyDescent="0.3">
      <c r="B11" s="18" t="s">
        <v>258</v>
      </c>
      <c r="C11" s="5">
        <v>4</v>
      </c>
      <c r="D11" s="2" t="s">
        <v>269</v>
      </c>
      <c r="E11" s="5">
        <v>65.67</v>
      </c>
      <c r="F11" s="13">
        <v>1416</v>
      </c>
      <c r="G11" s="13">
        <v>1416</v>
      </c>
      <c r="H11" s="5">
        <v>0</v>
      </c>
      <c r="I11" s="15">
        <f t="shared" si="0"/>
        <v>566.4</v>
      </c>
      <c r="J11" s="13">
        <f t="shared" si="1"/>
        <v>212.4</v>
      </c>
      <c r="K11" s="13">
        <f t="shared" si="2"/>
        <v>26.64</v>
      </c>
      <c r="L11" s="13">
        <f t="shared" si="3"/>
        <v>135</v>
      </c>
      <c r="M11" s="13">
        <f t="shared" si="4"/>
        <v>50</v>
      </c>
      <c r="N11" s="2">
        <f t="shared" si="5"/>
        <v>84.96</v>
      </c>
      <c r="O11" s="15">
        <f t="shared" si="6"/>
        <v>84.96</v>
      </c>
      <c r="P11" s="2">
        <v>7</v>
      </c>
      <c r="Q11" s="97">
        <f t="shared" si="7"/>
        <v>648.7600000000001</v>
      </c>
    </row>
    <row r="12" spans="2:17" x14ac:dyDescent="0.3">
      <c r="B12" s="18" t="s">
        <v>259</v>
      </c>
      <c r="C12" s="5">
        <v>0</v>
      </c>
      <c r="D12" s="2" t="s">
        <v>269</v>
      </c>
      <c r="E12" s="5">
        <v>47.2</v>
      </c>
      <c r="F12" s="13">
        <v>1290</v>
      </c>
      <c r="G12" s="13">
        <v>1290</v>
      </c>
      <c r="H12" s="5">
        <v>0</v>
      </c>
      <c r="I12" s="15">
        <f t="shared" si="0"/>
        <v>516</v>
      </c>
      <c r="J12" s="13">
        <f t="shared" si="1"/>
        <v>193.5</v>
      </c>
      <c r="K12" s="13">
        <f t="shared" si="2"/>
        <v>0</v>
      </c>
      <c r="L12" s="13">
        <f t="shared" si="3"/>
        <v>135</v>
      </c>
      <c r="M12" s="13">
        <f t="shared" si="4"/>
        <v>50</v>
      </c>
      <c r="N12" s="2">
        <f t="shared" si="5"/>
        <v>77.399999999999991</v>
      </c>
      <c r="O12" s="15">
        <f t="shared" si="6"/>
        <v>77.399999999999991</v>
      </c>
      <c r="P12" s="2">
        <v>8</v>
      </c>
      <c r="Q12" s="97">
        <f t="shared" si="7"/>
        <v>550.29999999999995</v>
      </c>
    </row>
    <row r="13" spans="2:17" x14ac:dyDescent="0.3">
      <c r="B13" s="18" t="s">
        <v>260</v>
      </c>
      <c r="C13" s="5">
        <v>5</v>
      </c>
      <c r="D13" s="2" t="s">
        <v>270</v>
      </c>
      <c r="E13" s="5">
        <v>43</v>
      </c>
      <c r="F13" s="13">
        <v>780</v>
      </c>
      <c r="G13" s="13">
        <v>780</v>
      </c>
      <c r="H13" s="5">
        <v>0</v>
      </c>
      <c r="I13" s="15">
        <f t="shared" si="0"/>
        <v>312</v>
      </c>
      <c r="J13" s="13">
        <f t="shared" si="1"/>
        <v>85.8</v>
      </c>
      <c r="K13" s="13">
        <f t="shared" si="2"/>
        <v>33.299999999999997</v>
      </c>
      <c r="L13" s="13">
        <f t="shared" si="3"/>
        <v>0</v>
      </c>
      <c r="M13" s="13">
        <f t="shared" si="4"/>
        <v>46.8</v>
      </c>
      <c r="N13" s="2">
        <f t="shared" si="5"/>
        <v>100</v>
      </c>
      <c r="O13" s="15">
        <f t="shared" si="6"/>
        <v>46.8</v>
      </c>
      <c r="P13" s="2">
        <v>9</v>
      </c>
      <c r="Q13" s="97">
        <f t="shared" si="7"/>
        <v>515.5</v>
      </c>
    </row>
    <row r="14" spans="2:17" x14ac:dyDescent="0.3">
      <c r="B14" s="18" t="s">
        <v>261</v>
      </c>
      <c r="C14" s="5">
        <v>4</v>
      </c>
      <c r="D14" s="2" t="s">
        <v>270</v>
      </c>
      <c r="E14" s="5">
        <v>26</v>
      </c>
      <c r="F14" s="13">
        <v>840</v>
      </c>
      <c r="G14" s="13">
        <v>780</v>
      </c>
      <c r="H14" s="5">
        <v>2</v>
      </c>
      <c r="I14" s="15">
        <f t="shared" si="0"/>
        <v>312</v>
      </c>
      <c r="J14" s="13">
        <f t="shared" si="1"/>
        <v>85.8</v>
      </c>
      <c r="K14" s="13">
        <f t="shared" si="2"/>
        <v>26.64</v>
      </c>
      <c r="L14" s="13">
        <f t="shared" si="3"/>
        <v>0</v>
      </c>
      <c r="M14" s="13">
        <f t="shared" si="4"/>
        <v>46.8</v>
      </c>
      <c r="N14" s="2">
        <f t="shared" si="5"/>
        <v>100</v>
      </c>
      <c r="O14" s="15">
        <f t="shared" si="6"/>
        <v>46.8</v>
      </c>
      <c r="P14" s="2">
        <v>10</v>
      </c>
      <c r="Q14" s="97">
        <f t="shared" si="7"/>
        <v>508.84</v>
      </c>
    </row>
    <row r="15" spans="2:17" x14ac:dyDescent="0.3">
      <c r="B15" s="18" t="s">
        <v>262</v>
      </c>
      <c r="C15" s="5">
        <v>3</v>
      </c>
      <c r="D15" s="2" t="s">
        <v>271</v>
      </c>
      <c r="E15" s="5">
        <v>28</v>
      </c>
      <c r="F15" s="13">
        <v>840</v>
      </c>
      <c r="G15" s="13">
        <v>866</v>
      </c>
      <c r="H15" s="5">
        <v>0</v>
      </c>
      <c r="I15" s="15">
        <f t="shared" si="0"/>
        <v>346.40000000000003</v>
      </c>
      <c r="J15" s="13">
        <f t="shared" si="1"/>
        <v>129.9</v>
      </c>
      <c r="K15" s="13">
        <f t="shared" si="2"/>
        <v>19.98</v>
      </c>
      <c r="L15" s="13">
        <f t="shared" si="3"/>
        <v>0</v>
      </c>
      <c r="M15" s="13">
        <f t="shared" si="4"/>
        <v>50</v>
      </c>
      <c r="N15" s="2">
        <f t="shared" si="5"/>
        <v>100</v>
      </c>
      <c r="O15" s="15">
        <f t="shared" si="6"/>
        <v>51.96</v>
      </c>
      <c r="P15" s="2">
        <v>11</v>
      </c>
      <c r="Q15" s="97">
        <f t="shared" si="7"/>
        <v>511.63999999999993</v>
      </c>
    </row>
    <row r="16" spans="2:17" x14ac:dyDescent="0.3">
      <c r="B16" s="18" t="s">
        <v>263</v>
      </c>
      <c r="C16" s="5">
        <v>0</v>
      </c>
      <c r="D16" s="2" t="s">
        <v>271</v>
      </c>
      <c r="E16" s="5">
        <v>31.05</v>
      </c>
      <c r="F16" s="13">
        <v>931</v>
      </c>
      <c r="G16" s="13">
        <v>900</v>
      </c>
      <c r="H16" s="5">
        <v>1</v>
      </c>
      <c r="I16" s="15">
        <f t="shared" si="0"/>
        <v>360</v>
      </c>
      <c r="J16" s="13">
        <f t="shared" si="1"/>
        <v>135</v>
      </c>
      <c r="K16" s="13">
        <f t="shared" si="2"/>
        <v>0</v>
      </c>
      <c r="L16" s="13">
        <f t="shared" si="3"/>
        <v>135</v>
      </c>
      <c r="M16" s="13">
        <f t="shared" si="4"/>
        <v>50</v>
      </c>
      <c r="N16" s="2">
        <f t="shared" si="5"/>
        <v>100</v>
      </c>
      <c r="O16" s="15">
        <f t="shared" si="6"/>
        <v>54</v>
      </c>
      <c r="P16" s="2">
        <v>12</v>
      </c>
      <c r="Q16" s="97">
        <f t="shared" si="7"/>
        <v>374</v>
      </c>
    </row>
    <row r="17" spans="2:17" x14ac:dyDescent="0.3">
      <c r="B17" s="18" t="s">
        <v>264</v>
      </c>
      <c r="C17" s="5">
        <v>0</v>
      </c>
      <c r="D17" s="2" t="s">
        <v>271</v>
      </c>
      <c r="E17" s="5">
        <v>26.5</v>
      </c>
      <c r="F17" s="13">
        <v>795</v>
      </c>
      <c r="G17" s="13">
        <v>795</v>
      </c>
      <c r="H17" s="5">
        <v>0</v>
      </c>
      <c r="I17" s="15">
        <f t="shared" si="0"/>
        <v>318</v>
      </c>
      <c r="J17" s="13">
        <f t="shared" si="1"/>
        <v>87.45</v>
      </c>
      <c r="K17" s="13">
        <f t="shared" si="2"/>
        <v>0</v>
      </c>
      <c r="L17" s="13">
        <f t="shared" si="3"/>
        <v>0</v>
      </c>
      <c r="M17" s="13">
        <f t="shared" si="4"/>
        <v>47.699999999999996</v>
      </c>
      <c r="N17" s="2">
        <f t="shared" si="5"/>
        <v>100</v>
      </c>
      <c r="O17" s="15">
        <f t="shared" si="6"/>
        <v>47.699999999999996</v>
      </c>
      <c r="P17" s="2">
        <v>13</v>
      </c>
      <c r="Q17" s="97">
        <f t="shared" si="7"/>
        <v>489.55</v>
      </c>
    </row>
    <row r="18" spans="2:17" x14ac:dyDescent="0.3">
      <c r="B18" s="18" t="s">
        <v>265</v>
      </c>
      <c r="C18" s="5">
        <v>1</v>
      </c>
      <c r="D18" s="2" t="s">
        <v>272</v>
      </c>
      <c r="E18" s="5">
        <v>23</v>
      </c>
      <c r="F18" s="13">
        <v>708</v>
      </c>
      <c r="G18" s="13">
        <v>635</v>
      </c>
      <c r="H18" s="5">
        <v>3</v>
      </c>
      <c r="I18" s="15">
        <f t="shared" si="0"/>
        <v>254</v>
      </c>
      <c r="J18" s="13">
        <f t="shared" si="1"/>
        <v>69.849999999999994</v>
      </c>
      <c r="K18" s="13">
        <f t="shared" si="2"/>
        <v>6.66</v>
      </c>
      <c r="L18" s="13">
        <f t="shared" si="3"/>
        <v>0</v>
      </c>
      <c r="M18" s="13">
        <f t="shared" si="4"/>
        <v>38.1</v>
      </c>
      <c r="N18" s="2">
        <f t="shared" si="5"/>
        <v>100</v>
      </c>
      <c r="O18" s="15">
        <f t="shared" si="6"/>
        <v>38.1</v>
      </c>
      <c r="P18" s="2">
        <v>14</v>
      </c>
      <c r="Q18" s="97">
        <f t="shared" si="7"/>
        <v>417.81</v>
      </c>
    </row>
    <row r="19" spans="2:17" x14ac:dyDescent="0.3">
      <c r="B19" s="18" t="s">
        <v>266</v>
      </c>
      <c r="C19" s="5">
        <v>0</v>
      </c>
      <c r="D19" s="2" t="s">
        <v>272</v>
      </c>
      <c r="E19" s="5">
        <v>23</v>
      </c>
      <c r="F19" s="13">
        <v>600</v>
      </c>
      <c r="G19" s="13">
        <v>600</v>
      </c>
      <c r="H19" s="5">
        <v>0</v>
      </c>
      <c r="I19" s="15">
        <f t="shared" si="0"/>
        <v>240</v>
      </c>
      <c r="J19" s="13">
        <f t="shared" si="1"/>
        <v>66</v>
      </c>
      <c r="K19" s="13">
        <f t="shared" si="2"/>
        <v>0</v>
      </c>
      <c r="L19" s="13">
        <f t="shared" si="3"/>
        <v>0</v>
      </c>
      <c r="M19" s="13">
        <f t="shared" si="4"/>
        <v>36</v>
      </c>
      <c r="N19" s="2">
        <f t="shared" si="5"/>
        <v>100</v>
      </c>
      <c r="O19" s="15">
        <f t="shared" si="6"/>
        <v>36</v>
      </c>
      <c r="P19" s="2">
        <v>15</v>
      </c>
      <c r="Q19" s="97">
        <f t="shared" si="7"/>
        <v>394</v>
      </c>
    </row>
    <row r="20" spans="2:17" ht="15" thickBot="1" x14ac:dyDescent="0.35">
      <c r="B20" s="260" t="s">
        <v>274</v>
      </c>
      <c r="C20" s="261"/>
      <c r="D20" s="261"/>
      <c r="E20" s="261"/>
      <c r="F20" s="261"/>
      <c r="G20" s="261"/>
      <c r="H20" s="262"/>
      <c r="I20" s="127">
        <f>SUM(I4:I19)</f>
        <v>13417.199999999999</v>
      </c>
      <c r="J20" s="127">
        <f t="shared" ref="J20:Q20" si="8">SUM(J4:J19)</f>
        <v>4887.8500000000004</v>
      </c>
      <c r="K20" s="127">
        <f t="shared" si="8"/>
        <v>159.83999999999997</v>
      </c>
      <c r="L20" s="127">
        <f t="shared" si="8"/>
        <v>2250</v>
      </c>
      <c r="M20" s="127">
        <f t="shared" si="8"/>
        <v>765.40000000000009</v>
      </c>
      <c r="N20" s="127">
        <f t="shared" si="8"/>
        <v>2391.2200000000003</v>
      </c>
      <c r="O20" s="127">
        <f t="shared" si="8"/>
        <v>2012.5800000000002</v>
      </c>
      <c r="P20" s="127">
        <f t="shared" si="8"/>
        <v>120</v>
      </c>
      <c r="Q20" s="127">
        <f t="shared" si="8"/>
        <v>16786.189999999999</v>
      </c>
    </row>
    <row r="21" spans="2:17" ht="15" thickBot="1" x14ac:dyDescent="0.35"/>
    <row r="22" spans="2:17" x14ac:dyDescent="0.3">
      <c r="B22" s="38" t="s">
        <v>275</v>
      </c>
      <c r="C22" s="54" t="s">
        <v>276</v>
      </c>
    </row>
    <row r="23" spans="2:17" x14ac:dyDescent="0.3">
      <c r="B23" s="123">
        <v>249.8</v>
      </c>
      <c r="C23" s="124">
        <v>0.08</v>
      </c>
    </row>
    <row r="24" spans="2:17" x14ac:dyDescent="0.3">
      <c r="B24" s="123">
        <v>249.81</v>
      </c>
      <c r="C24" s="124">
        <v>0.09</v>
      </c>
    </row>
    <row r="25" spans="2:17" x14ac:dyDescent="0.3">
      <c r="B25" s="123">
        <v>416.34</v>
      </c>
      <c r="C25" s="124">
        <v>0.11</v>
      </c>
    </row>
    <row r="26" spans="2:17" ht="15" thickBot="1" x14ac:dyDescent="0.35">
      <c r="B26" s="125">
        <v>823.67</v>
      </c>
      <c r="C26" s="126">
        <v>0.15</v>
      </c>
    </row>
  </sheetData>
  <mergeCells count="2">
    <mergeCell ref="B2:Q2"/>
    <mergeCell ref="B20:H20"/>
  </mergeCells>
  <pageMargins left="0.511811024" right="0.511811024" top="0.78740157499999996" bottom="0.78740157499999996" header="0.31496062000000002" footer="0.31496062000000002"/>
  <ignoredErrors>
    <ignoredError sqref="Q13" evalError="1"/>
  </ignoredErrors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79F4-04BB-4DF3-93B9-3158C3EF3A36}">
  <dimension ref="B1:G20"/>
  <sheetViews>
    <sheetView zoomScale="99" zoomScaleNormal="99" workbookViewId="0">
      <selection activeCell="R12" sqref="R12"/>
    </sheetView>
  </sheetViews>
  <sheetFormatPr defaultRowHeight="14.4" x14ac:dyDescent="0.3"/>
  <cols>
    <col min="2" max="2" width="20.5546875" bestFit="1" customWidth="1"/>
    <col min="3" max="3" width="20.109375" bestFit="1" customWidth="1"/>
    <col min="4" max="4" width="8.6640625" bestFit="1" customWidth="1"/>
    <col min="5" max="5" width="9" bestFit="1" customWidth="1"/>
    <col min="6" max="6" width="12.88671875" bestFit="1" customWidth="1"/>
    <col min="7" max="7" width="12.109375" bestFit="1" customWidth="1"/>
    <col min="8" max="8" width="4.109375" customWidth="1"/>
    <col min="15" max="15" width="3.44140625" customWidth="1"/>
  </cols>
  <sheetData>
    <row r="1" spans="2:7" ht="15" thickBot="1" x14ac:dyDescent="0.35"/>
    <row r="2" spans="2:7" ht="15" thickBot="1" x14ac:dyDescent="0.35">
      <c r="B2" s="198" t="s">
        <v>277</v>
      </c>
      <c r="C2" s="199"/>
      <c r="D2" s="199"/>
      <c r="E2" s="199"/>
      <c r="F2" s="199"/>
      <c r="G2" s="200"/>
    </row>
    <row r="3" spans="2:7" x14ac:dyDescent="0.3">
      <c r="B3" s="133" t="s">
        <v>145</v>
      </c>
      <c r="C3" s="133" t="s">
        <v>2</v>
      </c>
      <c r="D3" s="134" t="s">
        <v>278</v>
      </c>
      <c r="E3" s="134" t="s">
        <v>279</v>
      </c>
      <c r="F3" s="134" t="s">
        <v>280</v>
      </c>
      <c r="G3" s="135" t="s">
        <v>281</v>
      </c>
    </row>
    <row r="4" spans="2:7" x14ac:dyDescent="0.3">
      <c r="B4" s="18" t="s">
        <v>292</v>
      </c>
      <c r="C4" s="5">
        <v>8</v>
      </c>
      <c r="D4" s="5" t="s">
        <v>286</v>
      </c>
      <c r="E4" s="2" t="str">
        <f>VLOOKUP(D4,B$18:C$20,2,FALSE)</f>
        <v>Pequeno</v>
      </c>
      <c r="F4" s="13">
        <v>6.9</v>
      </c>
      <c r="G4" s="97">
        <f>F4*C4</f>
        <v>55.2</v>
      </c>
    </row>
    <row r="5" spans="2:7" x14ac:dyDescent="0.3">
      <c r="B5" s="18" t="s">
        <v>293</v>
      </c>
      <c r="C5" s="5">
        <v>6</v>
      </c>
      <c r="D5" s="5" t="s">
        <v>286</v>
      </c>
      <c r="E5" s="2" t="str">
        <f t="shared" ref="E5:E15" si="0">VLOOKUP(D5,B$18:C$20,2,FALSE)</f>
        <v>Pequeno</v>
      </c>
      <c r="F5" s="13">
        <v>15.2</v>
      </c>
      <c r="G5" s="97">
        <f t="shared" ref="G5:G15" si="1">F5*C5</f>
        <v>91.199999999999989</v>
      </c>
    </row>
    <row r="6" spans="2:7" x14ac:dyDescent="0.3">
      <c r="B6" s="18" t="s">
        <v>294</v>
      </c>
      <c r="C6" s="5">
        <v>6</v>
      </c>
      <c r="D6" s="5" t="s">
        <v>288</v>
      </c>
      <c r="E6" s="2" t="str">
        <f t="shared" si="0"/>
        <v>Grande</v>
      </c>
      <c r="F6" s="13">
        <v>12.5</v>
      </c>
      <c r="G6" s="97">
        <f t="shared" si="1"/>
        <v>75</v>
      </c>
    </row>
    <row r="7" spans="2:7" x14ac:dyDescent="0.3">
      <c r="B7" s="18" t="s">
        <v>295</v>
      </c>
      <c r="C7" s="5">
        <v>10</v>
      </c>
      <c r="D7" s="5" t="s">
        <v>287</v>
      </c>
      <c r="E7" s="2" t="str">
        <f t="shared" si="0"/>
        <v>Médio</v>
      </c>
      <c r="F7" s="13">
        <v>23.45</v>
      </c>
      <c r="G7" s="97">
        <f t="shared" si="1"/>
        <v>234.5</v>
      </c>
    </row>
    <row r="8" spans="2:7" x14ac:dyDescent="0.3">
      <c r="B8" s="18" t="s">
        <v>296</v>
      </c>
      <c r="C8" s="5">
        <v>9</v>
      </c>
      <c r="D8" s="5" t="s">
        <v>287</v>
      </c>
      <c r="E8" s="2" t="str">
        <f t="shared" si="0"/>
        <v>Médio</v>
      </c>
      <c r="F8" s="13">
        <v>13.5</v>
      </c>
      <c r="G8" s="97">
        <f t="shared" si="1"/>
        <v>121.5</v>
      </c>
    </row>
    <row r="9" spans="2:7" x14ac:dyDescent="0.3">
      <c r="B9" s="18" t="s">
        <v>297</v>
      </c>
      <c r="C9" s="5">
        <v>10</v>
      </c>
      <c r="D9" s="5" t="s">
        <v>288</v>
      </c>
      <c r="E9" s="2" t="str">
        <f t="shared" si="0"/>
        <v>Grande</v>
      </c>
      <c r="F9" s="13">
        <v>19.8</v>
      </c>
      <c r="G9" s="97">
        <f t="shared" si="1"/>
        <v>198</v>
      </c>
    </row>
    <row r="10" spans="2:7" x14ac:dyDescent="0.3">
      <c r="B10" s="18" t="s">
        <v>298</v>
      </c>
      <c r="C10" s="5">
        <v>7</v>
      </c>
      <c r="D10" s="5" t="s">
        <v>286</v>
      </c>
      <c r="E10" s="2" t="str">
        <f t="shared" si="0"/>
        <v>Pequeno</v>
      </c>
      <c r="F10" s="13">
        <v>10.4</v>
      </c>
      <c r="G10" s="97">
        <f t="shared" si="1"/>
        <v>72.8</v>
      </c>
    </row>
    <row r="11" spans="2:7" x14ac:dyDescent="0.3">
      <c r="B11" s="18" t="s">
        <v>303</v>
      </c>
      <c r="C11" s="5">
        <v>6</v>
      </c>
      <c r="D11" s="5" t="s">
        <v>288</v>
      </c>
      <c r="E11" s="2" t="str">
        <f t="shared" si="0"/>
        <v>Grande</v>
      </c>
      <c r="F11" s="13">
        <v>6.7</v>
      </c>
      <c r="G11" s="97">
        <f t="shared" si="1"/>
        <v>40.200000000000003</v>
      </c>
    </row>
    <row r="12" spans="2:7" x14ac:dyDescent="0.3">
      <c r="B12" s="18" t="s">
        <v>299</v>
      </c>
      <c r="C12" s="5">
        <v>6</v>
      </c>
      <c r="D12" s="5" t="s">
        <v>286</v>
      </c>
      <c r="E12" s="2" t="str">
        <f t="shared" si="0"/>
        <v>Pequeno</v>
      </c>
      <c r="F12" s="13">
        <v>18.7</v>
      </c>
      <c r="G12" s="97">
        <f t="shared" si="1"/>
        <v>112.19999999999999</v>
      </c>
    </row>
    <row r="13" spans="2:7" x14ac:dyDescent="0.3">
      <c r="B13" s="18" t="s">
        <v>300</v>
      </c>
      <c r="C13" s="5">
        <v>18</v>
      </c>
      <c r="D13" s="5" t="s">
        <v>288</v>
      </c>
      <c r="E13" s="2" t="str">
        <f t="shared" si="0"/>
        <v>Grande</v>
      </c>
      <c r="F13" s="13">
        <v>12.6</v>
      </c>
      <c r="G13" s="97">
        <f t="shared" si="1"/>
        <v>226.79999999999998</v>
      </c>
    </row>
    <row r="14" spans="2:7" x14ac:dyDescent="0.3">
      <c r="B14" s="18" t="s">
        <v>301</v>
      </c>
      <c r="C14" s="5">
        <v>6</v>
      </c>
      <c r="D14" s="5" t="s">
        <v>287</v>
      </c>
      <c r="E14" s="2" t="str">
        <f t="shared" si="0"/>
        <v>Médio</v>
      </c>
      <c r="F14" s="13">
        <v>87.3</v>
      </c>
      <c r="G14" s="97">
        <f t="shared" si="1"/>
        <v>523.79999999999995</v>
      </c>
    </row>
    <row r="15" spans="2:7" ht="15" thickBot="1" x14ac:dyDescent="0.35">
      <c r="B15" s="19" t="s">
        <v>302</v>
      </c>
      <c r="C15" s="31">
        <v>7</v>
      </c>
      <c r="D15" s="31" t="s">
        <v>286</v>
      </c>
      <c r="E15" s="106" t="str">
        <f t="shared" si="0"/>
        <v>Pequeno</v>
      </c>
      <c r="F15" s="34">
        <v>13.56</v>
      </c>
      <c r="G15" s="99">
        <f t="shared" si="1"/>
        <v>94.92</v>
      </c>
    </row>
    <row r="16" spans="2:7" ht="15" thickBot="1" x14ac:dyDescent="0.35"/>
    <row r="17" spans="2:7" x14ac:dyDescent="0.3">
      <c r="B17" s="191" t="s">
        <v>284</v>
      </c>
      <c r="C17" s="192"/>
      <c r="D17" s="128" t="s">
        <v>285</v>
      </c>
      <c r="F17" s="120" t="s">
        <v>282</v>
      </c>
      <c r="G17" s="132">
        <f>SUM(G4:G15)</f>
        <v>1846.12</v>
      </c>
    </row>
    <row r="18" spans="2:7" x14ac:dyDescent="0.3">
      <c r="B18" s="96" t="s">
        <v>286</v>
      </c>
      <c r="C18" s="2" t="s">
        <v>289</v>
      </c>
      <c r="D18" s="52">
        <f>SUMIF(D4:D15,"P",C4:C15)</f>
        <v>34</v>
      </c>
      <c r="F18" s="121" t="s">
        <v>283</v>
      </c>
      <c r="G18" s="97">
        <f>AVERAGE(G4:G15)</f>
        <v>153.84333333333333</v>
      </c>
    </row>
    <row r="19" spans="2:7" x14ac:dyDescent="0.3">
      <c r="B19" s="96" t="s">
        <v>287</v>
      </c>
      <c r="C19" s="2" t="s">
        <v>290</v>
      </c>
      <c r="D19" s="52">
        <f>SUMIF(D4:D15,"M",C4:C15)</f>
        <v>25</v>
      </c>
      <c r="F19" s="121" t="s">
        <v>74</v>
      </c>
      <c r="G19" s="97">
        <f>MAX(G4:G15)</f>
        <v>523.79999999999995</v>
      </c>
    </row>
    <row r="20" spans="2:7" ht="15" thickBot="1" x14ac:dyDescent="0.35">
      <c r="B20" s="98" t="s">
        <v>288</v>
      </c>
      <c r="C20" s="106" t="s">
        <v>291</v>
      </c>
      <c r="D20" s="50">
        <f>SUMIF(D4:D15,"G",C4:C15)</f>
        <v>40</v>
      </c>
      <c r="F20" s="122" t="s">
        <v>75</v>
      </c>
      <c r="G20" s="99">
        <f>MIN(G4:G15)</f>
        <v>40.200000000000003</v>
      </c>
    </row>
  </sheetData>
  <mergeCells count="2">
    <mergeCell ref="B2:G2"/>
    <mergeCell ref="B17:C17"/>
  </mergeCells>
  <dataValidations count="1">
    <dataValidation type="whole" allowBlank="1" showInputMessage="1" showErrorMessage="1" sqref="B4:C15" xr:uid="{6B825576-0595-408B-B33F-0849E4D001BA}">
      <formula1>5</formula1>
      <formula2>100</formula2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16E2-D858-4FE4-B38F-CA76D9E3421A}">
  <dimension ref="B1:E14"/>
  <sheetViews>
    <sheetView zoomScale="141" zoomScaleNormal="141" workbookViewId="0">
      <selection activeCell="L9" sqref="L9"/>
    </sheetView>
  </sheetViews>
  <sheetFormatPr defaultRowHeight="14.4" x14ac:dyDescent="0.3"/>
  <cols>
    <col min="2" max="2" width="19" bestFit="1" customWidth="1"/>
    <col min="3" max="3" width="11.88671875" bestFit="1" customWidth="1"/>
    <col min="4" max="4" width="10.33203125" bestFit="1" customWidth="1"/>
    <col min="5" max="5" width="11.88671875" bestFit="1" customWidth="1"/>
    <col min="6" max="6" width="3.33203125" customWidth="1"/>
  </cols>
  <sheetData>
    <row r="1" spans="2:5" ht="15" thickBot="1" x14ac:dyDescent="0.35"/>
    <row r="2" spans="2:5" x14ac:dyDescent="0.3">
      <c r="B2" s="191" t="s">
        <v>317</v>
      </c>
      <c r="C2" s="192"/>
      <c r="D2" s="192"/>
      <c r="E2" s="193"/>
    </row>
    <row r="3" spans="2:5" x14ac:dyDescent="0.3">
      <c r="B3" s="178" t="s">
        <v>117</v>
      </c>
      <c r="C3" s="151" t="s">
        <v>304</v>
      </c>
      <c r="D3" s="151" t="s">
        <v>305</v>
      </c>
      <c r="E3" s="179" t="s">
        <v>306</v>
      </c>
    </row>
    <row r="4" spans="2:5" x14ac:dyDescent="0.3">
      <c r="B4" s="27" t="s">
        <v>309</v>
      </c>
      <c r="C4" s="13">
        <v>900</v>
      </c>
      <c r="D4" s="13">
        <f>IF(C4&lt;=1000,C4*C$13,IF(C4&gt;1000,C4*C$14))</f>
        <v>360</v>
      </c>
      <c r="E4" s="97">
        <f>C4+D4</f>
        <v>1260</v>
      </c>
    </row>
    <row r="5" spans="2:5" x14ac:dyDescent="0.3">
      <c r="B5" s="27" t="s">
        <v>310</v>
      </c>
      <c r="C5" s="13">
        <v>1200</v>
      </c>
      <c r="D5" s="13">
        <f t="shared" ref="D5:D11" si="0">IF(C5&lt;=1000,C5*C$13,IF(C5&gt;1000,C5*C$14))</f>
        <v>360</v>
      </c>
      <c r="E5" s="97">
        <f t="shared" ref="E5:E11" si="1">C5+D5</f>
        <v>1560</v>
      </c>
    </row>
    <row r="6" spans="2:5" x14ac:dyDescent="0.3">
      <c r="B6" s="27" t="s">
        <v>311</v>
      </c>
      <c r="C6" s="13">
        <v>1500</v>
      </c>
      <c r="D6" s="13">
        <f t="shared" si="0"/>
        <v>450</v>
      </c>
      <c r="E6" s="97">
        <f t="shared" si="1"/>
        <v>1950</v>
      </c>
    </row>
    <row r="7" spans="2:5" x14ac:dyDescent="0.3">
      <c r="B7" s="27" t="s">
        <v>312</v>
      </c>
      <c r="C7" s="13">
        <v>2000</v>
      </c>
      <c r="D7" s="13">
        <f t="shared" si="0"/>
        <v>600</v>
      </c>
      <c r="E7" s="97">
        <f t="shared" si="1"/>
        <v>2600</v>
      </c>
    </row>
    <row r="8" spans="2:5" x14ac:dyDescent="0.3">
      <c r="B8" s="27" t="s">
        <v>313</v>
      </c>
      <c r="C8" s="13">
        <v>1400</v>
      </c>
      <c r="D8" s="13">
        <f t="shared" si="0"/>
        <v>420</v>
      </c>
      <c r="E8" s="97">
        <f t="shared" si="1"/>
        <v>1820</v>
      </c>
    </row>
    <row r="9" spans="2:5" x14ac:dyDescent="0.3">
      <c r="B9" s="27" t="s">
        <v>314</v>
      </c>
      <c r="C9" s="13">
        <v>990</v>
      </c>
      <c r="D9" s="13">
        <f t="shared" si="0"/>
        <v>396</v>
      </c>
      <c r="E9" s="97">
        <f t="shared" si="1"/>
        <v>1386</v>
      </c>
    </row>
    <row r="10" spans="2:5" x14ac:dyDescent="0.3">
      <c r="B10" s="27" t="s">
        <v>315</v>
      </c>
      <c r="C10" s="13">
        <v>854</v>
      </c>
      <c r="D10" s="13">
        <f t="shared" si="0"/>
        <v>341.6</v>
      </c>
      <c r="E10" s="97">
        <f t="shared" si="1"/>
        <v>1195.5999999999999</v>
      </c>
    </row>
    <row r="11" spans="2:5" ht="15" thickBot="1" x14ac:dyDescent="0.35">
      <c r="B11" s="28" t="s">
        <v>316</v>
      </c>
      <c r="C11" s="34">
        <v>1100</v>
      </c>
      <c r="D11" s="34">
        <f t="shared" si="0"/>
        <v>330</v>
      </c>
      <c r="E11" s="99">
        <f t="shared" si="1"/>
        <v>1430</v>
      </c>
    </row>
    <row r="12" spans="2:5" ht="15" thickBot="1" x14ac:dyDescent="0.35"/>
    <row r="13" spans="2:5" x14ac:dyDescent="0.3">
      <c r="B13" s="120" t="s">
        <v>307</v>
      </c>
      <c r="C13" s="78">
        <v>0.4</v>
      </c>
    </row>
    <row r="14" spans="2:5" ht="15" thickBot="1" x14ac:dyDescent="0.35">
      <c r="B14" s="122" t="s">
        <v>308</v>
      </c>
      <c r="C14" s="136">
        <v>0.3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30D2-2729-4CFC-965F-B4DC2CD5E6D2}">
  <dimension ref="B1:H14"/>
  <sheetViews>
    <sheetView zoomScale="131" zoomScaleNormal="131" workbookViewId="0">
      <selection activeCell="B2" sqref="B2:H2"/>
    </sheetView>
  </sheetViews>
  <sheetFormatPr defaultRowHeight="14.4" x14ac:dyDescent="0.3"/>
  <cols>
    <col min="3" max="3" width="19.88671875" bestFit="1" customWidth="1"/>
    <col min="4" max="4" width="9.33203125" bestFit="1" customWidth="1"/>
    <col min="5" max="5" width="2.21875" customWidth="1"/>
    <col min="7" max="7" width="17.6640625" bestFit="1" customWidth="1"/>
    <col min="8" max="8" width="9.33203125" bestFit="1" customWidth="1"/>
  </cols>
  <sheetData>
    <row r="1" spans="2:8" ht="15" thickBot="1" x14ac:dyDescent="0.35"/>
    <row r="2" spans="2:8" ht="15" thickBot="1" x14ac:dyDescent="0.35">
      <c r="B2" s="263" t="s">
        <v>324</v>
      </c>
      <c r="C2" s="264"/>
      <c r="D2" s="264"/>
      <c r="E2" s="264"/>
      <c r="F2" s="264"/>
      <c r="G2" s="264"/>
      <c r="H2" s="265"/>
    </row>
    <row r="3" spans="2:8" x14ac:dyDescent="0.3">
      <c r="B3" s="266" t="s">
        <v>322</v>
      </c>
      <c r="C3" s="267"/>
      <c r="D3" s="268"/>
      <c r="E3" s="186"/>
      <c r="F3" s="266" t="s">
        <v>323</v>
      </c>
      <c r="G3" s="267"/>
      <c r="H3" s="268"/>
    </row>
    <row r="4" spans="2:8" x14ac:dyDescent="0.3">
      <c r="B4" s="36" t="s">
        <v>319</v>
      </c>
      <c r="C4" s="9" t="s">
        <v>320</v>
      </c>
      <c r="D4" s="37" t="s">
        <v>321</v>
      </c>
      <c r="E4" s="187"/>
      <c r="F4" s="36" t="s">
        <v>319</v>
      </c>
      <c r="G4" s="9" t="s">
        <v>320</v>
      </c>
      <c r="H4" s="37" t="s">
        <v>321</v>
      </c>
    </row>
    <row r="5" spans="2:8" x14ac:dyDescent="0.3">
      <c r="B5" s="96">
        <v>1</v>
      </c>
      <c r="C5" s="2" t="s">
        <v>325</v>
      </c>
      <c r="D5" s="111">
        <v>10</v>
      </c>
      <c r="E5" s="184"/>
      <c r="F5" s="96">
        <v>1</v>
      </c>
      <c r="G5" s="2" t="s">
        <v>335</v>
      </c>
      <c r="H5" s="111">
        <v>14</v>
      </c>
    </row>
    <row r="6" spans="2:8" x14ac:dyDescent="0.3">
      <c r="B6" s="96">
        <v>2</v>
      </c>
      <c r="C6" s="2" t="s">
        <v>326</v>
      </c>
      <c r="D6" s="111">
        <v>12</v>
      </c>
      <c r="E6" s="184"/>
      <c r="F6" s="96">
        <v>2</v>
      </c>
      <c r="G6" s="2" t="s">
        <v>336</v>
      </c>
      <c r="H6" s="111">
        <v>12</v>
      </c>
    </row>
    <row r="7" spans="2:8" x14ac:dyDescent="0.3">
      <c r="B7" s="96">
        <v>3</v>
      </c>
      <c r="C7" s="2" t="s">
        <v>327</v>
      </c>
      <c r="D7" s="111">
        <v>9</v>
      </c>
      <c r="E7" s="184"/>
      <c r="F7" s="96">
        <v>3</v>
      </c>
      <c r="G7" s="2" t="s">
        <v>338</v>
      </c>
      <c r="H7" s="111">
        <v>29</v>
      </c>
    </row>
    <row r="8" spans="2:8" x14ac:dyDescent="0.3">
      <c r="B8" s="96">
        <v>4</v>
      </c>
      <c r="C8" s="2" t="s">
        <v>328</v>
      </c>
      <c r="D8" s="111">
        <v>8</v>
      </c>
      <c r="E8" s="184"/>
      <c r="F8" s="96">
        <v>4</v>
      </c>
      <c r="G8" s="2" t="s">
        <v>337</v>
      </c>
      <c r="H8" s="111">
        <v>32</v>
      </c>
    </row>
    <row r="9" spans="2:8" x14ac:dyDescent="0.3">
      <c r="B9" s="96">
        <v>5</v>
      </c>
      <c r="C9" s="2" t="s">
        <v>329</v>
      </c>
      <c r="D9" s="111">
        <v>11</v>
      </c>
      <c r="E9" s="184"/>
      <c r="F9" s="96">
        <v>5</v>
      </c>
      <c r="G9" s="2" t="s">
        <v>339</v>
      </c>
      <c r="H9" s="111">
        <v>15</v>
      </c>
    </row>
    <row r="10" spans="2:8" x14ac:dyDescent="0.3">
      <c r="B10" s="96">
        <v>6</v>
      </c>
      <c r="C10" s="2" t="s">
        <v>330</v>
      </c>
      <c r="D10" s="111">
        <v>24</v>
      </c>
      <c r="E10" s="184"/>
      <c r="F10" s="96">
        <v>6</v>
      </c>
      <c r="G10" s="2" t="s">
        <v>340</v>
      </c>
      <c r="H10" s="111">
        <v>35</v>
      </c>
    </row>
    <row r="11" spans="2:8" x14ac:dyDescent="0.3">
      <c r="B11" s="96">
        <v>7</v>
      </c>
      <c r="C11" s="2" t="s">
        <v>331</v>
      </c>
      <c r="D11" s="111">
        <v>14</v>
      </c>
      <c r="E11" s="184"/>
      <c r="F11" s="96">
        <v>7</v>
      </c>
      <c r="G11" s="2" t="s">
        <v>341</v>
      </c>
      <c r="H11" s="111">
        <v>7</v>
      </c>
    </row>
    <row r="12" spans="2:8" x14ac:dyDescent="0.3">
      <c r="B12" s="96">
        <v>8</v>
      </c>
      <c r="C12" s="2" t="s">
        <v>332</v>
      </c>
      <c r="D12" s="111">
        <v>15</v>
      </c>
      <c r="E12" s="184"/>
      <c r="F12" s="96">
        <v>8</v>
      </c>
      <c r="G12" s="2" t="s">
        <v>342</v>
      </c>
      <c r="H12" s="111">
        <v>18</v>
      </c>
    </row>
    <row r="13" spans="2:8" x14ac:dyDescent="0.3">
      <c r="B13" s="96">
        <v>9</v>
      </c>
      <c r="C13" s="2" t="s">
        <v>333</v>
      </c>
      <c r="D13" s="111">
        <v>8</v>
      </c>
      <c r="E13" s="184"/>
      <c r="F13" s="96">
        <v>9</v>
      </c>
      <c r="G13" s="2" t="s">
        <v>343</v>
      </c>
      <c r="H13" s="111">
        <v>17</v>
      </c>
    </row>
    <row r="14" spans="2:8" ht="15" thickBot="1" x14ac:dyDescent="0.35">
      <c r="B14" s="98">
        <v>10</v>
      </c>
      <c r="C14" s="106" t="s">
        <v>334</v>
      </c>
      <c r="D14" s="69">
        <v>23</v>
      </c>
      <c r="E14" s="185"/>
      <c r="F14" s="98">
        <v>10</v>
      </c>
      <c r="G14" s="106" t="s">
        <v>344</v>
      </c>
      <c r="H14" s="69">
        <v>16</v>
      </c>
    </row>
  </sheetData>
  <mergeCells count="3">
    <mergeCell ref="B2:H2"/>
    <mergeCell ref="B3:D3"/>
    <mergeCell ref="F3:H3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A48E-C6E3-4A6E-B938-39AAC4782034}">
  <dimension ref="B1:E17"/>
  <sheetViews>
    <sheetView zoomScale="115" zoomScaleNormal="160" workbookViewId="0">
      <selection activeCell="B11" sqref="B11:E11"/>
    </sheetView>
  </sheetViews>
  <sheetFormatPr defaultRowHeight="14.4" x14ac:dyDescent="0.3"/>
  <cols>
    <col min="2" max="2" width="14.21875" bestFit="1" customWidth="1"/>
    <col min="3" max="3" width="16.88671875" customWidth="1"/>
    <col min="4" max="4" width="10.44140625" bestFit="1" customWidth="1"/>
    <col min="5" max="5" width="17.33203125" customWidth="1"/>
  </cols>
  <sheetData>
    <row r="1" spans="2:5" ht="15" thickBot="1" x14ac:dyDescent="0.35"/>
    <row r="2" spans="2:5" x14ac:dyDescent="0.3">
      <c r="B2" s="191" t="s">
        <v>324</v>
      </c>
      <c r="C2" s="192"/>
      <c r="D2" s="192"/>
      <c r="E2" s="193"/>
    </row>
    <row r="3" spans="2:5" x14ac:dyDescent="0.3">
      <c r="B3" s="272" t="s">
        <v>318</v>
      </c>
      <c r="C3" s="273"/>
      <c r="D3" s="225"/>
      <c r="E3" s="188">
        <f ca="1">NOW()</f>
        <v>44980.563489814813</v>
      </c>
    </row>
    <row r="4" spans="2:5" x14ac:dyDescent="0.3">
      <c r="B4" s="269" t="s">
        <v>322</v>
      </c>
      <c r="C4" s="270"/>
      <c r="D4" s="270"/>
      <c r="E4" s="271"/>
    </row>
    <row r="5" spans="2:5" x14ac:dyDescent="0.3">
      <c r="B5" s="36" t="s">
        <v>345</v>
      </c>
      <c r="C5" s="9" t="s">
        <v>117</v>
      </c>
      <c r="D5" s="4" t="s">
        <v>2</v>
      </c>
      <c r="E5" s="37" t="s">
        <v>3</v>
      </c>
    </row>
    <row r="6" spans="2:5" x14ac:dyDescent="0.3">
      <c r="B6" s="96">
        <v>6</v>
      </c>
      <c r="C6" s="2" t="str">
        <f>VLOOKUP(B6,Cardapio!B5:D14,2,FALSE)</f>
        <v>Leitão</v>
      </c>
      <c r="D6" s="5">
        <v>4</v>
      </c>
      <c r="E6" s="111">
        <f>IF(D6&gt;0,(VLOOKUP(B6,Cardapio!B$5:D$14,3,FALSE))*D6,0)</f>
        <v>96</v>
      </c>
    </row>
    <row r="7" spans="2:5" x14ac:dyDescent="0.3">
      <c r="B7" s="96">
        <v>1</v>
      </c>
      <c r="C7" s="2" t="str">
        <f>VLOOKUP(B7,Cardapio!B5:D14,2,FALSE)</f>
        <v>Feijoada</v>
      </c>
      <c r="D7" s="5">
        <v>1</v>
      </c>
      <c r="E7" s="111">
        <f>IF(D7&gt;0,(VLOOKUP(B7,Cardapio!B$5:D$14,3,FALSE))*D7,0)</f>
        <v>10</v>
      </c>
    </row>
    <row r="8" spans="2:5" x14ac:dyDescent="0.3">
      <c r="B8" s="96">
        <v>2</v>
      </c>
      <c r="C8" s="2" t="str">
        <f>VLOOKUP(B8,Cardapio!B6:D15,2,FALSE)</f>
        <v>Cozido Portuguesa</v>
      </c>
      <c r="D8" s="5">
        <v>2</v>
      </c>
      <c r="E8" s="111">
        <f>IF(D8&gt;0,(VLOOKUP(B8,Cardapio!B$5:D$14,3,FALSE))*D8,0)</f>
        <v>24</v>
      </c>
    </row>
    <row r="9" spans="2:5" x14ac:dyDescent="0.3">
      <c r="B9" s="96">
        <v>3</v>
      </c>
      <c r="C9" s="2" t="str">
        <f>VLOOKUP(B9,Cardapio!B7:D16,2,FALSE)</f>
        <v>Carne de Porco Cozida</v>
      </c>
      <c r="D9" s="5">
        <v>5</v>
      </c>
      <c r="E9" s="111">
        <f>IF(D9&gt;0,(VLOOKUP(B9,Cardapio!B$5:D$14,3,FALSE))*D9,0)</f>
        <v>45</v>
      </c>
    </row>
    <row r="10" spans="2:5" x14ac:dyDescent="0.3">
      <c r="B10" s="96">
        <v>5</v>
      </c>
      <c r="C10" s="2" t="str">
        <f>VLOOKUP(B10,Cardapio!B8:D17,2,FALSE)</f>
        <v>Chanfana</v>
      </c>
      <c r="D10" s="5">
        <v>5</v>
      </c>
      <c r="E10" s="111">
        <f>IF(D10&gt;0,(VLOOKUP(B10,Cardapio!B$5:D$14,3,FALSE))*D10,0)</f>
        <v>55</v>
      </c>
    </row>
    <row r="11" spans="2:5" x14ac:dyDescent="0.3">
      <c r="B11" s="269" t="s">
        <v>323</v>
      </c>
      <c r="C11" s="270"/>
      <c r="D11" s="270"/>
      <c r="E11" s="271"/>
    </row>
    <row r="12" spans="2:5" x14ac:dyDescent="0.3">
      <c r="B12" s="36" t="s">
        <v>345</v>
      </c>
      <c r="C12" s="9" t="s">
        <v>117</v>
      </c>
      <c r="D12" s="4" t="s">
        <v>2</v>
      </c>
      <c r="E12" s="37" t="s">
        <v>3</v>
      </c>
    </row>
    <row r="13" spans="2:5" x14ac:dyDescent="0.3">
      <c r="B13" s="96">
        <v>1</v>
      </c>
      <c r="C13" s="2" t="str">
        <f>IF(B13&gt;0,(VLOOKUP(B13,Cardapio!F$5:H$14,2,FALSE)),"-")</f>
        <v>Lulas Grelhadas</v>
      </c>
      <c r="D13" s="2">
        <v>3</v>
      </c>
      <c r="E13" s="111">
        <f>IF(D13&gt;0,(VLOOKUP(B13,Cardapio!F$5:H$14,3,FALSE))*D13,0)</f>
        <v>42</v>
      </c>
    </row>
    <row r="14" spans="2:5" x14ac:dyDescent="0.3">
      <c r="B14" s="96">
        <v>2</v>
      </c>
      <c r="C14" s="2" t="str">
        <f>IF(B14&gt;0,(VLOOKUP(B14,Cardapio!F$5:H$14,2,FALSE)),"-")</f>
        <v>Pargo ao Forno</v>
      </c>
      <c r="D14" s="2">
        <v>5</v>
      </c>
      <c r="E14" s="111">
        <f>IF(D14&gt;0,(VLOOKUP(B14,Cardapio!F$5:H$14,3,FALSE))*D14,0)</f>
        <v>60</v>
      </c>
    </row>
    <row r="15" spans="2:5" x14ac:dyDescent="0.3">
      <c r="B15" s="96">
        <v>6</v>
      </c>
      <c r="C15" s="2" t="str">
        <f>IF(B15&gt;0,(VLOOKUP(B15,Cardapio!F$5:H$14,2,FALSE)),"-")</f>
        <v>Caldeiradas</v>
      </c>
      <c r="D15" s="2">
        <v>8</v>
      </c>
      <c r="E15" s="111">
        <f>IF(D15&gt;0,(VLOOKUP(B15,Cardapio!F$5:H$14,3,FALSE))*D15,0)</f>
        <v>280</v>
      </c>
    </row>
    <row r="16" spans="2:5" x14ac:dyDescent="0.3">
      <c r="B16" s="96">
        <v>5</v>
      </c>
      <c r="C16" s="2" t="str">
        <f>IF(B16&gt;0,(VLOOKUP(B16,Cardapio!F$5:H$14,2,FALSE)),"-")</f>
        <v>Chocos Grelhados</v>
      </c>
      <c r="D16" s="2">
        <v>10</v>
      </c>
      <c r="E16" s="111">
        <f>IF(D16&gt;0,(VLOOKUP(B16,Cardapio!F$5:H$14,3,FALSE))*D16,0)</f>
        <v>150</v>
      </c>
    </row>
    <row r="17" spans="2:5" ht="15" thickBot="1" x14ac:dyDescent="0.35">
      <c r="B17" s="98">
        <v>3</v>
      </c>
      <c r="C17" s="2" t="str">
        <f>IF(B17&gt;0,(VLOOKUP(B17,Cardapio!F$5:H$14,2,FALSE)),"-")</f>
        <v>Linguado Grelhados</v>
      </c>
      <c r="D17" s="106">
        <v>7</v>
      </c>
      <c r="E17" s="111">
        <f>IF(D17&gt;0,(VLOOKUP(B17,Cardapio!F$5:H$14,3,FALSE))*D17,0)</f>
        <v>203</v>
      </c>
    </row>
  </sheetData>
  <mergeCells count="4">
    <mergeCell ref="B2:E2"/>
    <mergeCell ref="B4:E4"/>
    <mergeCell ref="B11:E11"/>
    <mergeCell ref="B3:D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A279-66E0-487B-82F3-534AA3718EFC}">
  <sheetPr codeName="Planilha3"/>
  <dimension ref="B1:I11"/>
  <sheetViews>
    <sheetView zoomScale="140" zoomScaleNormal="140" workbookViewId="0">
      <selection activeCell="B14" sqref="B14"/>
    </sheetView>
  </sheetViews>
  <sheetFormatPr defaultRowHeight="14.4" x14ac:dyDescent="0.3"/>
  <cols>
    <col min="4" max="4" width="11.109375" bestFit="1" customWidth="1"/>
    <col min="5" max="5" width="11.6640625" bestFit="1" customWidth="1"/>
    <col min="6" max="6" width="12" bestFit="1" customWidth="1"/>
    <col min="7" max="7" width="11.33203125" bestFit="1" customWidth="1"/>
    <col min="8" max="9" width="11.88671875" bestFit="1" customWidth="1"/>
  </cols>
  <sheetData>
    <row r="1" spans="2:9" ht="15" thickBot="1" x14ac:dyDescent="0.35"/>
    <row r="2" spans="2:9" ht="15" thickBot="1" x14ac:dyDescent="0.35">
      <c r="B2" s="194" t="s">
        <v>25</v>
      </c>
      <c r="C2" s="195"/>
      <c r="D2" s="195"/>
      <c r="E2" s="195"/>
      <c r="F2" s="195"/>
      <c r="G2" s="195"/>
      <c r="H2" s="195"/>
      <c r="I2" s="196"/>
    </row>
    <row r="3" spans="2:9" x14ac:dyDescent="0.3">
      <c r="B3" s="74" t="s">
        <v>26</v>
      </c>
      <c r="C3" s="78">
        <v>1.5</v>
      </c>
    </row>
    <row r="4" spans="2:9" ht="15" thickBot="1" x14ac:dyDescent="0.35">
      <c r="B4" s="19" t="s">
        <v>27</v>
      </c>
      <c r="C4" s="69">
        <v>5.45</v>
      </c>
    </row>
    <row r="5" spans="2:9" ht="15" thickBot="1" x14ac:dyDescent="0.35"/>
    <row r="6" spans="2:9" ht="15" thickBot="1" x14ac:dyDescent="0.35">
      <c r="B6" s="142" t="s">
        <v>1</v>
      </c>
      <c r="C6" s="143" t="s">
        <v>28</v>
      </c>
      <c r="D6" s="143" t="s">
        <v>37</v>
      </c>
      <c r="E6" s="143" t="s">
        <v>38</v>
      </c>
      <c r="F6" s="143" t="s">
        <v>39</v>
      </c>
      <c r="G6" s="143" t="s">
        <v>29</v>
      </c>
      <c r="H6" s="143" t="s">
        <v>30</v>
      </c>
      <c r="I6" s="144" t="s">
        <v>40</v>
      </c>
    </row>
    <row r="7" spans="2:9" x14ac:dyDescent="0.3">
      <c r="B7" s="129" t="s">
        <v>32</v>
      </c>
      <c r="C7" s="88">
        <v>10</v>
      </c>
      <c r="D7" s="130">
        <v>1.3</v>
      </c>
      <c r="E7" s="139">
        <f>(D7*C$3)+D7</f>
        <v>3.25</v>
      </c>
      <c r="F7" s="139">
        <f>(E7*C7)</f>
        <v>32.5</v>
      </c>
      <c r="G7" s="140">
        <f>D7/C$4</f>
        <v>0.23853211009174313</v>
      </c>
      <c r="H7" s="140">
        <f>(G7*C$3)+G7</f>
        <v>0.59633027522935778</v>
      </c>
      <c r="I7" s="141">
        <f>H7*C7</f>
        <v>5.9633027522935773</v>
      </c>
    </row>
    <row r="8" spans="2:9" x14ac:dyDescent="0.3">
      <c r="B8" s="18" t="s">
        <v>33</v>
      </c>
      <c r="C8" s="5">
        <v>50</v>
      </c>
      <c r="D8" s="13">
        <v>0.53</v>
      </c>
      <c r="E8" s="15">
        <f t="shared" ref="E8:E11" si="0">(D8*C$3)+D8</f>
        <v>1.3250000000000002</v>
      </c>
      <c r="F8" s="15">
        <f t="shared" ref="F8:F11" si="1">(E8*C8)</f>
        <v>66.250000000000014</v>
      </c>
      <c r="G8" s="16">
        <f t="shared" ref="G8:G11" si="2">D8/C$4</f>
        <v>9.7247706422018354E-2</v>
      </c>
      <c r="H8" s="16">
        <f t="shared" ref="H8:H11" si="3">(G8*C$3)+G8</f>
        <v>0.24311926605504589</v>
      </c>
      <c r="I8" s="75">
        <f t="shared" ref="I8:I11" si="4">H8*C8</f>
        <v>12.155963302752294</v>
      </c>
    </row>
    <row r="9" spans="2:9" x14ac:dyDescent="0.3">
      <c r="B9" s="18" t="s">
        <v>34</v>
      </c>
      <c r="C9" s="5">
        <v>150</v>
      </c>
      <c r="D9" s="13">
        <v>0.23</v>
      </c>
      <c r="E9" s="15">
        <f t="shared" si="0"/>
        <v>0.57500000000000007</v>
      </c>
      <c r="F9" s="15">
        <f t="shared" si="1"/>
        <v>86.250000000000014</v>
      </c>
      <c r="G9" s="16">
        <f t="shared" si="2"/>
        <v>4.2201834862385323E-2</v>
      </c>
      <c r="H9" s="16">
        <f t="shared" si="3"/>
        <v>0.10550458715596331</v>
      </c>
      <c r="I9" s="75">
        <f t="shared" si="4"/>
        <v>15.825688073394497</v>
      </c>
    </row>
    <row r="10" spans="2:9" x14ac:dyDescent="0.3">
      <c r="B10" s="18" t="s">
        <v>35</v>
      </c>
      <c r="C10" s="5">
        <v>30</v>
      </c>
      <c r="D10" s="13">
        <v>15</v>
      </c>
      <c r="E10" s="15">
        <f t="shared" si="0"/>
        <v>37.5</v>
      </c>
      <c r="F10" s="15">
        <f>(E10*C10)</f>
        <v>1125</v>
      </c>
      <c r="G10" s="16">
        <f t="shared" si="2"/>
        <v>2.7522935779816513</v>
      </c>
      <c r="H10" s="16">
        <f t="shared" si="3"/>
        <v>6.8807339449541285</v>
      </c>
      <c r="I10" s="75">
        <f t="shared" si="4"/>
        <v>206.42201834862385</v>
      </c>
    </row>
    <row r="11" spans="2:9" ht="15" thickBot="1" x14ac:dyDescent="0.35">
      <c r="B11" s="19" t="s">
        <v>36</v>
      </c>
      <c r="C11" s="31">
        <v>90</v>
      </c>
      <c r="D11" s="34">
        <v>1.9</v>
      </c>
      <c r="E11" s="35">
        <f t="shared" si="0"/>
        <v>4.75</v>
      </c>
      <c r="F11" s="35">
        <f t="shared" si="1"/>
        <v>427.5</v>
      </c>
      <c r="G11" s="76">
        <f t="shared" si="2"/>
        <v>0.34862385321100914</v>
      </c>
      <c r="H11" s="76">
        <f t="shared" si="3"/>
        <v>0.87155963302752282</v>
      </c>
      <c r="I11" s="77">
        <f t="shared" si="4"/>
        <v>78.440366972477051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4110-E68E-44DE-A9F6-999F7A2F3EA9}">
  <sheetPr codeName="Planilha4"/>
  <dimension ref="B1:E16"/>
  <sheetViews>
    <sheetView zoomScale="110" zoomScaleNormal="110" workbookViewId="0">
      <selection activeCell="E21" sqref="E21"/>
    </sheetView>
  </sheetViews>
  <sheetFormatPr defaultRowHeight="14.4" x14ac:dyDescent="0.3"/>
  <cols>
    <col min="1" max="1" width="2.109375" customWidth="1"/>
    <col min="2" max="2" width="10.21875" bestFit="1" customWidth="1"/>
    <col min="3" max="3" width="11.109375" bestFit="1" customWidth="1"/>
    <col min="4" max="4" width="13.109375" bestFit="1" customWidth="1"/>
    <col min="5" max="5" width="11.44140625" bestFit="1" customWidth="1"/>
    <col min="6" max="6" width="2.6640625" customWidth="1"/>
  </cols>
  <sheetData>
    <row r="1" spans="2:5" ht="7.8" customHeight="1" thickBot="1" x14ac:dyDescent="0.35"/>
    <row r="2" spans="2:5" ht="15" thickBot="1" x14ac:dyDescent="0.35">
      <c r="B2" s="198" t="s">
        <v>41</v>
      </c>
      <c r="C2" s="199"/>
      <c r="D2" s="199"/>
      <c r="E2" s="200"/>
    </row>
    <row r="3" spans="2:5" x14ac:dyDescent="0.3">
      <c r="B3" s="148" t="s">
        <v>42</v>
      </c>
      <c r="C3" s="201">
        <f ca="1">TODAY()</f>
        <v>44980</v>
      </c>
      <c r="D3" s="201"/>
      <c r="E3" s="202"/>
    </row>
    <row r="4" spans="2:5" x14ac:dyDescent="0.3">
      <c r="B4" s="149" t="s">
        <v>43</v>
      </c>
      <c r="C4" s="203" t="s">
        <v>53</v>
      </c>
      <c r="D4" s="203"/>
      <c r="E4" s="204"/>
    </row>
    <row r="5" spans="2:5" ht="15" thickBot="1" x14ac:dyDescent="0.35">
      <c r="B5" s="150" t="s">
        <v>54</v>
      </c>
      <c r="C5" s="205">
        <v>0.05</v>
      </c>
      <c r="D5" s="205"/>
      <c r="E5" s="206"/>
    </row>
    <row r="6" spans="2:5" x14ac:dyDescent="0.3">
      <c r="B6" s="24" t="s">
        <v>1</v>
      </c>
      <c r="C6" s="25" t="s">
        <v>2</v>
      </c>
      <c r="D6" s="25" t="s">
        <v>44</v>
      </c>
      <c r="E6" s="26" t="s">
        <v>45</v>
      </c>
    </row>
    <row r="7" spans="2:5" x14ac:dyDescent="0.3">
      <c r="B7" s="29" t="s">
        <v>6</v>
      </c>
      <c r="C7" s="5">
        <v>5</v>
      </c>
      <c r="D7" s="17">
        <v>10.3</v>
      </c>
      <c r="E7" s="32">
        <f>C7*D7</f>
        <v>51.5</v>
      </c>
    </row>
    <row r="8" spans="2:5" x14ac:dyDescent="0.3">
      <c r="B8" s="29" t="s">
        <v>49</v>
      </c>
      <c r="C8" s="5">
        <v>10</v>
      </c>
      <c r="D8" s="17">
        <v>5.3</v>
      </c>
      <c r="E8" s="32">
        <f t="shared" ref="E8:E11" si="0">C8*D8</f>
        <v>53</v>
      </c>
    </row>
    <row r="9" spans="2:5" x14ac:dyDescent="0.3">
      <c r="B9" s="29" t="s">
        <v>50</v>
      </c>
      <c r="C9" s="5">
        <v>5</v>
      </c>
      <c r="D9" s="17">
        <v>2.2999999999999998</v>
      </c>
      <c r="E9" s="32">
        <f t="shared" si="0"/>
        <v>11.5</v>
      </c>
    </row>
    <row r="10" spans="2:5" x14ac:dyDescent="0.3">
      <c r="B10" s="29" t="s">
        <v>51</v>
      </c>
      <c r="C10" s="5">
        <v>3</v>
      </c>
      <c r="D10" s="17">
        <v>1.56</v>
      </c>
      <c r="E10" s="32">
        <f t="shared" si="0"/>
        <v>4.68</v>
      </c>
    </row>
    <row r="11" spans="2:5" x14ac:dyDescent="0.3">
      <c r="B11" s="29" t="s">
        <v>52</v>
      </c>
      <c r="C11" s="5">
        <v>15</v>
      </c>
      <c r="D11" s="17">
        <v>2.2999999999999998</v>
      </c>
      <c r="E11" s="32">
        <f t="shared" si="0"/>
        <v>34.5</v>
      </c>
    </row>
    <row r="12" spans="2:5" x14ac:dyDescent="0.3">
      <c r="B12" s="197" t="s">
        <v>31</v>
      </c>
      <c r="C12" s="197"/>
      <c r="D12" s="197"/>
      <c r="E12" s="145">
        <f>SUM(E7:E11)</f>
        <v>155.18</v>
      </c>
    </row>
    <row r="13" spans="2:5" x14ac:dyDescent="0.3">
      <c r="B13" s="197" t="s">
        <v>46</v>
      </c>
      <c r="C13" s="197"/>
      <c r="D13" s="197"/>
      <c r="E13" s="146">
        <f>E12*C5</f>
        <v>7.7590000000000003</v>
      </c>
    </row>
    <row r="14" spans="2:5" x14ac:dyDescent="0.3">
      <c r="B14" s="197" t="s">
        <v>47</v>
      </c>
      <c r="C14" s="197"/>
      <c r="D14" s="197"/>
      <c r="E14" s="146">
        <f>MAX(E7:E11)</f>
        <v>53</v>
      </c>
    </row>
    <row r="15" spans="2:5" x14ac:dyDescent="0.3">
      <c r="B15" s="197" t="s">
        <v>48</v>
      </c>
      <c r="C15" s="197"/>
      <c r="D15" s="197"/>
      <c r="E15" s="146">
        <f>MIN(E7:E11)</f>
        <v>4.68</v>
      </c>
    </row>
    <row r="16" spans="2:5" ht="15" thickBot="1" x14ac:dyDescent="0.35">
      <c r="B16" s="197" t="s">
        <v>9</v>
      </c>
      <c r="C16" s="197"/>
      <c r="D16" s="197"/>
      <c r="E16" s="147">
        <f>E12-E13</f>
        <v>147.42099999999999</v>
      </c>
    </row>
  </sheetData>
  <mergeCells count="9">
    <mergeCell ref="B2:E2"/>
    <mergeCell ref="C3:E3"/>
    <mergeCell ref="C4:E4"/>
    <mergeCell ref="C5:E5"/>
    <mergeCell ref="B12:D12"/>
    <mergeCell ref="B13:D13"/>
    <mergeCell ref="B14:D14"/>
    <mergeCell ref="B15:D15"/>
    <mergeCell ref="B16:D16"/>
  </mergeCells>
  <pageMargins left="0.511811024" right="0.511811024" top="0.78740157499999996" bottom="0.78740157499999996" header="0.31496062000000002" footer="0.31496062000000002"/>
  <pageSetup paperSize="121" orientation="portrait" horizontalDpi="203" verticalDpi="20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7A60-DDF5-4C4E-9E0B-A6DAD0BD5FAE}">
  <sheetPr codeName="Planilha5"/>
  <dimension ref="B1:I15"/>
  <sheetViews>
    <sheetView topLeftCell="A4" zoomScale="143" workbookViewId="0">
      <selection activeCell="I11" sqref="I11"/>
    </sheetView>
  </sheetViews>
  <sheetFormatPr defaultRowHeight="14.4" x14ac:dyDescent="0.3"/>
  <cols>
    <col min="2" max="2" width="9" bestFit="1" customWidth="1"/>
    <col min="3" max="6" width="12.88671875" bestFit="1" customWidth="1"/>
    <col min="7" max="7" width="15.6640625" customWidth="1"/>
    <col min="8" max="8" width="12.88671875" bestFit="1" customWidth="1"/>
    <col min="9" max="9" width="14" bestFit="1" customWidth="1"/>
  </cols>
  <sheetData>
    <row r="1" spans="2:9" ht="15" thickBot="1" x14ac:dyDescent="0.35"/>
    <row r="2" spans="2:9" ht="15" thickBot="1" x14ac:dyDescent="0.35">
      <c r="B2" s="207" t="s">
        <v>58</v>
      </c>
      <c r="C2" s="208"/>
      <c r="D2" s="208"/>
      <c r="E2" s="208"/>
      <c r="F2" s="208"/>
      <c r="G2" s="208"/>
      <c r="H2" s="208"/>
      <c r="I2" s="209"/>
    </row>
    <row r="3" spans="2:9" x14ac:dyDescent="0.3">
      <c r="B3" s="152" t="s">
        <v>1</v>
      </c>
      <c r="C3" s="153" t="s">
        <v>59</v>
      </c>
      <c r="D3" s="153" t="s">
        <v>60</v>
      </c>
      <c r="E3" s="153" t="s">
        <v>61</v>
      </c>
      <c r="F3" s="153" t="s">
        <v>55</v>
      </c>
      <c r="G3" s="153" t="s">
        <v>57</v>
      </c>
      <c r="H3" s="153" t="s">
        <v>56</v>
      </c>
      <c r="I3" s="154" t="s">
        <v>9</v>
      </c>
    </row>
    <row r="4" spans="2:9" x14ac:dyDescent="0.3">
      <c r="B4" s="27" t="s">
        <v>62</v>
      </c>
      <c r="C4" s="13">
        <v>15000</v>
      </c>
      <c r="D4" s="13">
        <v>8000</v>
      </c>
      <c r="E4" s="13">
        <v>1000</v>
      </c>
      <c r="F4" s="15">
        <f>MAX(C4:E4)</f>
        <v>15000</v>
      </c>
      <c r="G4" s="15">
        <f>MIN(C4:E4)</f>
        <v>1000</v>
      </c>
      <c r="H4" s="15">
        <f>AVERAGE(C4:E4)</f>
        <v>8000</v>
      </c>
      <c r="I4" s="33">
        <f>SUM(C4:E4)</f>
        <v>24000</v>
      </c>
    </row>
    <row r="5" spans="2:9" x14ac:dyDescent="0.3">
      <c r="B5" s="27" t="s">
        <v>63</v>
      </c>
      <c r="C5" s="13">
        <v>12000</v>
      </c>
      <c r="D5" s="13">
        <v>9000</v>
      </c>
      <c r="E5" s="13">
        <v>8000</v>
      </c>
      <c r="F5" s="15">
        <f>MAX(C5:E5)</f>
        <v>12000</v>
      </c>
      <c r="G5" s="15">
        <f t="shared" ref="G5:G8" si="0">MIN(C5:E5)</f>
        <v>8000</v>
      </c>
      <c r="H5" s="15">
        <f t="shared" ref="H5:H8" si="1">AVERAGE(C5:E5)</f>
        <v>9666.6666666666661</v>
      </c>
      <c r="I5" s="33">
        <f t="shared" ref="I5:I8" si="2">SUM(C5:E5)</f>
        <v>29000</v>
      </c>
    </row>
    <row r="6" spans="2:9" x14ac:dyDescent="0.3">
      <c r="B6" s="27" t="s">
        <v>64</v>
      </c>
      <c r="C6" s="13">
        <v>50000</v>
      </c>
      <c r="D6" s="13">
        <v>45000</v>
      </c>
      <c r="E6" s="13">
        <v>40000</v>
      </c>
      <c r="F6" s="15">
        <f t="shared" ref="F6:F8" si="3">MAX(C6:E6)</f>
        <v>50000</v>
      </c>
      <c r="G6" s="15">
        <f t="shared" si="0"/>
        <v>40000</v>
      </c>
      <c r="H6" s="15">
        <f t="shared" si="1"/>
        <v>45000</v>
      </c>
      <c r="I6" s="33">
        <f t="shared" si="2"/>
        <v>135000</v>
      </c>
    </row>
    <row r="7" spans="2:9" x14ac:dyDescent="0.3">
      <c r="B7" s="27" t="s">
        <v>65</v>
      </c>
      <c r="C7" s="13">
        <v>12000</v>
      </c>
      <c r="D7" s="13">
        <v>12000</v>
      </c>
      <c r="E7" s="13">
        <v>4500</v>
      </c>
      <c r="F7" s="15">
        <f t="shared" si="3"/>
        <v>12000</v>
      </c>
      <c r="G7" s="15">
        <f t="shared" si="0"/>
        <v>4500</v>
      </c>
      <c r="H7" s="15">
        <f t="shared" si="1"/>
        <v>9500</v>
      </c>
      <c r="I7" s="33">
        <f t="shared" si="2"/>
        <v>28500</v>
      </c>
    </row>
    <row r="8" spans="2:9" ht="15" thickBot="1" x14ac:dyDescent="0.35">
      <c r="B8" s="28" t="s">
        <v>66</v>
      </c>
      <c r="C8" s="34">
        <v>10000</v>
      </c>
      <c r="D8" s="34">
        <v>3000</v>
      </c>
      <c r="E8" s="34">
        <v>3000</v>
      </c>
      <c r="F8" s="15">
        <f t="shared" si="3"/>
        <v>10000</v>
      </c>
      <c r="G8" s="15">
        <f t="shared" si="0"/>
        <v>3000</v>
      </c>
      <c r="H8" s="15">
        <f t="shared" si="1"/>
        <v>5333.333333333333</v>
      </c>
      <c r="I8" s="33">
        <f t="shared" si="2"/>
        <v>16000</v>
      </c>
    </row>
    <row r="9" spans="2:9" ht="15" thickBot="1" x14ac:dyDescent="0.35"/>
    <row r="10" spans="2:9" x14ac:dyDescent="0.3">
      <c r="B10" s="152" t="s">
        <v>1</v>
      </c>
      <c r="C10" s="153" t="s">
        <v>67</v>
      </c>
      <c r="D10" s="153" t="s">
        <v>68</v>
      </c>
      <c r="E10" s="153" t="s">
        <v>69</v>
      </c>
      <c r="F10" s="153" t="s">
        <v>55</v>
      </c>
      <c r="G10" s="153" t="s">
        <v>57</v>
      </c>
      <c r="H10" s="153" t="s">
        <v>56</v>
      </c>
      <c r="I10" s="154" t="s">
        <v>9</v>
      </c>
    </row>
    <row r="11" spans="2:9" x14ac:dyDescent="0.3">
      <c r="B11" s="27" t="s">
        <v>62</v>
      </c>
      <c r="C11" s="13">
        <v>10000</v>
      </c>
      <c r="D11" s="13">
        <v>9000</v>
      </c>
      <c r="E11" s="13">
        <v>7800</v>
      </c>
      <c r="F11" s="15">
        <f>MAX(C11:E11)</f>
        <v>10000</v>
      </c>
      <c r="G11" s="15">
        <f>MIN(C11:E11)</f>
        <v>7800</v>
      </c>
      <c r="H11" s="15">
        <f>AVERAGE(C11:E11)</f>
        <v>8933.3333333333339</v>
      </c>
      <c r="I11" s="33">
        <f>SUM(C11:E11)</f>
        <v>26800</v>
      </c>
    </row>
    <row r="12" spans="2:9" x14ac:dyDescent="0.3">
      <c r="B12" s="27" t="s">
        <v>63</v>
      </c>
      <c r="C12" s="13">
        <v>15000</v>
      </c>
      <c r="D12" s="13">
        <v>5000</v>
      </c>
      <c r="E12" s="13">
        <v>9800</v>
      </c>
      <c r="F12" s="15">
        <f t="shared" ref="F12:F15" si="4">MAX(C12:E12)</f>
        <v>15000</v>
      </c>
      <c r="G12" s="15">
        <f t="shared" ref="G12:G15" si="5">MIN(C12:E12)</f>
        <v>5000</v>
      </c>
      <c r="H12" s="15">
        <f t="shared" ref="H12:H15" si="6">AVERAGE(C12:E12)</f>
        <v>9933.3333333333339</v>
      </c>
      <c r="I12" s="33">
        <f t="shared" ref="I12:I15" si="7">SUM(C12:E12)</f>
        <v>29800</v>
      </c>
    </row>
    <row r="13" spans="2:9" x14ac:dyDescent="0.3">
      <c r="B13" s="27" t="s">
        <v>64</v>
      </c>
      <c r="C13" s="13">
        <v>45000</v>
      </c>
      <c r="D13" s="13">
        <v>4000</v>
      </c>
      <c r="E13" s="13">
        <v>4500</v>
      </c>
      <c r="F13" s="15">
        <f t="shared" si="4"/>
        <v>45000</v>
      </c>
      <c r="G13" s="15">
        <f t="shared" si="5"/>
        <v>4000</v>
      </c>
      <c r="H13" s="15">
        <f t="shared" si="6"/>
        <v>17833.333333333332</v>
      </c>
      <c r="I13" s="33">
        <f t="shared" si="7"/>
        <v>53500</v>
      </c>
    </row>
    <row r="14" spans="2:9" x14ac:dyDescent="0.3">
      <c r="B14" s="27" t="s">
        <v>65</v>
      </c>
      <c r="C14" s="13">
        <v>56000</v>
      </c>
      <c r="D14" s="13">
        <v>52000</v>
      </c>
      <c r="E14" s="13">
        <v>4500</v>
      </c>
      <c r="F14" s="15">
        <f t="shared" si="4"/>
        <v>56000</v>
      </c>
      <c r="G14" s="15">
        <f t="shared" si="5"/>
        <v>4500</v>
      </c>
      <c r="H14" s="15">
        <f t="shared" si="6"/>
        <v>37500</v>
      </c>
      <c r="I14" s="33">
        <f t="shared" si="7"/>
        <v>112500</v>
      </c>
    </row>
    <row r="15" spans="2:9" ht="15" thickBot="1" x14ac:dyDescent="0.35">
      <c r="B15" s="28" t="s">
        <v>66</v>
      </c>
      <c r="C15" s="34">
        <v>12000</v>
      </c>
      <c r="D15" s="34">
        <v>1000</v>
      </c>
      <c r="E15" s="34">
        <v>8500</v>
      </c>
      <c r="F15" s="15">
        <f t="shared" si="4"/>
        <v>12000</v>
      </c>
      <c r="G15" s="15">
        <f t="shared" si="5"/>
        <v>1000</v>
      </c>
      <c r="H15" s="15">
        <f t="shared" si="6"/>
        <v>7166.666666666667</v>
      </c>
      <c r="I15" s="33">
        <f t="shared" si="7"/>
        <v>21500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1765-54CD-4315-BD60-43CAD6035FB0}">
  <dimension ref="B2:K6"/>
  <sheetViews>
    <sheetView zoomScale="155" zoomScaleNormal="155" workbookViewId="0">
      <selection activeCell="I12" sqref="I12"/>
    </sheetView>
  </sheetViews>
  <sheetFormatPr defaultRowHeight="14.4" x14ac:dyDescent="0.3"/>
  <cols>
    <col min="3" max="3" width="11.77734375" bestFit="1" customWidth="1"/>
    <col min="4" max="4" width="12.5546875" bestFit="1" customWidth="1"/>
    <col min="7" max="7" width="2.44140625" customWidth="1"/>
    <col min="8" max="8" width="13.109375" bestFit="1" customWidth="1"/>
    <col min="11" max="11" width="36.6640625" customWidth="1"/>
  </cols>
  <sheetData>
    <row r="2" spans="2:11" x14ac:dyDescent="0.3">
      <c r="B2" s="94" t="s">
        <v>114</v>
      </c>
      <c r="C2" s="94" t="s">
        <v>178</v>
      </c>
      <c r="D2" s="94" t="s">
        <v>183</v>
      </c>
      <c r="E2" s="94" t="s">
        <v>188</v>
      </c>
      <c r="F2" s="94" t="s">
        <v>189</v>
      </c>
      <c r="H2" s="210" t="s">
        <v>196</v>
      </c>
      <c r="I2" s="210"/>
      <c r="J2" s="210"/>
      <c r="K2" s="210"/>
    </row>
    <row r="3" spans="2:11" x14ac:dyDescent="0.3">
      <c r="B3" s="2" t="s">
        <v>105</v>
      </c>
      <c r="C3" s="2" t="s">
        <v>179</v>
      </c>
      <c r="D3" s="2" t="s">
        <v>184</v>
      </c>
      <c r="E3" s="2" t="s">
        <v>190</v>
      </c>
      <c r="F3" s="5" t="s">
        <v>193</v>
      </c>
      <c r="H3" s="211" t="str">
        <f>_xlfn.CONCAT(B3&amp;" "&amp;C3&amp;" Telefone "&amp;D3&amp;" da cidade de "&amp;E3&amp;" do estado de "&amp;F3)</f>
        <v>Tiago Souza Telefone 61 9956-8956 da cidade de Brasilía do estado de DF</v>
      </c>
      <c r="I3" s="211"/>
      <c r="J3" s="211"/>
      <c r="K3" s="211"/>
    </row>
    <row r="4" spans="2:11" x14ac:dyDescent="0.3">
      <c r="B4" s="2" t="s">
        <v>102</v>
      </c>
      <c r="C4" s="2" t="s">
        <v>180</v>
      </c>
      <c r="D4" s="2" t="s">
        <v>185</v>
      </c>
      <c r="E4" s="2" t="s">
        <v>191</v>
      </c>
      <c r="F4" s="5" t="s">
        <v>194</v>
      </c>
      <c r="H4" s="211" t="str">
        <f t="shared" ref="H4:H6" si="0">_xlfn.CONCAT(B4&amp;" "&amp;C4&amp;" Telefone "&amp;D4&amp;" da cidade de "&amp;E4&amp;" do estado de "&amp;F4)</f>
        <v>Rafaela Silva Telefone 61 9956-2356  da cidade de Anápolis do estado de GO</v>
      </c>
      <c r="I4" s="211"/>
      <c r="J4" s="211"/>
      <c r="K4" s="211"/>
    </row>
    <row r="5" spans="2:11" x14ac:dyDescent="0.3">
      <c r="B5" s="2" t="s">
        <v>115</v>
      </c>
      <c r="C5" s="2" t="s">
        <v>181</v>
      </c>
      <c r="D5" s="2" t="s">
        <v>186</v>
      </c>
      <c r="E5" s="2" t="s">
        <v>190</v>
      </c>
      <c r="F5" s="5" t="s">
        <v>193</v>
      </c>
      <c r="H5" s="211" t="str">
        <f t="shared" si="0"/>
        <v>Maria Alves Telefone 61 9978-4512 da cidade de Brasilía do estado de DF</v>
      </c>
      <c r="I5" s="211"/>
      <c r="J5" s="211"/>
      <c r="K5" s="211"/>
    </row>
    <row r="6" spans="2:11" x14ac:dyDescent="0.3">
      <c r="B6" s="2" t="s">
        <v>53</v>
      </c>
      <c r="C6" s="2" t="s">
        <v>182</v>
      </c>
      <c r="D6" s="2" t="s">
        <v>187</v>
      </c>
      <c r="E6" s="2" t="s">
        <v>192</v>
      </c>
      <c r="F6" s="5" t="s">
        <v>195</v>
      </c>
      <c r="H6" s="211" t="str">
        <f t="shared" si="0"/>
        <v>Pedro Augusto Telefone 61 9978-3265 da cidade de Palmas do estado de TO</v>
      </c>
      <c r="I6" s="211"/>
      <c r="J6" s="211"/>
      <c r="K6" s="211"/>
    </row>
  </sheetData>
  <mergeCells count="5">
    <mergeCell ref="H2:K2"/>
    <mergeCell ref="H3:K3"/>
    <mergeCell ref="H4:K4"/>
    <mergeCell ref="H5:K5"/>
    <mergeCell ref="H6:K6"/>
  </mergeCells>
  <pageMargins left="0.511811024" right="0.511811024" top="0.78740157499999996" bottom="0.78740157499999996" header="0.31496062000000002" footer="0.31496062000000002"/>
  <pageSetup paperSize="121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AD73-ED3B-4D02-908B-9D683BB04F9A}">
  <sheetPr codeName="Planilha6"/>
  <dimension ref="B1:H8"/>
  <sheetViews>
    <sheetView zoomScale="170" zoomScaleNormal="170" workbookViewId="0">
      <selection activeCell="I9" sqref="I9"/>
    </sheetView>
  </sheetViews>
  <sheetFormatPr defaultRowHeight="14.4" x14ac:dyDescent="0.3"/>
  <cols>
    <col min="1" max="1" width="8.88671875" customWidth="1"/>
    <col min="2" max="2" width="8.88671875" bestFit="1" customWidth="1"/>
    <col min="3" max="3" width="5.88671875" bestFit="1" customWidth="1"/>
    <col min="4" max="4" width="12.109375" bestFit="1" customWidth="1"/>
    <col min="5" max="5" width="12.6640625" bestFit="1" customWidth="1"/>
    <col min="6" max="6" width="13.77734375" bestFit="1" customWidth="1"/>
    <col min="7" max="7" width="19.109375" bestFit="1" customWidth="1"/>
  </cols>
  <sheetData>
    <row r="1" spans="2:8" ht="15" thickBot="1" x14ac:dyDescent="0.35"/>
    <row r="2" spans="2:8" x14ac:dyDescent="0.3">
      <c r="B2" s="191" t="s">
        <v>70</v>
      </c>
      <c r="C2" s="192"/>
      <c r="D2" s="192"/>
      <c r="E2" s="192"/>
      <c r="F2" s="192"/>
      <c r="G2" s="155" t="s">
        <v>26</v>
      </c>
      <c r="H2" s="156">
        <v>2</v>
      </c>
    </row>
    <row r="3" spans="2:8" x14ac:dyDescent="0.3">
      <c r="B3" s="157" t="s">
        <v>1</v>
      </c>
      <c r="C3" s="158" t="s">
        <v>28</v>
      </c>
      <c r="D3" s="158" t="s">
        <v>37</v>
      </c>
      <c r="E3" s="158" t="s">
        <v>38</v>
      </c>
      <c r="F3" s="158" t="s">
        <v>71</v>
      </c>
      <c r="G3" s="159" t="s">
        <v>72</v>
      </c>
      <c r="H3" s="160" t="s">
        <v>97</v>
      </c>
    </row>
    <row r="4" spans="2:8" x14ac:dyDescent="0.3">
      <c r="B4" s="39" t="s">
        <v>6</v>
      </c>
      <c r="C4" s="40">
        <v>5</v>
      </c>
      <c r="D4" s="41">
        <v>3.5</v>
      </c>
      <c r="E4" s="41">
        <f>D4*H$2+D4</f>
        <v>10.5</v>
      </c>
      <c r="F4" s="42">
        <v>45636</v>
      </c>
      <c r="G4" s="47">
        <f ca="1">F4-TODAY()</f>
        <v>656</v>
      </c>
      <c r="H4" s="20" t="str">
        <f>IF(C4&lt;10,"Comprar","Ok")</f>
        <v>Comprar</v>
      </c>
    </row>
    <row r="5" spans="2:8" x14ac:dyDescent="0.3">
      <c r="B5" s="39" t="s">
        <v>49</v>
      </c>
      <c r="C5" s="40">
        <v>10</v>
      </c>
      <c r="D5" s="41">
        <v>1.3</v>
      </c>
      <c r="E5" s="41">
        <f>D5*H$2+D5</f>
        <v>3.9000000000000004</v>
      </c>
      <c r="F5" s="42">
        <v>45214</v>
      </c>
      <c r="G5" s="47">
        <f t="shared" ref="G5:G8" ca="1" si="0">F5-TODAY()</f>
        <v>234</v>
      </c>
      <c r="H5" s="20" t="str">
        <f>IF(C5&lt;10,"Comprar","Ok")</f>
        <v>Ok</v>
      </c>
    </row>
    <row r="6" spans="2:8" x14ac:dyDescent="0.3">
      <c r="B6" s="39" t="s">
        <v>7</v>
      </c>
      <c r="C6" s="40">
        <v>15</v>
      </c>
      <c r="D6" s="41">
        <v>0.35</v>
      </c>
      <c r="E6" s="41">
        <f>D6*H$2+D6</f>
        <v>1.0499999999999998</v>
      </c>
      <c r="F6" s="42">
        <v>44959</v>
      </c>
      <c r="G6" s="47">
        <f t="shared" ca="1" si="0"/>
        <v>-21</v>
      </c>
      <c r="H6" s="20" t="str">
        <f>IF(C6&lt;10,"Comprar","Ok")</f>
        <v>Ok</v>
      </c>
    </row>
    <row r="7" spans="2:8" x14ac:dyDescent="0.3">
      <c r="B7" s="39" t="s">
        <v>51</v>
      </c>
      <c r="C7" s="40">
        <v>5</v>
      </c>
      <c r="D7" s="41">
        <v>1.23</v>
      </c>
      <c r="E7" s="41">
        <f>D7*H$2+D7</f>
        <v>3.69</v>
      </c>
      <c r="F7" s="42">
        <v>46001</v>
      </c>
      <c r="G7" s="47">
        <f t="shared" ca="1" si="0"/>
        <v>1021</v>
      </c>
      <c r="H7" s="20" t="str">
        <f>IF(C7&lt;10,"Comprar","Ok")</f>
        <v>Comprar</v>
      </c>
    </row>
    <row r="8" spans="2:8" ht="15" thickBot="1" x14ac:dyDescent="0.35">
      <c r="B8" s="43" t="s">
        <v>73</v>
      </c>
      <c r="C8" s="44">
        <v>4</v>
      </c>
      <c r="D8" s="45">
        <v>9.4499999999999993</v>
      </c>
      <c r="E8" s="45">
        <f>D8*H$2+D8</f>
        <v>28.349999999999998</v>
      </c>
      <c r="F8" s="46">
        <v>45056</v>
      </c>
      <c r="G8" s="48">
        <f t="shared" ca="1" si="0"/>
        <v>76</v>
      </c>
      <c r="H8" s="21" t="str">
        <f>IF(C8&lt;10,"Comprar","Ok")</f>
        <v>Comprar</v>
      </c>
    </row>
  </sheetData>
  <mergeCells count="1">
    <mergeCell ref="B2:F2"/>
  </mergeCells>
  <conditionalFormatting sqref="H4:H8">
    <cfRule type="cellIs" dxfId="7" priority="1" operator="equal">
      <formula>"Comprar"</formula>
    </cfRule>
    <cfRule type="cellIs" dxfId="6" priority="2" operator="equal">
      <formula>"Ok"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D19F-4095-4B1B-B1D7-66BBA3F4760A}">
  <sheetPr codeName="Planilha8"/>
  <dimension ref="B1:K8"/>
  <sheetViews>
    <sheetView zoomScale="140" zoomScaleNormal="140" workbookViewId="0">
      <selection activeCell="J10" sqref="J10"/>
    </sheetView>
  </sheetViews>
  <sheetFormatPr defaultRowHeight="14.4" x14ac:dyDescent="0.3"/>
  <cols>
    <col min="2" max="6" width="11.21875" customWidth="1"/>
    <col min="7" max="7" width="10.21875" customWidth="1"/>
    <col min="8" max="8" width="11.21875" customWidth="1"/>
    <col min="9" max="9" width="2.6640625" customWidth="1"/>
    <col min="10" max="10" width="11.109375" bestFit="1" customWidth="1"/>
  </cols>
  <sheetData>
    <row r="1" spans="2:11" ht="15" thickBot="1" x14ac:dyDescent="0.35"/>
    <row r="2" spans="2:11" x14ac:dyDescent="0.3">
      <c r="B2" s="191" t="s">
        <v>87</v>
      </c>
      <c r="C2" s="212"/>
      <c r="D2" s="212"/>
      <c r="E2" s="212"/>
      <c r="F2" s="212"/>
      <c r="G2" s="212"/>
      <c r="H2" s="213"/>
      <c r="J2" s="214" t="s">
        <v>106</v>
      </c>
      <c r="K2" s="215"/>
    </row>
    <row r="3" spans="2:11" x14ac:dyDescent="0.3">
      <c r="B3" s="36" t="s">
        <v>86</v>
      </c>
      <c r="C3" s="9" t="s">
        <v>76</v>
      </c>
      <c r="D3" s="9" t="s">
        <v>77</v>
      </c>
      <c r="E3" s="9" t="s">
        <v>78</v>
      </c>
      <c r="F3" s="9" t="s">
        <v>79</v>
      </c>
      <c r="G3" s="9" t="s">
        <v>56</v>
      </c>
      <c r="H3" s="37" t="s">
        <v>80</v>
      </c>
      <c r="J3" s="29" t="s">
        <v>107</v>
      </c>
      <c r="K3" s="20">
        <f>COUNTIF(H4:H8,"APROVADO")</f>
        <v>3</v>
      </c>
    </row>
    <row r="4" spans="2:11" ht="15" thickBot="1" x14ac:dyDescent="0.35">
      <c r="B4" s="27" t="s">
        <v>82</v>
      </c>
      <c r="C4" s="5">
        <v>5</v>
      </c>
      <c r="D4" s="5">
        <v>5</v>
      </c>
      <c r="E4" s="5">
        <v>4</v>
      </c>
      <c r="F4" s="5">
        <v>1</v>
      </c>
      <c r="G4" s="5">
        <f>AVERAGE(C4:F4)</f>
        <v>3.75</v>
      </c>
      <c r="H4" s="20" t="str">
        <f>IF(G4&gt;=7,"APROVADO","REPROVADO")</f>
        <v>REPROVADO</v>
      </c>
      <c r="J4" s="30" t="s">
        <v>108</v>
      </c>
      <c r="K4" s="21">
        <f>COUNTIF(H4:H8,"REPROVADO")</f>
        <v>2</v>
      </c>
    </row>
    <row r="5" spans="2:11" x14ac:dyDescent="0.3">
      <c r="B5" s="27" t="s">
        <v>81</v>
      </c>
      <c r="C5" s="5">
        <v>10</v>
      </c>
      <c r="D5" s="5">
        <v>4</v>
      </c>
      <c r="E5" s="5">
        <v>8</v>
      </c>
      <c r="F5" s="5">
        <v>8</v>
      </c>
      <c r="G5" s="5">
        <f t="shared" ref="G5:G8" si="0">AVERAGE(C5:F5)</f>
        <v>7.5</v>
      </c>
      <c r="H5" s="20" t="str">
        <f t="shared" ref="H5:H8" si="1">IF(G5&gt;=7,"APROVADO","REPROVADO")</f>
        <v>APROVADO</v>
      </c>
    </row>
    <row r="6" spans="2:11" x14ac:dyDescent="0.3">
      <c r="B6" s="27" t="s">
        <v>83</v>
      </c>
      <c r="C6" s="5">
        <v>8</v>
      </c>
      <c r="D6" s="5">
        <v>8</v>
      </c>
      <c r="E6" s="5">
        <v>10</v>
      </c>
      <c r="F6" s="5">
        <v>8</v>
      </c>
      <c r="G6" s="5">
        <f t="shared" si="0"/>
        <v>8.5</v>
      </c>
      <c r="H6" s="20" t="str">
        <f t="shared" si="1"/>
        <v>APROVADO</v>
      </c>
    </row>
    <row r="7" spans="2:11" x14ac:dyDescent="0.3">
      <c r="B7" s="27" t="s">
        <v>84</v>
      </c>
      <c r="C7" s="5">
        <v>8</v>
      </c>
      <c r="D7" s="5">
        <v>1</v>
      </c>
      <c r="E7" s="5">
        <v>5</v>
      </c>
      <c r="F7" s="5">
        <v>8</v>
      </c>
      <c r="G7" s="5">
        <f t="shared" si="0"/>
        <v>5.5</v>
      </c>
      <c r="H7" s="20" t="str">
        <f t="shared" si="1"/>
        <v>REPROVADO</v>
      </c>
    </row>
    <row r="8" spans="2:11" ht="15" thickBot="1" x14ac:dyDescent="0.35">
      <c r="B8" s="28" t="s">
        <v>85</v>
      </c>
      <c r="C8" s="31">
        <v>7</v>
      </c>
      <c r="D8" s="31">
        <v>7</v>
      </c>
      <c r="E8" s="31">
        <v>5</v>
      </c>
      <c r="F8" s="31">
        <v>9</v>
      </c>
      <c r="G8" s="31">
        <f t="shared" si="0"/>
        <v>7</v>
      </c>
      <c r="H8" s="21" t="str">
        <f t="shared" si="1"/>
        <v>APROVADO</v>
      </c>
    </row>
  </sheetData>
  <mergeCells count="2">
    <mergeCell ref="B2:H2"/>
    <mergeCell ref="J2:K2"/>
  </mergeCells>
  <conditionalFormatting sqref="H4:H8">
    <cfRule type="cellIs" dxfId="5" priority="2" operator="equal">
      <formula>"Reprovado"</formula>
    </cfRule>
    <cfRule type="cellIs" dxfId="4" priority="4" operator="equal">
      <formula>"Aprovado"</formula>
    </cfRule>
  </conditionalFormatting>
  <conditionalFormatting sqref="C4:F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{E84DE47E-4B3F-4D53-A180-F208C164AAFC}</x14:id>
        </ext>
      </extLst>
    </cfRule>
  </conditionalFormatting>
  <dataValidations count="2">
    <dataValidation type="whole" allowBlank="1" showInputMessage="1" showErrorMessage="1" sqref="L6 B4:B8" xr:uid="{A34F9D8F-C25D-49AB-8E7B-CC05BC44586B}">
      <formula1>0</formula1>
      <formula2>10</formula2>
    </dataValidation>
    <dataValidation type="whole" allowBlank="1" showInputMessage="1" showErrorMessage="1" errorTitle="Nota Inválida" error="Coloque apenas notas de 0 a 10." sqref="C4:F8" xr:uid="{0EADC666-2263-4062-A62A-804A5214AE0D}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121" orientation="portrait" horizontalDpi="203" verticalDpi="203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4DE47E-4B3F-4D53-A180-F208C164A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C4:F8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6325-2830-4CAC-837C-A9EB4B25EA0C}">
  <sheetPr codeName="Planilha9"/>
  <dimension ref="B1:I16"/>
  <sheetViews>
    <sheetView zoomScale="140" zoomScaleNormal="140" workbookViewId="0">
      <selection activeCell="I15" sqref="I15"/>
    </sheetView>
  </sheetViews>
  <sheetFormatPr defaultRowHeight="14.4" x14ac:dyDescent="0.3"/>
  <cols>
    <col min="2" max="2" width="11.33203125" bestFit="1" customWidth="1"/>
    <col min="3" max="8" width="13.109375" bestFit="1" customWidth="1"/>
    <col min="9" max="9" width="13.6640625" bestFit="1" customWidth="1"/>
  </cols>
  <sheetData>
    <row r="1" spans="2:9" ht="15" thickBot="1" x14ac:dyDescent="0.35"/>
    <row r="2" spans="2:9" x14ac:dyDescent="0.3">
      <c r="B2" s="191" t="s">
        <v>88</v>
      </c>
      <c r="C2" s="192"/>
      <c r="D2" s="192"/>
      <c r="E2" s="192"/>
      <c r="F2" s="192"/>
      <c r="G2" s="192"/>
      <c r="H2" s="192"/>
      <c r="I2" s="193"/>
    </row>
    <row r="3" spans="2:9" x14ac:dyDescent="0.3">
      <c r="B3" s="216" t="s">
        <v>89</v>
      </c>
      <c r="C3" s="5" t="s">
        <v>59</v>
      </c>
      <c r="D3" s="5" t="s">
        <v>60</v>
      </c>
      <c r="E3" s="5" t="s">
        <v>61</v>
      </c>
      <c r="F3" s="5" t="s">
        <v>67</v>
      </c>
      <c r="G3" s="5" t="s">
        <v>68</v>
      </c>
      <c r="H3" s="5" t="s">
        <v>69</v>
      </c>
      <c r="I3" s="163" t="s">
        <v>112</v>
      </c>
    </row>
    <row r="4" spans="2:9" ht="15" thickBot="1" x14ac:dyDescent="0.35">
      <c r="B4" s="217"/>
      <c r="C4" s="34">
        <v>10000</v>
      </c>
      <c r="D4" s="34">
        <v>15000</v>
      </c>
      <c r="E4" s="34">
        <v>5000</v>
      </c>
      <c r="F4" s="34">
        <v>10000</v>
      </c>
      <c r="G4" s="34">
        <v>15000</v>
      </c>
      <c r="H4" s="34">
        <v>12000</v>
      </c>
      <c r="I4" s="164">
        <f>SUM(C4:H4)</f>
        <v>67000</v>
      </c>
    </row>
    <row r="5" spans="2:9" ht="15" thickBot="1" x14ac:dyDescent="0.35">
      <c r="C5" s="14"/>
      <c r="D5" s="14"/>
      <c r="E5" s="14"/>
      <c r="F5" s="14"/>
      <c r="G5" s="14"/>
      <c r="H5" s="14"/>
    </row>
    <row r="6" spans="2:9" x14ac:dyDescent="0.3">
      <c r="B6" s="218" t="s">
        <v>90</v>
      </c>
      <c r="C6" s="219"/>
      <c r="D6" s="219"/>
      <c r="E6" s="219"/>
      <c r="F6" s="219"/>
      <c r="G6" s="219"/>
      <c r="H6" s="219"/>
      <c r="I6" s="161" t="s">
        <v>112</v>
      </c>
    </row>
    <row r="7" spans="2:9" x14ac:dyDescent="0.3">
      <c r="B7" s="18" t="s">
        <v>91</v>
      </c>
      <c r="C7" s="13">
        <v>1500</v>
      </c>
      <c r="D7" s="13">
        <v>1500</v>
      </c>
      <c r="E7" s="13">
        <v>1500</v>
      </c>
      <c r="F7" s="13">
        <v>1500</v>
      </c>
      <c r="G7" s="13">
        <v>1500</v>
      </c>
      <c r="H7" s="13">
        <v>1500</v>
      </c>
      <c r="I7" s="165">
        <f t="shared" ref="I7:I12" si="0">SUM(C7:H7)</f>
        <v>9000</v>
      </c>
    </row>
    <row r="8" spans="2:9" x14ac:dyDescent="0.3">
      <c r="B8" s="18" t="s">
        <v>92</v>
      </c>
      <c r="C8" s="13">
        <v>150</v>
      </c>
      <c r="D8" s="13">
        <v>100</v>
      </c>
      <c r="E8" s="13">
        <v>150</v>
      </c>
      <c r="F8" s="13">
        <v>100</v>
      </c>
      <c r="G8" s="13">
        <v>150</v>
      </c>
      <c r="H8" s="13">
        <v>100</v>
      </c>
      <c r="I8" s="165">
        <f t="shared" si="0"/>
        <v>750</v>
      </c>
    </row>
    <row r="9" spans="2:9" x14ac:dyDescent="0.3">
      <c r="B9" s="18" t="s">
        <v>93</v>
      </c>
      <c r="C9" s="13">
        <v>200</v>
      </c>
      <c r="D9" s="13">
        <v>200</v>
      </c>
      <c r="E9" s="13">
        <v>200</v>
      </c>
      <c r="F9" s="13">
        <v>200</v>
      </c>
      <c r="G9" s="13">
        <v>200</v>
      </c>
      <c r="H9" s="13">
        <v>200</v>
      </c>
      <c r="I9" s="165">
        <f t="shared" si="0"/>
        <v>1200</v>
      </c>
    </row>
    <row r="10" spans="2:9" x14ac:dyDescent="0.3">
      <c r="B10" s="18" t="s">
        <v>94</v>
      </c>
      <c r="C10" s="13">
        <v>600</v>
      </c>
      <c r="D10" s="13">
        <v>550</v>
      </c>
      <c r="E10" s="13">
        <v>1000</v>
      </c>
      <c r="F10" s="13">
        <v>1200</v>
      </c>
      <c r="G10" s="13">
        <v>550</v>
      </c>
      <c r="H10" s="13">
        <v>650</v>
      </c>
      <c r="I10" s="165">
        <f t="shared" si="0"/>
        <v>4550</v>
      </c>
    </row>
    <row r="11" spans="2:9" x14ac:dyDescent="0.3">
      <c r="B11" s="18" t="s">
        <v>95</v>
      </c>
      <c r="C11" s="13">
        <v>2000</v>
      </c>
      <c r="D11" s="13">
        <v>2500</v>
      </c>
      <c r="E11" s="13">
        <v>1500</v>
      </c>
      <c r="F11" s="13">
        <v>2000</v>
      </c>
      <c r="G11" s="13">
        <v>1960</v>
      </c>
      <c r="H11" s="13">
        <v>1500</v>
      </c>
      <c r="I11" s="165">
        <f t="shared" si="0"/>
        <v>11460</v>
      </c>
    </row>
    <row r="12" spans="2:9" ht="15" thickBot="1" x14ac:dyDescent="0.35">
      <c r="B12" s="19" t="s">
        <v>98</v>
      </c>
      <c r="C12" s="34">
        <v>5000</v>
      </c>
      <c r="D12" s="34">
        <v>1000</v>
      </c>
      <c r="E12" s="34">
        <v>1000</v>
      </c>
      <c r="F12" s="34">
        <v>1500</v>
      </c>
      <c r="G12" s="34">
        <v>1560</v>
      </c>
      <c r="H12" s="34">
        <v>5000</v>
      </c>
      <c r="I12" s="164">
        <f t="shared" si="0"/>
        <v>15060</v>
      </c>
    </row>
    <row r="13" spans="2:9" x14ac:dyDescent="0.3">
      <c r="C13" s="14"/>
      <c r="D13" s="14"/>
      <c r="E13" s="14"/>
      <c r="F13" s="14"/>
      <c r="G13" s="14"/>
      <c r="H13" s="14"/>
    </row>
    <row r="14" spans="2:9" x14ac:dyDescent="0.3">
      <c r="B14" s="162" t="s">
        <v>99</v>
      </c>
      <c r="C14" s="15">
        <f>SUM(C7:C12)</f>
        <v>9450</v>
      </c>
      <c r="D14" s="15">
        <f t="shared" ref="D14:G14" si="1">SUM(D7:D12)</f>
        <v>5850</v>
      </c>
      <c r="E14" s="15">
        <f t="shared" si="1"/>
        <v>5350</v>
      </c>
      <c r="F14" s="15">
        <f t="shared" si="1"/>
        <v>6500</v>
      </c>
      <c r="G14" s="15">
        <f t="shared" si="1"/>
        <v>5920</v>
      </c>
      <c r="H14" s="15">
        <f>SUM(H7:H12)</f>
        <v>8950</v>
      </c>
    </row>
    <row r="15" spans="2:9" x14ac:dyDescent="0.3">
      <c r="B15" s="162" t="s">
        <v>96</v>
      </c>
      <c r="C15" s="15">
        <f>C4-C14</f>
        <v>550</v>
      </c>
      <c r="D15" s="15">
        <f t="shared" ref="D15:H15" si="2">D4-D14</f>
        <v>9150</v>
      </c>
      <c r="E15" s="15">
        <f t="shared" si="2"/>
        <v>-350</v>
      </c>
      <c r="F15" s="15">
        <f t="shared" si="2"/>
        <v>3500</v>
      </c>
      <c r="G15" s="15">
        <f t="shared" si="2"/>
        <v>9080</v>
      </c>
      <c r="H15" s="15">
        <f t="shared" si="2"/>
        <v>3050</v>
      </c>
    </row>
    <row r="16" spans="2:9" x14ac:dyDescent="0.3">
      <c r="B16" s="162" t="s">
        <v>97</v>
      </c>
      <c r="C16" s="2" t="str">
        <f>IF(C15&lt;1000,"Prejuízo Total",IF(C15&lt;=3000,"Lucro Médio",IF(C15&gt;5000,"Lucro Total")))</f>
        <v>Prejuízo Total</v>
      </c>
      <c r="D16" s="2" t="str">
        <f t="shared" ref="D16:G16" si="3">IF(D15&lt;1000,"Prejuízo Total",IF(D15&lt;=3000,"Lucro Médio",IF(D15&gt;5000,"Lucro Total")))</f>
        <v>Lucro Total</v>
      </c>
      <c r="E16" s="2" t="str">
        <f t="shared" si="3"/>
        <v>Prejuízo Total</v>
      </c>
      <c r="F16" s="2" t="str">
        <f>IF(F15&lt;1000,"Prejuízo Total",IF(F15&lt;=4000,"Lucro Médio",IF(F15&gt;5000,"Lucro Total")))</f>
        <v>Lucro Médio</v>
      </c>
      <c r="G16" s="2" t="str">
        <f t="shared" si="3"/>
        <v>Lucro Total</v>
      </c>
      <c r="H16" s="2" t="str">
        <f>IF(H15&lt;1000,"Prejuízo Total",IF(H15&lt;=4000,"Lucro Médio",IF(H15&gt;5000,"Lucro Total")))</f>
        <v>Lucro Médio</v>
      </c>
    </row>
  </sheetData>
  <sheetProtection selectLockedCells="1" selectUnlockedCells="1"/>
  <mergeCells count="3">
    <mergeCell ref="B3:B4"/>
    <mergeCell ref="B6:H6"/>
    <mergeCell ref="B2:I2"/>
  </mergeCells>
  <conditionalFormatting sqref="C16:H16">
    <cfRule type="cellIs" dxfId="3" priority="1" operator="equal">
      <formula>"Lucro Total"</formula>
    </cfRule>
    <cfRule type="cellIs" dxfId="2" priority="2" operator="equal">
      <formula>"Lucro Médio"</formula>
    </cfRule>
    <cfRule type="cellIs" dxfId="1" priority="4" operator="equal">
      <formula>"Prejuízo Total"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Controle de Estoque</vt:lpstr>
      <vt:lpstr>Folha Simplificada</vt:lpstr>
      <vt:lpstr>Controle Estoque_Lucro</vt:lpstr>
      <vt:lpstr>Recibo</vt:lpstr>
      <vt:lpstr>Empre Nacional</vt:lpstr>
      <vt:lpstr>concatenar</vt:lpstr>
      <vt:lpstr>Estoque Data</vt:lpstr>
      <vt:lpstr>Boletim Escolar</vt:lpstr>
      <vt:lpstr>Financeiro Receitas</vt:lpstr>
      <vt:lpstr>Relatorio com Filtros</vt:lpstr>
      <vt:lpstr>Procv</vt:lpstr>
      <vt:lpstr>Comissoes</vt:lpstr>
      <vt:lpstr>ProcH</vt:lpstr>
      <vt:lpstr>Orçamento</vt:lpstr>
      <vt:lpstr>Estoque</vt:lpstr>
      <vt:lpstr>Credito</vt:lpstr>
      <vt:lpstr>Função Pgto</vt:lpstr>
      <vt:lpstr>Fluxo de caixa</vt:lpstr>
      <vt:lpstr>Relatorio de Faturamento</vt:lpstr>
      <vt:lpstr>Folha de pagamento</vt:lpstr>
      <vt:lpstr>Pedido de compra</vt:lpstr>
      <vt:lpstr>Aumento de salario</vt:lpstr>
      <vt:lpstr>Cardapio</vt:lpstr>
      <vt:lpstr>comanda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 ferreira</dc:creator>
  <cp:lastModifiedBy>tais ferreira</cp:lastModifiedBy>
  <dcterms:created xsi:type="dcterms:W3CDTF">2023-01-27T22:09:19Z</dcterms:created>
  <dcterms:modified xsi:type="dcterms:W3CDTF">2023-02-23T16:36:46Z</dcterms:modified>
</cp:coreProperties>
</file>