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478C862-9440-480D-90DF-564D617983C0}" xr6:coauthVersionLast="47" xr6:coauthVersionMax="47" xr10:uidLastSave="{00000000-0000-0000-0000-000000000000}"/>
  <bookViews>
    <workbookView xWindow="39430" yWindow="1720" windowWidth="26400" windowHeight="1803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76" i="2" l="1"/>
  <c r="AL76" i="2"/>
  <c r="AK76" i="2"/>
  <c r="AJ20" i="2"/>
  <c r="AJ23" i="2" s="1"/>
  <c r="AJ45" i="2" s="1"/>
  <c r="AJ83" i="2"/>
  <c r="AJ84" i="2" s="1"/>
  <c r="AJ79" i="2"/>
  <c r="AJ80" i="2" s="1"/>
  <c r="AJ73" i="2"/>
  <c r="AJ74" i="2" s="1"/>
  <c r="AJ95" i="2" s="1"/>
  <c r="AJ64" i="2"/>
  <c r="AJ48" i="2"/>
  <c r="AJ47" i="2" s="1"/>
  <c r="AJ31" i="2"/>
  <c r="AJ29" i="2"/>
  <c r="BO88" i="2"/>
  <c r="BO85" i="2"/>
  <c r="BO82" i="2"/>
  <c r="BO78" i="2"/>
  <c r="BO77" i="2"/>
  <c r="BO76" i="2"/>
  <c r="BO72" i="2"/>
  <c r="BO71" i="2"/>
  <c r="BO70" i="2"/>
  <c r="BO69" i="2"/>
  <c r="BO68" i="2"/>
  <c r="BO67" i="2"/>
  <c r="BO63" i="2"/>
  <c r="BO62" i="2"/>
  <c r="BO61" i="2"/>
  <c r="BO60" i="2"/>
  <c r="BO59" i="2"/>
  <c r="BO58" i="2"/>
  <c r="BO57" i="2"/>
  <c r="BO64" i="2" s="1"/>
  <c r="BO54" i="2"/>
  <c r="BO53" i="2"/>
  <c r="BO52" i="2"/>
  <c r="BO51" i="2"/>
  <c r="BO50" i="2"/>
  <c r="BO49" i="2"/>
  <c r="BP63" i="2"/>
  <c r="BP62" i="2"/>
  <c r="BP61" i="2"/>
  <c r="BP60" i="2"/>
  <c r="BP59" i="2"/>
  <c r="BP58" i="2"/>
  <c r="BP57" i="2"/>
  <c r="BP64" i="2" s="1"/>
  <c r="BP54" i="2"/>
  <c r="BP53" i="2"/>
  <c r="BP52" i="2"/>
  <c r="BP51" i="2"/>
  <c r="BP50" i="2"/>
  <c r="BP49" i="2"/>
  <c r="BP72" i="2"/>
  <c r="BP71" i="2"/>
  <c r="BP70" i="2"/>
  <c r="BP69" i="2"/>
  <c r="BP68" i="2"/>
  <c r="BP67" i="2"/>
  <c r="BP85" i="2"/>
  <c r="BP82" i="2"/>
  <c r="BP78" i="2"/>
  <c r="BP77" i="2"/>
  <c r="BP76" i="2"/>
  <c r="BP88" i="2"/>
  <c r="BQ88" i="2"/>
  <c r="BR34" i="2"/>
  <c r="BQ34" i="2"/>
  <c r="BR9" i="2"/>
  <c r="BS9" i="2" s="1"/>
  <c r="BT9" i="2" s="1"/>
  <c r="BU9" i="2" s="1"/>
  <c r="BV9" i="2" s="1"/>
  <c r="BW9" i="2" s="1"/>
  <c r="AL6" i="2"/>
  <c r="AK6" i="2"/>
  <c r="AL3" i="2"/>
  <c r="AK3" i="2"/>
  <c r="AL9" i="2"/>
  <c r="AK9" i="2"/>
  <c r="AI83" i="2"/>
  <c r="AI84" i="2"/>
  <c r="AI79" i="2"/>
  <c r="AI80" i="2" s="1"/>
  <c r="AI73" i="2"/>
  <c r="AI20" i="2"/>
  <c r="AI23" i="2" s="1"/>
  <c r="AL27" i="2"/>
  <c r="AK27" i="2"/>
  <c r="AK34" i="2"/>
  <c r="AL34" i="2" s="1"/>
  <c r="AI74" i="2"/>
  <c r="AI95" i="2" s="1"/>
  <c r="AI64" i="2"/>
  <c r="AI48" i="2"/>
  <c r="AI55" i="2" s="1"/>
  <c r="AI47" i="2"/>
  <c r="BQ3" i="2"/>
  <c r="BQ6" i="2"/>
  <c r="BP3" i="2"/>
  <c r="BP6" i="2"/>
  <c r="BO6" i="2"/>
  <c r="BO3" i="2"/>
  <c r="BO102" i="2"/>
  <c r="BP102" i="2"/>
  <c r="BP103" i="2" s="1"/>
  <c r="BQ102" i="2"/>
  <c r="BQ103" i="2" s="1"/>
  <c r="BQ85" i="2"/>
  <c r="BQ82" i="2"/>
  <c r="BQ78" i="2"/>
  <c r="BQ77" i="2"/>
  <c r="BQ76" i="2"/>
  <c r="BQ72" i="2"/>
  <c r="BQ71" i="2"/>
  <c r="BQ70" i="2"/>
  <c r="BQ69" i="2"/>
  <c r="BQ68" i="2"/>
  <c r="BQ67" i="2"/>
  <c r="BQ48" i="2"/>
  <c r="BQ55" i="2" s="1"/>
  <c r="BQ63" i="2"/>
  <c r="BQ62" i="2"/>
  <c r="BQ61" i="2"/>
  <c r="BQ60" i="2"/>
  <c r="BQ59" i="2"/>
  <c r="BQ58" i="2"/>
  <c r="BQ64" i="2" s="1"/>
  <c r="BQ57" i="2"/>
  <c r="BQ54" i="2"/>
  <c r="BQ53" i="2"/>
  <c r="BQ52" i="2"/>
  <c r="BQ51" i="2"/>
  <c r="BQ50" i="2"/>
  <c r="BQ49" i="2"/>
  <c r="BO19" i="2"/>
  <c r="BO18" i="2"/>
  <c r="BP19" i="2"/>
  <c r="BP18" i="2"/>
  <c r="BQ19" i="2"/>
  <c r="BQ18" i="2"/>
  <c r="BP16" i="2"/>
  <c r="BP15" i="2"/>
  <c r="BP14" i="2"/>
  <c r="BP13" i="2"/>
  <c r="BP12" i="2"/>
  <c r="BP11" i="2"/>
  <c r="BP9" i="2"/>
  <c r="BQ16" i="2"/>
  <c r="BQ15" i="2"/>
  <c r="BQ14" i="2"/>
  <c r="BQ13" i="2"/>
  <c r="BQ12" i="2"/>
  <c r="BQ11" i="2"/>
  <c r="BQ9" i="2"/>
  <c r="BO11" i="2"/>
  <c r="AH83" i="2"/>
  <c r="AH84" i="2" s="1"/>
  <c r="AH79" i="2"/>
  <c r="AH80" i="2" s="1"/>
  <c r="AH73" i="2"/>
  <c r="AH74" i="2" s="1"/>
  <c r="AH95" i="2" s="1"/>
  <c r="AH64" i="2"/>
  <c r="AH48" i="2"/>
  <c r="AH47" i="2" s="1"/>
  <c r="AI26" i="2"/>
  <c r="AI25" i="2"/>
  <c r="AI24" i="2"/>
  <c r="AJ27" i="2"/>
  <c r="AH29" i="2"/>
  <c r="AH27" i="2"/>
  <c r="AG83" i="2"/>
  <c r="AG84" i="2" s="1"/>
  <c r="AG79" i="2"/>
  <c r="AG80" i="2" s="1"/>
  <c r="AG73" i="2"/>
  <c r="AG74" i="2" s="1"/>
  <c r="AG95" i="2" s="1"/>
  <c r="AJ96" i="2" s="1"/>
  <c r="AG64" i="2"/>
  <c r="AG48" i="2"/>
  <c r="AG47" i="2" s="1"/>
  <c r="AG31" i="2"/>
  <c r="AG29" i="2"/>
  <c r="AG27" i="2"/>
  <c r="AF64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I86" i="2" l="1"/>
  <c r="AJ55" i="2"/>
  <c r="AJ86" i="2"/>
  <c r="BQ47" i="2"/>
  <c r="BQ20" i="2"/>
  <c r="BP20" i="2"/>
  <c r="AG86" i="2"/>
  <c r="AG55" i="2"/>
  <c r="AI27" i="2"/>
  <c r="AH55" i="2"/>
  <c r="AH86" i="2"/>
  <c r="AF83" i="2" l="1"/>
  <c r="AF84" i="2" s="1"/>
  <c r="AF79" i="2"/>
  <c r="AF80" i="2" s="1"/>
  <c r="AF73" i="2"/>
  <c r="AF74" i="2" s="1"/>
  <c r="AF95" i="2" s="1"/>
  <c r="AI96" i="2" s="1"/>
  <c r="AF48" i="2"/>
  <c r="AF55" i="2"/>
  <c r="AF31" i="2"/>
  <c r="AF29" i="2"/>
  <c r="AF26" i="2"/>
  <c r="AF27" i="2" s="1"/>
  <c r="Q83" i="2"/>
  <c r="Q84" i="2" s="1"/>
  <c r="Q79" i="2"/>
  <c r="Q80" i="2" s="1"/>
  <c r="Q73" i="2"/>
  <c r="Q74" i="2" s="1"/>
  <c r="Q95" i="2" s="1"/>
  <c r="Q64" i="2"/>
  <c r="Q48" i="2"/>
  <c r="Q55" i="2" s="1"/>
  <c r="Q47" i="2"/>
  <c r="P83" i="2"/>
  <c r="P84" i="2" s="1"/>
  <c r="P79" i="2"/>
  <c r="P80" i="2" s="1"/>
  <c r="P73" i="2"/>
  <c r="P74" i="2" s="1"/>
  <c r="P95" i="2" s="1"/>
  <c r="P48" i="2"/>
  <c r="P55" i="2" s="1"/>
  <c r="P64" i="2"/>
  <c r="O83" i="2"/>
  <c r="O84" i="2" s="1"/>
  <c r="O79" i="2"/>
  <c r="O80" i="2" s="1"/>
  <c r="O73" i="2"/>
  <c r="O74" i="2" s="1"/>
  <c r="O95" i="2" s="1"/>
  <c r="O48" i="2"/>
  <c r="O55" i="2" s="1"/>
  <c r="O64" i="2"/>
  <c r="AF44" i="2"/>
  <c r="AF43" i="2"/>
  <c r="AF42" i="2"/>
  <c r="AF41" i="2"/>
  <c r="AF40" i="2"/>
  <c r="AF38" i="2"/>
  <c r="AE83" i="2"/>
  <c r="AE79" i="2"/>
  <c r="AE73" i="2"/>
  <c r="AD83" i="2"/>
  <c r="AD84" i="2" s="1"/>
  <c r="AD79" i="2"/>
  <c r="AD80" i="2" s="1"/>
  <c r="AD73" i="2"/>
  <c r="AD74" i="2" s="1"/>
  <c r="AD95" i="2" s="1"/>
  <c r="AD29" i="2"/>
  <c r="AD64" i="2"/>
  <c r="AD48" i="2"/>
  <c r="AE20" i="2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5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5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5" i="2" s="1"/>
  <c r="R64" i="2"/>
  <c r="R48" i="2"/>
  <c r="R47" i="2" s="1"/>
  <c r="S83" i="2"/>
  <c r="S84" i="2" s="1"/>
  <c r="S79" i="2"/>
  <c r="S80" i="2" s="1"/>
  <c r="S73" i="2"/>
  <c r="S74" i="2" s="1"/>
  <c r="S95" i="2" s="1"/>
  <c r="S64" i="2"/>
  <c r="S48" i="2"/>
  <c r="S55" i="2" s="1"/>
  <c r="T83" i="2"/>
  <c r="T84" i="2" s="1"/>
  <c r="T79" i="2"/>
  <c r="T80" i="2" s="1"/>
  <c r="T73" i="2"/>
  <c r="T74" i="2" s="1"/>
  <c r="T95" i="2" s="1"/>
  <c r="T64" i="2"/>
  <c r="T48" i="2"/>
  <c r="T55" i="2" s="1"/>
  <c r="T47" i="2"/>
  <c r="U83" i="2"/>
  <c r="U84" i="2" s="1"/>
  <c r="U79" i="2"/>
  <c r="U80" i="2" s="1"/>
  <c r="U73" i="2"/>
  <c r="U74" i="2" s="1"/>
  <c r="U95" i="2" s="1"/>
  <c r="U64" i="2"/>
  <c r="U48" i="2"/>
  <c r="U47" i="2" s="1"/>
  <c r="V83" i="2"/>
  <c r="V84" i="2" s="1"/>
  <c r="V79" i="2"/>
  <c r="V80" i="2" s="1"/>
  <c r="V73" i="2"/>
  <c r="V74" i="2" s="1"/>
  <c r="V95" i="2" s="1"/>
  <c r="V64" i="2"/>
  <c r="V48" i="2"/>
  <c r="V47" i="2" s="1"/>
  <c r="Z83" i="2"/>
  <c r="Z84" i="2" s="1"/>
  <c r="Z79" i="2"/>
  <c r="Z80" i="2" s="1"/>
  <c r="Z73" i="2"/>
  <c r="Z74" i="2" s="1"/>
  <c r="Z95" i="2" s="1"/>
  <c r="AA83" i="2"/>
  <c r="AA79" i="2"/>
  <c r="AA73" i="2"/>
  <c r="AA64" i="2"/>
  <c r="AA53" i="2"/>
  <c r="AA48" i="2"/>
  <c r="AE80" i="2" l="1"/>
  <c r="BQ79" i="2"/>
  <c r="BQ80" i="2" s="1"/>
  <c r="AA74" i="2"/>
  <c r="AA95" i="2" s="1"/>
  <c r="BP73" i="2"/>
  <c r="BP74" i="2" s="1"/>
  <c r="BP95" i="2" s="1"/>
  <c r="AA80" i="2"/>
  <c r="BP79" i="2"/>
  <c r="BP80" i="2" s="1"/>
  <c r="AD55" i="2"/>
  <c r="BP48" i="2"/>
  <c r="AA84" i="2"/>
  <c r="BP83" i="2"/>
  <c r="BP84" i="2" s="1"/>
  <c r="BP86" i="2" s="1"/>
  <c r="AE84" i="2"/>
  <c r="AE86" i="2" s="1"/>
  <c r="BQ83" i="2"/>
  <c r="BQ84" i="2" s="1"/>
  <c r="AE74" i="2"/>
  <c r="AE95" i="2" s="1"/>
  <c r="AH96" i="2" s="1"/>
  <c r="BQ73" i="2"/>
  <c r="BQ74" i="2" s="1"/>
  <c r="BQ95" i="2" s="1"/>
  <c r="AL44" i="2"/>
  <c r="AH44" i="2"/>
  <c r="AL38" i="2"/>
  <c r="AH38" i="2"/>
  <c r="AL39" i="2"/>
  <c r="AH39" i="2"/>
  <c r="AG38" i="2"/>
  <c r="AK38" i="2"/>
  <c r="AK39" i="2"/>
  <c r="AG39" i="2"/>
  <c r="AK44" i="2"/>
  <c r="AG44" i="2"/>
  <c r="AF96" i="2"/>
  <c r="AD47" i="2"/>
  <c r="AF86" i="2"/>
  <c r="AH20" i="2"/>
  <c r="AF47" i="2"/>
  <c r="AG20" i="2"/>
  <c r="P47" i="2"/>
  <c r="AE36" i="2"/>
  <c r="AA55" i="2"/>
  <c r="AF20" i="2"/>
  <c r="AF39" i="2"/>
  <c r="S96" i="2"/>
  <c r="AC86" i="2"/>
  <c r="U96" i="2"/>
  <c r="P86" i="2"/>
  <c r="T96" i="2"/>
  <c r="Q86" i="2"/>
  <c r="R96" i="2"/>
  <c r="AD86" i="2"/>
  <c r="AE23" i="2"/>
  <c r="AE28" i="2" s="1"/>
  <c r="AE30" i="2" s="1"/>
  <c r="AE32" i="2" s="1"/>
  <c r="O86" i="2"/>
  <c r="O47" i="2"/>
  <c r="AE96" i="2"/>
  <c r="AB86" i="2"/>
  <c r="AC96" i="2"/>
  <c r="AD96" i="2"/>
  <c r="AC47" i="2"/>
  <c r="AE47" i="2"/>
  <c r="AB47" i="2"/>
  <c r="V96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4" i="2"/>
  <c r="Y44" i="2"/>
  <c r="X44" i="2"/>
  <c r="W44" i="2"/>
  <c r="V44" i="2"/>
  <c r="Z39" i="2"/>
  <c r="Z38" i="2"/>
  <c r="Z29" i="2"/>
  <c r="Y20" i="2"/>
  <c r="Y23" i="2" s="1"/>
  <c r="AQ36" i="2"/>
  <c r="AR102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5" i="2" s="1"/>
  <c r="AB96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5" i="2" s="1"/>
  <c r="W83" i="2"/>
  <c r="W79" i="2"/>
  <c r="W73" i="2"/>
  <c r="X64" i="2"/>
  <c r="X48" i="2"/>
  <c r="X55" i="2" s="1"/>
  <c r="W74" i="2" l="1"/>
  <c r="BO73" i="2"/>
  <c r="BO74" i="2" s="1"/>
  <c r="W80" i="2"/>
  <c r="BO79" i="2"/>
  <c r="BO80" i="2" s="1"/>
  <c r="BQ86" i="2"/>
  <c r="W84" i="2"/>
  <c r="BO83" i="2"/>
  <c r="BO84" i="2" s="1"/>
  <c r="BO86" i="2" s="1"/>
  <c r="Z47" i="2"/>
  <c r="BO48" i="2"/>
  <c r="AG96" i="2"/>
  <c r="BP55" i="2"/>
  <c r="BP47" i="2"/>
  <c r="AI36" i="2"/>
  <c r="AJ28" i="2"/>
  <c r="AJ30" i="2" s="1"/>
  <c r="AJ32" i="2" s="1"/>
  <c r="AK20" i="2"/>
  <c r="AK36" i="2" s="1"/>
  <c r="AG23" i="2"/>
  <c r="AG28" i="2" s="1"/>
  <c r="AG30" i="2" s="1"/>
  <c r="AG32" i="2" s="1"/>
  <c r="AL20" i="2"/>
  <c r="AL23" i="2" s="1"/>
  <c r="AH23" i="2"/>
  <c r="AH28" i="2" s="1"/>
  <c r="AH30" i="2" s="1"/>
  <c r="AH32" i="2" s="1"/>
  <c r="AI45" i="2"/>
  <c r="AI28" i="2"/>
  <c r="AI30" i="2" s="1"/>
  <c r="AF23" i="2"/>
  <c r="AF28" i="2" s="1"/>
  <c r="AJ36" i="2"/>
  <c r="AG45" i="2"/>
  <c r="AG36" i="2"/>
  <c r="AH36" i="2"/>
  <c r="AL36" i="2"/>
  <c r="AF36" i="2"/>
  <c r="AE33" i="2"/>
  <c r="AE66" i="2"/>
  <c r="AF45" i="2"/>
  <c r="AF30" i="2"/>
  <c r="Y28" i="2"/>
  <c r="W95" i="2"/>
  <c r="Z96" i="2" s="1"/>
  <c r="AA96" i="2"/>
  <c r="AE45" i="2"/>
  <c r="AV28" i="2"/>
  <c r="AV30" i="2" s="1"/>
  <c r="AV32" i="2" s="1"/>
  <c r="AV33" i="2" s="1"/>
  <c r="AA45" i="2"/>
  <c r="Y55" i="2"/>
  <c r="Y47" i="2"/>
  <c r="Z55" i="2"/>
  <c r="AT28" i="2"/>
  <c r="AT30" i="2" s="1"/>
  <c r="AT32" i="2" s="1"/>
  <c r="AT33" i="2" s="1"/>
  <c r="AU28" i="2"/>
  <c r="AU30" i="2" s="1"/>
  <c r="AU32" i="2" s="1"/>
  <c r="AU33" i="2" s="1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BO55" i="2" l="1"/>
  <c r="BO47" i="2"/>
  <c r="AL45" i="2"/>
  <c r="AL28" i="2"/>
  <c r="AL30" i="2" s="1"/>
  <c r="AL32" i="2" s="1"/>
  <c r="AL33" i="2" s="1"/>
  <c r="AJ33" i="2"/>
  <c r="AJ66" i="2"/>
  <c r="AH45" i="2"/>
  <c r="Y96" i="2"/>
  <c r="AI31" i="2"/>
  <c r="AI32" i="2"/>
  <c r="W96" i="2"/>
  <c r="AH33" i="2"/>
  <c r="AH66" i="2"/>
  <c r="AG33" i="2"/>
  <c r="AG66" i="2"/>
  <c r="AK23" i="2"/>
  <c r="X96" i="2"/>
  <c r="AF32" i="2"/>
  <c r="AF66" i="2" s="1"/>
  <c r="AA36" i="2"/>
  <c r="U23" i="2"/>
  <c r="U28" i="2" s="1"/>
  <c r="Y36" i="2"/>
  <c r="BO9" i="2"/>
  <c r="BO20" i="2" s="1"/>
  <c r="BQ44" i="2"/>
  <c r="BO29" i="2"/>
  <c r="BP24" i="2"/>
  <c r="BQ24" i="2" s="1"/>
  <c r="BR24" i="2" s="1"/>
  <c r="BS24" i="2" s="1"/>
  <c r="BT24" i="2" s="1"/>
  <c r="BG28" i="2"/>
  <c r="BG30" i="2" s="1"/>
  <c r="BG32" i="2" s="1"/>
  <c r="BG33" i="2" s="1"/>
  <c r="BR13" i="2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R16" i="2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R12" i="2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43" i="2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34" i="2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V28" i="2"/>
  <c r="AK45" i="2" l="1"/>
  <c r="AK28" i="2"/>
  <c r="AK30" i="2" s="1"/>
  <c r="AK32" i="2" s="1"/>
  <c r="AK33" i="2" s="1"/>
  <c r="AI33" i="2"/>
  <c r="AI66" i="2"/>
  <c r="U45" i="2"/>
  <c r="AF33" i="2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43" i="2"/>
  <c r="BN28" i="2"/>
  <c r="BN30" i="2" s="1"/>
  <c r="BN32" i="2" s="1"/>
  <c r="BN33" i="2" s="1"/>
  <c r="BO27" i="2"/>
  <c r="AD36" i="2"/>
  <c r="X28" i="2"/>
  <c r="X30" i="2" s="1"/>
  <c r="BR14" i="2"/>
  <c r="BQ42" i="2"/>
  <c r="BS13" i="2"/>
  <c r="BR41" i="2"/>
  <c r="BP40" i="2"/>
  <c r="BP36" i="2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T44" i="2"/>
  <c r="BW24" i="2"/>
  <c r="BW27" i="2" s="1"/>
  <c r="BV27" i="2"/>
  <c r="AC33" i="2" l="1"/>
  <c r="AC66" i="2"/>
  <c r="AB33" i="2"/>
  <c r="AB66" i="2"/>
  <c r="BO32" i="2"/>
  <c r="AD32" i="2"/>
  <c r="BP32" i="2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U44" i="2"/>
  <c r="BP33" i="2" l="1"/>
  <c r="BP66" i="2"/>
  <c r="BO33" i="2"/>
  <c r="BO66" i="2"/>
  <c r="AD33" i="2"/>
  <c r="AD66" i="2"/>
  <c r="BQ29" i="2"/>
  <c r="BQ30" i="2" s="1"/>
  <c r="BQ31" i="2" s="1"/>
  <c r="BQ32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V44" i="2"/>
  <c r="BR29" i="2" l="1"/>
  <c r="BQ66" i="2"/>
  <c r="BQ33" i="2"/>
  <c r="BR30" i="2"/>
  <c r="BR31" i="2" s="1"/>
  <c r="BR32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33" i="2" l="1"/>
  <c r="BR47" i="2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l="1"/>
  <c r="BW45" i="2"/>
  <c r="BW28" i="2"/>
  <c r="BT47" i="2"/>
  <c r="BU29" i="2" l="1"/>
  <c r="BU30" i="2" s="1"/>
  <c r="BU31" i="2" s="1"/>
  <c r="BU32" i="2" s="1"/>
  <c r="BU33" i="2" l="1"/>
  <c r="BU47" i="2"/>
  <c r="BV29" i="2" l="1"/>
  <c r="BV30" i="2" s="1"/>
  <c r="BV31" i="2" s="1"/>
  <c r="BV32" i="2" s="1"/>
  <c r="BV33" i="2" l="1"/>
  <c r="BV47" i="2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l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tc={A64624BB-B1AF-4371-B81E-B4367444230E}</author>
    <author>tc={C3C93262-255F-49A7-9F98-C9410B7BFA17}</author>
    <author>tc={C73FBD69-CAB6-4173-B10B-D5EF91565E7C}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tc={D6FB59F6-3F25-4686-97A0-9B49BDAE85AA}</author>
    <author>tc={93C7E41E-ABCA-41C7-84BA-68723DC06A79}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AH20" authorId="8" shapeId="0" xr:uid="{A64624BB-B1AF-4371-B81E-B4367444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181.5-188.5B</t>
      </text>
    </comment>
    <comment ref="AI20" authorId="9" shapeId="0" xr:uid="{C3C93262-255F-49A7-9F98-C9410B7BFA17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151-155B</t>
      </text>
    </comment>
    <comment ref="AJ20" authorId="10" shapeId="0" xr:uid="{C73FBD69-CAB6-4173-B10B-D5EF91565E7C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 guidance: 159-164B</t>
      </text>
    </comment>
    <comment ref="Y28" authorId="11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12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3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4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5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AI28" authorId="16" shapeId="0" xr:uid="{D6FB59F6-3F25-4686-97A0-9B49BDAE85AA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14-18B</t>
      </text>
    </comment>
    <comment ref="AJ28" authorId="17" shapeId="0" xr:uid="{93C7E41E-ABCA-41C7-84BA-68723DC06A7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 guidance: 13.0-17.5B</t>
      </text>
    </comment>
    <comment ref="Y36" authorId="18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9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<sst xmlns="http://schemas.openxmlformats.org/spreadsheetml/2006/main" count="169" uniqueCount="155">
  <si>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</si>
  <si>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</si>
  <si>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</si>
  <si>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</si>
  <si>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</si>
  <si>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</si>
  <si>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</si>
  <si>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</si>
  <si>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</si>
  <si>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</si>
  <si>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</si>
  <si>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</si>
  <si>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</si>
  <si>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</si>
  <si>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</si>
  <si>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</si>
  <si>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</si>
  <si>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</si>
  <si>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</si>
  <si>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</si>
  <si>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</si>
  <si>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</si>
  <si>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</si>
  <si>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</si>
  <si>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</si>
  <si>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</si>
  <si>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</si>
  <si>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</si>
  <si>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</si>
  <si>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</si>
  <si>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</si>
  <si>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</si>
  <si>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</si>
  <si>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</si>
  <si>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</si>
  <si>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</si>
  <si>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</si>
  <si>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</si>
  <si>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</si>
  <si>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</si>
  <si>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</si>
  <si>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</si>
  <si>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</si>
  <si>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</si>
  <si>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</si>
  <si>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</si>
  <si>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</si>
  <si>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</si>
  <si>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</si>
  <si>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</si>
  <si>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</si>
  <si>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</si>
  <si>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</si>
  <si>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</si>
  <si>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</si>
  <si>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</si>
  <si>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</si>
  <si>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</si>
  <si>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</si>
  <si>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</si>
  <si>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</si>
  <si>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</si>
  <si>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</si>
  <si>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</si>
  <si>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</si>
  <si>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</si>
  <si>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</si>
  <si>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</si>
  <si>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</si>
  <si>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</si>
  <si>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</si>
  <si>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</si>
  <si>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</si>
  <si>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</si>
  <si>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</si>
  <si>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</si>
  <si>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</si>
  <si>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</si>
  <si>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</si>
  <si>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</si>
  <si>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</si>
  <si>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</si>
  <si>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</si>
  <si>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</si>
  <si>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</si>
  <si>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</si>
  <si>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</si>
  <si>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</si>
  <si>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</si>
  <si>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</si>
  <si>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</si>
  <si>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</si>
  <si>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</si>
  <si>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</si>
  <si>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</si>
  <si>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</si>
  <si>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</si>
  <si>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</si>
  <si>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</si>
  <si>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</si>
  <si>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</si>
  <si>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</si>
  <si>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</si>
  <si>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</si>
  <si>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</si>
  <si>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</si>
  <si>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</si>
  <si>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</si>
  <si>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</si>
  <si>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</si>
  <si>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</si>
  <si>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</si>
  <si>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</si>
  <si>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</si>
  <si>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</si>
  <si>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</si>
  <si>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</si>
  <si>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</si>
  <si>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</si>
  <si>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</si>
  <si>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</si>
  <si>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</si>
  <si>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</si>
  <si>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</si>
  <si>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</si>
  <si>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</si>
  <si>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</si>
  <si>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</si>
  <si>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</si>
  <si>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</si>
  <si>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</si>
  <si>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</si>
  <si>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</si>
  <si>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</si>
  <si>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</si>
  <si>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</si>
  <si>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</si>
  <si>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</si>
  <si>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</si>
  <si>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</si>
  <si>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</si>
  <si>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</si>
  <si>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</si>
  <si>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</si>
  <si>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</si>
  <si>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</si>
  <si>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</si>
  <si>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</si>
  <si>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</si>
  <si>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</si>
  <si>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</si>
  <si>
    <t>Project Rainier: A collaboration with Anthropic using hundreds of thousands of Trainium2 chips to build the world’s largest AI compute cluster.</t>
  </si>
  <si>
    <t>New leading foundation models in Amazon Bedrock from DeepSeek, Luma AI, and poolside.</t>
  </si>
  <si>
    <t>Amazon Nova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</si>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</sst>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33839</xdr:colOff>
      <xdr:row>0</xdr:row>
      <xdr:rowOff>0</xdr:rowOff>
    </xdr:from>
    <xdr:to>
      <xdr:col>36</xdr:col>
      <xdr:colOff>33839</xdr:colOff>
      <xdr:row>114</xdr:row>
      <xdr:rowOff>107462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23138070" y="0"/>
          <a:ext cx="0" cy="1835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30041</xdr:colOff>
      <xdr:row>0</xdr:row>
      <xdr:rowOff>95250</xdr:rowOff>
    </xdr:from>
    <xdr:to>
      <xdr:col>69</xdr:col>
      <xdr:colOff>30041</xdr:colOff>
      <xdr:row>110</xdr:row>
      <xdr:rowOff>29307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42343022" y="95250"/>
          <a:ext cx="0" cy="175040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AH20" dT="2025-02-02T02:38:51.41" personId="{9B8D1A3E-D1D5-4929-A5A0-67791399E886}" id="{A64624BB-B1AF-4371-B81E-B4367444230E}">
    <text>Q3: 181.5-188.5B</text>
  </threadedComment>
  <threadedComment ref="AI20" dT="2025-04-04T16:55:52.25" personId="{9B8D1A3E-D1D5-4929-A5A0-67791399E886}" id="{C3C93262-255F-49A7-9F98-C9410B7BFA17}">
    <text>Q424 guidance: 151-155B</text>
  </threadedComment>
  <threadedComment ref="AJ20" dT="2025-05-23T17:58:48.43" personId="{9B8D1A3E-D1D5-4929-A5A0-67791399E886}" id="{C73FBD69-CAB6-4173-B10B-D5EF91565E7C}">
    <text>Q125 guidance: 159-164B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AI28" dT="2025-04-04T16:56:29.09" personId="{9B8D1A3E-D1D5-4929-A5A0-67791399E886}" id="{D6FB59F6-3F25-4686-97A0-9B49BDAE85AA}">
    <text>Q424: 14-18B</text>
  </threadedComment>
  <threadedComment ref="AJ28" dT="2025-05-23T17:59:02.76" personId="{9B8D1A3E-D1D5-4929-A5A0-67791399E886}" id="{93C7E41E-ABCA-41C7-84BA-68723DC06A79}">
    <text>Q125 guidance: 13.0-17.5B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zoomScale="130" zoomScaleNormal="130" workbookViewId="0">
      <selection activeCell="J4" sqref="J4"/>
    </sheetView>
  </sheetViews>
  <sheetFormatPr defaultRowHeight="12.5" x14ac:dyDescent="0.25"/>
  <cols>
    <col min="3" max="3" width="11.7265625" customWidth="1"/>
  </cols>
  <sheetData>
    <row r="2" spans="2:12" x14ac:dyDescent="0.25">
      <c r="J2" t="s">
        <v>1</v>
      </c>
      <c r="K2" s="1">
        <v>223</v>
      </c>
    </row>
    <row r="3" spans="2:12" x14ac:dyDescent="0.25">
      <c r="J3" t="s">
        <v>2</v>
      </c>
      <c r="K3" s="2">
        <v>10793</v>
      </c>
      <c r="L3" s="3" t="s">
        <v>119</v>
      </c>
    </row>
    <row r="4" spans="2:12" x14ac:dyDescent="0.25">
      <c r="B4" t="s">
        <v>103</v>
      </c>
      <c r="J4" t="s">
        <v>3</v>
      </c>
      <c r="K4" s="2">
        <f>K3*K2</f>
        <v>2406839</v>
      </c>
    </row>
    <row r="5" spans="2:12" x14ac:dyDescent="0.25">
      <c r="B5" t="s">
        <v>106</v>
      </c>
      <c r="J5" t="s">
        <v>4</v>
      </c>
      <c r="K5" s="2">
        <v>94565</v>
      </c>
      <c r="L5" s="3" t="s">
        <v>119</v>
      </c>
    </row>
    <row r="6" spans="2:12" x14ac:dyDescent="0.25">
      <c r="B6" t="s">
        <v>104</v>
      </c>
      <c r="J6" t="s">
        <v>5</v>
      </c>
      <c r="K6" s="2">
        <v>53374</v>
      </c>
      <c r="L6" s="3" t="s">
        <v>119</v>
      </c>
    </row>
    <row r="7" spans="2:12" x14ac:dyDescent="0.25">
      <c r="J7" t="s">
        <v>6</v>
      </c>
      <c r="K7" s="2">
        <f>K4-K5+K6</f>
        <v>2365648</v>
      </c>
      <c r="L7" s="3"/>
    </row>
    <row r="8" spans="2:12" x14ac:dyDescent="0.25">
      <c r="K8" s="1"/>
    </row>
    <row r="9" spans="2:12" x14ac:dyDescent="0.25">
      <c r="J9" t="s">
        <v>80</v>
      </c>
    </row>
    <row r="10" spans="2:12" x14ac:dyDescent="0.25">
      <c r="B10" t="s">
        <v>37</v>
      </c>
    </row>
    <row r="11" spans="2:12" x14ac:dyDescent="0.25">
      <c r="C11" t="s">
        <v>124</v>
      </c>
      <c r="D11" t="s">
        <v>139</v>
      </c>
    </row>
    <row r="12" spans="2:12" x14ac:dyDescent="0.25">
      <c r="C12" t="s">
        <v>125</v>
      </c>
      <c r="D12" t="s">
        <v>136</v>
      </c>
    </row>
    <row r="13" spans="2:12" x14ac:dyDescent="0.25">
      <c r="C13" t="s">
        <v>126</v>
      </c>
    </row>
    <row r="14" spans="2:12" x14ac:dyDescent="0.25">
      <c r="C14" t="s">
        <v>135</v>
      </c>
      <c r="D14" t="s">
        <v>142</v>
      </c>
    </row>
    <row r="15" spans="2:12" x14ac:dyDescent="0.25">
      <c r="C15" t="s">
        <v>137</v>
      </c>
    </row>
    <row r="16" spans="2:12" x14ac:dyDescent="0.25">
      <c r="C16" t="s">
        <v>138</v>
      </c>
    </row>
    <row r="17" spans="2:8" x14ac:dyDescent="0.25">
      <c r="C17" t="s">
        <v>140</v>
      </c>
    </row>
    <row r="18" spans="2:8" x14ac:dyDescent="0.25">
      <c r="C18" t="s">
        <v>141</v>
      </c>
      <c r="H18" t="s">
        <v>151</v>
      </c>
    </row>
    <row r="19" spans="2:8" x14ac:dyDescent="0.25">
      <c r="C19" t="s">
        <v>143</v>
      </c>
      <c r="D19" t="s">
        <v>144</v>
      </c>
      <c r="H19" t="s">
        <v>152</v>
      </c>
    </row>
    <row r="20" spans="2:8" x14ac:dyDescent="0.25">
      <c r="B20" t="s">
        <v>127</v>
      </c>
      <c r="H20" t="s">
        <v>153</v>
      </c>
    </row>
    <row r="21" spans="2:8" x14ac:dyDescent="0.25">
      <c r="C21" t="s">
        <v>132</v>
      </c>
    </row>
    <row r="22" spans="2:8" x14ac:dyDescent="0.25">
      <c r="C22" t="s">
        <v>133</v>
      </c>
    </row>
    <row r="23" spans="2:8" x14ac:dyDescent="0.25">
      <c r="C23" t="s">
        <v>134</v>
      </c>
    </row>
    <row r="24" spans="2:8" x14ac:dyDescent="0.25">
      <c r="C24" t="s">
        <v>150</v>
      </c>
    </row>
    <row r="26" spans="2:8" x14ac:dyDescent="0.25">
      <c r="C26" t="s">
        <v>128</v>
      </c>
    </row>
    <row r="27" spans="2:8" x14ac:dyDescent="0.25">
      <c r="D27" t="s">
        <v>129</v>
      </c>
    </row>
    <row r="28" spans="2:8" x14ac:dyDescent="0.25">
      <c r="D28" t="s">
        <v>130</v>
      </c>
    </row>
    <row r="29" spans="2:8" x14ac:dyDescent="0.25">
      <c r="D29" t="s">
        <v>131</v>
      </c>
    </row>
    <row r="32" spans="2:8" x14ac:dyDescent="0.25">
      <c r="C32" t="s">
        <v>145</v>
      </c>
    </row>
    <row r="33" spans="3:4" x14ac:dyDescent="0.25">
      <c r="D33" t="s">
        <v>146</v>
      </c>
    </row>
    <row r="35" spans="3:4" x14ac:dyDescent="0.25">
      <c r="C35" t="s">
        <v>147</v>
      </c>
    </row>
    <row r="37" spans="3:4" x14ac:dyDescent="0.25">
      <c r="C37" t="s">
        <v>148</v>
      </c>
    </row>
    <row r="38" spans="3:4" x14ac:dyDescent="0.25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3"/>
  <sheetViews>
    <sheetView tabSelected="1" zoomScale="130" zoomScaleNormal="130" workbookViewId="0">
      <pane xSplit="2" ySplit="2" topLeftCell="BC68" activePane="bottomRight" state="frozen"/>
      <selection pane="topRight" activeCell="C1" sqref="C1"/>
      <selection pane="bottomLeft" activeCell="A4" sqref="A4"/>
      <selection pane="bottomRight" activeCell="BS76" sqref="BS76"/>
    </sheetView>
  </sheetViews>
  <sheetFormatPr defaultRowHeight="12.5" x14ac:dyDescent="0.25"/>
  <cols>
    <col min="1" max="1" width="5" bestFit="1" customWidth="1"/>
    <col min="2" max="2" width="18.453125" customWidth="1"/>
    <col min="3" max="26" width="9.1796875" style="3"/>
    <col min="74" max="75" width="9.54296875" customWidth="1"/>
  </cols>
  <sheetData>
    <row r="1" spans="1:85" x14ac:dyDescent="0.25">
      <c r="A1" s="12" t="s">
        <v>0</v>
      </c>
    </row>
    <row r="2" spans="1:85" x14ac:dyDescent="0.25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5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AG3" s="2">
        <v>95537</v>
      </c>
      <c r="AH3" s="2">
        <v>115586</v>
      </c>
      <c r="AI3" s="2">
        <v>92887</v>
      </c>
      <c r="AJ3" s="2">
        <v>100068</v>
      </c>
      <c r="AK3" s="2">
        <f>+AG3*1.07</f>
        <v>102224.59000000001</v>
      </c>
      <c r="AL3" s="2">
        <f>+AH3*1.07</f>
        <v>123677.02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>SUM(O3:R3)</f>
        <v>236282</v>
      </c>
      <c r="BN3" s="2">
        <f>SUM(S3:V3)</f>
        <v>279833</v>
      </c>
      <c r="BO3" s="2">
        <f>SUM(W3:Z3)</f>
        <v>315880</v>
      </c>
      <c r="BP3" s="2">
        <f>SUM(AA3:AD3)</f>
        <v>352828</v>
      </c>
      <c r="BQ3" s="2">
        <f>SUM(AE3:AH3)</f>
        <v>387497</v>
      </c>
    </row>
    <row r="4" spans="1:85" s="2" customFormat="1" x14ac:dyDescent="0.25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5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5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AG6" s="2">
        <v>35888</v>
      </c>
      <c r="AH6" s="2">
        <v>43420</v>
      </c>
      <c r="AI6" s="2">
        <v>33513</v>
      </c>
      <c r="AJ6" s="2">
        <v>36761</v>
      </c>
      <c r="AK6" s="2">
        <f>+AG6*1.07</f>
        <v>38400.160000000003</v>
      </c>
      <c r="AL6" s="2">
        <f>+AH6*1.07</f>
        <v>46459.4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>SUM(O6:R6)</f>
        <v>104412</v>
      </c>
      <c r="BN6" s="2">
        <f>SUM(S6:V6)</f>
        <v>127787</v>
      </c>
      <c r="BO6" s="2">
        <f>SUM(W6:Z6)</f>
        <v>118007</v>
      </c>
      <c r="BP6" s="2">
        <f>SUM(AA6:AD6)</f>
        <v>131200</v>
      </c>
      <c r="BQ6" s="2">
        <f>SUM(AE6:AH6)</f>
        <v>142906</v>
      </c>
    </row>
    <row r="7" spans="1:85" s="2" customFormat="1" x14ac:dyDescent="0.25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5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5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v>27452</v>
      </c>
      <c r="AH9" s="4">
        <v>28786</v>
      </c>
      <c r="AI9" s="4">
        <v>29267</v>
      </c>
      <c r="AJ9" s="4">
        <v>30873</v>
      </c>
      <c r="AK9" s="4">
        <f>+AG9*1.1</f>
        <v>30197.200000000001</v>
      </c>
      <c r="AL9" s="4">
        <f>+AH9*1.1</f>
        <v>31664.600000000002</v>
      </c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SUM(AE9:AH9)</f>
        <v>107556</v>
      </c>
      <c r="BR9" s="2">
        <f>SUM(AI9:AL9)</f>
        <v>122001.8</v>
      </c>
      <c r="BS9" s="2">
        <f>+BR9*1.2</f>
        <v>146402.16</v>
      </c>
      <c r="BT9" s="2">
        <f>+BS9*1.2</f>
        <v>175682.592</v>
      </c>
      <c r="BU9" s="2">
        <f>+BT9*1.15</f>
        <v>202034.98079999999</v>
      </c>
      <c r="BV9" s="2">
        <f>+BU9*1.1</f>
        <v>222238.47888000001</v>
      </c>
      <c r="BW9" s="2">
        <f>+BV9*1.1</f>
        <v>244462.32676800003</v>
      </c>
    </row>
    <row r="11" spans="1:85" s="2" customFormat="1" x14ac:dyDescent="0.25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>
        <v>61411</v>
      </c>
      <c r="AH11" s="2">
        <v>75556</v>
      </c>
      <c r="AI11" s="2">
        <v>57407</v>
      </c>
      <c r="AJ11" s="2">
        <v>61485</v>
      </c>
      <c r="BK11" s="2">
        <f>26939+27165+29061+39822</f>
        <v>122987</v>
      </c>
      <c r="BL11" s="2">
        <f t="shared" ref="BL11:BL16" si="1">SUM(K11:N11)</f>
        <v>141247</v>
      </c>
      <c r="BM11" s="2">
        <f t="shared" ref="BM11:BM16" si="2">SUM(O11:R11)</f>
        <v>197349</v>
      </c>
      <c r="BN11" s="2">
        <f t="shared" ref="BN11:BN16" si="3">SUM(S11:V11)</f>
        <v>222075</v>
      </c>
      <c r="BO11" s="2">
        <f t="shared" ref="BO11:BO16" si="4">SUM(W11:Z11)</f>
        <v>220004</v>
      </c>
      <c r="BP11" s="2">
        <f t="shared" ref="BP11:BP16" si="5">SUM(AA11:AD11)</f>
        <v>231872</v>
      </c>
      <c r="BQ11" s="2">
        <f t="shared" ref="BQ11:BQ16" si="6">SUM(AE11:AH11)</f>
        <v>247029</v>
      </c>
      <c r="BR11" s="2">
        <f t="shared" ref="BR11:BW11" si="7">+BQ11*1.05</f>
        <v>259380.45</v>
      </c>
      <c r="BS11" s="2">
        <f t="shared" si="7"/>
        <v>272349.47250000003</v>
      </c>
      <c r="BT11" s="2">
        <f t="shared" si="7"/>
        <v>285966.94612500007</v>
      </c>
      <c r="BU11" s="2">
        <f t="shared" si="7"/>
        <v>300265.29343125009</v>
      </c>
      <c r="BV11" s="2">
        <f t="shared" si="7"/>
        <v>315278.55810281262</v>
      </c>
      <c r="BW11" s="2">
        <f t="shared" si="7"/>
        <v>331042.48600795324</v>
      </c>
    </row>
    <row r="12" spans="1:85" s="2" customFormat="1" x14ac:dyDescent="0.25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>
        <v>5228</v>
      </c>
      <c r="AH12" s="2">
        <v>5579</v>
      </c>
      <c r="AI12" s="2">
        <v>5533</v>
      </c>
      <c r="AJ12" s="2">
        <v>5595</v>
      </c>
      <c r="BK12" s="2">
        <f>4263+4312+4248+4401</f>
        <v>17224</v>
      </c>
      <c r="BL12" s="2">
        <f t="shared" si="1"/>
        <v>17192</v>
      </c>
      <c r="BM12" s="2">
        <f t="shared" si="2"/>
        <v>16224</v>
      </c>
      <c r="BN12" s="2">
        <f t="shared" si="3"/>
        <v>17075</v>
      </c>
      <c r="BO12" s="2">
        <f t="shared" si="4"/>
        <v>18963</v>
      </c>
      <c r="BP12" s="2">
        <f t="shared" si="5"/>
        <v>20030</v>
      </c>
      <c r="BQ12" s="2">
        <f t="shared" si="6"/>
        <v>21215</v>
      </c>
      <c r="BR12" s="2">
        <f t="shared" ref="BR12:BW12" si="8">+BQ12*1.05</f>
        <v>22275.75</v>
      </c>
      <c r="BS12" s="2">
        <f t="shared" si="8"/>
        <v>23389.537500000002</v>
      </c>
      <c r="BT12" s="2">
        <f t="shared" si="8"/>
        <v>24559.014375000002</v>
      </c>
      <c r="BU12" s="2">
        <f t="shared" si="8"/>
        <v>25786.965093750005</v>
      </c>
      <c r="BV12" s="2">
        <f t="shared" si="8"/>
        <v>27076.313348437507</v>
      </c>
      <c r="BW12" s="2">
        <f t="shared" si="8"/>
        <v>28430.129015859384</v>
      </c>
    </row>
    <row r="13" spans="1:85" s="2" customFormat="1" x14ac:dyDescent="0.25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>
        <v>37864</v>
      </c>
      <c r="AH13" s="2">
        <v>47485</v>
      </c>
      <c r="AI13" s="2">
        <v>36512</v>
      </c>
      <c r="AJ13" s="2">
        <v>40348</v>
      </c>
      <c r="BK13" s="2">
        <f>9265+9702+10395+13383</f>
        <v>42745</v>
      </c>
      <c r="BL13" s="2">
        <f t="shared" si="1"/>
        <v>53761</v>
      </c>
      <c r="BM13" s="2">
        <f t="shared" si="2"/>
        <v>80437</v>
      </c>
      <c r="BN13" s="2">
        <f t="shared" si="3"/>
        <v>103366</v>
      </c>
      <c r="BO13" s="2">
        <f t="shared" si="4"/>
        <v>117716</v>
      </c>
      <c r="BP13" s="2">
        <f t="shared" si="5"/>
        <v>140053</v>
      </c>
      <c r="BQ13" s="2">
        <f t="shared" si="6"/>
        <v>156146</v>
      </c>
      <c r="BR13" s="2">
        <f t="shared" ref="BR13:BW13" si="9">+BQ13*1.05</f>
        <v>163953.30000000002</v>
      </c>
      <c r="BS13" s="2">
        <f t="shared" si="9"/>
        <v>172150.96500000003</v>
      </c>
      <c r="BT13" s="2">
        <f t="shared" si="9"/>
        <v>180758.51325000005</v>
      </c>
      <c r="BU13" s="2">
        <f t="shared" si="9"/>
        <v>189796.43891250005</v>
      </c>
      <c r="BV13" s="2">
        <f t="shared" si="9"/>
        <v>199286.26085812505</v>
      </c>
      <c r="BW13" s="2">
        <f t="shared" si="9"/>
        <v>209250.57390103131</v>
      </c>
    </row>
    <row r="14" spans="1:85" s="2" customFormat="1" x14ac:dyDescent="0.25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12771</v>
      </c>
      <c r="AG14" s="4">
        <v>14331</v>
      </c>
      <c r="AH14" s="2">
        <v>17288</v>
      </c>
      <c r="AI14" s="2">
        <v>13921</v>
      </c>
      <c r="AJ14" s="2">
        <v>15694</v>
      </c>
      <c r="BK14" s="2">
        <f>3102+3408+3698+3959</f>
        <v>14167</v>
      </c>
      <c r="BL14" s="2">
        <f t="shared" si="1"/>
        <v>19210</v>
      </c>
      <c r="BM14" s="2">
        <f t="shared" si="2"/>
        <v>25207</v>
      </c>
      <c r="BN14" s="2">
        <f t="shared" si="3"/>
        <v>31768</v>
      </c>
      <c r="BO14" s="2">
        <f t="shared" si="4"/>
        <v>35218</v>
      </c>
      <c r="BP14" s="2">
        <f t="shared" si="5"/>
        <v>40209</v>
      </c>
      <c r="BQ14" s="2">
        <f t="shared" si="6"/>
        <v>56214</v>
      </c>
      <c r="BR14" s="2">
        <f t="shared" ref="BR14:BT14" si="10">+BQ14*1.1</f>
        <v>61835.4</v>
      </c>
      <c r="BS14" s="2">
        <f t="shared" si="10"/>
        <v>68018.94</v>
      </c>
      <c r="BT14" s="2">
        <f t="shared" si="10"/>
        <v>74820.834000000003</v>
      </c>
      <c r="BU14" s="2">
        <f t="shared" ref="BU14:BW14" si="11">+BT14*1.05</f>
        <v>78561.875700000004</v>
      </c>
      <c r="BV14" s="2">
        <f t="shared" si="11"/>
        <v>82489.969485000009</v>
      </c>
      <c r="BW14" s="2">
        <f t="shared" si="11"/>
        <v>86614.467959250018</v>
      </c>
    </row>
    <row r="15" spans="1:85" s="2" customFormat="1" x14ac:dyDescent="0.25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10866</v>
      </c>
      <c r="AG15" s="4">
        <v>11278</v>
      </c>
      <c r="AH15" s="2">
        <v>11508</v>
      </c>
      <c r="AI15" s="2">
        <v>11715</v>
      </c>
      <c r="AJ15" s="2">
        <v>12208</v>
      </c>
      <c r="BK15" s="2">
        <f>2031+2194+2495+3388</f>
        <v>10108</v>
      </c>
      <c r="BL15" s="2">
        <f t="shared" si="1"/>
        <v>14086</v>
      </c>
      <c r="BM15" s="2">
        <f t="shared" si="2"/>
        <v>20875</v>
      </c>
      <c r="BN15" s="2">
        <f t="shared" si="3"/>
        <v>31160</v>
      </c>
      <c r="BO15" s="2">
        <f t="shared" si="4"/>
        <v>37739</v>
      </c>
      <c r="BP15" s="2">
        <f t="shared" si="5"/>
        <v>46906</v>
      </c>
      <c r="BQ15" s="2">
        <f t="shared" si="6"/>
        <v>44374</v>
      </c>
      <c r="BR15" s="2">
        <f t="shared" ref="BR15:BT15" si="12">+BQ15*1.1</f>
        <v>48811.4</v>
      </c>
      <c r="BS15" s="2">
        <f t="shared" si="12"/>
        <v>53692.540000000008</v>
      </c>
      <c r="BT15" s="2">
        <f t="shared" si="12"/>
        <v>59061.794000000016</v>
      </c>
      <c r="BU15" s="2">
        <f t="shared" ref="BU15:BW15" si="13">+BT15*1.05</f>
        <v>62014.88370000002</v>
      </c>
      <c r="BV15" s="2">
        <f t="shared" si="13"/>
        <v>65115.627885000024</v>
      </c>
      <c r="BW15" s="2">
        <f t="shared" si="13"/>
        <v>68371.409279250031</v>
      </c>
    </row>
    <row r="16" spans="1:85" s="2" customFormat="1" x14ac:dyDescent="0.25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>
        <v>1313</v>
      </c>
      <c r="AH16" s="2">
        <v>1590</v>
      </c>
      <c r="AI16" s="2">
        <v>1312</v>
      </c>
      <c r="AJ16" s="2">
        <v>1499</v>
      </c>
      <c r="BL16" s="2">
        <f t="shared" si="1"/>
        <v>0</v>
      </c>
      <c r="BM16" s="2">
        <f t="shared" si="2"/>
        <v>602</v>
      </c>
      <c r="BN16" s="2">
        <f t="shared" si="3"/>
        <v>2176</v>
      </c>
      <c r="BO16" s="2">
        <f t="shared" si="4"/>
        <v>4247</v>
      </c>
      <c r="BP16" s="2">
        <f t="shared" si="5"/>
        <v>4958</v>
      </c>
      <c r="BQ16" s="2">
        <f t="shared" si="6"/>
        <v>5425</v>
      </c>
      <c r="BR16" s="2">
        <f t="shared" ref="BR16:BW16" si="14">+BQ16*1.05</f>
        <v>5696.25</v>
      </c>
      <c r="BS16" s="2">
        <f t="shared" si="14"/>
        <v>5981.0625</v>
      </c>
      <c r="BT16" s="2">
        <f t="shared" si="14"/>
        <v>6280.1156250000004</v>
      </c>
      <c r="BU16" s="2">
        <f t="shared" si="14"/>
        <v>6594.1214062500003</v>
      </c>
      <c r="BV16" s="2">
        <f t="shared" si="14"/>
        <v>6923.827476562501</v>
      </c>
      <c r="BW16" s="2">
        <f t="shared" si="14"/>
        <v>7270.0188503906265</v>
      </c>
    </row>
    <row r="17" spans="2:137" x14ac:dyDescent="0.25">
      <c r="BO17" s="2"/>
      <c r="BP17" s="2"/>
    </row>
    <row r="18" spans="2:137" s="2" customFormat="1" x14ac:dyDescent="0.25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v>67601</v>
      </c>
      <c r="AH18" s="2">
        <v>82226</v>
      </c>
      <c r="AI18" s="2">
        <v>63970</v>
      </c>
      <c r="AJ18" s="2">
        <v>68246</v>
      </c>
      <c r="BJ18" s="2">
        <v>118573</v>
      </c>
      <c r="BK18" s="2">
        <v>141915</v>
      </c>
      <c r="BL18" s="2">
        <f>SUM(K18:N18)</f>
        <v>160407</v>
      </c>
      <c r="BM18" s="2">
        <f>SUM(O18:R18)</f>
        <v>215915</v>
      </c>
      <c r="BN18" s="2">
        <f>SUM(S18:V18)</f>
        <v>241787</v>
      </c>
      <c r="BO18" s="2">
        <f t="shared" ref="BO18:BO19" si="15">SUM(W18:Z18)</f>
        <v>242901</v>
      </c>
      <c r="BP18" s="2">
        <f t="shared" ref="BP18:BP19" si="16">SUM(AA18:AD18)</f>
        <v>255887</v>
      </c>
      <c r="BQ18" s="2">
        <f t="shared" ref="BQ18:BQ19" si="17">SUM(AE18:AH18)</f>
        <v>272311</v>
      </c>
    </row>
    <row r="19" spans="2:137" s="2" customFormat="1" x14ac:dyDescent="0.25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v>91276</v>
      </c>
      <c r="AH19" s="2">
        <v>105566</v>
      </c>
      <c r="AI19" s="2">
        <v>91697</v>
      </c>
      <c r="AJ19" s="2">
        <v>99456</v>
      </c>
      <c r="BJ19" s="2">
        <v>59293</v>
      </c>
      <c r="BK19" s="2">
        <v>90972</v>
      </c>
      <c r="BL19" s="2">
        <f>SUM(K19:N19)</f>
        <v>120115</v>
      </c>
      <c r="BM19" s="2">
        <f>SUM(O19:R19)</f>
        <v>170149</v>
      </c>
      <c r="BN19" s="2">
        <f>SUM(S19:V19)</f>
        <v>228035</v>
      </c>
      <c r="BO19" s="2">
        <f t="shared" si="15"/>
        <v>271082</v>
      </c>
      <c r="BP19" s="2">
        <f t="shared" si="16"/>
        <v>318898</v>
      </c>
      <c r="BQ19" s="2">
        <f t="shared" si="17"/>
        <v>365649</v>
      </c>
    </row>
    <row r="20" spans="2:137" s="5" customFormat="1" ht="13" x14ac:dyDescent="0.3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18">J18+J19</f>
        <v>72383</v>
      </c>
      <c r="K20" s="6">
        <f t="shared" ref="K20:M20" si="19">K18+K19</f>
        <v>59700</v>
      </c>
      <c r="L20" s="6">
        <f t="shared" ref="L20" si="20">L18+L19</f>
        <v>63404</v>
      </c>
      <c r="M20" s="6">
        <f t="shared" si="19"/>
        <v>69981</v>
      </c>
      <c r="N20" s="6">
        <f t="shared" ref="N20" si="21">N18+N19</f>
        <v>87437</v>
      </c>
      <c r="O20" s="6">
        <f t="shared" ref="O20" si="22">O18+O19</f>
        <v>75452</v>
      </c>
      <c r="P20" s="6">
        <f t="shared" ref="P20" si="23">P18+P19</f>
        <v>88912</v>
      </c>
      <c r="Q20" s="6">
        <f t="shared" ref="Q20:V20" si="24">Q18+Q19</f>
        <v>96145</v>
      </c>
      <c r="R20" s="6">
        <f t="shared" si="24"/>
        <v>125555</v>
      </c>
      <c r="S20" s="6">
        <f t="shared" si="24"/>
        <v>108518</v>
      </c>
      <c r="T20" s="6">
        <f t="shared" si="24"/>
        <v>113080</v>
      </c>
      <c r="U20" s="6">
        <f t="shared" si="24"/>
        <v>110812</v>
      </c>
      <c r="V20" s="6">
        <f t="shared" si="24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158877</v>
      </c>
      <c r="AH20" s="6">
        <f>+AH19+AH18</f>
        <v>187792</v>
      </c>
      <c r="AI20" s="6">
        <f>+AI19+AI18</f>
        <v>155667</v>
      </c>
      <c r="AJ20" s="6">
        <f>+AJ18+AJ19</f>
        <v>167702</v>
      </c>
      <c r="AK20" s="6">
        <f>+AG20*1.1</f>
        <v>174764.7</v>
      </c>
      <c r="AL20" s="6">
        <f>+AH20*1.1</f>
        <v>206571.2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25">+BH3+BH6+BH9</f>
        <v>107006</v>
      </c>
      <c r="BI20" s="5">
        <f t="shared" si="25"/>
        <v>135987</v>
      </c>
      <c r="BJ20" s="6">
        <f t="shared" ref="BJ20" si="26">BJ18+BJ19</f>
        <v>177866</v>
      </c>
      <c r="BK20" s="6">
        <f t="shared" ref="BK20" si="27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>SUM(BQ9:BQ16)</f>
        <v>637959</v>
      </c>
      <c r="BR20" s="5">
        <f t="shared" ref="BR20:BW20" si="28">SUM(BR9:BR16)</f>
        <v>683954.35000000009</v>
      </c>
      <c r="BS20" s="5">
        <f t="shared" si="28"/>
        <v>741984.67749999999</v>
      </c>
      <c r="BT20" s="5">
        <f t="shared" si="28"/>
        <v>807129.80937500019</v>
      </c>
      <c r="BU20" s="5">
        <f t="shared" si="28"/>
        <v>865054.55904375017</v>
      </c>
      <c r="BV20" s="5">
        <f t="shared" si="28"/>
        <v>918409.03603593772</v>
      </c>
      <c r="BW20" s="5">
        <f t="shared" si="28"/>
        <v>975441.41178173455</v>
      </c>
    </row>
    <row r="21" spans="2:137" s="2" customFormat="1" x14ac:dyDescent="0.25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>
        <v>80977</v>
      </c>
      <c r="AH21" s="2">
        <v>98893</v>
      </c>
      <c r="AI21" s="2">
        <v>76976</v>
      </c>
      <c r="AJ21" s="2">
        <v>80809</v>
      </c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>SUM(K21:N21)</f>
        <v>165536</v>
      </c>
      <c r="BM21" s="2">
        <f>SUM(O21:R21)</f>
        <v>233307</v>
      </c>
      <c r="BN21" s="2">
        <f>SUM(S21:V21)</f>
        <v>272344</v>
      </c>
      <c r="BO21" s="2">
        <f>SUM(W21:Z21)</f>
        <v>288831</v>
      </c>
      <c r="BP21" s="2">
        <f>SUM(AA21:AD21)</f>
        <v>304739</v>
      </c>
      <c r="BQ21" s="4">
        <f t="shared" ref="BQ21:BW21" si="29">SUM(BQ11:BQ13)*0.8+BQ9*0.7</f>
        <v>414801.2</v>
      </c>
      <c r="BR21" s="4">
        <f t="shared" si="29"/>
        <v>441888.86000000004</v>
      </c>
      <c r="BS21" s="4">
        <f t="shared" si="29"/>
        <v>476793.49200000003</v>
      </c>
      <c r="BT21" s="4">
        <f t="shared" si="29"/>
        <v>516005.39340000012</v>
      </c>
      <c r="BU21" s="4">
        <f t="shared" si="29"/>
        <v>554103.44451000006</v>
      </c>
      <c r="BV21" s="4">
        <f t="shared" si="29"/>
        <v>588879.84106350003</v>
      </c>
      <c r="BW21" s="4">
        <f t="shared" si="29"/>
        <v>626102.17987747514</v>
      </c>
    </row>
    <row r="22" spans="2:137" s="2" customFormat="1" x14ac:dyDescent="0.25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>
        <v>24660</v>
      </c>
      <c r="AH22" s="2">
        <v>27962</v>
      </c>
      <c r="AI22" s="2">
        <v>24593</v>
      </c>
      <c r="AJ22" s="2">
        <v>25976</v>
      </c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>SUM(K22:N22)</f>
        <v>40231</v>
      </c>
      <c r="BM22" s="2">
        <f>SUM(O22:R22)</f>
        <v>58516</v>
      </c>
      <c r="BN22" s="2">
        <f>SUM(S22:V22)</f>
        <v>75111</v>
      </c>
      <c r="BO22" s="2">
        <f>SUM(W22:Z22)</f>
        <v>84299</v>
      </c>
      <c r="BP22" s="2">
        <f>SUM(AA22:AD22)</f>
        <v>90619</v>
      </c>
      <c r="BQ22" s="4">
        <f t="shared" ref="BQ22:BW22" si="30">(BQ13+BQ11)*0.1</f>
        <v>40317.5</v>
      </c>
      <c r="BR22" s="4">
        <f t="shared" si="30"/>
        <v>42333.375</v>
      </c>
      <c r="BS22" s="4">
        <f t="shared" si="30"/>
        <v>44450.043750000012</v>
      </c>
      <c r="BT22" s="4">
        <f t="shared" si="30"/>
        <v>46672.545937500014</v>
      </c>
      <c r="BU22" s="4">
        <f t="shared" si="30"/>
        <v>49006.173234375019</v>
      </c>
      <c r="BV22" s="4">
        <f t="shared" si="30"/>
        <v>51456.48189609377</v>
      </c>
      <c r="BW22" s="4">
        <f t="shared" si="30"/>
        <v>54029.305990898458</v>
      </c>
    </row>
    <row r="23" spans="2:137" s="2" customFormat="1" x14ac:dyDescent="0.25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1">J20-J21-J22</f>
        <v>17569</v>
      </c>
      <c r="K23" s="4">
        <f>K20-K21-K22</f>
        <v>17179</v>
      </c>
      <c r="L23" s="4">
        <f t="shared" ref="L23" si="32">L20-L21-L22</f>
        <v>17796</v>
      </c>
      <c r="M23" s="4">
        <f>M20-M21-M22</f>
        <v>18512</v>
      </c>
      <c r="N23" s="4">
        <f t="shared" ref="N23" si="33">N20-N21-N22</f>
        <v>21268</v>
      </c>
      <c r="O23" s="4">
        <f t="shared" ref="O23" si="34">O20-O21-O22</f>
        <v>19664</v>
      </c>
      <c r="P23" s="4">
        <f t="shared" ref="P23" si="35">P20-P21-P22</f>
        <v>22446</v>
      </c>
      <c r="Q23" s="4">
        <f>Q20-Q21-Q22</f>
        <v>24334</v>
      </c>
      <c r="R23" s="4">
        <f t="shared" ref="R23" si="36">R20-R21-R22</f>
        <v>27797</v>
      </c>
      <c r="S23" s="4">
        <f>S20-S21-S22</f>
        <v>29585</v>
      </c>
      <c r="T23" s="4">
        <f t="shared" ref="T23:AE23" si="37">T20-T21-T22</f>
        <v>31266</v>
      </c>
      <c r="U23" s="4">
        <f t="shared" si="37"/>
        <v>29384</v>
      </c>
      <c r="V23" s="4">
        <f t="shared" si="37"/>
        <v>32132</v>
      </c>
      <c r="W23" s="4">
        <f t="shared" si="37"/>
        <v>29674</v>
      </c>
      <c r="X23" s="4">
        <f t="shared" si="37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37"/>
        <v>43705</v>
      </c>
      <c r="AC23" s="4">
        <f>AC20-AC21-AC22</f>
        <v>45747</v>
      </c>
      <c r="AD23" s="4">
        <f t="shared" si="37"/>
        <v>51313</v>
      </c>
      <c r="AE23" s="4">
        <f t="shared" si="37"/>
        <v>48363</v>
      </c>
      <c r="AF23" s="4">
        <f>AF20-AF21-AF22</f>
        <v>50627</v>
      </c>
      <c r="AG23" s="4">
        <f>AG20-AG21-AG22</f>
        <v>53240</v>
      </c>
      <c r="AH23" s="4">
        <f>AH20-AH21-AH22</f>
        <v>60937</v>
      </c>
      <c r="AI23" s="4">
        <f>AI20-AI21-AI22</f>
        <v>54098</v>
      </c>
      <c r="AJ23" s="4">
        <f>AJ20-AJ21-AJ22</f>
        <v>60917</v>
      </c>
      <c r="AK23" s="2">
        <f t="shared" ref="AK23:AL23" si="38">+AK20*0.34</f>
        <v>59419.998000000007</v>
      </c>
      <c r="AL23" s="2">
        <f t="shared" si="38"/>
        <v>70234.208000000013</v>
      </c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39">BG20-BG21-BG22</f>
        <v>15470</v>
      </c>
      <c r="BH23" s="4">
        <f t="shared" si="39"/>
        <v>21945</v>
      </c>
      <c r="BI23" s="4">
        <f t="shared" si="39"/>
        <v>30103</v>
      </c>
      <c r="BJ23" s="4">
        <f t="shared" si="39"/>
        <v>40683</v>
      </c>
      <c r="BK23" s="4">
        <f t="shared" ref="BK23:BL23" si="40">BK20-BK21-BK22</f>
        <v>59704</v>
      </c>
      <c r="BL23" s="4">
        <f t="shared" si="40"/>
        <v>74755</v>
      </c>
      <c r="BM23" s="4">
        <f t="shared" ref="BM23:BW23" si="41">BM20-BM21-BM22</f>
        <v>94241</v>
      </c>
      <c r="BN23" s="4">
        <f t="shared" si="41"/>
        <v>122367</v>
      </c>
      <c r="BO23" s="4">
        <f t="shared" si="41"/>
        <v>140853</v>
      </c>
      <c r="BP23" s="4">
        <f t="shared" si="41"/>
        <v>179427</v>
      </c>
      <c r="BQ23" s="4">
        <f t="shared" si="41"/>
        <v>182840.3</v>
      </c>
      <c r="BR23" s="4">
        <f t="shared" si="41"/>
        <v>199732.11500000005</v>
      </c>
      <c r="BS23" s="4">
        <f t="shared" si="41"/>
        <v>220741.14174999995</v>
      </c>
      <c r="BT23" s="4">
        <f t="shared" si="41"/>
        <v>244451.87003750005</v>
      </c>
      <c r="BU23" s="4">
        <f t="shared" si="41"/>
        <v>261944.94129937509</v>
      </c>
      <c r="BV23" s="4">
        <f t="shared" si="41"/>
        <v>278072.71307634393</v>
      </c>
      <c r="BW23" s="4">
        <f t="shared" si="41"/>
        <v>295309.92591336096</v>
      </c>
    </row>
    <row r="24" spans="2:137" s="2" customFormat="1" x14ac:dyDescent="0.25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>
        <v>24660</v>
      </c>
      <c r="AH24" s="2">
        <v>23571</v>
      </c>
      <c r="AI24" s="2">
        <f>+AE24*1.07</f>
        <v>21853.68</v>
      </c>
      <c r="AJ24" s="2">
        <v>27166</v>
      </c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>SUM(K24:N24)</f>
        <v>35932</v>
      </c>
      <c r="BM24" s="2">
        <f>SUM(O24:R24)</f>
        <v>42738</v>
      </c>
      <c r="BN24" s="2">
        <f>SUM(S24:V24)</f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2">+BQ24*1.03</f>
        <v>90836.37980000001</v>
      </c>
      <c r="BS24" s="2">
        <f t="shared" si="42"/>
        <v>93561.471194000012</v>
      </c>
      <c r="BT24" s="2">
        <f t="shared" si="42"/>
        <v>96368.31532982002</v>
      </c>
      <c r="BU24" s="2">
        <f t="shared" si="42"/>
        <v>99259.364789714629</v>
      </c>
      <c r="BV24" s="2">
        <f t="shared" si="42"/>
        <v>102237.14573340607</v>
      </c>
      <c r="BW24" s="2">
        <f t="shared" si="42"/>
        <v>105304.26010540825</v>
      </c>
    </row>
    <row r="25" spans="2:137" s="2" customFormat="1" x14ac:dyDescent="0.25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>
        <v>10609</v>
      </c>
      <c r="AH25" s="2">
        <v>13124</v>
      </c>
      <c r="AI25" s="2">
        <f>+AE25*1.07</f>
        <v>10338.34</v>
      </c>
      <c r="AJ25" s="2">
        <v>11416</v>
      </c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>SUM(K25:N25)</f>
        <v>18879</v>
      </c>
      <c r="BM25" s="2">
        <f>SUM(O25:R25)</f>
        <v>22010</v>
      </c>
      <c r="BN25" s="2">
        <f>SUM(S25:V25)</f>
        <v>32551</v>
      </c>
      <c r="BO25" s="2">
        <f>SUM(W25:Z25)</f>
        <v>42238</v>
      </c>
      <c r="BP25" s="2">
        <f>SUM(AA25:AD25)</f>
        <v>44370</v>
      </c>
      <c r="BQ25" s="2">
        <f t="shared" ref="BQ25:BW25" si="43">+BP25*1.03</f>
        <v>45701.1</v>
      </c>
      <c r="BR25" s="2">
        <f t="shared" si="43"/>
        <v>47072.133000000002</v>
      </c>
      <c r="BS25" s="2">
        <f t="shared" si="43"/>
        <v>48484.296990000003</v>
      </c>
      <c r="BT25" s="2">
        <f t="shared" si="43"/>
        <v>49938.825899700001</v>
      </c>
      <c r="BU25" s="2">
        <f t="shared" si="43"/>
        <v>51436.990676690999</v>
      </c>
      <c r="BV25" s="2">
        <f t="shared" si="43"/>
        <v>52980.100396991729</v>
      </c>
      <c r="BW25" s="2">
        <f t="shared" si="43"/>
        <v>54569.503408901481</v>
      </c>
    </row>
    <row r="26" spans="2:137" x14ac:dyDescent="0.25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>
        <v>2713</v>
      </c>
      <c r="AH26" s="2">
        <v>2863</v>
      </c>
      <c r="AI26" s="2">
        <f>+AE26*1.07</f>
        <v>2933.94</v>
      </c>
      <c r="AJ26" s="2">
        <v>2965</v>
      </c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>SUM(K26:N26)</f>
        <v>5203</v>
      </c>
      <c r="BM26" s="2">
        <f>SUM(O26:R26)</f>
        <v>6668</v>
      </c>
      <c r="BN26" s="2">
        <f>SUM(S26:V26)</f>
        <v>8823</v>
      </c>
      <c r="BO26" s="2">
        <f>SUM(W26:Z26)</f>
        <v>11891</v>
      </c>
      <c r="BP26" s="2">
        <f>SUM(AA26:AD26)</f>
        <v>11816</v>
      </c>
      <c r="BQ26" s="2">
        <f t="shared" ref="BQ26:BW26" si="44">+BP26*1.03</f>
        <v>12170.48</v>
      </c>
      <c r="BR26" s="2">
        <f t="shared" si="44"/>
        <v>12535.5944</v>
      </c>
      <c r="BS26" s="2">
        <f t="shared" si="44"/>
        <v>12911.662232000001</v>
      </c>
      <c r="BT26" s="2">
        <f t="shared" si="44"/>
        <v>13299.012098960002</v>
      </c>
      <c r="BU26" s="2">
        <f t="shared" si="44"/>
        <v>13697.982461928803</v>
      </c>
      <c r="BV26" s="2">
        <f t="shared" si="44"/>
        <v>14108.921935786668</v>
      </c>
      <c r="BW26" s="2">
        <f t="shared" si="44"/>
        <v>14532.189593860268</v>
      </c>
    </row>
    <row r="27" spans="2:137" x14ac:dyDescent="0.25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5">SUM(J24:J26)</f>
        <v>13697</v>
      </c>
      <c r="K27" s="4">
        <f>SUM(K24:K26)</f>
        <v>12764</v>
      </c>
      <c r="L27" s="4">
        <f t="shared" ref="L27" si="46">SUM(L24:L26)</f>
        <v>14626</v>
      </c>
      <c r="M27" s="4">
        <f>SUM(M24:M26)</f>
        <v>15300</v>
      </c>
      <c r="N27" s="4">
        <f t="shared" ref="N27" si="47">SUM(N24:N26)</f>
        <v>17324</v>
      </c>
      <c r="O27" s="4">
        <f t="shared" ref="O27" si="48">SUM(O24:O26)</f>
        <v>15605</v>
      </c>
      <c r="P27" s="4">
        <f t="shared" ref="P27" si="49">SUM(P24:P26)</f>
        <v>16313</v>
      </c>
      <c r="Q27" s="4">
        <f>SUM(Q24:Q26)</f>
        <v>18078</v>
      </c>
      <c r="R27" s="4">
        <f t="shared" ref="R27" si="50">SUM(R24:R26)</f>
        <v>21420</v>
      </c>
      <c r="S27" s="4">
        <f>SUM(S24:S26)</f>
        <v>20682</v>
      </c>
      <c r="T27" s="4">
        <f t="shared" ref="T27:W27" si="51">SUM(T24:T26)</f>
        <v>23553</v>
      </c>
      <c r="U27" s="4">
        <f t="shared" si="51"/>
        <v>24543</v>
      </c>
      <c r="V27" s="4">
        <f t="shared" si="51"/>
        <v>28648</v>
      </c>
      <c r="W27" s="4">
        <f t="shared" si="51"/>
        <v>25756</v>
      </c>
      <c r="X27" s="4">
        <f t="shared" ref="X27:AL27" si="52">SUM(X24:X26)</f>
        <v>31061</v>
      </c>
      <c r="Y27" s="4">
        <f>SUM(Y24:Y26)</f>
        <v>33560</v>
      </c>
      <c r="Z27" s="4">
        <f t="shared" si="52"/>
        <v>36965</v>
      </c>
      <c r="AA27" s="4">
        <f t="shared" si="52"/>
        <v>33665</v>
      </c>
      <c r="AB27" s="4">
        <f t="shared" si="52"/>
        <v>35878</v>
      </c>
      <c r="AC27" s="4">
        <f t="shared" si="52"/>
        <v>34315</v>
      </c>
      <c r="AD27" s="4">
        <f t="shared" si="52"/>
        <v>37950</v>
      </c>
      <c r="AE27" s="4">
        <f t="shared" si="52"/>
        <v>32828</v>
      </c>
      <c r="AF27" s="4">
        <f t="shared" si="52"/>
        <v>35954</v>
      </c>
      <c r="AG27" s="4">
        <f t="shared" si="52"/>
        <v>37982</v>
      </c>
      <c r="AH27" s="4">
        <f t="shared" si="52"/>
        <v>39558</v>
      </c>
      <c r="AI27" s="4">
        <f t="shared" si="52"/>
        <v>35125.96</v>
      </c>
      <c r="AJ27" s="4">
        <f t="shared" si="52"/>
        <v>41547</v>
      </c>
      <c r="AK27" s="4">
        <f t="shared" si="52"/>
        <v>0</v>
      </c>
      <c r="AL27" s="4">
        <f t="shared" si="52"/>
        <v>0</v>
      </c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3">SUM(BG24:BG26)</f>
        <v>15159</v>
      </c>
      <c r="BH27" s="4">
        <f t="shared" si="53"/>
        <v>19541</v>
      </c>
      <c r="BI27" s="4">
        <f t="shared" si="53"/>
        <v>25750</v>
      </c>
      <c r="BJ27" s="4">
        <f t="shared" ref="BJ27" si="54">SUM(BJ24:BJ26)</f>
        <v>36363</v>
      </c>
      <c r="BK27" s="4">
        <f t="shared" ref="BK27:BL27" si="55">SUM(BK24:BK26)</f>
        <v>46987</v>
      </c>
      <c r="BL27" s="4">
        <f t="shared" si="55"/>
        <v>60014</v>
      </c>
      <c r="BM27" s="4">
        <f t="shared" ref="BM27:BN27" si="56">SUM(BM24:BM26)</f>
        <v>71416</v>
      </c>
      <c r="BN27" s="4">
        <f t="shared" si="56"/>
        <v>97426</v>
      </c>
      <c r="BO27" s="4">
        <f t="shared" ref="BO27:BP27" si="57">SUM(BO24:BO26)</f>
        <v>127342</v>
      </c>
      <c r="BP27" s="4">
        <f t="shared" si="57"/>
        <v>141808</v>
      </c>
      <c r="BQ27" s="4">
        <f t="shared" ref="BQ27:BW27" si="58">SUM(BQ24:BQ26)</f>
        <v>146062.24000000002</v>
      </c>
      <c r="BR27" s="4">
        <f t="shared" si="58"/>
        <v>150444.10720000003</v>
      </c>
      <c r="BS27" s="4">
        <f t="shared" si="58"/>
        <v>154957.43041600002</v>
      </c>
      <c r="BT27" s="4">
        <f t="shared" si="58"/>
        <v>159606.15332848002</v>
      </c>
      <c r="BU27" s="4">
        <f t="shared" si="58"/>
        <v>164394.33792833443</v>
      </c>
      <c r="BV27" s="4">
        <f t="shared" si="58"/>
        <v>169326.16806618447</v>
      </c>
      <c r="BW27" s="4">
        <f t="shared" si="58"/>
        <v>174405.95310816998</v>
      </c>
    </row>
    <row r="28" spans="2:137" x14ac:dyDescent="0.25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59">J23-J27</f>
        <v>3872</v>
      </c>
      <c r="K28" s="4">
        <f>K23-K27</f>
        <v>4415</v>
      </c>
      <c r="L28" s="4">
        <f t="shared" ref="L28" si="60">L23-L27</f>
        <v>3170</v>
      </c>
      <c r="M28" s="4">
        <f>M23-M27</f>
        <v>3212</v>
      </c>
      <c r="N28" s="4">
        <f t="shared" ref="N28" si="61">N23-N27</f>
        <v>3944</v>
      </c>
      <c r="O28" s="4">
        <f t="shared" ref="O28" si="62">O23-O27</f>
        <v>4059</v>
      </c>
      <c r="P28" s="4">
        <f t="shared" ref="P28" si="63">P23-P27</f>
        <v>6133</v>
      </c>
      <c r="Q28" s="4">
        <f>Q23-Q27</f>
        <v>6256</v>
      </c>
      <c r="R28" s="4">
        <f t="shared" ref="R28" si="64">R23-R27</f>
        <v>6377</v>
      </c>
      <c r="S28" s="4">
        <f>S23-S27</f>
        <v>8903</v>
      </c>
      <c r="T28" s="4">
        <f t="shared" ref="T28:W28" si="65">T23-T27</f>
        <v>7713</v>
      </c>
      <c r="U28" s="4">
        <f t="shared" si="65"/>
        <v>4841</v>
      </c>
      <c r="V28" s="4">
        <f t="shared" si="65"/>
        <v>3484</v>
      </c>
      <c r="W28" s="4">
        <f t="shared" si="65"/>
        <v>3918</v>
      </c>
      <c r="X28" s="4">
        <f t="shared" ref="X28:AE28" si="66">X23-X27</f>
        <v>3407</v>
      </c>
      <c r="Y28" s="4">
        <f>Y23-Y27</f>
        <v>2690</v>
      </c>
      <c r="Z28" s="4">
        <f t="shared" si="66"/>
        <v>3496</v>
      </c>
      <c r="AA28" s="4">
        <f>AA23-AA27</f>
        <v>4997</v>
      </c>
      <c r="AB28" s="4">
        <f t="shared" si="66"/>
        <v>7827</v>
      </c>
      <c r="AC28" s="4">
        <f>AC23-AC27</f>
        <v>11432</v>
      </c>
      <c r="AD28" s="4">
        <f t="shared" si="66"/>
        <v>13363</v>
      </c>
      <c r="AE28" s="4">
        <f t="shared" si="66"/>
        <v>15535</v>
      </c>
      <c r="AF28" s="4">
        <f t="shared" ref="AF28:AL28" si="67">AF23-AF27</f>
        <v>14673</v>
      </c>
      <c r="AG28" s="4">
        <f t="shared" si="67"/>
        <v>15258</v>
      </c>
      <c r="AH28" s="4">
        <f t="shared" si="67"/>
        <v>21379</v>
      </c>
      <c r="AI28" s="4">
        <f t="shared" si="67"/>
        <v>18972.04</v>
      </c>
      <c r="AJ28" s="4">
        <f t="shared" si="67"/>
        <v>19370</v>
      </c>
      <c r="AK28" s="4">
        <f t="shared" si="67"/>
        <v>59419.998000000007</v>
      </c>
      <c r="AL28" s="4">
        <f t="shared" si="67"/>
        <v>70234.208000000013</v>
      </c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68">BG23-BG27</f>
        <v>311</v>
      </c>
      <c r="BH28" s="4">
        <f t="shared" si="68"/>
        <v>2404</v>
      </c>
      <c r="BI28" s="4">
        <f t="shared" si="68"/>
        <v>4353</v>
      </c>
      <c r="BJ28" s="4">
        <f t="shared" ref="BJ28" si="69">BJ23-BJ27</f>
        <v>4320</v>
      </c>
      <c r="BK28" s="4">
        <f t="shared" ref="BK28:BL28" si="70">BK23-BK27</f>
        <v>12717</v>
      </c>
      <c r="BL28" s="4">
        <f t="shared" si="70"/>
        <v>14741</v>
      </c>
      <c r="BM28" s="4">
        <f t="shared" ref="BM28:BN28" si="71">BM23-BM27</f>
        <v>22825</v>
      </c>
      <c r="BN28" s="4">
        <f t="shared" si="71"/>
        <v>24941</v>
      </c>
      <c r="BO28" s="4">
        <f t="shared" ref="BO28:BP28" si="72">BO23-BO27</f>
        <v>13511</v>
      </c>
      <c r="BP28" s="4">
        <f t="shared" si="72"/>
        <v>37619</v>
      </c>
      <c r="BQ28" s="4">
        <f t="shared" ref="BQ28:BW28" si="73">BQ23-BQ27</f>
        <v>36778.059999999969</v>
      </c>
      <c r="BR28" s="4">
        <f t="shared" si="73"/>
        <v>49288.007800000021</v>
      </c>
      <c r="BS28" s="4">
        <f t="shared" si="73"/>
        <v>65783.711333999934</v>
      </c>
      <c r="BT28" s="4">
        <f t="shared" si="73"/>
        <v>84845.716709020024</v>
      </c>
      <c r="BU28" s="4">
        <f t="shared" si="73"/>
        <v>97550.603371040663</v>
      </c>
      <c r="BV28" s="4">
        <f t="shared" si="73"/>
        <v>108746.54501015946</v>
      </c>
      <c r="BW28" s="4">
        <f t="shared" si="73"/>
        <v>120903.97280519098</v>
      </c>
    </row>
    <row r="29" spans="2:137" s="2" customFormat="1" x14ac:dyDescent="0.25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G29" s="2">
        <f>-262+1256-603</f>
        <v>391</v>
      </c>
      <c r="AH29" s="2">
        <f>-176+1248-570+468</f>
        <v>970</v>
      </c>
      <c r="AJ29" s="2">
        <f>-199+1085-516+1117</f>
        <v>1487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>SUM(K29:N29)</f>
        <v>-766</v>
      </c>
      <c r="BM29" s="2">
        <f>SUM(O29:R29)</f>
        <v>1353</v>
      </c>
      <c r="BN29" s="2">
        <f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74">+BQ47*$BZ$46</f>
        <v>485.79</v>
      </c>
      <c r="BS29" s="2">
        <f t="shared" si="74"/>
        <v>908.86728130000017</v>
      </c>
      <c r="BT29" s="2">
        <f t="shared" si="74"/>
        <v>1475.7541995300498</v>
      </c>
      <c r="BU29" s="2">
        <f t="shared" si="74"/>
        <v>2209.4867022527255</v>
      </c>
      <c r="BV29" s="2">
        <f t="shared" si="74"/>
        <v>3057.4474678757192</v>
      </c>
      <c r="BW29" s="2">
        <f t="shared" si="74"/>
        <v>4007.7814039390187</v>
      </c>
    </row>
    <row r="30" spans="2:137" s="2" customFormat="1" x14ac:dyDescent="0.25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75">J28+J29</f>
        <v>3350</v>
      </c>
      <c r="K30" s="4">
        <f>K28+K29</f>
        <v>4401</v>
      </c>
      <c r="L30" s="4">
        <f t="shared" ref="L30" si="76">L28+L29</f>
        <v>2889</v>
      </c>
      <c r="M30" s="4">
        <f>M28+M29</f>
        <v>2632</v>
      </c>
      <c r="N30" s="4">
        <f t="shared" ref="N30" si="77">N28+N29</f>
        <v>4053</v>
      </c>
      <c r="O30" s="4">
        <f t="shared" ref="O30" si="78">O28+O29</f>
        <v>3383</v>
      </c>
      <c r="P30" s="4">
        <f t="shared" ref="P30" si="79">P28+P29</f>
        <v>6221</v>
      </c>
      <c r="Q30" s="4">
        <f>Q28+Q29</f>
        <v>6809</v>
      </c>
      <c r="R30" s="4">
        <f t="shared" ref="R30" si="80">R28+R29</f>
        <v>7765</v>
      </c>
      <c r="S30" s="4">
        <f>S28+S29</f>
        <v>10268</v>
      </c>
      <c r="T30" s="4">
        <f t="shared" ref="T30:AL30" si="81">T28+T29</f>
        <v>8634</v>
      </c>
      <c r="U30" s="4">
        <f t="shared" si="81"/>
        <v>4315</v>
      </c>
      <c r="V30" s="4">
        <f t="shared" si="81"/>
        <v>14934</v>
      </c>
      <c r="W30" s="4">
        <f t="shared" si="81"/>
        <v>-5265</v>
      </c>
      <c r="X30" s="4">
        <f t="shared" si="81"/>
        <v>2982</v>
      </c>
      <c r="Y30" s="4">
        <f t="shared" si="81"/>
        <v>2944</v>
      </c>
      <c r="Z30" s="4">
        <f t="shared" si="81"/>
        <v>3247</v>
      </c>
      <c r="AA30" s="4">
        <f t="shared" si="81"/>
        <v>4119</v>
      </c>
      <c r="AB30" s="4">
        <f t="shared" si="81"/>
        <v>7563</v>
      </c>
      <c r="AC30" s="4">
        <f>AC28+AC29</f>
        <v>12189</v>
      </c>
      <c r="AD30" s="4">
        <f t="shared" si="81"/>
        <v>13686</v>
      </c>
      <c r="AE30" s="4">
        <f t="shared" si="81"/>
        <v>12983</v>
      </c>
      <c r="AF30" s="4">
        <f t="shared" si="81"/>
        <v>15246</v>
      </c>
      <c r="AG30" s="4">
        <f t="shared" si="81"/>
        <v>15649</v>
      </c>
      <c r="AH30" s="4">
        <f t="shared" si="81"/>
        <v>22349</v>
      </c>
      <c r="AI30" s="4">
        <f t="shared" si="81"/>
        <v>18972.04</v>
      </c>
      <c r="AJ30" s="4">
        <f t="shared" si="81"/>
        <v>20857</v>
      </c>
      <c r="AK30" s="4">
        <f t="shared" si="81"/>
        <v>59419.998000000007</v>
      </c>
      <c r="AL30" s="4">
        <f t="shared" si="81"/>
        <v>70234.208000000013</v>
      </c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2">BG28+BG29</f>
        <v>-111</v>
      </c>
      <c r="BH30" s="4">
        <f t="shared" si="82"/>
        <v>1568</v>
      </c>
      <c r="BI30" s="4">
        <f t="shared" si="82"/>
        <v>3892</v>
      </c>
      <c r="BJ30" s="4">
        <f t="shared" ref="BJ30" si="83">BJ28+BJ29</f>
        <v>3806</v>
      </c>
      <c r="BK30" s="4">
        <f t="shared" ref="BK30:BL30" si="84">BK28+BK29</f>
        <v>11261</v>
      </c>
      <c r="BL30" s="4">
        <f t="shared" si="84"/>
        <v>13975</v>
      </c>
      <c r="BM30" s="4">
        <f t="shared" ref="BM30:BW30" si="85">BM28+BM29</f>
        <v>24178</v>
      </c>
      <c r="BN30" s="4">
        <f t="shared" si="85"/>
        <v>38151</v>
      </c>
      <c r="BO30" s="4">
        <f t="shared" si="85"/>
        <v>3908</v>
      </c>
      <c r="BP30" s="4">
        <f t="shared" si="85"/>
        <v>37557</v>
      </c>
      <c r="BQ30" s="4">
        <f t="shared" si="85"/>
        <v>37062.719999999972</v>
      </c>
      <c r="BR30" s="4">
        <f t="shared" si="85"/>
        <v>49773.797800000022</v>
      </c>
      <c r="BS30" s="4">
        <f t="shared" si="85"/>
        <v>66692.578615299935</v>
      </c>
      <c r="BT30" s="4">
        <f t="shared" si="85"/>
        <v>86321.47090855008</v>
      </c>
      <c r="BU30" s="4">
        <f t="shared" si="85"/>
        <v>99760.090073293395</v>
      </c>
      <c r="BV30" s="4">
        <f t="shared" si="85"/>
        <v>111803.99247803519</v>
      </c>
      <c r="BW30" s="4">
        <f t="shared" si="85"/>
        <v>124911.75420913</v>
      </c>
    </row>
    <row r="31" spans="2:137" s="2" customFormat="1" x14ac:dyDescent="0.25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>
        <f>2706+3</f>
        <v>2709</v>
      </c>
      <c r="AH31" s="2">
        <v>2325</v>
      </c>
      <c r="AI31" s="2">
        <f>+AI30*0.1</f>
        <v>1897.2040000000002</v>
      </c>
      <c r="AJ31" s="2">
        <f>2678+15</f>
        <v>2693</v>
      </c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>SUM(K31:N31)</f>
        <v>2387</v>
      </c>
      <c r="BM31" s="2">
        <f>SUM(O31:R31)</f>
        <v>2847</v>
      </c>
      <c r="BN31" s="2">
        <f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5559.4079999999958</v>
      </c>
      <c r="BR31" s="2">
        <f t="shared" ref="BR31:BW31" si="86">+BR30*0.15</f>
        <v>7466.0696700000026</v>
      </c>
      <c r="BS31" s="2">
        <f t="shared" si="86"/>
        <v>10003.88679229499</v>
      </c>
      <c r="BT31" s="2">
        <f t="shared" si="86"/>
        <v>12948.220636282511</v>
      </c>
      <c r="BU31" s="2">
        <f t="shared" si="86"/>
        <v>14964.013510994009</v>
      </c>
      <c r="BV31" s="2">
        <f t="shared" si="86"/>
        <v>16770.598871705279</v>
      </c>
      <c r="BW31" s="2">
        <f t="shared" si="86"/>
        <v>18736.763131369498</v>
      </c>
    </row>
    <row r="32" spans="2:137" s="2" customFormat="1" x14ac:dyDescent="0.25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87">J30-J31</f>
        <v>3027</v>
      </c>
      <c r="K32" s="4">
        <f>K30-K31</f>
        <v>3561</v>
      </c>
      <c r="L32" s="4">
        <f t="shared" ref="L32" si="88">L30-L31</f>
        <v>2625</v>
      </c>
      <c r="M32" s="4">
        <f>M30-M31</f>
        <v>2134</v>
      </c>
      <c r="N32" s="4">
        <f t="shared" ref="N32" si="89">N30-N31</f>
        <v>3268</v>
      </c>
      <c r="O32" s="4">
        <f t="shared" ref="O32" si="90">O30-O31</f>
        <v>2535</v>
      </c>
      <c r="P32" s="4">
        <f t="shared" ref="P32" si="91">P30-P31</f>
        <v>5243</v>
      </c>
      <c r="Q32" s="4">
        <f>Q30-Q31</f>
        <v>6331</v>
      </c>
      <c r="R32" s="4">
        <f t="shared" ref="R32" si="92">R30-R31</f>
        <v>7222</v>
      </c>
      <c r="S32" s="4">
        <f>S30-S31</f>
        <v>8107</v>
      </c>
      <c r="T32" s="4">
        <f t="shared" ref="T32:AL32" si="93">T30-T31</f>
        <v>7778</v>
      </c>
      <c r="U32" s="4">
        <f t="shared" si="93"/>
        <v>3156</v>
      </c>
      <c r="V32" s="4">
        <f t="shared" si="93"/>
        <v>14323</v>
      </c>
      <c r="W32" s="4">
        <f t="shared" si="93"/>
        <v>-3844</v>
      </c>
      <c r="X32" s="4">
        <f t="shared" si="93"/>
        <v>2982</v>
      </c>
      <c r="Y32" s="4">
        <f t="shared" si="93"/>
        <v>2872</v>
      </c>
      <c r="Z32" s="4">
        <f t="shared" si="93"/>
        <v>3247</v>
      </c>
      <c r="AA32" s="4">
        <f t="shared" si="93"/>
        <v>3172</v>
      </c>
      <c r="AB32" s="4">
        <f t="shared" si="93"/>
        <v>6750</v>
      </c>
      <c r="AC32" s="4">
        <f t="shared" si="93"/>
        <v>9879</v>
      </c>
      <c r="AD32" s="4">
        <f t="shared" si="93"/>
        <v>10624</v>
      </c>
      <c r="AE32" s="4">
        <f t="shared" si="93"/>
        <v>10431</v>
      </c>
      <c r="AF32" s="4">
        <f t="shared" si="93"/>
        <v>13486</v>
      </c>
      <c r="AG32" s="4">
        <f t="shared" si="93"/>
        <v>12940</v>
      </c>
      <c r="AH32" s="4">
        <f t="shared" si="93"/>
        <v>20024</v>
      </c>
      <c r="AI32" s="4">
        <f t="shared" si="93"/>
        <v>17074.835999999999</v>
      </c>
      <c r="AJ32" s="4">
        <f t="shared" si="93"/>
        <v>18164</v>
      </c>
      <c r="AK32" s="4">
        <f t="shared" si="93"/>
        <v>59419.998000000007</v>
      </c>
      <c r="AL32" s="4">
        <f t="shared" si="93"/>
        <v>70234.208000000013</v>
      </c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94">BG30-BG31</f>
        <v>-241</v>
      </c>
      <c r="BH32" s="4">
        <f t="shared" si="94"/>
        <v>596</v>
      </c>
      <c r="BI32" s="4">
        <f t="shared" si="94"/>
        <v>2371</v>
      </c>
      <c r="BJ32" s="4">
        <f t="shared" ref="BJ32" si="95">BJ30-BJ31</f>
        <v>3033</v>
      </c>
      <c r="BK32" s="4">
        <f t="shared" ref="BK32:BL32" si="96">BK30-BK31</f>
        <v>10073</v>
      </c>
      <c r="BL32" s="4">
        <f t="shared" si="96"/>
        <v>11588</v>
      </c>
      <c r="BM32" s="4">
        <f t="shared" ref="BM32:BP32" si="97">BM30-BM31</f>
        <v>21331</v>
      </c>
      <c r="BN32" s="4">
        <f t="shared" si="97"/>
        <v>33364</v>
      </c>
      <c r="BO32" s="4">
        <f t="shared" si="97"/>
        <v>5257</v>
      </c>
      <c r="BP32" s="4">
        <f t="shared" si="97"/>
        <v>30425</v>
      </c>
      <c r="BQ32" s="4">
        <f t="shared" ref="BQ32:BW32" si="98">BQ30-BQ31</f>
        <v>31503.311999999976</v>
      </c>
      <c r="BR32" s="4">
        <f t="shared" si="98"/>
        <v>42307.728130000018</v>
      </c>
      <c r="BS32" s="4">
        <f t="shared" si="98"/>
        <v>56688.691823004949</v>
      </c>
      <c r="BT32" s="4">
        <f t="shared" si="98"/>
        <v>73373.250272267571</v>
      </c>
      <c r="BU32" s="4">
        <f t="shared" si="98"/>
        <v>84796.076562299393</v>
      </c>
      <c r="BV32" s="4">
        <f t="shared" si="98"/>
        <v>95033.393606329904</v>
      </c>
      <c r="BW32" s="4">
        <f t="shared" si="98"/>
        <v>106174.9910777605</v>
      </c>
      <c r="BX32" s="2">
        <f>+BW32*(1+$BZ$47)</f>
        <v>106174.9910777605</v>
      </c>
      <c r="BY32" s="2">
        <f t="shared" ref="BY32:EG32" si="99">+BX32*(1+$BZ$47)</f>
        <v>106174.9910777605</v>
      </c>
      <c r="BZ32" s="2">
        <f t="shared" si="99"/>
        <v>106174.9910777605</v>
      </c>
      <c r="CA32" s="2">
        <f t="shared" si="99"/>
        <v>106174.9910777605</v>
      </c>
      <c r="CB32" s="2">
        <f t="shared" si="99"/>
        <v>106174.9910777605</v>
      </c>
      <c r="CC32" s="2">
        <f t="shared" si="99"/>
        <v>106174.9910777605</v>
      </c>
      <c r="CD32" s="2">
        <f t="shared" si="99"/>
        <v>106174.9910777605</v>
      </c>
      <c r="CE32" s="2">
        <f t="shared" si="99"/>
        <v>106174.9910777605</v>
      </c>
      <c r="CF32" s="2">
        <f t="shared" si="99"/>
        <v>106174.9910777605</v>
      </c>
      <c r="CG32" s="2">
        <f t="shared" si="99"/>
        <v>106174.9910777605</v>
      </c>
      <c r="CH32" s="2">
        <f t="shared" si="99"/>
        <v>106174.9910777605</v>
      </c>
      <c r="CI32" s="2">
        <f t="shared" si="99"/>
        <v>106174.9910777605</v>
      </c>
      <c r="CJ32" s="2">
        <f t="shared" si="99"/>
        <v>106174.9910777605</v>
      </c>
      <c r="CK32" s="2">
        <f t="shared" si="99"/>
        <v>106174.9910777605</v>
      </c>
      <c r="CL32" s="2">
        <f t="shared" si="99"/>
        <v>106174.9910777605</v>
      </c>
      <c r="CM32" s="2">
        <f t="shared" si="99"/>
        <v>106174.9910777605</v>
      </c>
      <c r="CN32" s="2">
        <f t="shared" si="99"/>
        <v>106174.9910777605</v>
      </c>
      <c r="CO32" s="2">
        <f t="shared" si="99"/>
        <v>106174.9910777605</v>
      </c>
      <c r="CP32" s="2">
        <f t="shared" si="99"/>
        <v>106174.9910777605</v>
      </c>
      <c r="CQ32" s="2">
        <f t="shared" si="99"/>
        <v>106174.9910777605</v>
      </c>
      <c r="CR32" s="2">
        <f t="shared" si="99"/>
        <v>106174.9910777605</v>
      </c>
      <c r="CS32" s="2">
        <f t="shared" si="99"/>
        <v>106174.9910777605</v>
      </c>
      <c r="CT32" s="2">
        <f t="shared" si="99"/>
        <v>106174.9910777605</v>
      </c>
      <c r="CU32" s="2">
        <f t="shared" si="99"/>
        <v>106174.9910777605</v>
      </c>
      <c r="CV32" s="2">
        <f t="shared" si="99"/>
        <v>106174.9910777605</v>
      </c>
      <c r="CW32" s="2">
        <f t="shared" si="99"/>
        <v>106174.9910777605</v>
      </c>
      <c r="CX32" s="2">
        <f t="shared" si="99"/>
        <v>106174.9910777605</v>
      </c>
      <c r="CY32" s="2">
        <f t="shared" si="99"/>
        <v>106174.9910777605</v>
      </c>
      <c r="CZ32" s="2">
        <f t="shared" si="99"/>
        <v>106174.9910777605</v>
      </c>
      <c r="DA32" s="2">
        <f t="shared" si="99"/>
        <v>106174.9910777605</v>
      </c>
      <c r="DB32" s="2">
        <f t="shared" si="99"/>
        <v>106174.9910777605</v>
      </c>
      <c r="DC32" s="2">
        <f t="shared" si="99"/>
        <v>106174.9910777605</v>
      </c>
      <c r="DD32" s="2">
        <f t="shared" si="99"/>
        <v>106174.9910777605</v>
      </c>
      <c r="DE32" s="2">
        <f t="shared" si="99"/>
        <v>106174.9910777605</v>
      </c>
      <c r="DF32" s="2">
        <f t="shared" si="99"/>
        <v>106174.9910777605</v>
      </c>
      <c r="DG32" s="2">
        <f t="shared" si="99"/>
        <v>106174.9910777605</v>
      </c>
      <c r="DH32" s="2">
        <f t="shared" si="99"/>
        <v>106174.9910777605</v>
      </c>
      <c r="DI32" s="2">
        <f t="shared" si="99"/>
        <v>106174.9910777605</v>
      </c>
      <c r="DJ32" s="2">
        <f t="shared" si="99"/>
        <v>106174.9910777605</v>
      </c>
      <c r="DK32" s="2">
        <f t="shared" si="99"/>
        <v>106174.9910777605</v>
      </c>
      <c r="DL32" s="2">
        <f t="shared" si="99"/>
        <v>106174.9910777605</v>
      </c>
      <c r="DM32" s="2">
        <f t="shared" si="99"/>
        <v>106174.9910777605</v>
      </c>
      <c r="DN32" s="2">
        <f t="shared" si="99"/>
        <v>106174.9910777605</v>
      </c>
      <c r="DO32" s="2">
        <f t="shared" si="99"/>
        <v>106174.9910777605</v>
      </c>
      <c r="DP32" s="2">
        <f t="shared" si="99"/>
        <v>106174.9910777605</v>
      </c>
      <c r="DQ32" s="2">
        <f t="shared" si="99"/>
        <v>106174.9910777605</v>
      </c>
      <c r="DR32" s="2">
        <f t="shared" si="99"/>
        <v>106174.9910777605</v>
      </c>
      <c r="DS32" s="2">
        <f t="shared" si="99"/>
        <v>106174.9910777605</v>
      </c>
      <c r="DT32" s="2">
        <f t="shared" si="99"/>
        <v>106174.9910777605</v>
      </c>
      <c r="DU32" s="2">
        <f t="shared" si="99"/>
        <v>106174.9910777605</v>
      </c>
      <c r="DV32" s="2">
        <f t="shared" si="99"/>
        <v>106174.9910777605</v>
      </c>
      <c r="DW32" s="2">
        <f t="shared" si="99"/>
        <v>106174.9910777605</v>
      </c>
      <c r="DX32" s="2">
        <f t="shared" si="99"/>
        <v>106174.9910777605</v>
      </c>
      <c r="DY32" s="2">
        <f t="shared" si="99"/>
        <v>106174.9910777605</v>
      </c>
      <c r="DZ32" s="2">
        <f t="shared" si="99"/>
        <v>106174.9910777605</v>
      </c>
      <c r="EA32" s="2">
        <f t="shared" si="99"/>
        <v>106174.9910777605</v>
      </c>
      <c r="EB32" s="2">
        <f t="shared" si="99"/>
        <v>106174.9910777605</v>
      </c>
      <c r="EC32" s="2">
        <f t="shared" si="99"/>
        <v>106174.9910777605</v>
      </c>
      <c r="ED32" s="2">
        <f t="shared" si="99"/>
        <v>106174.9910777605</v>
      </c>
      <c r="EE32" s="2">
        <f t="shared" si="99"/>
        <v>106174.9910777605</v>
      </c>
      <c r="EF32" s="2">
        <f t="shared" si="99"/>
        <v>106174.9910777605</v>
      </c>
      <c r="EG32" s="2">
        <f t="shared" si="99"/>
        <v>106174.9910777605</v>
      </c>
    </row>
    <row r="33" spans="2:78" x14ac:dyDescent="0.25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0">J32/J34</f>
        <v>6.0419161676646711</v>
      </c>
      <c r="K33" s="7">
        <f>K32/K34</f>
        <v>7.0936254980079685</v>
      </c>
      <c r="L33" s="7">
        <f t="shared" ref="L33" si="101">L32/L34</f>
        <v>5.2186878727634198</v>
      </c>
      <c r="M33" s="7">
        <f>M32/M34</f>
        <v>4.2341269841269842</v>
      </c>
      <c r="N33" s="7">
        <f t="shared" ref="N33" si="102">N32/N34</f>
        <v>6.4712871287128717</v>
      </c>
      <c r="O33" s="7">
        <f t="shared" ref="O33" si="103">O32/O34</f>
        <v>5.0098814229249014</v>
      </c>
      <c r="P33" s="7">
        <f t="shared" ref="P33" si="104">P32/P34</f>
        <v>10.300589390962672</v>
      </c>
      <c r="Q33" s="7">
        <f>Q32/Q34</f>
        <v>12.365234375</v>
      </c>
      <c r="R33" s="7">
        <f t="shared" ref="R33" si="105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L33" si="106">X32/X34</f>
        <v>0.29307125307125309</v>
      </c>
      <c r="Y33" s="7">
        <f t="shared" si="106"/>
        <v>0.27799825767108705</v>
      </c>
      <c r="Z33" s="7">
        <f t="shared" si="106"/>
        <v>0.31499805975941014</v>
      </c>
      <c r="AA33" s="7">
        <f t="shared" si="106"/>
        <v>0.3065622885860636</v>
      </c>
      <c r="AB33" s="7">
        <f t="shared" si="106"/>
        <v>0.64599483204134367</v>
      </c>
      <c r="AC33" s="7">
        <f t="shared" si="106"/>
        <v>0.93568857738207989</v>
      </c>
      <c r="AD33" s="7">
        <f t="shared" si="106"/>
        <v>1.0013195098963241</v>
      </c>
      <c r="AE33" s="7">
        <f t="shared" si="106"/>
        <v>0.97760074976569822</v>
      </c>
      <c r="AF33" s="7">
        <f t="shared" si="106"/>
        <v>1.2594322002241314</v>
      </c>
      <c r="AG33" s="7">
        <f t="shared" si="106"/>
        <v>1.2054028877503493</v>
      </c>
      <c r="AH33" s="7">
        <f t="shared" si="106"/>
        <v>1.8590660105839756</v>
      </c>
      <c r="AI33" s="7">
        <f t="shared" si="106"/>
        <v>1.5820287223200222</v>
      </c>
      <c r="AJ33" s="7">
        <f t="shared" si="106"/>
        <v>1.6809180085137887</v>
      </c>
      <c r="AK33" s="7">
        <f t="shared" si="106"/>
        <v>5.4987967795669075</v>
      </c>
      <c r="AL33" s="7">
        <f t="shared" si="106"/>
        <v>6.4995565426614856</v>
      </c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07">BG32/BG34</f>
        <v>-0.52164502164502169</v>
      </c>
      <c r="BH33" s="7">
        <f t="shared" ref="BH33" si="108">BH32/BH34</f>
        <v>1.249475890985325</v>
      </c>
      <c r="BI33" s="7">
        <f t="shared" ref="BI33" si="109">BI32/BI34</f>
        <v>4.8987603305785123</v>
      </c>
      <c r="BJ33" s="7">
        <f t="shared" ref="BJ33" si="110">BJ32/BJ34</f>
        <v>6.1521298174442194</v>
      </c>
      <c r="BK33" s="7">
        <f t="shared" ref="BK33:BL33" si="111">BK32/BK34</f>
        <v>20.146000000000001</v>
      </c>
      <c r="BL33" s="7">
        <f t="shared" si="111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12">BO32/BO34</f>
        <v>0.51665847665847664</v>
      </c>
      <c r="BP33" s="7">
        <f t="shared" si="112"/>
        <v>2.9001048517777144</v>
      </c>
      <c r="BQ33" s="7">
        <f t="shared" ref="BQ33" si="113">BQ32/BQ34</f>
        <v>2.9384676802537055</v>
      </c>
      <c r="BR33" s="7">
        <f t="shared" ref="BR33" si="114">BR32/BR34</f>
        <v>3.9163850065955446</v>
      </c>
      <c r="BS33" s="7">
        <f t="shared" ref="BS33" si="115">BS32/BS34</f>
        <v>5.2476167478655853</v>
      </c>
      <c r="BT33" s="7">
        <f t="shared" ref="BT33" si="116">BT32/BT34</f>
        <v>6.79209000229271</v>
      </c>
      <c r="BU33" s="7">
        <f t="shared" ref="BU33" si="117">BU32/BU34</f>
        <v>7.8494898578879813</v>
      </c>
      <c r="BV33" s="7">
        <f t="shared" ref="BV33" si="118">BV32/BV34</f>
        <v>8.7971482822734863</v>
      </c>
      <c r="BW33" s="7">
        <f t="shared" ref="BW33" si="119">BW32/BW34</f>
        <v>9.8285150612353789</v>
      </c>
    </row>
    <row r="34" spans="2:78" x14ac:dyDescent="0.25">
      <c r="B34" s="2" t="s">
        <v>2</v>
      </c>
      <c r="J34" s="4">
        <v>501</v>
      </c>
      <c r="K34" s="4">
        <v>502</v>
      </c>
      <c r="L34" s="4">
        <v>503</v>
      </c>
      <c r="M34" s="4">
        <v>504</v>
      </c>
      <c r="N34" s="4">
        <v>505</v>
      </c>
      <c r="O34" s="4">
        <v>506</v>
      </c>
      <c r="P34" s="4">
        <v>509</v>
      </c>
      <c r="Q34" s="4">
        <v>512</v>
      </c>
      <c r="R34" s="4">
        <v>513</v>
      </c>
      <c r="S34" s="4">
        <v>513</v>
      </c>
      <c r="T34" s="4">
        <v>10286</v>
      </c>
      <c r="U34" s="4">
        <v>515</v>
      </c>
      <c r="V34" s="4">
        <v>10324</v>
      </c>
      <c r="W34" s="4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>
        <v>10735</v>
      </c>
      <c r="AH34" s="4">
        <v>10771</v>
      </c>
      <c r="AI34" s="2">
        <v>10793</v>
      </c>
      <c r="AJ34" s="2">
        <v>10806</v>
      </c>
      <c r="AK34" s="2">
        <f>+AJ34</f>
        <v>10806</v>
      </c>
      <c r="AL34" s="2">
        <f>+AK34</f>
        <v>10806</v>
      </c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AVERAGE(AE34:AH34)</f>
        <v>10721</v>
      </c>
      <c r="BR34" s="2">
        <f>AVERAGE(AI34:AL34)</f>
        <v>10802.75</v>
      </c>
      <c r="BS34" s="2">
        <f t="shared" ref="BS34:BW34" si="120">+BR34</f>
        <v>10802.75</v>
      </c>
      <c r="BT34" s="2">
        <f t="shared" si="120"/>
        <v>10802.75</v>
      </c>
      <c r="BU34" s="2">
        <f t="shared" si="120"/>
        <v>10802.75</v>
      </c>
      <c r="BV34" s="2">
        <f t="shared" si="120"/>
        <v>10802.75</v>
      </c>
      <c r="BW34" s="2">
        <f t="shared" si="120"/>
        <v>10802.75</v>
      </c>
    </row>
    <row r="36" spans="2:78" s="11" customFormat="1" ht="13" x14ac:dyDescent="0.3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1">P20/L20-1</f>
        <v>0.40230900258658764</v>
      </c>
      <c r="Q36" s="10">
        <f t="shared" si="121"/>
        <v>0.37387290836084075</v>
      </c>
      <c r="R36" s="10">
        <f t="shared" si="121"/>
        <v>0.43594816839553041</v>
      </c>
      <c r="S36" s="10">
        <f t="shared" ref="S36" si="122">S20/O20-1</f>
        <v>0.43823888034777081</v>
      </c>
      <c r="T36" s="10">
        <f t="shared" ref="T36" si="123">T20/P20-1</f>
        <v>0.27181932697498645</v>
      </c>
      <c r="U36" s="10">
        <f t="shared" ref="U36" si="124">U20/Q20-1</f>
        <v>0.15255083467679031</v>
      </c>
      <c r="V36" s="10">
        <f t="shared" ref="V36" si="125">V20/R20-1</f>
        <v>9.4436701047349692E-2</v>
      </c>
      <c r="W36" s="10">
        <f>W20/S20-1</f>
        <v>7.3038574245747334E-2</v>
      </c>
      <c r="X36" s="10">
        <f t="shared" ref="X36:AE36" si="126">X20/T20-1</f>
        <v>7.2108241952600016E-2</v>
      </c>
      <c r="Y36" s="10">
        <f>Y20/U20-1</f>
        <v>0.14699671515720314</v>
      </c>
      <c r="Z36" s="10">
        <f t="shared" si="126"/>
        <v>8.5814921549791867E-2</v>
      </c>
      <c r="AA36" s="10">
        <f>AA20/W20-1</f>
        <v>9.3727456975026602E-2</v>
      </c>
      <c r="AB36" s="10">
        <f t="shared" si="126"/>
        <v>0.10845967302901816</v>
      </c>
      <c r="AC36" s="10">
        <f t="shared" si="126"/>
        <v>0.125742519728405</v>
      </c>
      <c r="AD36" s="10">
        <f t="shared" si="126"/>
        <v>0.13911825420230017</v>
      </c>
      <c r="AE36" s="10">
        <f t="shared" si="126"/>
        <v>0.12527677884388888</v>
      </c>
      <c r="AF36" s="10">
        <f>AF20/AB20-1</f>
        <v>0.10116607011303502</v>
      </c>
      <c r="AG36" s="10">
        <f t="shared" ref="AG36:AL36" si="127">AG20/AC20-1</f>
        <v>0.11038348371225104</v>
      </c>
      <c r="AH36" s="10">
        <f t="shared" si="127"/>
        <v>0.10491230341078239</v>
      </c>
      <c r="AI36" s="10">
        <f t="shared" si="127"/>
        <v>8.6202926461660834E-2</v>
      </c>
      <c r="AJ36" s="10">
        <f t="shared" si="127"/>
        <v>0.13329008366108486</v>
      </c>
      <c r="AK36" s="10">
        <f t="shared" si="127"/>
        <v>0.10000000000000009</v>
      </c>
      <c r="AL36" s="10">
        <f t="shared" si="127"/>
        <v>0.10000000000000009</v>
      </c>
      <c r="AQ36" s="15">
        <f t="shared" ref="AQ36:AR36" si="128">AQ20/AP20-1</f>
        <v>3.1263372285789677</v>
      </c>
      <c r="AR36" s="15">
        <f t="shared" si="128"/>
        <v>1.6890585567192891</v>
      </c>
      <c r="AS36" s="15">
        <f t="shared" ref="AS36" si="129">AS20/AR20-1</f>
        <v>0.68430132470321792</v>
      </c>
      <c r="AT36" s="15">
        <f t="shared" ref="AT36" si="130">AT20/AS20-1</f>
        <v>0.1305040617556299</v>
      </c>
      <c r="AU36" s="15">
        <f t="shared" ref="AU36" si="131">AU20/AT20-1</f>
        <v>0.25957418461821291</v>
      </c>
      <c r="AV36" s="15">
        <f t="shared" ref="AV36" si="132">AV20/AU20-1</f>
        <v>0.3383637567455966</v>
      </c>
      <c r="AW36" s="15">
        <f t="shared" ref="AW36" si="133">AW20/AV20-1</f>
        <v>0.31485481977597884</v>
      </c>
      <c r="AX36" s="15">
        <f t="shared" ref="AX36" si="134">AX20/AW20-1</f>
        <v>0.22670134373645423</v>
      </c>
      <c r="AY36" s="15">
        <f t="shared" ref="AY36" si="135">AY20/AX20-1</f>
        <v>0.26160188457008249</v>
      </c>
      <c r="AZ36" s="15">
        <f t="shared" ref="AZ36" si="136">AZ20/AY20-1</f>
        <v>0.38502474092054895</v>
      </c>
      <c r="BA36" s="15">
        <f t="shared" ref="BA36" si="137">BA20/AZ20-1</f>
        <v>0.29194472531176263</v>
      </c>
      <c r="BB36" s="15">
        <f t="shared" ref="BB36" si="138">BB20/BA20-1</f>
        <v>0.27877491391004905</v>
      </c>
      <c r="BC36" s="15">
        <f t="shared" ref="BC36" si="139">BC20/BB20-1</f>
        <v>0.39556897466236896</v>
      </c>
      <c r="BD36" s="15">
        <f t="shared" ref="BD36" si="140">BD20/BC20-1</f>
        <v>0.40559583674424049</v>
      </c>
      <c r="BE36" s="15">
        <f t="shared" ref="BE36" si="141">BE20/BD20-1</f>
        <v>0.27073236682821311</v>
      </c>
      <c r="BF36" s="15">
        <f t="shared" ref="BF36:BJ36" si="142">BF20/BE20-1</f>
        <v>0.21866662301736706</v>
      </c>
      <c r="BG36" s="15">
        <f t="shared" si="142"/>
        <v>0.1952398861011122</v>
      </c>
      <c r="BH36" s="15">
        <f t="shared" si="142"/>
        <v>0.20247673843664304</v>
      </c>
      <c r="BI36" s="15">
        <f t="shared" si="142"/>
        <v>0.27083528026465808</v>
      </c>
      <c r="BJ36" s="15">
        <f t="shared" si="142"/>
        <v>0.30796326119408479</v>
      </c>
      <c r="BK36" s="15">
        <f t="shared" ref="BK36" si="143">BK20/BJ20-1</f>
        <v>0.3093396152159491</v>
      </c>
      <c r="BL36" s="15">
        <f t="shared" ref="BL36" si="144">BL20/BK20-1</f>
        <v>0.20454125820676983</v>
      </c>
      <c r="BM36" s="15">
        <f t="shared" ref="BM36" si="145">BM20/BL20-1</f>
        <v>0.37623430604373276</v>
      </c>
      <c r="BN36" s="15">
        <f>BN20/BM20-1</f>
        <v>0.21695366571345676</v>
      </c>
      <c r="BO36" s="15">
        <f t="shared" ref="BO36:BW36" si="146">BO20/BN20-1</f>
        <v>9.399517263985091E-2</v>
      </c>
      <c r="BP36" s="15">
        <f>BP20/BO20-1</f>
        <v>0.1182957412988368</v>
      </c>
      <c r="BQ36" s="15">
        <f t="shared" si="146"/>
        <v>0.1099089224666614</v>
      </c>
      <c r="BR36" s="15">
        <f t="shared" si="146"/>
        <v>7.2097658313465374E-2</v>
      </c>
      <c r="BS36" s="15">
        <f t="shared" si="146"/>
        <v>8.4845322644705679E-2</v>
      </c>
      <c r="BT36" s="15">
        <f t="shared" si="146"/>
        <v>8.7798486748400739E-2</v>
      </c>
      <c r="BU36" s="15">
        <f t="shared" si="146"/>
        <v>7.1766336710576972E-2</v>
      </c>
      <c r="BV36" s="15">
        <f t="shared" si="146"/>
        <v>6.167758603707818E-2</v>
      </c>
      <c r="BW36" s="15">
        <f t="shared" si="146"/>
        <v>6.2099101280581381E-2</v>
      </c>
    </row>
    <row r="37" spans="2:78" s="11" customFormat="1" ht="13" x14ac:dyDescent="0.3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0.11</v>
      </c>
      <c r="AC37" s="10">
        <v>0.11</v>
      </c>
      <c r="AD37" s="10">
        <v>0.13</v>
      </c>
      <c r="AE37" s="10">
        <v>0.13</v>
      </c>
      <c r="AF37" s="10">
        <v>0.11</v>
      </c>
      <c r="AG37" s="10">
        <v>0.11</v>
      </c>
      <c r="AH37" s="10">
        <v>0.11</v>
      </c>
      <c r="AI37" s="10">
        <v>0.1</v>
      </c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5">
      <c r="B38" s="2" t="s">
        <v>100</v>
      </c>
      <c r="I38" s="8"/>
      <c r="K38" s="8"/>
      <c r="L38" s="8"/>
      <c r="M38" s="8"/>
      <c r="N38" s="8"/>
      <c r="O38" s="8">
        <f t="shared" ref="O38:R39" si="147">+O18/K18-1</f>
        <v>0.22045911968030807</v>
      </c>
      <c r="P38" s="8">
        <f t="shared" si="147"/>
        <v>0.40127175368139234</v>
      </c>
      <c r="Q38" s="8">
        <f t="shared" si="147"/>
        <v>0.32844988168957356</v>
      </c>
      <c r="R38" s="8">
        <f t="shared" si="147"/>
        <v>0.40588025800324479</v>
      </c>
      <c r="S38" s="8">
        <f t="shared" ref="S38:W38" si="148">+S18/O18-1</f>
        <v>0.37403503740350375</v>
      </c>
      <c r="T38" s="8">
        <f t="shared" si="148"/>
        <v>0.15444630204601539</v>
      </c>
      <c r="U38" s="8">
        <f t="shared" si="148"/>
        <v>3.9830219426232549E-2</v>
      </c>
      <c r="V38" s="8">
        <f t="shared" si="148"/>
        <v>5.0664264805224679E-3</v>
      </c>
      <c r="W38" s="8">
        <f t="shared" si="148"/>
        <v>-1.8020211859247515E-2</v>
      </c>
      <c r="X38" s="8">
        <f t="shared" ref="X38:AF38" si="149">+X18/T18-1</f>
        <v>-2.4636231984001111E-2</v>
      </c>
      <c r="Y38" s="8">
        <f t="shared" si="149"/>
        <v>8.1347036956046281E-2</v>
      </c>
      <c r="Z38" s="8">
        <f t="shared" si="149"/>
        <v>-1.2392181023860194E-2</v>
      </c>
      <c r="AA38" s="8">
        <f t="shared" si="149"/>
        <v>9.317155256398868E-3</v>
      </c>
      <c r="AB38" s="8">
        <f t="shared" si="149"/>
        <v>4.342907644719407E-2</v>
      </c>
      <c r="AC38" s="8">
        <f t="shared" si="149"/>
        <v>6.4560161779575242E-2</v>
      </c>
      <c r="AD38" s="8">
        <f t="shared" si="149"/>
        <v>8.7507620762501626E-2</v>
      </c>
      <c r="AE38" s="8">
        <f t="shared" si="149"/>
        <v>6.9040557378775347E-2</v>
      </c>
      <c r="AF38" s="8">
        <f t="shared" si="149"/>
        <v>4.2976690608483636E-2</v>
      </c>
      <c r="AG38" s="8">
        <f t="shared" ref="AG38:AL38" si="150">+AG18/AC18-1</f>
        <v>7.0127115290243847E-2</v>
      </c>
      <c r="AH38" s="8">
        <f t="shared" si="150"/>
        <v>7.200500632309037E-2</v>
      </c>
      <c r="AI38" s="8">
        <f t="shared" si="150"/>
        <v>5.0151850939834208E-2</v>
      </c>
      <c r="AJ38" s="8">
        <f t="shared" si="150"/>
        <v>0.10844743296139292</v>
      </c>
      <c r="AK38" s="8">
        <f t="shared" si="150"/>
        <v>-1</v>
      </c>
      <c r="AL38" s="8">
        <f t="shared" si="150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5">
      <c r="B39" s="2" t="s">
        <v>101</v>
      </c>
      <c r="I39" s="8"/>
      <c r="K39" s="8"/>
      <c r="L39" s="8"/>
      <c r="M39" s="8"/>
      <c r="N39" s="8"/>
      <c r="O39" s="8">
        <f t="shared" si="147"/>
        <v>0.32238265727662596</v>
      </c>
      <c r="P39" s="8">
        <f t="shared" si="147"/>
        <v>0.40365906780891536</v>
      </c>
      <c r="Q39" s="8">
        <f t="shared" si="147"/>
        <v>0.43351512146752613</v>
      </c>
      <c r="R39" s="8">
        <f t="shared" si="147"/>
        <v>0.47713782355332701</v>
      </c>
      <c r="S39" s="8">
        <f t="shared" ref="S39" si="151">+S19/O19-1</f>
        <v>0.5181636964089138</v>
      </c>
      <c r="T39" s="8">
        <f t="shared" ref="T39" si="152">+T19/P19-1</f>
        <v>0.42433019551049966</v>
      </c>
      <c r="U39" s="8">
        <f t="shared" ref="U39" si="153">+U19/Q19-1</f>
        <v>0.28970971386410271</v>
      </c>
      <c r="V39" s="8">
        <f t="shared" ref="V39" si="154">+V19/R19-1</f>
        <v>0.21095799922934355</v>
      </c>
      <c r="W39" s="8">
        <f t="shared" ref="W39:AA39" si="155">+W19/S19-1</f>
        <v>0.17563250827993016</v>
      </c>
      <c r="X39" s="8">
        <f t="shared" si="155"/>
        <v>0.17399593289273008</v>
      </c>
      <c r="Y39" s="8">
        <f t="shared" si="155"/>
        <v>0.21140231693363853</v>
      </c>
      <c r="Z39" s="8">
        <f t="shared" si="155"/>
        <v>0.19208739923631746</v>
      </c>
      <c r="AA39" s="8">
        <f t="shared" si="155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56">+AG19/AC19-1</f>
        <v>0.14220642706977671</v>
      </c>
      <c r="AH39" s="8">
        <f t="shared" si="156"/>
        <v>0.13197795363400466</v>
      </c>
      <c r="AI39" s="8">
        <f t="shared" si="156"/>
        <v>0.11285468093885775</v>
      </c>
      <c r="AJ39" s="8">
        <f t="shared" si="156"/>
        <v>0.15099121619275779</v>
      </c>
      <c r="AK39" s="8">
        <f t="shared" si="156"/>
        <v>-1</v>
      </c>
      <c r="AL39" s="8">
        <f t="shared" si="156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5">
      <c r="B40" s="2" t="s">
        <v>56</v>
      </c>
      <c r="N40" s="8">
        <f t="shared" ref="N40" si="157">+N11/J11-1</f>
        <v>0.14652704535181549</v>
      </c>
      <c r="O40" s="8">
        <f t="shared" ref="O40" si="158">+O11/K11-1</f>
        <v>0.24252491694352152</v>
      </c>
      <c r="P40" s="8">
        <f t="shared" ref="P40" si="159">+P11/L11-1</f>
        <v>0.47798924419540789</v>
      </c>
      <c r="Q40" s="8">
        <f t="shared" ref="Q40" si="160">+Q11/M11-1</f>
        <v>0.37989097862381915</v>
      </c>
      <c r="R40" s="8">
        <f t="shared" ref="R40:V40" si="161">+R11/N11-1</f>
        <v>0.45543947258908823</v>
      </c>
      <c r="S40" s="8">
        <f t="shared" si="161"/>
        <v>0.44333187820582776</v>
      </c>
      <c r="T40" s="8">
        <f t="shared" si="161"/>
        <v>0.15820550810528156</v>
      </c>
      <c r="U40" s="8">
        <f t="shared" si="161"/>
        <v>3.2926577042399208E-2</v>
      </c>
      <c r="V40" s="8">
        <f t="shared" si="161"/>
        <v>-5.6583046154309313E-3</v>
      </c>
      <c r="W40" s="8">
        <f>+W11/S11-1</f>
        <v>-3.3496531256497986E-2</v>
      </c>
      <c r="X40" s="8">
        <f t="shared" ref="X40:AD40" si="162">+X11/T11-1</f>
        <v>-4.3305679402524611E-2</v>
      </c>
      <c r="Y40" s="8">
        <f t="shared" si="162"/>
        <v>7.102238596772259E-2</v>
      </c>
      <c r="Z40" s="8">
        <f t="shared" si="162"/>
        <v>-2.3367385546727237E-2</v>
      </c>
      <c r="AA40" s="8">
        <f t="shared" si="162"/>
        <v>-6.4542627471686487E-4</v>
      </c>
      <c r="AB40" s="8">
        <f t="shared" si="162"/>
        <v>4.1510175990561393E-2</v>
      </c>
      <c r="AC40" s="8">
        <f t="shared" si="162"/>
        <v>7.0631344762474457E-2</v>
      </c>
      <c r="AD40" s="8">
        <f t="shared" si="162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 t="shared" ref="AG40:AL40" si="163">+AG11/AC11-1</f>
        <v>7.2362791834738927E-2</v>
      </c>
      <c r="AH40" s="8">
        <f t="shared" si="163"/>
        <v>7.1063039564520869E-2</v>
      </c>
      <c r="AI40" s="8">
        <f t="shared" si="163"/>
        <v>5.0064020486555671E-2</v>
      </c>
      <c r="AJ40" s="8">
        <f t="shared" si="163"/>
        <v>0.10999783362218363</v>
      </c>
      <c r="AK40" s="8">
        <f t="shared" si="163"/>
        <v>-1</v>
      </c>
      <c r="AL40" s="8">
        <f t="shared" si="163"/>
        <v>-1</v>
      </c>
      <c r="BK40" s="13"/>
      <c r="BL40" s="13">
        <f t="shared" ref="BL40" si="164">BL11/BK11-1</f>
        <v>0.14847097660728359</v>
      </c>
      <c r="BM40" s="13">
        <f t="shared" ref="BM40" si="165">BM11/BL11-1</f>
        <v>0.39719073679440986</v>
      </c>
      <c r="BN40" s="13">
        <f>BN11/BM11-1</f>
        <v>0.12529072860769497</v>
      </c>
      <c r="BO40" s="13">
        <f t="shared" ref="BO40:BW40" si="166">BO11/BN11-1</f>
        <v>-9.3256782618484912E-3</v>
      </c>
      <c r="BP40" s="13">
        <f t="shared" si="166"/>
        <v>5.3944473736841081E-2</v>
      </c>
      <c r="BQ40" s="13">
        <f t="shared" si="166"/>
        <v>6.5367961634005045E-2</v>
      </c>
      <c r="BR40" s="13">
        <f t="shared" si="166"/>
        <v>5.0000000000000044E-2</v>
      </c>
      <c r="BS40" s="13">
        <f t="shared" si="166"/>
        <v>5.0000000000000044E-2</v>
      </c>
      <c r="BT40" s="13">
        <f t="shared" si="166"/>
        <v>5.0000000000000044E-2</v>
      </c>
      <c r="BU40" s="13">
        <f t="shared" si="166"/>
        <v>5.0000000000000044E-2</v>
      </c>
      <c r="BV40" s="13">
        <f t="shared" si="166"/>
        <v>5.0000000000000044E-2</v>
      </c>
      <c r="BW40" s="13">
        <f t="shared" si="166"/>
        <v>5.0000000000000044E-2</v>
      </c>
    </row>
    <row r="41" spans="2:78" x14ac:dyDescent="0.25">
      <c r="B41" s="2" t="s">
        <v>57</v>
      </c>
      <c r="N41" s="8">
        <f t="shared" ref="N41:V41" si="167">+N13/J13-1</f>
        <v>0.30359411193304942</v>
      </c>
      <c r="O41" s="8">
        <f t="shared" si="167"/>
        <v>0.29961403823714217</v>
      </c>
      <c r="P41" s="8">
        <f t="shared" si="167"/>
        <v>0.52106671125229886</v>
      </c>
      <c r="Q41" s="8">
        <f t="shared" si="167"/>
        <v>0.54677565849227983</v>
      </c>
      <c r="R41" s="8">
        <f t="shared" si="167"/>
        <v>0.56637624670411557</v>
      </c>
      <c r="S41" s="8">
        <f t="shared" si="167"/>
        <v>0.63747496374058987</v>
      </c>
      <c r="T41" s="8">
        <f t="shared" si="167"/>
        <v>0.37867546029128873</v>
      </c>
      <c r="U41" s="8">
        <f t="shared" si="167"/>
        <v>0.18672930123311793</v>
      </c>
      <c r="V41" s="8">
        <f t="shared" si="167"/>
        <v>0.10952537783144867</v>
      </c>
      <c r="W41" s="8">
        <f>+W13/S13-1</f>
        <v>6.8581551309629285E-2</v>
      </c>
      <c r="X41" s="8">
        <f t="shared" ref="X41:AD41" si="168">+X13/T13-1</f>
        <v>9.1329479768786026E-2</v>
      </c>
      <c r="Y41" s="8">
        <f t="shared" si="168"/>
        <v>0.18200560778492503</v>
      </c>
      <c r="Z41" s="8">
        <f t="shared" si="168"/>
        <v>0.19851583113456472</v>
      </c>
      <c r="AA41" s="8">
        <f t="shared" si="168"/>
        <v>0.177027827116637</v>
      </c>
      <c r="AB41" s="8">
        <f t="shared" si="168"/>
        <v>0.18103448275862077</v>
      </c>
      <c r="AC41" s="8">
        <f t="shared" si="168"/>
        <v>0.19800460475825021</v>
      </c>
      <c r="AD41" s="8">
        <f t="shared" si="168"/>
        <v>0.19868460882247718</v>
      </c>
      <c r="AE41" s="8">
        <f t="shared" ref="AE41:AL43" si="169">+AE13/AA13-1</f>
        <v>0.16016096579476868</v>
      </c>
      <c r="AF41" s="8">
        <f t="shared" si="169"/>
        <v>0.11966472844240994</v>
      </c>
      <c r="AG41" s="8">
        <f t="shared" si="169"/>
        <v>0.10255663618892319</v>
      </c>
      <c r="AH41" s="8">
        <f t="shared" si="169"/>
        <v>9.0130627424872101E-2</v>
      </c>
      <c r="AI41" s="8">
        <f t="shared" si="169"/>
        <v>5.538212510116769E-2</v>
      </c>
      <c r="AJ41" s="8">
        <f t="shared" si="169"/>
        <v>0.1145548465512003</v>
      </c>
      <c r="AK41" s="8">
        <f t="shared" si="169"/>
        <v>-1</v>
      </c>
      <c r="AL41" s="8">
        <f t="shared" si="169"/>
        <v>-1</v>
      </c>
      <c r="BK41" s="13"/>
      <c r="BL41" s="13">
        <f t="shared" ref="BL41" si="170">BL13/BK13-1</f>
        <v>0.25771435255585451</v>
      </c>
      <c r="BM41" s="13">
        <f t="shared" ref="BM41" si="171">BM13/BL13-1</f>
        <v>0.4961961273041795</v>
      </c>
      <c r="BN41" s="13">
        <f>BN13/BM13-1</f>
        <v>0.28505538495965776</v>
      </c>
      <c r="BO41" s="13">
        <f t="shared" ref="BO41:BW41" si="172">BO13/BN13-1</f>
        <v>0.13882708047133496</v>
      </c>
      <c r="BP41" s="13">
        <f t="shared" si="172"/>
        <v>0.18975330456352579</v>
      </c>
      <c r="BQ41" s="13">
        <f t="shared" si="172"/>
        <v>0.11490649968226307</v>
      </c>
      <c r="BR41" s="13">
        <f t="shared" si="172"/>
        <v>5.0000000000000044E-2</v>
      </c>
      <c r="BS41" s="13">
        <f t="shared" si="172"/>
        <v>5.0000000000000044E-2</v>
      </c>
      <c r="BT41" s="13">
        <f t="shared" si="172"/>
        <v>5.0000000000000044E-2</v>
      </c>
      <c r="BU41" s="13">
        <f t="shared" si="172"/>
        <v>5.0000000000000044E-2</v>
      </c>
      <c r="BV41" s="13">
        <f t="shared" si="172"/>
        <v>5.0000000000000044E-2</v>
      </c>
      <c r="BW41" s="13">
        <f t="shared" si="172"/>
        <v>5.0000000000000044E-2</v>
      </c>
    </row>
    <row r="42" spans="2:78" x14ac:dyDescent="0.25">
      <c r="B42" s="2" t="s">
        <v>58</v>
      </c>
      <c r="N42" s="8">
        <f t="shared" ref="N42:V43" si="173">+N14/J14-1</f>
        <v>0.3223036120232381</v>
      </c>
      <c r="O42" s="8">
        <f t="shared" si="173"/>
        <v>0.27959465684016571</v>
      </c>
      <c r="P42" s="8">
        <f t="shared" si="173"/>
        <v>0.28699743370402042</v>
      </c>
      <c r="Q42" s="8">
        <f t="shared" si="173"/>
        <v>0.32580189630825096</v>
      </c>
      <c r="R42" s="8">
        <f t="shared" si="173"/>
        <v>0.34880611270296091</v>
      </c>
      <c r="S42" s="8">
        <f t="shared" si="173"/>
        <v>0.36429085673146155</v>
      </c>
      <c r="T42" s="8">
        <f t="shared" si="173"/>
        <v>0.31555333998005985</v>
      </c>
      <c r="U42" s="8">
        <f t="shared" si="173"/>
        <v>0.23980523432744971</v>
      </c>
      <c r="V42" s="8">
        <f t="shared" si="173"/>
        <v>0.15040362554878905</v>
      </c>
      <c r="W42" s="8">
        <f>+W14/S14-1</f>
        <v>0.10949868073878632</v>
      </c>
      <c r="X42" s="8">
        <f t="shared" ref="X42:AD43" si="174">+X14/T14-1</f>
        <v>0.10092206643930779</v>
      </c>
      <c r="Y42" s="8">
        <f t="shared" si="174"/>
        <v>9.2660775650466265E-2</v>
      </c>
      <c r="Z42" s="8">
        <f t="shared" si="174"/>
        <v>0.13123230333620572</v>
      </c>
      <c r="AA42" s="8">
        <f t="shared" si="174"/>
        <v>0.14827586206896548</v>
      </c>
      <c r="AB42" s="8">
        <f t="shared" si="174"/>
        <v>0.13515374024782001</v>
      </c>
      <c r="AC42" s="8">
        <f t="shared" si="174"/>
        <v>0.14231158036616876</v>
      </c>
      <c r="AD42" s="8">
        <f t="shared" si="174"/>
        <v>0.14136467515507678</v>
      </c>
      <c r="AE42" s="8">
        <f t="shared" si="169"/>
        <v>0.22439681060370709</v>
      </c>
      <c r="AF42" s="8">
        <f t="shared" si="169"/>
        <v>0.29078229229836272</v>
      </c>
      <c r="AG42" s="8">
        <f t="shared" si="169"/>
        <v>0.40914454277286127</v>
      </c>
      <c r="AH42" s="8">
        <f t="shared" si="169"/>
        <v>0.64836003051106017</v>
      </c>
      <c r="AI42" s="8">
        <f t="shared" si="169"/>
        <v>0.17735115020297698</v>
      </c>
      <c r="AJ42" s="8">
        <f t="shared" si="169"/>
        <v>0.22887792655234507</v>
      </c>
      <c r="AK42" s="8">
        <f t="shared" si="169"/>
        <v>-1</v>
      </c>
      <c r="AL42" s="8">
        <f t="shared" si="169"/>
        <v>-1</v>
      </c>
      <c r="BK42" s="13"/>
      <c r="BL42" s="13">
        <f t="shared" ref="BL42" si="175">BL14/BK14-1</f>
        <v>0.35596809486835612</v>
      </c>
      <c r="BM42" s="13">
        <f t="shared" ref="BM42" si="176">BM14/BL14-1</f>
        <v>0.31218115564810001</v>
      </c>
      <c r="BN42" s="13">
        <f>BN14/BM14-1</f>
        <v>0.26028484151227826</v>
      </c>
      <c r="BO42" s="13">
        <f t="shared" ref="BO42:BW42" si="177">BO14/BN14-1</f>
        <v>0.10859984890455809</v>
      </c>
      <c r="BP42" s="13">
        <f t="shared" si="177"/>
        <v>0.14171730365154178</v>
      </c>
      <c r="BQ42" s="13">
        <f t="shared" si="177"/>
        <v>0.39804521375811386</v>
      </c>
      <c r="BR42" s="13">
        <f t="shared" si="177"/>
        <v>0.10000000000000009</v>
      </c>
      <c r="BS42" s="13">
        <f t="shared" si="177"/>
        <v>0.10000000000000009</v>
      </c>
      <c r="BT42" s="13">
        <f t="shared" si="177"/>
        <v>0.10000000000000009</v>
      </c>
      <c r="BU42" s="13">
        <f t="shared" si="177"/>
        <v>5.0000000000000044E-2</v>
      </c>
      <c r="BV42" s="13">
        <f t="shared" si="177"/>
        <v>5.0000000000000044E-2</v>
      </c>
      <c r="BW42" s="13">
        <f t="shared" si="177"/>
        <v>5.0000000000000044E-2</v>
      </c>
    </row>
    <row r="43" spans="2:78" x14ac:dyDescent="0.25">
      <c r="B43" s="2" t="s">
        <v>59</v>
      </c>
      <c r="N43" s="8">
        <f t="shared" si="173"/>
        <v>0.41145218417945695</v>
      </c>
      <c r="O43" s="8">
        <f t="shared" si="173"/>
        <v>0.43814432989690721</v>
      </c>
      <c r="P43" s="8">
        <f t="shared" si="173"/>
        <v>0.40606262491672229</v>
      </c>
      <c r="Q43" s="8">
        <f t="shared" si="173"/>
        <v>0.50529838259899607</v>
      </c>
      <c r="R43" s="8">
        <f t="shared" si="173"/>
        <v>0.53701380175658731</v>
      </c>
      <c r="S43" s="8">
        <f t="shared" si="173"/>
        <v>0.63364055299539168</v>
      </c>
      <c r="T43" s="8">
        <f t="shared" si="173"/>
        <v>0.76522151149016815</v>
      </c>
      <c r="U43" s="8">
        <f t="shared" si="173"/>
        <v>0.41015190811411628</v>
      </c>
      <c r="V43" s="8">
        <f t="shared" si="173"/>
        <v>0.32190476190476192</v>
      </c>
      <c r="W43" s="8">
        <f t="shared" ref="W43" si="178">+W15/S15-1</f>
        <v>0.23444601159692846</v>
      </c>
      <c r="X43" s="8">
        <f t="shared" si="174"/>
        <v>0.17527848610924712</v>
      </c>
      <c r="Y43" s="8">
        <f t="shared" si="174"/>
        <v>0.25433526011560703</v>
      </c>
      <c r="Z43" s="8">
        <f t="shared" si="174"/>
        <v>0.18948126801152743</v>
      </c>
      <c r="AA43" s="8">
        <f t="shared" si="174"/>
        <v>0.20718547670432907</v>
      </c>
      <c r="AB43" s="8">
        <f t="shared" si="174"/>
        <v>0.21993833504624871</v>
      </c>
      <c r="AC43" s="8">
        <f t="shared" si="174"/>
        <v>0.26309174696271476</v>
      </c>
      <c r="AD43" s="8">
        <f t="shared" si="174"/>
        <v>0.26797611836981905</v>
      </c>
      <c r="AE43" s="8">
        <f t="shared" si="169"/>
        <v>0.12756336102639598</v>
      </c>
      <c r="AF43" s="8">
        <f t="shared" si="169"/>
        <v>1.7130019657399576E-2</v>
      </c>
      <c r="AG43" s="8">
        <f t="shared" si="169"/>
        <v>-6.4842454394693161E-2</v>
      </c>
      <c r="AH43" s="8">
        <f t="shared" si="169"/>
        <v>-0.21468541012692777</v>
      </c>
      <c r="AI43" s="8">
        <f t="shared" si="169"/>
        <v>9.2613318410744272E-2</v>
      </c>
      <c r="AJ43" s="8">
        <f t="shared" si="169"/>
        <v>0.12350450947910918</v>
      </c>
      <c r="AK43" s="8">
        <f t="shared" si="169"/>
        <v>-1</v>
      </c>
      <c r="AL43" s="8">
        <f t="shared" si="169"/>
        <v>-1</v>
      </c>
      <c r="BK43" s="13"/>
      <c r="BL43" s="13">
        <f t="shared" ref="BL43" si="179">BL15/BK15-1</f>
        <v>0.39354966363276622</v>
      </c>
      <c r="BM43" s="13">
        <f t="shared" ref="BM43:BN43" si="180">BM15/BL15-1</f>
        <v>0.4819679114013915</v>
      </c>
      <c r="BN43" s="13">
        <f t="shared" si="180"/>
        <v>0.49269461077844312</v>
      </c>
      <c r="BO43" s="13">
        <f t="shared" ref="BO43:BW43" si="181">BO15/BN15-1</f>
        <v>0.21113607188703476</v>
      </c>
      <c r="BP43" s="13">
        <f t="shared" si="181"/>
        <v>0.24290521741434601</v>
      </c>
      <c r="BQ43" s="13">
        <f t="shared" si="181"/>
        <v>-5.3980301027587108E-2</v>
      </c>
      <c r="BR43" s="13">
        <f t="shared" si="181"/>
        <v>0.10000000000000009</v>
      </c>
      <c r="BS43" s="13">
        <f t="shared" si="181"/>
        <v>0.10000000000000009</v>
      </c>
      <c r="BT43" s="13">
        <f t="shared" si="181"/>
        <v>0.10000000000000009</v>
      </c>
      <c r="BU43" s="13">
        <f t="shared" si="181"/>
        <v>5.0000000000000044E-2</v>
      </c>
      <c r="BV43" s="13">
        <f t="shared" si="181"/>
        <v>5.0000000000000044E-2</v>
      </c>
      <c r="BW43" s="13">
        <f t="shared" si="181"/>
        <v>5.0000000000000044E-2</v>
      </c>
    </row>
    <row r="44" spans="2:78" x14ac:dyDescent="0.25">
      <c r="B44" s="2" t="s">
        <v>39</v>
      </c>
      <c r="N44" s="8">
        <f t="shared" ref="N44:O44" si="182">N9/J9-1</f>
        <v>0.33970390309555865</v>
      </c>
      <c r="O44" s="8">
        <f t="shared" si="182"/>
        <v>0.32783264033264037</v>
      </c>
      <c r="P44" s="8">
        <f t="shared" ref="P44" si="183">P9/L9-1</f>
        <v>0.28958358191146649</v>
      </c>
      <c r="Q44" s="8">
        <f t="shared" ref="Q44" si="184">Q9/M9-1</f>
        <v>0.28971650917176217</v>
      </c>
      <c r="R44" s="8">
        <f t="shared" ref="R44" si="185">R9/N9-1</f>
        <v>0.28008840667068524</v>
      </c>
      <c r="S44" s="8">
        <f t="shared" ref="S44" si="186">S9/O9-1</f>
        <v>0.32136216850963883</v>
      </c>
      <c r="T44" s="8">
        <f t="shared" ref="T44" si="187">T9/P9-1</f>
        <v>0.37018874907475952</v>
      </c>
      <c r="U44" s="8">
        <f t="shared" ref="U44" si="188">U9/Q9-1</f>
        <v>0.3886733902249806</v>
      </c>
      <c r="V44" s="8">
        <f t="shared" ref="V44:AA44" si="189">V9/R9-1</f>
        <v>0.39538533982106427</v>
      </c>
      <c r="W44" s="8">
        <f t="shared" si="189"/>
        <v>0.36569651188624741</v>
      </c>
      <c r="X44" s="8">
        <f t="shared" si="189"/>
        <v>0.33290566547369838</v>
      </c>
      <c r="Y44" s="8">
        <f t="shared" si="189"/>
        <v>0.27486033519553077</v>
      </c>
      <c r="Z44" s="8">
        <f t="shared" si="189"/>
        <v>0.20236220472440936</v>
      </c>
      <c r="AA44" s="8">
        <f t="shared" si="189"/>
        <v>0.157963234097934</v>
      </c>
      <c r="AB44" s="8">
        <f t="shared" ref="AB44:AD44" si="190">AB9/X9-1</f>
        <v>0.12163736764780375</v>
      </c>
      <c r="AC44" s="8">
        <f t="shared" si="190"/>
        <v>0.1227480767358069</v>
      </c>
      <c r="AD44" s="8">
        <f t="shared" si="190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191">AG9/AC9-1</f>
        <v>0.1905112971074201</v>
      </c>
      <c r="AH44" s="8">
        <f t="shared" si="191"/>
        <v>0.189307552470666</v>
      </c>
      <c r="AI44" s="8">
        <f t="shared" si="191"/>
        <v>0.1689499540679793</v>
      </c>
      <c r="AJ44" s="8">
        <f t="shared" si="191"/>
        <v>0.17472698907956308</v>
      </c>
      <c r="AK44" s="8">
        <f t="shared" si="191"/>
        <v>0.10000000000000009</v>
      </c>
      <c r="AL44" s="8">
        <f t="shared" si="191"/>
        <v>0.10000000000000009</v>
      </c>
      <c r="BH44" s="13">
        <f t="shared" ref="BH44:BJ44" si="192">BH9/BG9-1</f>
        <v>0.69681309216192933</v>
      </c>
      <c r="BI44" s="13">
        <f t="shared" si="192"/>
        <v>0.55063451776649752</v>
      </c>
      <c r="BJ44" s="13">
        <f t="shared" si="192"/>
        <v>0.42884033063262139</v>
      </c>
      <c r="BK44" s="13">
        <f t="shared" ref="BK44" si="193">BK9/BJ9-1</f>
        <v>0.46944269431238905</v>
      </c>
      <c r="BL44" s="13">
        <f t="shared" ref="BL44" si="194">BL9/BK9-1</f>
        <v>0.36526992788930035</v>
      </c>
      <c r="BM44" s="13">
        <f t="shared" ref="BM44" si="195">BM9/BL9-1</f>
        <v>0.29532347399074976</v>
      </c>
      <c r="BN44" s="13">
        <f>BN9/BM9-1</f>
        <v>0.37099404893101173</v>
      </c>
      <c r="BO44" s="13">
        <f t="shared" ref="BO44:BW44" si="196">BO9/BN9-1</f>
        <v>0.28767563743931057</v>
      </c>
      <c r="BP44" s="13">
        <f t="shared" si="196"/>
        <v>0.13310277666799841</v>
      </c>
      <c r="BQ44" s="13">
        <f t="shared" si="196"/>
        <v>0.18509867007503544</v>
      </c>
      <c r="BR44" s="13">
        <f t="shared" si="196"/>
        <v>0.13430956896872326</v>
      </c>
      <c r="BS44" s="13">
        <f t="shared" si="196"/>
        <v>0.19999999999999996</v>
      </c>
      <c r="BT44" s="13">
        <f t="shared" si="196"/>
        <v>0.19999999999999996</v>
      </c>
      <c r="BU44" s="13">
        <f t="shared" si="196"/>
        <v>0.14999999999999991</v>
      </c>
      <c r="BV44" s="13">
        <f t="shared" si="196"/>
        <v>0.10000000000000009</v>
      </c>
      <c r="BW44" s="13">
        <f t="shared" si="196"/>
        <v>0.10000000000000009</v>
      </c>
    </row>
    <row r="45" spans="2:78" ht="13" x14ac:dyDescent="0.3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197">J23/J20</f>
        <v>0.24272273876462705</v>
      </c>
      <c r="K45" s="16">
        <f t="shared" si="197"/>
        <v>0.28775544388609714</v>
      </c>
      <c r="L45" s="16">
        <f t="shared" si="197"/>
        <v>0.28067629802536115</v>
      </c>
      <c r="M45" s="16">
        <f t="shared" si="197"/>
        <v>0.26452894357039769</v>
      </c>
      <c r="N45" s="16">
        <f t="shared" si="197"/>
        <v>0.24323798849457323</v>
      </c>
      <c r="O45" s="16">
        <f t="shared" si="197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198">T23/T20</f>
        <v>0.27649451715599577</v>
      </c>
      <c r="U45" s="16">
        <f t="shared" si="198"/>
        <v>0.26516983720174708</v>
      </c>
      <c r="V45" s="16">
        <f>V23/V20</f>
        <v>0.23383692836142403</v>
      </c>
      <c r="W45" s="16">
        <f t="shared" si="198"/>
        <v>0.25483494211809971</v>
      </c>
      <c r="X45" s="16">
        <f t="shared" ref="X45:AD45" si="199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199"/>
        <v>0.32522714926739243</v>
      </c>
      <c r="AC45" s="16">
        <f t="shared" si="199"/>
        <v>0.3197235171194342</v>
      </c>
      <c r="AD45" s="16">
        <f t="shared" si="199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00">AG23/AG20</f>
        <v>0.33510199714244354</v>
      </c>
      <c r="AH45" s="16">
        <f t="shared" si="200"/>
        <v>0.32449199113913268</v>
      </c>
      <c r="AI45" s="16">
        <f t="shared" si="200"/>
        <v>0.34752388110517962</v>
      </c>
      <c r="AJ45" s="16">
        <f>AJ23/AJ20</f>
        <v>0.36324551883698464</v>
      </c>
      <c r="AK45" s="16">
        <f t="shared" si="200"/>
        <v>0.34</v>
      </c>
      <c r="AL45" s="16">
        <f t="shared" si="200"/>
        <v>0.34</v>
      </c>
      <c r="BG45" s="14">
        <f t="shared" ref="BG45:BI45" si="201">BG23/BG20</f>
        <v>0.17384366431428958</v>
      </c>
      <c r="BH45" s="14">
        <f t="shared" si="201"/>
        <v>0.20508195802104554</v>
      </c>
      <c r="BI45" s="14">
        <f t="shared" si="201"/>
        <v>0.22136674829211617</v>
      </c>
      <c r="BJ45" s="14">
        <f t="shared" ref="BJ45" si="202">BJ23/BJ20</f>
        <v>0.22872836854710848</v>
      </c>
      <c r="BK45" s="14">
        <f t="shared" ref="BK45:BL45" si="203">BK23/BK20</f>
        <v>0.25636467471348767</v>
      </c>
      <c r="BL45" s="14">
        <f t="shared" si="203"/>
        <v>0.26648533804835273</v>
      </c>
      <c r="BM45" s="14">
        <f t="shared" ref="BM45" si="204">BM23/BM20</f>
        <v>0.24410719466202496</v>
      </c>
      <c r="BN45" s="14">
        <f>BN23/BN20</f>
        <v>0.26045395915900066</v>
      </c>
      <c r="BO45" s="14">
        <f t="shared" ref="BO45:BW45" si="205">BO23/BO20</f>
        <v>0.27404213758042584</v>
      </c>
      <c r="BP45" s="14">
        <f t="shared" si="205"/>
        <v>0.31216367859286515</v>
      </c>
      <c r="BQ45" s="14">
        <f t="shared" si="205"/>
        <v>0.28660196031406404</v>
      </c>
      <c r="BR45" s="14">
        <f t="shared" si="205"/>
        <v>0.29202550579581815</v>
      </c>
      <c r="BS45" s="14">
        <f t="shared" si="205"/>
        <v>0.29750094367683211</v>
      </c>
      <c r="BT45" s="14">
        <f t="shared" si="205"/>
        <v>0.3028656198769204</v>
      </c>
      <c r="BU45" s="14">
        <f t="shared" si="205"/>
        <v>0.30280742244620346</v>
      </c>
      <c r="BV45" s="14">
        <f t="shared" si="205"/>
        <v>0.302776543093009</v>
      </c>
      <c r="BW45" s="14">
        <f t="shared" si="205"/>
        <v>0.30274491358117539</v>
      </c>
      <c r="BY45" t="s">
        <v>77</v>
      </c>
      <c r="BZ45" s="13">
        <v>0.08</v>
      </c>
    </row>
    <row r="46" spans="2:78" x14ac:dyDescent="0.25">
      <c r="BY46" t="s">
        <v>76</v>
      </c>
      <c r="BZ46" s="13">
        <v>0.01</v>
      </c>
    </row>
    <row r="47" spans="2:78" x14ac:dyDescent="0.25">
      <c r="B47" s="2" t="s">
        <v>75</v>
      </c>
      <c r="O47" s="4">
        <f t="shared" ref="O47:P47" si="206">+O48-O61</f>
        <v>25855</v>
      </c>
      <c r="P47" s="4">
        <f t="shared" si="206"/>
        <v>38263</v>
      </c>
      <c r="Q47" s="4">
        <f t="shared" ref="Q47" si="207">+Q48-Q61</f>
        <v>35473</v>
      </c>
      <c r="R47" s="4">
        <f t="shared" ref="R47:AB47" si="208">+R48-R61</f>
        <v>52580</v>
      </c>
      <c r="S47" s="4">
        <f t="shared" si="208"/>
        <v>41402</v>
      </c>
      <c r="T47" s="4">
        <f t="shared" si="208"/>
        <v>39615</v>
      </c>
      <c r="U47" s="4">
        <f t="shared" si="208"/>
        <v>28933</v>
      </c>
      <c r="V47" s="4">
        <f t="shared" si="208"/>
        <v>47305</v>
      </c>
      <c r="W47" s="4">
        <f t="shared" si="208"/>
        <v>18829</v>
      </c>
      <c r="X47" s="4">
        <f t="shared" si="208"/>
        <v>2657</v>
      </c>
      <c r="Y47" s="4">
        <f t="shared" si="208"/>
        <v>-257</v>
      </c>
      <c r="Z47" s="4">
        <f t="shared" si="208"/>
        <v>2876</v>
      </c>
      <c r="AA47" s="4">
        <f t="shared" si="208"/>
        <v>-2679</v>
      </c>
      <c r="AB47" s="4">
        <f t="shared" si="208"/>
        <v>878</v>
      </c>
      <c r="AC47" s="4">
        <f t="shared" ref="AC47:AD47" si="209">+AC48-AC61</f>
        <v>3071</v>
      </c>
      <c r="AD47" s="4">
        <f t="shared" si="209"/>
        <v>28466</v>
      </c>
      <c r="AE47" s="4">
        <f t="shared" ref="AE47:AF47" si="210">+AE48-AE61</f>
        <v>27440</v>
      </c>
      <c r="AF47" s="4">
        <f t="shared" si="210"/>
        <v>34203</v>
      </c>
      <c r="AG47" s="4">
        <f>+AG48-AG61</f>
        <v>33161</v>
      </c>
      <c r="AH47" s="4">
        <f>+AH48-AH61</f>
        <v>48579</v>
      </c>
      <c r="AI47" s="4">
        <f>+AI48-AI61</f>
        <v>41191</v>
      </c>
      <c r="AJ47" s="4">
        <f>+AJ48-AJ61</f>
        <v>42462</v>
      </c>
      <c r="AK47" s="4"/>
      <c r="AL47" s="4"/>
      <c r="AM47" s="4"/>
      <c r="AN47" s="4"/>
      <c r="AO47" s="4"/>
      <c r="AP47" s="4"/>
      <c r="BO47" s="2">
        <f>+BO48-BO61</f>
        <v>2876</v>
      </c>
      <c r="BP47" s="2">
        <f>+BP48-BP61</f>
        <v>28466</v>
      </c>
      <c r="BQ47" s="2">
        <f>+BQ48-BQ61</f>
        <v>48579</v>
      </c>
      <c r="BR47" s="2">
        <f t="shared" ref="BR47:BW47" si="211">+BQ47+BR32</f>
        <v>90886.728130000018</v>
      </c>
      <c r="BS47" s="2">
        <f t="shared" si="211"/>
        <v>147575.41995300498</v>
      </c>
      <c r="BT47" s="2">
        <f t="shared" si="211"/>
        <v>220948.67022527254</v>
      </c>
      <c r="BU47" s="2">
        <f t="shared" si="211"/>
        <v>305744.74678757193</v>
      </c>
      <c r="BV47" s="2">
        <f t="shared" si="211"/>
        <v>400778.14039390185</v>
      </c>
      <c r="BW47" s="2">
        <f t="shared" si="211"/>
        <v>506953.13147166232</v>
      </c>
      <c r="BY47" t="s">
        <v>78</v>
      </c>
      <c r="BZ47" s="13">
        <v>0</v>
      </c>
    </row>
    <row r="48" spans="2:78" s="2" customFormat="1" x14ac:dyDescent="0.25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AG48" s="2">
        <f>75091+12960</f>
        <v>88051</v>
      </c>
      <c r="AH48" s="2">
        <f>78779+22423</f>
        <v>101202</v>
      </c>
      <c r="AI48" s="2">
        <f>66207+28358</f>
        <v>94565</v>
      </c>
      <c r="AJ48" s="2">
        <f>57741+35439</f>
        <v>93180</v>
      </c>
      <c r="BO48" s="2">
        <f>+Z48</f>
        <v>70026</v>
      </c>
      <c r="BP48" s="2">
        <f>+AD48</f>
        <v>86780</v>
      </c>
      <c r="BQ48" s="2">
        <f>+AH48</f>
        <v>101202</v>
      </c>
      <c r="BY48" s="2" t="s">
        <v>79</v>
      </c>
      <c r="BZ48" s="2">
        <f>NPV(BZ45,BR32:EI32)+Main!K5-Main!K6</f>
        <v>1210398.1413828339</v>
      </c>
    </row>
    <row r="49" spans="2:78" s="2" customFormat="1" x14ac:dyDescent="0.25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AG49" s="2">
        <v>36103</v>
      </c>
      <c r="AH49" s="2">
        <v>34214</v>
      </c>
      <c r="AI49" s="2">
        <v>35864</v>
      </c>
      <c r="AJ49" s="2">
        <v>57415</v>
      </c>
      <c r="BO49" s="2">
        <f t="shared" ref="BO49:BO54" si="212">+Z49</f>
        <v>34405</v>
      </c>
      <c r="BP49" s="2">
        <f t="shared" ref="BP49:BP54" si="213">+AD49</f>
        <v>33318</v>
      </c>
      <c r="BQ49" s="2">
        <f t="shared" ref="BQ49:BQ54" si="214">+AH49</f>
        <v>34214</v>
      </c>
      <c r="BZ49" s="1">
        <f>+BZ48/Main!K3</f>
        <v>112.1465895842522</v>
      </c>
    </row>
    <row r="50" spans="2:78" s="2" customFormat="1" x14ac:dyDescent="0.25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  <c r="AG50" s="2">
        <v>51638</v>
      </c>
      <c r="AH50" s="2">
        <v>55451</v>
      </c>
      <c r="AI50" s="2">
        <v>54216</v>
      </c>
      <c r="AJ50" s="2">
        <v>40825</v>
      </c>
      <c r="BO50" s="2">
        <f t="shared" si="212"/>
        <v>42360</v>
      </c>
      <c r="BP50" s="2">
        <f t="shared" si="213"/>
        <v>52253</v>
      </c>
      <c r="BQ50" s="2">
        <f t="shared" si="214"/>
        <v>55451</v>
      </c>
    </row>
    <row r="51" spans="2:78" s="2" customFormat="1" x14ac:dyDescent="0.25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  <c r="AG51" s="2">
        <v>237917</v>
      </c>
      <c r="AH51" s="2">
        <v>252665</v>
      </c>
      <c r="AI51" s="2">
        <v>272781</v>
      </c>
      <c r="AJ51" s="2">
        <v>297616</v>
      </c>
      <c r="BO51" s="2">
        <f t="shared" si="212"/>
        <v>186715</v>
      </c>
      <c r="BP51" s="2">
        <f t="shared" si="213"/>
        <v>204177</v>
      </c>
      <c r="BQ51" s="2">
        <f t="shared" si="214"/>
        <v>252665</v>
      </c>
    </row>
    <row r="52" spans="2:78" s="2" customFormat="1" x14ac:dyDescent="0.25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  <c r="AG52" s="2">
        <v>76527</v>
      </c>
      <c r="AH52" s="2">
        <v>76141</v>
      </c>
      <c r="AI52" s="2">
        <v>78495</v>
      </c>
      <c r="AJ52" s="2">
        <v>82125</v>
      </c>
      <c r="BO52" s="2">
        <f t="shared" si="212"/>
        <v>66123</v>
      </c>
      <c r="BP52" s="2">
        <f t="shared" si="213"/>
        <v>72513</v>
      </c>
      <c r="BQ52" s="2">
        <f t="shared" si="214"/>
        <v>76141</v>
      </c>
    </row>
    <row r="53" spans="2:78" s="2" customFormat="1" x14ac:dyDescent="0.25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  <c r="AG53" s="2">
        <v>23081</v>
      </c>
      <c r="AH53" s="2">
        <v>23074</v>
      </c>
      <c r="AI53" s="2">
        <v>23089</v>
      </c>
      <c r="AJ53" s="2">
        <v>23155</v>
      </c>
      <c r="BO53" s="2">
        <f t="shared" si="212"/>
        <v>20288</v>
      </c>
      <c r="BP53" s="2">
        <f t="shared" si="213"/>
        <v>22789</v>
      </c>
      <c r="BQ53" s="2">
        <f t="shared" si="214"/>
        <v>23074</v>
      </c>
    </row>
    <row r="54" spans="2:78" s="2" customFormat="1" x14ac:dyDescent="0.25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  <c r="AG54" s="2">
        <v>71309</v>
      </c>
      <c r="AH54" s="2">
        <v>82147</v>
      </c>
      <c r="AI54" s="2">
        <v>84246</v>
      </c>
      <c r="AJ54" s="2">
        <v>87854</v>
      </c>
      <c r="BO54" s="2">
        <f t="shared" si="212"/>
        <v>42758</v>
      </c>
      <c r="BP54" s="2">
        <f t="shared" si="213"/>
        <v>56024</v>
      </c>
      <c r="BQ54" s="2">
        <f t="shared" si="214"/>
        <v>82147</v>
      </c>
    </row>
    <row r="55" spans="2:78" s="2" customFormat="1" x14ac:dyDescent="0.25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15">SUM(O48:O54)</f>
        <v>221238</v>
      </c>
      <c r="P55" s="4">
        <f t="shared" si="215"/>
        <v>258314</v>
      </c>
      <c r="Q55" s="4">
        <f t="shared" ref="Q55" si="216">SUM(Q48:Q54)</f>
        <v>282179</v>
      </c>
      <c r="R55" s="4">
        <f t="shared" ref="R55:AB55" si="217">SUM(R48:R54)</f>
        <v>321195</v>
      </c>
      <c r="S55" s="4">
        <f t="shared" si="217"/>
        <v>323077</v>
      </c>
      <c r="T55" s="4">
        <f t="shared" si="217"/>
        <v>360319</v>
      </c>
      <c r="U55" s="4">
        <f t="shared" si="217"/>
        <v>382406</v>
      </c>
      <c r="V55" s="4">
        <f t="shared" si="217"/>
        <v>420549</v>
      </c>
      <c r="W55" s="4">
        <f t="shared" si="217"/>
        <v>410767</v>
      </c>
      <c r="X55" s="4">
        <f t="shared" si="217"/>
        <v>419728</v>
      </c>
      <c r="Y55" s="4">
        <f t="shared" si="217"/>
        <v>428362</v>
      </c>
      <c r="Z55" s="4">
        <f t="shared" si="217"/>
        <v>462675</v>
      </c>
      <c r="AA55" s="4">
        <f t="shared" si="217"/>
        <v>464378</v>
      </c>
      <c r="AB55" s="4">
        <f t="shared" si="217"/>
        <v>477607</v>
      </c>
      <c r="AC55" s="4">
        <f t="shared" ref="AC55:AD55" si="218">SUM(AC48:AC54)</f>
        <v>486883</v>
      </c>
      <c r="AD55" s="4">
        <f t="shared" si="218"/>
        <v>527854</v>
      </c>
      <c r="AE55" s="4">
        <f t="shared" ref="AE55:AJ55" si="219">SUM(AE48:AE54)</f>
        <v>530969</v>
      </c>
      <c r="AF55" s="4">
        <f t="shared" si="219"/>
        <v>554818</v>
      </c>
      <c r="AG55" s="4">
        <f t="shared" si="219"/>
        <v>584626</v>
      </c>
      <c r="AH55" s="4">
        <f t="shared" si="219"/>
        <v>624894</v>
      </c>
      <c r="AI55" s="4">
        <f t="shared" si="219"/>
        <v>643256</v>
      </c>
      <c r="AJ55" s="4">
        <f t="shared" si="219"/>
        <v>682170</v>
      </c>
      <c r="BO55" s="2">
        <f>SUM(BO48:BO54)</f>
        <v>462675</v>
      </c>
      <c r="BP55" s="2">
        <f>SUM(BP48:BP54)</f>
        <v>527854</v>
      </c>
      <c r="BQ55" s="2">
        <f>SUM(BQ48:BQ54)</f>
        <v>624894</v>
      </c>
    </row>
    <row r="57" spans="2:78" s="2" customFormat="1" x14ac:dyDescent="0.25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  <c r="AG57" s="2">
        <v>84570</v>
      </c>
      <c r="AH57" s="2">
        <v>94363</v>
      </c>
      <c r="AI57" s="2">
        <v>89241</v>
      </c>
      <c r="AJ57" s="2">
        <v>98285</v>
      </c>
      <c r="BO57" s="2">
        <f t="shared" ref="BO57:BO63" si="220">+Z57</f>
        <v>79600</v>
      </c>
      <c r="BP57" s="2">
        <f t="shared" ref="BP57:BP63" si="221">+AD57</f>
        <v>84981</v>
      </c>
      <c r="BQ57" s="2">
        <f t="shared" ref="BQ57:BQ63" si="222">+AH57</f>
        <v>94363</v>
      </c>
    </row>
    <row r="58" spans="2:78" s="2" customFormat="1" x14ac:dyDescent="0.25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  <c r="AG58" s="2">
        <v>60602</v>
      </c>
      <c r="AH58" s="2">
        <v>66965</v>
      </c>
      <c r="AI58" s="2">
        <v>66331</v>
      </c>
      <c r="AJ58" s="2">
        <v>66974</v>
      </c>
      <c r="BO58" s="2">
        <f t="shared" si="220"/>
        <v>62566</v>
      </c>
      <c r="BP58" s="2">
        <f t="shared" si="221"/>
        <v>64709</v>
      </c>
      <c r="BQ58" s="2">
        <f t="shared" si="222"/>
        <v>66965</v>
      </c>
    </row>
    <row r="59" spans="2:78" s="2" customFormat="1" x14ac:dyDescent="0.25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  <c r="AG59" s="2">
        <v>16305</v>
      </c>
      <c r="AH59" s="2">
        <v>18103</v>
      </c>
      <c r="AI59" s="2">
        <v>20599</v>
      </c>
      <c r="AJ59" s="2">
        <v>21662</v>
      </c>
      <c r="BO59" s="2">
        <f t="shared" si="220"/>
        <v>13227</v>
      </c>
      <c r="BP59" s="2">
        <f t="shared" si="221"/>
        <v>15227</v>
      </c>
      <c r="BQ59" s="2">
        <f t="shared" si="222"/>
        <v>18103</v>
      </c>
    </row>
    <row r="60" spans="2:78" s="2" customFormat="1" x14ac:dyDescent="0.25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  <c r="AG60" s="2">
        <v>79802</v>
      </c>
      <c r="AH60" s="2">
        <v>78277</v>
      </c>
      <c r="AI60" s="2">
        <v>79871</v>
      </c>
      <c r="AJ60" s="2">
        <v>83221</v>
      </c>
      <c r="BO60" s="2">
        <f t="shared" si="220"/>
        <v>72968</v>
      </c>
      <c r="BP60" s="2">
        <f t="shared" si="221"/>
        <v>77297</v>
      </c>
      <c r="BQ60" s="2">
        <f t="shared" si="222"/>
        <v>78277</v>
      </c>
    </row>
    <row r="61" spans="2:78" s="2" customFormat="1" x14ac:dyDescent="0.25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  <c r="AG61" s="2">
        <v>54890</v>
      </c>
      <c r="AH61" s="2">
        <v>52623</v>
      </c>
      <c r="AI61" s="2">
        <v>53374</v>
      </c>
      <c r="AJ61" s="2">
        <v>50718</v>
      </c>
      <c r="BO61" s="2">
        <f t="shared" si="220"/>
        <v>67150</v>
      </c>
      <c r="BP61" s="2">
        <f t="shared" si="221"/>
        <v>58314</v>
      </c>
      <c r="BQ61" s="2">
        <f t="shared" si="222"/>
        <v>52623</v>
      </c>
    </row>
    <row r="62" spans="2:78" s="2" customFormat="1" x14ac:dyDescent="0.25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  <c r="AG62" s="2">
        <v>29306</v>
      </c>
      <c r="AH62" s="2">
        <v>28593</v>
      </c>
      <c r="AI62" s="2">
        <v>27973</v>
      </c>
      <c r="AJ62" s="2">
        <v>27535</v>
      </c>
      <c r="BO62" s="2">
        <f t="shared" si="220"/>
        <v>21121</v>
      </c>
      <c r="BP62" s="2">
        <f t="shared" si="221"/>
        <v>25451</v>
      </c>
      <c r="BQ62" s="2">
        <f t="shared" si="222"/>
        <v>28593</v>
      </c>
    </row>
    <row r="63" spans="2:78" s="2" customFormat="1" x14ac:dyDescent="0.25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  <c r="AG63" s="2">
        <v>259151</v>
      </c>
      <c r="AH63" s="2">
        <v>285970</v>
      </c>
      <c r="AI63" s="2">
        <v>305867</v>
      </c>
      <c r="AJ63" s="2">
        <v>333775</v>
      </c>
      <c r="BO63" s="2">
        <f t="shared" si="220"/>
        <v>146043</v>
      </c>
      <c r="BP63" s="2">
        <f t="shared" si="221"/>
        <v>201875</v>
      </c>
      <c r="BQ63" s="2">
        <f t="shared" si="222"/>
        <v>285970</v>
      </c>
    </row>
    <row r="64" spans="2:78" s="2" customFormat="1" x14ac:dyDescent="0.25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3">SUM(O57:O63)</f>
        <v>221238</v>
      </c>
      <c r="P64" s="4">
        <f t="shared" si="223"/>
        <v>258314</v>
      </c>
      <c r="Q64" s="4">
        <f t="shared" ref="Q64" si="224">SUM(Q57:Q63)</f>
        <v>282179</v>
      </c>
      <c r="R64" s="4">
        <f t="shared" ref="R64:AB64" si="225">SUM(R57:R63)</f>
        <v>321195</v>
      </c>
      <c r="S64" s="4">
        <f t="shared" si="225"/>
        <v>323077</v>
      </c>
      <c r="T64" s="4">
        <f t="shared" si="225"/>
        <v>360319</v>
      </c>
      <c r="U64" s="4">
        <f t="shared" si="225"/>
        <v>382406</v>
      </c>
      <c r="V64" s="4">
        <f t="shared" si="225"/>
        <v>420549</v>
      </c>
      <c r="W64" s="4">
        <f t="shared" si="225"/>
        <v>410767</v>
      </c>
      <c r="X64" s="4">
        <f t="shared" si="225"/>
        <v>419728</v>
      </c>
      <c r="Y64" s="4">
        <f t="shared" si="225"/>
        <v>428362</v>
      </c>
      <c r="Z64" s="4">
        <f t="shared" si="225"/>
        <v>462675</v>
      </c>
      <c r="AA64" s="4">
        <f t="shared" si="225"/>
        <v>464378</v>
      </c>
      <c r="AB64" s="4">
        <f t="shared" si="225"/>
        <v>477607</v>
      </c>
      <c r="AC64" s="4">
        <f t="shared" ref="AC64:AD64" si="226">SUM(AC57:AC63)</f>
        <v>486883</v>
      </c>
      <c r="AD64" s="4">
        <f t="shared" si="226"/>
        <v>527854</v>
      </c>
      <c r="AE64" s="4">
        <f t="shared" ref="AE64" si="227">SUM(AE57:AE63)</f>
        <v>530969</v>
      </c>
      <c r="AF64" s="4">
        <f>SUM(AF57:AF63)</f>
        <v>554818</v>
      </c>
      <c r="AG64" s="4">
        <f>SUM(AG57:AG63)</f>
        <v>584626</v>
      </c>
      <c r="AH64" s="4">
        <f>SUM(AH57:AH63)</f>
        <v>624894</v>
      </c>
      <c r="AI64" s="4">
        <f>SUM(AI57:AI63)</f>
        <v>643256</v>
      </c>
      <c r="AJ64" s="4">
        <f>SUM(AJ57:AJ63)</f>
        <v>682170</v>
      </c>
      <c r="BO64" s="2">
        <f>SUM(BO57:BO63)</f>
        <v>462675</v>
      </c>
      <c r="BP64" s="2">
        <f>SUM(BP57:BP63)</f>
        <v>527854</v>
      </c>
      <c r="BQ64" s="2">
        <f>SUM(BQ57:BQ63)</f>
        <v>624894</v>
      </c>
    </row>
    <row r="66" spans="2:70" s="2" customFormat="1" x14ac:dyDescent="0.25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28">+O32</f>
        <v>2535</v>
      </c>
      <c r="P66" s="4">
        <f t="shared" si="228"/>
        <v>5243</v>
      </c>
      <c r="Q66" s="4">
        <f t="shared" si="228"/>
        <v>6331</v>
      </c>
      <c r="R66" s="4">
        <f t="shared" ref="R66:V66" si="229">+R32</f>
        <v>7222</v>
      </c>
      <c r="S66" s="4">
        <f t="shared" si="229"/>
        <v>8107</v>
      </c>
      <c r="T66" s="4">
        <f t="shared" si="229"/>
        <v>7778</v>
      </c>
      <c r="U66" s="4">
        <f t="shared" si="229"/>
        <v>3156</v>
      </c>
      <c r="V66" s="4">
        <f t="shared" si="229"/>
        <v>14323</v>
      </c>
      <c r="W66" s="4">
        <f t="shared" ref="W66:AE66" si="230">+W32</f>
        <v>-3844</v>
      </c>
      <c r="X66" s="4">
        <f t="shared" si="230"/>
        <v>2982</v>
      </c>
      <c r="Y66" s="4">
        <f t="shared" si="230"/>
        <v>2872</v>
      </c>
      <c r="Z66" s="4">
        <f t="shared" si="230"/>
        <v>3247</v>
      </c>
      <c r="AA66" s="4">
        <f t="shared" si="230"/>
        <v>3172</v>
      </c>
      <c r="AB66" s="4">
        <f t="shared" si="230"/>
        <v>6750</v>
      </c>
      <c r="AC66" s="4">
        <f t="shared" si="230"/>
        <v>9879</v>
      </c>
      <c r="AD66" s="4">
        <f t="shared" si="230"/>
        <v>10624</v>
      </c>
      <c r="AE66" s="4">
        <f t="shared" si="230"/>
        <v>10431</v>
      </c>
      <c r="AF66" s="4">
        <f>+AF32</f>
        <v>13486</v>
      </c>
      <c r="AG66" s="4">
        <f>+AG32</f>
        <v>12940</v>
      </c>
      <c r="AH66" s="4">
        <f>+AH32</f>
        <v>20024</v>
      </c>
      <c r="AI66" s="4">
        <f>+AI32</f>
        <v>17074.835999999999</v>
      </c>
      <c r="AJ66" s="4">
        <f>+AJ32</f>
        <v>18164</v>
      </c>
      <c r="BO66" s="2">
        <f>+BO32</f>
        <v>5257</v>
      </c>
      <c r="BP66" s="2">
        <f>+BP32</f>
        <v>30425</v>
      </c>
      <c r="BQ66" s="2">
        <f>+BQ32</f>
        <v>31503.311999999976</v>
      </c>
    </row>
    <row r="67" spans="2:70" s="2" customFormat="1" x14ac:dyDescent="0.25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  <c r="AG67" s="2">
        <v>15328</v>
      </c>
      <c r="AH67" s="2">
        <v>20004</v>
      </c>
      <c r="AI67" s="2">
        <v>17127</v>
      </c>
      <c r="AJ67" s="2">
        <v>18164</v>
      </c>
      <c r="BO67" s="2">
        <f>SUM(W67:Z67)</f>
        <v>-2722</v>
      </c>
      <c r="BP67" s="2">
        <f t="shared" ref="BP67:BP73" si="231">SUM(AA67:AD67)</f>
        <v>30425</v>
      </c>
      <c r="BQ67" s="2">
        <f>SUM(AE67:AH67)</f>
        <v>59248</v>
      </c>
    </row>
    <row r="68" spans="2:70" s="2" customFormat="1" x14ac:dyDescent="0.25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  <c r="AG68" s="2">
        <v>13442</v>
      </c>
      <c r="AH68" s="2">
        <v>15631</v>
      </c>
      <c r="AI68" s="2">
        <v>14262</v>
      </c>
      <c r="AJ68" s="2">
        <v>15227</v>
      </c>
      <c r="BO68" s="2">
        <f t="shared" ref="BO68:BO73" si="232">SUM(W68:Z68)</f>
        <v>41461</v>
      </c>
      <c r="BP68" s="2">
        <f t="shared" si="231"/>
        <v>48663</v>
      </c>
      <c r="BQ68" s="2">
        <f t="shared" ref="BQ68:BQ72" si="233">SUM(AE68:AH68)</f>
        <v>52795</v>
      </c>
    </row>
    <row r="69" spans="2:70" s="2" customFormat="1" x14ac:dyDescent="0.25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  <c r="AG69" s="2">
        <v>5333</v>
      </c>
      <c r="AH69" s="2">
        <v>4995</v>
      </c>
      <c r="AI69" s="2">
        <v>3689</v>
      </c>
      <c r="AJ69" s="2">
        <v>6534</v>
      </c>
      <c r="BO69" s="2">
        <f t="shared" si="232"/>
        <v>19621</v>
      </c>
      <c r="BP69" s="2">
        <f t="shared" si="231"/>
        <v>24023</v>
      </c>
      <c r="BQ69" s="2">
        <f t="shared" si="233"/>
        <v>22011</v>
      </c>
    </row>
    <row r="70" spans="2:70" s="2" customFormat="1" x14ac:dyDescent="0.25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  <c r="AG70" s="2">
        <v>-141</v>
      </c>
      <c r="AH70" s="2">
        <v>-486</v>
      </c>
      <c r="AI70" s="2">
        <v>-2817</v>
      </c>
      <c r="AJ70" s="2">
        <v>-1258</v>
      </c>
      <c r="BO70" s="2">
        <f t="shared" si="232"/>
        <v>3905</v>
      </c>
      <c r="BP70" s="2">
        <f t="shared" si="231"/>
        <v>-748</v>
      </c>
      <c r="BQ70" s="2">
        <f t="shared" si="233"/>
        <v>2012</v>
      </c>
    </row>
    <row r="71" spans="2:70" s="2" customFormat="1" x14ac:dyDescent="0.25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  <c r="BO71" s="2">
        <f t="shared" si="232"/>
        <v>13521</v>
      </c>
      <c r="BP71" s="2">
        <f t="shared" si="231"/>
        <v>0</v>
      </c>
      <c r="BQ71" s="2">
        <f t="shared" si="233"/>
        <v>0</v>
      </c>
    </row>
    <row r="72" spans="2:70" s="2" customFormat="1" x14ac:dyDescent="0.25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  <c r="AG72" s="2">
        <v>-1317</v>
      </c>
      <c r="AH72" s="2">
        <v>-1608</v>
      </c>
      <c r="AI72" s="2">
        <v>507</v>
      </c>
      <c r="AJ72" s="2">
        <v>11</v>
      </c>
      <c r="BO72" s="2">
        <f t="shared" si="232"/>
        <v>-8148</v>
      </c>
      <c r="BP72" s="2">
        <f t="shared" si="231"/>
        <v>-5876</v>
      </c>
      <c r="BQ72" s="2">
        <f t="shared" si="233"/>
        <v>-4648</v>
      </c>
    </row>
    <row r="73" spans="2:70" s="2" customFormat="1" x14ac:dyDescent="0.25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  <c r="AG73" s="2">
        <f>-1509-701-4537-477+129+421</f>
        <v>-6674</v>
      </c>
      <c r="AH73" s="2">
        <f>934-4023-4190+8726+4042+1611</f>
        <v>7100</v>
      </c>
      <c r="AI73" s="2">
        <f>-1222+1247-3402-9043-4061+728</f>
        <v>-15753</v>
      </c>
      <c r="AJ73" s="2">
        <f>-4054-1125-2971+7058-4952-119</f>
        <v>-6163</v>
      </c>
      <c r="BO73" s="2">
        <f t="shared" si="232"/>
        <v>-20886</v>
      </c>
      <c r="BP73" s="2">
        <f t="shared" si="231"/>
        <v>-11541</v>
      </c>
      <c r="BQ73" s="2">
        <f>SUM(AE73:AH73)</f>
        <v>-15541</v>
      </c>
    </row>
    <row r="74" spans="2:70" s="2" customFormat="1" x14ac:dyDescent="0.25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34">SUM(O67:O73)</f>
        <v>3064</v>
      </c>
      <c r="P74" s="4">
        <f t="shared" si="234"/>
        <v>20606</v>
      </c>
      <c r="Q74" s="4">
        <f t="shared" si="234"/>
        <v>11964</v>
      </c>
      <c r="R74" s="4">
        <f t="shared" ref="R74:AJ74" si="235">SUM(R67:R73)</f>
        <v>30430</v>
      </c>
      <c r="S74" s="4">
        <f t="shared" si="235"/>
        <v>4213</v>
      </c>
      <c r="T74" s="4">
        <f t="shared" si="235"/>
        <v>12715</v>
      </c>
      <c r="U74" s="4">
        <f t="shared" si="235"/>
        <v>7313</v>
      </c>
      <c r="V74" s="4">
        <f t="shared" si="235"/>
        <v>22086</v>
      </c>
      <c r="W74" s="4">
        <f t="shared" si="235"/>
        <v>-2790</v>
      </c>
      <c r="X74" s="4">
        <f t="shared" si="235"/>
        <v>8965</v>
      </c>
      <c r="Y74" s="4">
        <f t="shared" si="235"/>
        <v>11404</v>
      </c>
      <c r="Z74" s="4">
        <f t="shared" si="235"/>
        <v>29173</v>
      </c>
      <c r="AA74" s="4">
        <f t="shared" si="235"/>
        <v>4788</v>
      </c>
      <c r="AB74" s="4">
        <f t="shared" si="235"/>
        <v>16476</v>
      </c>
      <c r="AC74" s="4">
        <f t="shared" si="235"/>
        <v>21217</v>
      </c>
      <c r="AD74" s="4">
        <f t="shared" si="235"/>
        <v>42465</v>
      </c>
      <c r="AE74" s="4">
        <f t="shared" si="235"/>
        <v>18989</v>
      </c>
      <c r="AF74" s="4">
        <f t="shared" si="235"/>
        <v>25281</v>
      </c>
      <c r="AG74" s="4">
        <f t="shared" si="235"/>
        <v>25971</v>
      </c>
      <c r="AH74" s="4">
        <f t="shared" si="235"/>
        <v>45636</v>
      </c>
      <c r="AI74" s="4">
        <f t="shared" si="235"/>
        <v>17015</v>
      </c>
      <c r="AJ74" s="4">
        <f t="shared" si="235"/>
        <v>32515</v>
      </c>
      <c r="AT74" s="2">
        <v>-119.782</v>
      </c>
      <c r="AU74" s="2">
        <v>174.291</v>
      </c>
      <c r="AV74" s="2">
        <v>392.02199999999999</v>
      </c>
      <c r="BO74" s="2">
        <f>SUM(BO67:BO73)</f>
        <v>46752</v>
      </c>
      <c r="BP74" s="2">
        <f>SUM(BP67:BP73)</f>
        <v>84946</v>
      </c>
      <c r="BQ74" s="2">
        <f>SUM(BQ67:BQ73)</f>
        <v>115877</v>
      </c>
    </row>
    <row r="75" spans="2:70" s="2" customForma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70" s="2" customFormat="1" x14ac:dyDescent="0.25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  <c r="AG76" s="2">
        <v>-22620</v>
      </c>
      <c r="AH76" s="2">
        <v>-27834</v>
      </c>
      <c r="AI76" s="2">
        <v>-25019</v>
      </c>
      <c r="AJ76" s="2">
        <v>-32183</v>
      </c>
      <c r="AK76" s="2">
        <f>+AJ76</f>
        <v>-32183</v>
      </c>
      <c r="AL76" s="2">
        <f>+AK76</f>
        <v>-32183</v>
      </c>
      <c r="BO76" s="2">
        <f t="shared" ref="BO76:BO79" si="236">SUM(W76:Z76)</f>
        <v>-63645</v>
      </c>
      <c r="BP76" s="2">
        <f>SUM(AA76:AD76)</f>
        <v>-52729</v>
      </c>
      <c r="BQ76" s="2">
        <f t="shared" ref="BQ76:BQ79" si="237">SUM(AE76:AH76)</f>
        <v>-82999</v>
      </c>
      <c r="BR76" s="2">
        <f>SUM(AI76:AL76)</f>
        <v>-121568</v>
      </c>
    </row>
    <row r="77" spans="2:70" s="2" customFormat="1" x14ac:dyDescent="0.25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  <c r="AG77" s="2">
        <v>1342</v>
      </c>
      <c r="AH77" s="2">
        <v>1782</v>
      </c>
      <c r="AI77" s="2">
        <v>764</v>
      </c>
      <c r="AJ77" s="2">
        <v>815</v>
      </c>
      <c r="BO77" s="2">
        <f t="shared" si="236"/>
        <v>5324</v>
      </c>
      <c r="BP77" s="2">
        <f t="shared" ref="BP77:BP79" si="238">SUM(AA77:AD77)</f>
        <v>4596</v>
      </c>
      <c r="BQ77" s="2">
        <f t="shared" si="237"/>
        <v>5341</v>
      </c>
    </row>
    <row r="78" spans="2:70" s="2" customFormat="1" x14ac:dyDescent="0.25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  <c r="AG78" s="2">
        <v>-622</v>
      </c>
      <c r="AH78" s="2">
        <v>-2535</v>
      </c>
      <c r="AI78" s="2">
        <v>48</v>
      </c>
      <c r="AJ78" s="2">
        <v>-1700</v>
      </c>
      <c r="BO78" s="2">
        <f t="shared" si="236"/>
        <v>-8316</v>
      </c>
      <c r="BP78" s="2">
        <f t="shared" si="238"/>
        <v>-5839</v>
      </c>
      <c r="BQ78" s="2">
        <f t="shared" si="237"/>
        <v>-7082</v>
      </c>
    </row>
    <row r="79" spans="2:70" s="2" customFormat="1" x14ac:dyDescent="0.25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  <c r="AG79" s="2">
        <f>8069-3068</f>
        <v>5001</v>
      </c>
      <c r="AH79" s="2">
        <f>-12533+3677</f>
        <v>-8856</v>
      </c>
      <c r="AI79" s="2">
        <f>7737-13333</f>
        <v>-5596</v>
      </c>
      <c r="AJ79" s="2">
        <f>11441-17797</f>
        <v>-6356</v>
      </c>
      <c r="BO79" s="2">
        <f t="shared" si="236"/>
        <v>29036</v>
      </c>
      <c r="BP79" s="2">
        <f t="shared" si="238"/>
        <v>4139</v>
      </c>
      <c r="BQ79" s="2">
        <f t="shared" si="237"/>
        <v>-9602</v>
      </c>
    </row>
    <row r="80" spans="2:70" s="2" customFormat="1" x14ac:dyDescent="0.25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9">SUM(O76:O79)</f>
        <v>-8894</v>
      </c>
      <c r="P80" s="4">
        <f t="shared" si="239"/>
        <v>-17804</v>
      </c>
      <c r="Q80" s="4">
        <f t="shared" si="239"/>
        <v>-15876</v>
      </c>
      <c r="R80" s="4">
        <f t="shared" ref="R80:AJ80" si="240">SUM(R76:R79)</f>
        <v>-17038</v>
      </c>
      <c r="S80" s="4">
        <f t="shared" si="240"/>
        <v>-8666</v>
      </c>
      <c r="T80" s="4">
        <f t="shared" si="240"/>
        <v>-22080</v>
      </c>
      <c r="U80" s="4">
        <f t="shared" si="240"/>
        <v>-14828</v>
      </c>
      <c r="V80" s="4">
        <f t="shared" si="240"/>
        <v>-12580</v>
      </c>
      <c r="W80" s="4">
        <f t="shared" si="240"/>
        <v>906</v>
      </c>
      <c r="X80" s="4">
        <f t="shared" si="240"/>
        <v>-12078</v>
      </c>
      <c r="Y80" s="4">
        <f t="shared" si="240"/>
        <v>-15608</v>
      </c>
      <c r="Z80" s="4">
        <f t="shared" si="240"/>
        <v>-10821</v>
      </c>
      <c r="AA80" s="4">
        <f t="shared" si="240"/>
        <v>-15806</v>
      </c>
      <c r="AB80" s="4">
        <f t="shared" si="240"/>
        <v>-9673</v>
      </c>
      <c r="AC80" s="4">
        <f t="shared" si="240"/>
        <v>-11753</v>
      </c>
      <c r="AD80" s="4">
        <f t="shared" si="240"/>
        <v>-12601</v>
      </c>
      <c r="AE80" s="4">
        <f t="shared" si="240"/>
        <v>-17862</v>
      </c>
      <c r="AF80" s="4">
        <f t="shared" si="240"/>
        <v>-22138</v>
      </c>
      <c r="AG80" s="4">
        <f t="shared" si="240"/>
        <v>-16899</v>
      </c>
      <c r="AH80" s="4">
        <f t="shared" si="240"/>
        <v>-37443</v>
      </c>
      <c r="AI80" s="4">
        <f t="shared" si="240"/>
        <v>-29803</v>
      </c>
      <c r="AJ80" s="4">
        <f t="shared" si="240"/>
        <v>-39424</v>
      </c>
      <c r="BO80" s="2">
        <f>SUM(BO76:BO79)</f>
        <v>-37601</v>
      </c>
      <c r="BP80" s="2">
        <f>SUM(BP76:BP79)</f>
        <v>-49833</v>
      </c>
      <c r="BQ80" s="2">
        <f>SUM(BQ76:BQ79)</f>
        <v>-94342</v>
      </c>
    </row>
    <row r="81" spans="2:69" s="2" customForma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69" s="2" customFormat="1" x14ac:dyDescent="0.25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BO82" s="2">
        <f t="shared" ref="BO82:BO85" si="241">SUM(W82:Z82)</f>
        <v>-6000</v>
      </c>
      <c r="BP82" s="2">
        <f t="shared" ref="BP82:BP83" si="242">SUM(AA82:AD82)</f>
        <v>0</v>
      </c>
      <c r="BQ82" s="2">
        <f t="shared" ref="BQ82:BQ85" si="243">SUM(AE82:AH82)</f>
        <v>0</v>
      </c>
    </row>
    <row r="83" spans="2:69" s="2" customFormat="1" x14ac:dyDescent="0.25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  <c r="AG83" s="2">
        <f>1725-1820-2183-402-78</f>
        <v>-2758</v>
      </c>
      <c r="AH83" s="2">
        <f>2554-2607-2500-333-422</f>
        <v>-3308</v>
      </c>
      <c r="AI83" s="2">
        <f>1815-2082+746-410-116</f>
        <v>-47</v>
      </c>
      <c r="AJ83" s="2">
        <f>2093-1392-2751-411-78</f>
        <v>-2539</v>
      </c>
      <c r="BO83" s="2">
        <f t="shared" si="241"/>
        <v>15718</v>
      </c>
      <c r="BP83" s="2">
        <f t="shared" si="242"/>
        <v>-15879</v>
      </c>
      <c r="BQ83" s="2">
        <f t="shared" si="243"/>
        <v>-11812</v>
      </c>
    </row>
    <row r="84" spans="2:69" s="2" customFormat="1" x14ac:dyDescent="0.25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44">SUM(O82:O83)</f>
        <v>-2591</v>
      </c>
      <c r="P84" s="4">
        <f t="shared" si="244"/>
        <v>7408</v>
      </c>
      <c r="Q84" s="4">
        <f t="shared" si="244"/>
        <v>-4105</v>
      </c>
      <c r="R84" s="4">
        <f t="shared" ref="R84:AJ84" si="245">SUM(R82:R83)</f>
        <v>-1816</v>
      </c>
      <c r="S84" s="4">
        <f t="shared" si="245"/>
        <v>-3476</v>
      </c>
      <c r="T84" s="4">
        <f t="shared" si="245"/>
        <v>15643</v>
      </c>
      <c r="U84" s="4">
        <f t="shared" si="245"/>
        <v>-2776</v>
      </c>
      <c r="V84" s="4">
        <f t="shared" si="245"/>
        <v>-3100</v>
      </c>
      <c r="W84" s="4">
        <f t="shared" si="245"/>
        <v>1990</v>
      </c>
      <c r="X84" s="4">
        <f t="shared" si="245"/>
        <v>4626</v>
      </c>
      <c r="Y84" s="4">
        <f t="shared" si="245"/>
        <v>3016</v>
      </c>
      <c r="Z84" s="4">
        <f t="shared" si="245"/>
        <v>86</v>
      </c>
      <c r="AA84" s="4">
        <f t="shared" si="245"/>
        <v>6354</v>
      </c>
      <c r="AB84" s="4">
        <f t="shared" si="245"/>
        <v>-6539</v>
      </c>
      <c r="AC84" s="4">
        <f t="shared" si="245"/>
        <v>-8948</v>
      </c>
      <c r="AD84" s="4">
        <f t="shared" si="245"/>
        <v>-6746</v>
      </c>
      <c r="AE84" s="4">
        <f t="shared" si="245"/>
        <v>-1256</v>
      </c>
      <c r="AF84" s="4">
        <f t="shared" si="245"/>
        <v>-4490</v>
      </c>
      <c r="AG84" s="4">
        <f t="shared" si="245"/>
        <v>-2758</v>
      </c>
      <c r="AH84" s="4">
        <f t="shared" si="245"/>
        <v>-3308</v>
      </c>
      <c r="AI84" s="4">
        <f t="shared" si="245"/>
        <v>-47</v>
      </c>
      <c r="AJ84" s="4">
        <f t="shared" si="245"/>
        <v>-2539</v>
      </c>
      <c r="BO84" s="2">
        <f>+BO83+BO82</f>
        <v>9718</v>
      </c>
      <c r="BP84" s="2">
        <f>+BP83+BP82</f>
        <v>-15879</v>
      </c>
      <c r="BQ84" s="2">
        <f>+BQ83+BQ82</f>
        <v>-11812</v>
      </c>
    </row>
    <row r="85" spans="2:69" s="2" customFormat="1" x14ac:dyDescent="0.25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  <c r="AG85" s="2">
        <v>690</v>
      </c>
      <c r="AH85" s="2">
        <v>-1250</v>
      </c>
      <c r="AI85" s="2">
        <v>416</v>
      </c>
      <c r="AJ85" s="2">
        <v>1008</v>
      </c>
      <c r="BO85" s="2">
        <f t="shared" si="241"/>
        <v>-1093</v>
      </c>
      <c r="BP85" s="2">
        <f>SUM(AA85:AD85)</f>
        <v>403</v>
      </c>
      <c r="BQ85" s="2">
        <f t="shared" si="243"/>
        <v>-1301</v>
      </c>
    </row>
    <row r="86" spans="2:69" s="2" customFormat="1" x14ac:dyDescent="0.25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46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J86" si="247">+R85+R84+R80+R74</f>
        <v>12175</v>
      </c>
      <c r="S86" s="4">
        <f t="shared" si="247"/>
        <v>-8222</v>
      </c>
      <c r="T86" s="4">
        <f t="shared" si="247"/>
        <v>6512</v>
      </c>
      <c r="U86" s="4">
        <f t="shared" si="247"/>
        <v>-10490</v>
      </c>
      <c r="V86" s="4">
        <f t="shared" si="247"/>
        <v>6300</v>
      </c>
      <c r="W86" s="4">
        <f t="shared" si="247"/>
        <v>122</v>
      </c>
      <c r="X86" s="4">
        <f t="shared" si="247"/>
        <v>1101</v>
      </c>
      <c r="Y86" s="4">
        <f t="shared" si="247"/>
        <v>-2522</v>
      </c>
      <c r="Z86" s="4">
        <f t="shared" si="247"/>
        <v>19075</v>
      </c>
      <c r="AA86" s="4">
        <f t="shared" si="247"/>
        <v>-4519</v>
      </c>
      <c r="AB86" s="4">
        <f t="shared" si="247"/>
        <v>333</v>
      </c>
      <c r="AC86" s="4">
        <f t="shared" si="247"/>
        <v>14</v>
      </c>
      <c r="AD86" s="4">
        <f t="shared" si="247"/>
        <v>23809</v>
      </c>
      <c r="AE86" s="4">
        <f t="shared" si="247"/>
        <v>-558</v>
      </c>
      <c r="AF86" s="4">
        <f t="shared" si="247"/>
        <v>-1659</v>
      </c>
      <c r="AG86" s="4">
        <f t="shared" si="247"/>
        <v>7004</v>
      </c>
      <c r="AH86" s="4">
        <f t="shared" si="247"/>
        <v>3635</v>
      </c>
      <c r="AI86" s="4">
        <f t="shared" si="247"/>
        <v>-12419</v>
      </c>
      <c r="AJ86" s="4">
        <f t="shared" si="247"/>
        <v>-8440</v>
      </c>
      <c r="BO86" s="2">
        <f>+BO85+BO84+BO80+BO74</f>
        <v>17776</v>
      </c>
      <c r="BP86" s="2">
        <f>+BP85+BP84+BP80+BP74</f>
        <v>19637</v>
      </c>
      <c r="BQ86" s="2">
        <f>+BQ85+BQ84+BQ80+BQ74</f>
        <v>8422</v>
      </c>
    </row>
    <row r="88" spans="2:69" s="2" customFormat="1" x14ac:dyDescent="0.25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G88" s="2">
        <v>1551</v>
      </c>
      <c r="AH88" s="2">
        <v>1556</v>
      </c>
      <c r="AI88" s="2">
        <v>1560</v>
      </c>
      <c r="AJ88" s="2">
        <v>1546</v>
      </c>
      <c r="AQ88" s="2">
        <v>2.1</v>
      </c>
      <c r="BO88" s="2">
        <f>Z88</f>
        <v>1541</v>
      </c>
      <c r="BP88" s="2">
        <f>+AD88</f>
        <v>1525</v>
      </c>
      <c r="BQ88" s="2">
        <f>+AH88</f>
        <v>1556</v>
      </c>
    </row>
    <row r="90" spans="2:69" s="2" customFormat="1" x14ac:dyDescent="0.25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4983</v>
      </c>
      <c r="AF90" s="2">
        <v>5065</v>
      </c>
      <c r="AG90" s="2">
        <v>5663</v>
      </c>
      <c r="AH90" s="2">
        <v>9256</v>
      </c>
      <c r="AI90" s="2">
        <v>5841</v>
      </c>
      <c r="AJ90" s="2">
        <v>7517</v>
      </c>
    </row>
    <row r="91" spans="2:69" s="2" customFormat="1" x14ac:dyDescent="0.25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903</v>
      </c>
      <c r="AF91" s="2">
        <v>273</v>
      </c>
      <c r="AG91" s="2">
        <v>1301</v>
      </c>
      <c r="AH91" s="2">
        <v>1315</v>
      </c>
      <c r="AI91" s="2">
        <v>1017</v>
      </c>
      <c r="AJ91" s="2">
        <v>1494</v>
      </c>
    </row>
    <row r="92" spans="2:69" s="2" customFormat="1" x14ac:dyDescent="0.25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9421</v>
      </c>
      <c r="AF92" s="2">
        <v>9334</v>
      </c>
      <c r="AG92" s="2">
        <v>10447</v>
      </c>
      <c r="AH92" s="2">
        <v>10632</v>
      </c>
      <c r="AI92" s="2">
        <v>11547</v>
      </c>
      <c r="AJ92" s="2">
        <v>10160</v>
      </c>
    </row>
    <row r="93" spans="2:69" s="2" customFormat="1" x14ac:dyDescent="0.25">
      <c r="B93" s="2" t="s">
        <v>154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E93" s="2">
        <v>21834</v>
      </c>
      <c r="AF93" s="2">
        <v>21965</v>
      </c>
      <c r="AG93" s="2">
        <v>23501</v>
      </c>
      <c r="AH93" s="2">
        <v>28549</v>
      </c>
      <c r="AI93" s="2">
        <v>22495</v>
      </c>
      <c r="AJ93" s="2">
        <v>23370</v>
      </c>
    </row>
    <row r="95" spans="2:69" x14ac:dyDescent="0.25">
      <c r="B95" s="2" t="s">
        <v>102</v>
      </c>
      <c r="O95" s="4">
        <f t="shared" ref="O95:W95" si="248">+O74+O76+O77</f>
        <v>-2364</v>
      </c>
      <c r="P95" s="4">
        <f t="shared" si="248"/>
        <v>13991</v>
      </c>
      <c r="Q95" s="4">
        <f t="shared" si="248"/>
        <v>2156</v>
      </c>
      <c r="R95" s="4">
        <f t="shared" si="248"/>
        <v>17235</v>
      </c>
      <c r="S95" s="4">
        <f t="shared" si="248"/>
        <v>-6974</v>
      </c>
      <c r="T95" s="4">
        <f t="shared" si="248"/>
        <v>-273</v>
      </c>
      <c r="U95" s="4">
        <f t="shared" si="248"/>
        <v>-7438</v>
      </c>
      <c r="V95" s="4">
        <f t="shared" si="248"/>
        <v>5616</v>
      </c>
      <c r="W95" s="4">
        <f t="shared" si="248"/>
        <v>-16532</v>
      </c>
      <c r="X95" s="4">
        <f t="shared" ref="X95:Z95" si="249">+X74+X76+X77</f>
        <v>-5133</v>
      </c>
      <c r="Y95" s="4">
        <f t="shared" si="249"/>
        <v>-3637</v>
      </c>
      <c r="Z95" s="4">
        <f t="shared" si="249"/>
        <v>13733</v>
      </c>
      <c r="AA95" s="4">
        <f>+AA74+AA76+AA77</f>
        <v>-8282</v>
      </c>
      <c r="AB95" s="4">
        <f t="shared" ref="AB95:AE95" si="250">+AB74+AB76+AB77</f>
        <v>6064</v>
      </c>
      <c r="AC95" s="4">
        <f t="shared" si="250"/>
        <v>9919</v>
      </c>
      <c r="AD95" s="4">
        <f t="shared" si="250"/>
        <v>29112</v>
      </c>
      <c r="AE95" s="4">
        <f t="shared" si="250"/>
        <v>5054</v>
      </c>
      <c r="AF95" s="4">
        <f t="shared" ref="AF95:AH95" si="251">+AF74+AF76+AF77</f>
        <v>8888</v>
      </c>
      <c r="AG95" s="4">
        <f t="shared" si="251"/>
        <v>4693</v>
      </c>
      <c r="AH95" s="4">
        <f t="shared" si="251"/>
        <v>19584</v>
      </c>
      <c r="AI95" s="4">
        <f>+AI74+AI76+AI77</f>
        <v>-7240</v>
      </c>
      <c r="AJ95" s="4">
        <f>+AJ74+AJ76+AJ77</f>
        <v>1147</v>
      </c>
      <c r="BP95" s="2">
        <f>+BP74+BP76</f>
        <v>32217</v>
      </c>
      <c r="BQ95" s="2">
        <f>+BQ74+BQ76</f>
        <v>32878</v>
      </c>
    </row>
    <row r="96" spans="2:69" ht="13" x14ac:dyDescent="0.3">
      <c r="B96" s="2" t="s">
        <v>107</v>
      </c>
      <c r="R96" s="2">
        <f t="shared" ref="R96:T96" si="252">SUM(O95:R95)</f>
        <v>31018</v>
      </c>
      <c r="S96" s="2">
        <f t="shared" si="252"/>
        <v>26408</v>
      </c>
      <c r="T96" s="2">
        <f t="shared" si="252"/>
        <v>12144</v>
      </c>
      <c r="U96" s="2">
        <f>SUM(R95:U95)</f>
        <v>2550</v>
      </c>
      <c r="V96" s="2">
        <f>SUM(S95:V95)</f>
        <v>-9069</v>
      </c>
      <c r="W96" s="2">
        <f>SUM(T95:W95)</f>
        <v>-18627</v>
      </c>
      <c r="X96" s="2">
        <f>SUM(U95:X95)</f>
        <v>-23487</v>
      </c>
      <c r="Y96" s="2">
        <f t="shared" ref="Y96" si="253">SUM(V95:Y95)</f>
        <v>-19686</v>
      </c>
      <c r="Z96" s="2">
        <f>SUM(W95:Z95)</f>
        <v>-11569</v>
      </c>
      <c r="AA96" s="5">
        <f>SUM(X95:AA95)</f>
        <v>-3319</v>
      </c>
      <c r="AB96" s="5">
        <f t="shared" ref="AB96:AE96" si="254">SUM(Y95:AB95)</f>
        <v>7878</v>
      </c>
      <c r="AC96" s="5">
        <f t="shared" si="254"/>
        <v>21434</v>
      </c>
      <c r="AD96" s="5">
        <f t="shared" si="254"/>
        <v>36813</v>
      </c>
      <c r="AE96" s="5">
        <f t="shared" si="254"/>
        <v>50149</v>
      </c>
      <c r="AF96" s="5">
        <f t="shared" ref="AF96:AH96" si="255">SUM(AC95:AF95)</f>
        <v>52973</v>
      </c>
      <c r="AG96" s="5">
        <f t="shared" si="255"/>
        <v>47747</v>
      </c>
      <c r="AH96" s="5">
        <f t="shared" si="255"/>
        <v>38219</v>
      </c>
      <c r="AI96" s="5">
        <f>SUM(AF95:AI95)</f>
        <v>25925</v>
      </c>
      <c r="AJ96" s="5">
        <f>SUM(AG95:AJ95)</f>
        <v>18184</v>
      </c>
    </row>
    <row r="102" spans="2:69" x14ac:dyDescent="0.25">
      <c r="B102" t="s">
        <v>105</v>
      </c>
      <c r="X102" s="7">
        <v>106.21</v>
      </c>
      <c r="Y102" s="7">
        <v>113</v>
      </c>
      <c r="Z102" s="7">
        <v>84</v>
      </c>
      <c r="AA102" s="1">
        <v>103.29</v>
      </c>
      <c r="AB102" s="1">
        <v>130.36000000000001</v>
      </c>
      <c r="AC102" s="1">
        <v>127.12</v>
      </c>
      <c r="AD102" s="1">
        <v>151.94</v>
      </c>
      <c r="AE102" s="1">
        <v>180.38</v>
      </c>
      <c r="AF102" s="1">
        <v>193.25</v>
      </c>
      <c r="AG102" s="1">
        <v>186.33</v>
      </c>
      <c r="AH102" s="1">
        <v>219.39</v>
      </c>
      <c r="AI102" s="1">
        <v>190.26</v>
      </c>
      <c r="AP102">
        <v>7.25</v>
      </c>
      <c r="AQ102">
        <v>28.73</v>
      </c>
      <c r="AR102" s="1">
        <f>11495/AR34</f>
        <v>71.354583558045434</v>
      </c>
      <c r="BO102" s="1">
        <f>+Z102</f>
        <v>84</v>
      </c>
      <c r="BP102" s="1">
        <f>+AD102</f>
        <v>151.94</v>
      </c>
      <c r="BQ102" s="1">
        <f>+AH102</f>
        <v>219.39</v>
      </c>
    </row>
    <row r="103" spans="2:69" ht="13" x14ac:dyDescent="0.3">
      <c r="BP103" s="19">
        <f>+BP102/BO102-1</f>
        <v>0.80880952380952387</v>
      </c>
      <c r="BQ103" s="19">
        <f>+BQ102/BP102-1</f>
        <v>0.44392523364485981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2025-08-27T14:56:32Z</dcterms:modified>
</cp:coreProperties>
</file>