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35C3FFC-7A61-42A9-A7EF-59BC50279E77}" xr6:coauthVersionLast="47" xr6:coauthVersionMax="47" xr10:uidLastSave="{00000000-0000-0000-0000-000000000000}"/>
  <bookViews>
    <workbookView xWindow="38410" yWindow="1650" windowWidth="26400" windowHeight="1803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1" i="2" l="1"/>
  <c r="AC81" i="2"/>
  <c r="AZ81" i="2"/>
  <c r="X98" i="2"/>
  <c r="W98" i="2"/>
  <c r="AA98" i="2"/>
  <c r="Z98" i="2"/>
  <c r="Y98" i="2"/>
  <c r="AB98" i="2"/>
  <c r="AB92" i="2"/>
  <c r="AB90" i="2"/>
  <c r="AB82" i="2"/>
  <c r="AB85" i="2" s="1"/>
  <c r="AB78" i="2"/>
  <c r="AB79" i="2" s="1"/>
  <c r="AB96" i="2" s="1"/>
  <c r="AB37" i="2"/>
  <c r="AB38" i="2"/>
  <c r="AB68" i="2"/>
  <c r="AB46" i="2"/>
  <c r="AB56" i="2" s="1"/>
  <c r="AB101" i="2"/>
  <c r="AC13" i="2"/>
  <c r="AC35" i="2" s="1"/>
  <c r="AC14" i="2"/>
  <c r="AC34" i="2" s="1"/>
  <c r="AH16" i="2"/>
  <c r="AG16" i="2"/>
  <c r="AF16" i="2"/>
  <c r="AE16" i="2"/>
  <c r="AX6" i="2"/>
  <c r="AX5" i="2"/>
  <c r="AX4" i="2"/>
  <c r="AX3" i="2"/>
  <c r="AY6" i="2"/>
  <c r="AY5" i="2"/>
  <c r="AY4" i="2"/>
  <c r="AY3" i="2"/>
  <c r="AA90" i="2"/>
  <c r="AA92" i="2" s="1"/>
  <c r="AA82" i="2"/>
  <c r="AA85" i="2" s="1"/>
  <c r="AA78" i="2"/>
  <c r="AA79" i="2" s="1"/>
  <c r="AA96" i="2" s="1"/>
  <c r="AA68" i="2"/>
  <c r="AA46" i="2"/>
  <c r="AA56" i="2" s="1"/>
  <c r="AA101" i="2"/>
  <c r="AA15" i="2"/>
  <c r="AA16" i="2" s="1"/>
  <c r="AA102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Y100" i="2"/>
  <c r="AX100" i="2"/>
  <c r="AW100" i="2"/>
  <c r="AW93" i="2"/>
  <c r="AW91" i="2"/>
  <c r="AW89" i="2"/>
  <c r="AW88" i="2"/>
  <c r="AW87" i="2"/>
  <c r="AW84" i="2"/>
  <c r="AW83" i="2"/>
  <c r="AW81" i="2"/>
  <c r="AW77" i="2"/>
  <c r="AW76" i="2"/>
  <c r="AW75" i="2"/>
  <c r="AW74" i="2"/>
  <c r="AW73" i="2"/>
  <c r="AW72" i="2"/>
  <c r="AW71" i="2"/>
  <c r="AW67" i="2"/>
  <c r="AW66" i="2"/>
  <c r="AW65" i="2"/>
  <c r="AW64" i="2"/>
  <c r="AW61" i="2"/>
  <c r="AW60" i="2"/>
  <c r="AW59" i="2"/>
  <c r="AW58" i="2"/>
  <c r="AW55" i="2"/>
  <c r="AW53" i="2"/>
  <c r="AW52" i="2"/>
  <c r="AW51" i="2"/>
  <c r="AW50" i="2"/>
  <c r="AW49" i="2"/>
  <c r="AW48" i="2"/>
  <c r="AW47" i="2"/>
  <c r="AX89" i="2"/>
  <c r="AX71" i="2"/>
  <c r="AX67" i="2"/>
  <c r="AX66" i="2"/>
  <c r="AX65" i="2"/>
  <c r="AX61" i="2"/>
  <c r="AX60" i="2"/>
  <c r="AX59" i="2"/>
  <c r="AX58" i="2"/>
  <c r="AX55" i="2"/>
  <c r="AX54" i="2"/>
  <c r="AX53" i="2"/>
  <c r="AX52" i="2"/>
  <c r="AX51" i="2"/>
  <c r="AX50" i="2"/>
  <c r="AX49" i="2"/>
  <c r="AX48" i="2"/>
  <c r="AX47" i="2"/>
  <c r="AC25" i="2"/>
  <c r="AD22" i="2"/>
  <c r="AC22" i="2"/>
  <c r="AD21" i="2"/>
  <c r="AC21" i="2"/>
  <c r="AD20" i="2"/>
  <c r="AC20" i="2"/>
  <c r="AA20" i="2"/>
  <c r="AA23" i="2" s="1"/>
  <c r="AC30" i="2"/>
  <c r="AD30" i="2" s="1"/>
  <c r="AD13" i="2"/>
  <c r="AD35" i="2" s="1"/>
  <c r="AB35" i="2"/>
  <c r="AA35" i="2"/>
  <c r="AD14" i="2"/>
  <c r="AD34" i="2" s="1"/>
  <c r="AB34" i="2"/>
  <c r="AA34" i="2"/>
  <c r="AA39" i="2"/>
  <c r="Z15" i="2"/>
  <c r="Z16" i="2" s="1"/>
  <c r="Z19" i="2" s="1"/>
  <c r="AD12" i="2"/>
  <c r="AC12" i="2"/>
  <c r="AD11" i="2"/>
  <c r="AC11" i="2"/>
  <c r="AZ11" i="2"/>
  <c r="AD10" i="2"/>
  <c r="AD39" i="2" s="1"/>
  <c r="AC10" i="2"/>
  <c r="AC39" i="2" s="1"/>
  <c r="AB39" i="2"/>
  <c r="AD9" i="2"/>
  <c r="AC9" i="2"/>
  <c r="AY73" i="2"/>
  <c r="AY67" i="2"/>
  <c r="AY66" i="2"/>
  <c r="AY65" i="2"/>
  <c r="AY64" i="2"/>
  <c r="AY63" i="2"/>
  <c r="AY62" i="2"/>
  <c r="AY61" i="2"/>
  <c r="AY60" i="2"/>
  <c r="AY59" i="2"/>
  <c r="AY58" i="2"/>
  <c r="AY55" i="2"/>
  <c r="AY54" i="2"/>
  <c r="AY53" i="2"/>
  <c r="AY52" i="2"/>
  <c r="AY51" i="2"/>
  <c r="AY50" i="2"/>
  <c r="AY49" i="2"/>
  <c r="AY48" i="2"/>
  <c r="AY47" i="2"/>
  <c r="V25" i="2"/>
  <c r="Z25" i="2"/>
  <c r="Z46" i="2"/>
  <c r="AY46" i="2" s="1"/>
  <c r="Z101" i="2"/>
  <c r="Y101" i="2"/>
  <c r="AY8" i="2"/>
  <c r="X93" i="2"/>
  <c r="Y93" i="2" s="1"/>
  <c r="Z93" i="2" s="1"/>
  <c r="X89" i="2"/>
  <c r="Y89" i="2" s="1"/>
  <c r="Z89" i="2" s="1"/>
  <c r="X88" i="2"/>
  <c r="Y88" i="2" s="1"/>
  <c r="Z88" i="2" s="1"/>
  <c r="X87" i="2"/>
  <c r="Y87" i="2" s="1"/>
  <c r="Z87" i="2" s="1"/>
  <c r="X91" i="2"/>
  <c r="Y91" i="2" s="1"/>
  <c r="Z91" i="2" s="1"/>
  <c r="X84" i="2"/>
  <c r="Y84" i="2" s="1"/>
  <c r="Z84" i="2" s="1"/>
  <c r="X83" i="2"/>
  <c r="Y83" i="2" s="1"/>
  <c r="Z83" i="2" s="1"/>
  <c r="X81" i="2"/>
  <c r="Y81" i="2" s="1"/>
  <c r="W90" i="2"/>
  <c r="W92" i="2" s="1"/>
  <c r="W82" i="2"/>
  <c r="W85" i="2" s="1"/>
  <c r="W78" i="2"/>
  <c r="X78" i="2" s="1"/>
  <c r="Y78" i="2" s="1"/>
  <c r="X77" i="2"/>
  <c r="Y77" i="2" s="1"/>
  <c r="Z77" i="2" s="1"/>
  <c r="X76" i="2"/>
  <c r="Y76" i="2" s="1"/>
  <c r="Z76" i="2" s="1"/>
  <c r="X75" i="2"/>
  <c r="Y75" i="2" s="1"/>
  <c r="Z75" i="2" s="1"/>
  <c r="X74" i="2"/>
  <c r="Y74" i="2" s="1"/>
  <c r="Z74" i="2" s="1"/>
  <c r="X72" i="2"/>
  <c r="Y72" i="2" s="1"/>
  <c r="Z72" i="2" s="1"/>
  <c r="X71" i="2"/>
  <c r="Y71" i="2" s="1"/>
  <c r="Z71" i="2" s="1"/>
  <c r="Y62" i="2"/>
  <c r="Y63" i="2"/>
  <c r="Y46" i="2"/>
  <c r="Y56" i="2" s="1"/>
  <c r="Y45" i="2"/>
  <c r="Z68" i="2"/>
  <c r="AY11" i="2"/>
  <c r="Y39" i="2"/>
  <c r="AO43" i="2"/>
  <c r="AX30" i="2"/>
  <c r="AY14" i="2"/>
  <c r="AY13" i="2"/>
  <c r="AY12" i="2"/>
  <c r="AY10" i="2"/>
  <c r="AY9" i="2"/>
  <c r="AX8" i="2"/>
  <c r="AX14" i="2"/>
  <c r="AX13" i="2"/>
  <c r="AX12" i="2"/>
  <c r="AX11" i="2"/>
  <c r="AX10" i="2"/>
  <c r="AX9" i="2"/>
  <c r="AW9" i="2"/>
  <c r="X101" i="2"/>
  <c r="Z39" i="2"/>
  <c r="Z35" i="2"/>
  <c r="Y35" i="2"/>
  <c r="Z34" i="2"/>
  <c r="Y34" i="2"/>
  <c r="AY22" i="2"/>
  <c r="AY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1" i="2"/>
  <c r="X15" i="2"/>
  <c r="X16" i="2" s="1"/>
  <c r="W15" i="2"/>
  <c r="W16" i="2" s="1"/>
  <c r="W19" i="2" s="1"/>
  <c r="W40" i="2" s="1"/>
  <c r="Y23" i="2"/>
  <c r="X23" i="2"/>
  <c r="W23" i="2"/>
  <c r="V90" i="2"/>
  <c r="V92" i="2" s="1"/>
  <c r="V82" i="2"/>
  <c r="V85" i="2" s="1"/>
  <c r="V78" i="2"/>
  <c r="V79" i="2" s="1"/>
  <c r="V96" i="2" s="1"/>
  <c r="V62" i="2"/>
  <c r="AX62" i="2" s="1"/>
  <c r="V63" i="2"/>
  <c r="AX63" i="2" s="1"/>
  <c r="V64" i="2"/>
  <c r="AX64" i="2" s="1"/>
  <c r="V46" i="2"/>
  <c r="V56" i="2" s="1"/>
  <c r="V101" i="2"/>
  <c r="U90" i="2"/>
  <c r="U92" i="2" s="1"/>
  <c r="U82" i="2"/>
  <c r="U85" i="2" s="1"/>
  <c r="U78" i="2"/>
  <c r="U79" i="2" s="1"/>
  <c r="U96" i="2" s="1"/>
  <c r="U62" i="2"/>
  <c r="U63" i="2"/>
  <c r="U54" i="2"/>
  <c r="U46" i="2"/>
  <c r="U101" i="2"/>
  <c r="T93" i="2"/>
  <c r="AX93" i="2" s="1"/>
  <c r="T91" i="2"/>
  <c r="AX91" i="2" s="1"/>
  <c r="T88" i="2"/>
  <c r="AX88" i="2" s="1"/>
  <c r="T87" i="2"/>
  <c r="AX87" i="2" s="1"/>
  <c r="T84" i="2"/>
  <c r="AX84" i="2" s="1"/>
  <c r="T83" i="2"/>
  <c r="AX83" i="2" s="1"/>
  <c r="T77" i="2"/>
  <c r="AX77" i="2" s="1"/>
  <c r="T76" i="2"/>
  <c r="AX76" i="2" s="1"/>
  <c r="T75" i="2"/>
  <c r="AX75" i="2" s="1"/>
  <c r="T74" i="2"/>
  <c r="AX74" i="2" s="1"/>
  <c r="T73" i="2"/>
  <c r="AX73" i="2" s="1"/>
  <c r="T72" i="2"/>
  <c r="AX72" i="2" s="1"/>
  <c r="S90" i="2"/>
  <c r="T90" i="2" s="1"/>
  <c r="S82" i="2"/>
  <c r="S85" i="2" s="1"/>
  <c r="S78" i="2"/>
  <c r="S79" i="2" s="1"/>
  <c r="S96" i="2" s="1"/>
  <c r="S63" i="2"/>
  <c r="S62" i="2"/>
  <c r="S46" i="2"/>
  <c r="S45" i="2" s="1"/>
  <c r="S54" i="2"/>
  <c r="T81" i="2"/>
  <c r="AX81" i="2" s="1"/>
  <c r="T23" i="2"/>
  <c r="T63" i="2"/>
  <c r="T62" i="2"/>
  <c r="T46" i="2"/>
  <c r="T45" i="2" s="1"/>
  <c r="T54" i="2"/>
  <c r="T101" i="2"/>
  <c r="L4" i="1"/>
  <c r="L7" i="1" s="1"/>
  <c r="S101" i="2"/>
  <c r="P90" i="2"/>
  <c r="P92" i="2" s="1"/>
  <c r="P82" i="2"/>
  <c r="P85" i="2" s="1"/>
  <c r="AB94" i="2" l="1"/>
  <c r="AY25" i="2"/>
  <c r="AZ12" i="2"/>
  <c r="S56" i="2"/>
  <c r="AA45" i="2"/>
  <c r="AA94" i="2"/>
  <c r="U56" i="2"/>
  <c r="AX101" i="2"/>
  <c r="AY101" i="2"/>
  <c r="AZ10" i="2"/>
  <c r="AB23" i="2"/>
  <c r="AC23" i="2"/>
  <c r="AD23" i="2"/>
  <c r="AZ21" i="2"/>
  <c r="AZ22" i="2"/>
  <c r="AZ9" i="2"/>
  <c r="AX68" i="2"/>
  <c r="AZ14" i="2"/>
  <c r="AZ34" i="2" s="1"/>
  <c r="Z56" i="2"/>
  <c r="AY83" i="2"/>
  <c r="AY84" i="2"/>
  <c r="AY93" i="2"/>
  <c r="Z45" i="2"/>
  <c r="AY89" i="2"/>
  <c r="AZ13" i="2"/>
  <c r="AY30" i="2"/>
  <c r="AY87" i="2"/>
  <c r="AY88" i="2"/>
  <c r="AY91" i="2"/>
  <c r="AZ20" i="2"/>
  <c r="AB15" i="2"/>
  <c r="AB16" i="2" s="1"/>
  <c r="AC15" i="2"/>
  <c r="AC16" i="2" s="1"/>
  <c r="AC43" i="2" s="1"/>
  <c r="AY68" i="2"/>
  <c r="AY74" i="2"/>
  <c r="AY76" i="2"/>
  <c r="AY77" i="2"/>
  <c r="AD25" i="2"/>
  <c r="AZ25" i="2" s="1"/>
  <c r="AY45" i="2"/>
  <c r="AY56" i="2"/>
  <c r="AY71" i="2"/>
  <c r="AY75" i="2"/>
  <c r="AY72" i="2"/>
  <c r="AX46" i="2"/>
  <c r="AX90" i="2"/>
  <c r="AX92" i="2" s="1"/>
  <c r="AD15" i="2"/>
  <c r="AD36" i="2" s="1"/>
  <c r="AA36" i="2"/>
  <c r="Z102" i="2"/>
  <c r="Z40" i="2"/>
  <c r="Y68" i="2"/>
  <c r="X90" i="2"/>
  <c r="X92" i="2" s="1"/>
  <c r="W42" i="2"/>
  <c r="Z81" i="2"/>
  <c r="AY81" i="2" s="1"/>
  <c r="W102" i="2"/>
  <c r="AY20" i="2"/>
  <c r="W43" i="2"/>
  <c r="W79" i="2"/>
  <c r="W96" i="2" s="1"/>
  <c r="X43" i="2"/>
  <c r="X42" i="2"/>
  <c r="X19" i="2"/>
  <c r="X40" i="2" s="1"/>
  <c r="X102" i="2"/>
  <c r="X82" i="2"/>
  <c r="Y82" i="2" s="1"/>
  <c r="Z82" i="2" s="1"/>
  <c r="X79" i="2"/>
  <c r="X96" i="2" s="1"/>
  <c r="Y79" i="2"/>
  <c r="Y96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4" i="2"/>
  <c r="V45" i="2"/>
  <c r="S68" i="2"/>
  <c r="U45" i="2"/>
  <c r="U68" i="2"/>
  <c r="U94" i="2"/>
  <c r="T68" i="2"/>
  <c r="S92" i="2"/>
  <c r="S94" i="2" s="1"/>
  <c r="T78" i="2"/>
  <c r="T82" i="2"/>
  <c r="T92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W17" i="2"/>
  <c r="AW14" i="2"/>
  <c r="AW13" i="2"/>
  <c r="AW12" i="2"/>
  <c r="AW11" i="2"/>
  <c r="AW15" i="2" s="1"/>
  <c r="AW10" i="2"/>
  <c r="AW8" i="2"/>
  <c r="AW109" i="2"/>
  <c r="AW106" i="2"/>
  <c r="AT23" i="2"/>
  <c r="AS23" i="2"/>
  <c r="AR23" i="2"/>
  <c r="AQ23" i="2"/>
  <c r="AQ19" i="2"/>
  <c r="AQ40" i="2" s="1"/>
  <c r="AP23" i="2"/>
  <c r="AP19" i="2"/>
  <c r="AP40" i="2" s="1"/>
  <c r="AO23" i="2"/>
  <c r="AO19" i="2"/>
  <c r="AO40" i="2" s="1"/>
  <c r="AQ32" i="2"/>
  <c r="AP32" i="2"/>
  <c r="AO32" i="2"/>
  <c r="AN32" i="2"/>
  <c r="R90" i="2"/>
  <c r="R92" i="2" s="1"/>
  <c r="R82" i="2"/>
  <c r="R85" i="2" s="1"/>
  <c r="R78" i="2"/>
  <c r="R79" i="2" s="1"/>
  <c r="R96" i="2" s="1"/>
  <c r="R39" i="2"/>
  <c r="R35" i="2"/>
  <c r="R34" i="2"/>
  <c r="R23" i="2"/>
  <c r="AB32" i="2" l="1"/>
  <c r="AB19" i="2"/>
  <c r="AB43" i="2"/>
  <c r="AB42" i="2"/>
  <c r="AB102" i="2"/>
  <c r="AB36" i="2"/>
  <c r="AC36" i="2"/>
  <c r="AZ15" i="2"/>
  <c r="AC19" i="2"/>
  <c r="AC40" i="2" s="1"/>
  <c r="AC42" i="2"/>
  <c r="AB40" i="2"/>
  <c r="X24" i="2"/>
  <c r="X26" i="2" s="1"/>
  <c r="X28" i="2" s="1"/>
  <c r="X29" i="2" s="1"/>
  <c r="T79" i="2"/>
  <c r="T96" i="2" s="1"/>
  <c r="AX78" i="2"/>
  <c r="AX79" i="2" s="1"/>
  <c r="W94" i="2"/>
  <c r="AX45" i="2"/>
  <c r="AX56" i="2"/>
  <c r="T85" i="2"/>
  <c r="T94" i="2" s="1"/>
  <c r="AX82" i="2"/>
  <c r="AX85" i="2" s="1"/>
  <c r="AX94" i="2" s="1"/>
  <c r="Z96" i="2"/>
  <c r="Z97" i="2" s="1"/>
  <c r="X97" i="2"/>
  <c r="Y85" i="2"/>
  <c r="Y90" i="2"/>
  <c r="AY82" i="2"/>
  <c r="AY85" i="2" s="1"/>
  <c r="X85" i="2"/>
  <c r="X94" i="2" s="1"/>
  <c r="AY78" i="2"/>
  <c r="AY79" i="2" s="1"/>
  <c r="AD16" i="2"/>
  <c r="Y97" i="2"/>
  <c r="Z85" i="2"/>
  <c r="W36" i="2"/>
  <c r="Y16" i="2"/>
  <c r="Y42" i="2" s="1"/>
  <c r="AY15" i="2"/>
  <c r="AY16" i="2" s="1"/>
  <c r="AY102" i="2" s="1"/>
  <c r="Z41" i="2"/>
  <c r="W28" i="2"/>
  <c r="W41" i="2"/>
  <c r="U23" i="2"/>
  <c r="P96" i="2"/>
  <c r="P94" i="2"/>
  <c r="AW16" i="2"/>
  <c r="S23" i="2"/>
  <c r="AQ24" i="2"/>
  <c r="AQ26" i="2" s="1"/>
  <c r="AQ28" i="2" s="1"/>
  <c r="AO24" i="2"/>
  <c r="AO26" i="2" s="1"/>
  <c r="AP24" i="2"/>
  <c r="AP26" i="2" s="1"/>
  <c r="R94" i="2"/>
  <c r="AB97" i="2" l="1"/>
  <c r="AB24" i="2"/>
  <c r="AB26" i="2" s="1"/>
  <c r="AB41" i="2" s="1"/>
  <c r="AC24" i="2"/>
  <c r="AC26" i="2" s="1"/>
  <c r="AC27" i="2" s="1"/>
  <c r="AC41" i="2" s="1"/>
  <c r="AC17" i="2"/>
  <c r="AA97" i="2"/>
  <c r="Y43" i="2"/>
  <c r="AW43" i="2"/>
  <c r="AW102" i="2"/>
  <c r="X41" i="2"/>
  <c r="AA32" i="2"/>
  <c r="AA19" i="2"/>
  <c r="AA17" i="2" s="1"/>
  <c r="AA43" i="2"/>
  <c r="AA42" i="2"/>
  <c r="AX96" i="2"/>
  <c r="AY96" i="2"/>
  <c r="AY80" i="2"/>
  <c r="AD32" i="2"/>
  <c r="AD42" i="2"/>
  <c r="AD19" i="2"/>
  <c r="AD43" i="2"/>
  <c r="AD17" i="2"/>
  <c r="Z90" i="2"/>
  <c r="Y92" i="2"/>
  <c r="Y94" i="2" s="1"/>
  <c r="X70" i="2"/>
  <c r="Y19" i="2"/>
  <c r="AY19" i="2" s="1"/>
  <c r="Y102" i="2"/>
  <c r="AC32" i="2"/>
  <c r="V97" i="2"/>
  <c r="W97" i="2"/>
  <c r="U97" i="2"/>
  <c r="Y40" i="2"/>
  <c r="Z28" i="2"/>
  <c r="W29" i="2"/>
  <c r="W70" i="2"/>
  <c r="AQ41" i="2"/>
  <c r="AO28" i="2"/>
  <c r="AO41" i="2"/>
  <c r="AP41" i="2"/>
  <c r="AP28" i="2"/>
  <c r="AB28" i="2" l="1"/>
  <c r="AA40" i="2"/>
  <c r="AZ19" i="2"/>
  <c r="AA24" i="2"/>
  <c r="AA26" i="2" s="1"/>
  <c r="Y24" i="2"/>
  <c r="Y26" i="2" s="1"/>
  <c r="Z92" i="2"/>
  <c r="Z94" i="2" s="1"/>
  <c r="AY90" i="2"/>
  <c r="AY92" i="2" s="1"/>
  <c r="AY94" i="2" s="1"/>
  <c r="AC28" i="2"/>
  <c r="AC29" i="2" s="1"/>
  <c r="AD40" i="2"/>
  <c r="AD24" i="2"/>
  <c r="AD26" i="2" s="1"/>
  <c r="Z29" i="2"/>
  <c r="Z70" i="2"/>
  <c r="R63" i="2"/>
  <c r="AW63" i="2" s="1"/>
  <c r="R62" i="2"/>
  <c r="AW62" i="2" s="1"/>
  <c r="AW68" i="2" s="1"/>
  <c r="R54" i="2"/>
  <c r="AW54" i="2" s="1"/>
  <c r="R46" i="2"/>
  <c r="AW46" i="2" s="1"/>
  <c r="K102" i="2"/>
  <c r="R101" i="2"/>
  <c r="Q34" i="2"/>
  <c r="P34" i="2"/>
  <c r="O34" i="2"/>
  <c r="Q101" i="2"/>
  <c r="P101" i="2"/>
  <c r="O101" i="2"/>
  <c r="O90" i="2"/>
  <c r="O82" i="2"/>
  <c r="O78" i="2"/>
  <c r="K78" i="2"/>
  <c r="K79" i="2" s="1"/>
  <c r="K96" i="2" s="1"/>
  <c r="O79" i="2"/>
  <c r="O96" i="2" s="1"/>
  <c r="N79" i="2"/>
  <c r="N96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6" i="2" s="1"/>
  <c r="M96" i="2"/>
  <c r="Q63" i="2"/>
  <c r="Q62" i="2"/>
  <c r="Q54" i="2"/>
  <c r="Q46" i="2"/>
  <c r="Q45" i="2" s="1"/>
  <c r="G63" i="2"/>
  <c r="G62" i="2"/>
  <c r="G46" i="2"/>
  <c r="G45" i="2" s="1"/>
  <c r="G54" i="2"/>
  <c r="C90" i="2"/>
  <c r="C92" i="2" s="1"/>
  <c r="C82" i="2"/>
  <c r="C85" i="2" s="1"/>
  <c r="C78" i="2"/>
  <c r="C79" i="2" s="1"/>
  <c r="G90" i="2"/>
  <c r="G92" i="2" s="1"/>
  <c r="G82" i="2"/>
  <c r="G85" i="2" s="1"/>
  <c r="G78" i="2"/>
  <c r="G79" i="2" s="1"/>
  <c r="C23" i="2"/>
  <c r="K39" i="2"/>
  <c r="K35" i="2"/>
  <c r="K34" i="2"/>
  <c r="AT39" i="2"/>
  <c r="AS39" i="2"/>
  <c r="AT34" i="2"/>
  <c r="AS34" i="2"/>
  <c r="AT15" i="2"/>
  <c r="AT16" i="2" s="1"/>
  <c r="AT43" i="2" s="1"/>
  <c r="AS15" i="2"/>
  <c r="AS16" i="2" s="1"/>
  <c r="AS43" i="2" s="1"/>
  <c r="AR15" i="2"/>
  <c r="AR16" i="2" s="1"/>
  <c r="AR43" i="2" s="1"/>
  <c r="AU14" i="2"/>
  <c r="AU13" i="2"/>
  <c r="AU35" i="2" s="1"/>
  <c r="AU12" i="2"/>
  <c r="AU11" i="2"/>
  <c r="AU10" i="2"/>
  <c r="AU39" i="2" s="1"/>
  <c r="AU9" i="2"/>
  <c r="AU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V8" i="2"/>
  <c r="AV14" i="2"/>
  <c r="AV11" i="2"/>
  <c r="AV10" i="2"/>
  <c r="AV9" i="2"/>
  <c r="AV12" i="2"/>
  <c r="AT35" i="2"/>
  <c r="AS35" i="2"/>
  <c r="AV13" i="2"/>
  <c r="AW25" i="2"/>
  <c r="AW30" i="2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V23" i="2"/>
  <c r="AU23" i="2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K42" i="2"/>
  <c r="J96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B29" i="2" l="1"/>
  <c r="AB70" i="2"/>
  <c r="AW78" i="2"/>
  <c r="AW79" i="2" s="1"/>
  <c r="AW96" i="2" s="1"/>
  <c r="AA28" i="2"/>
  <c r="AA41" i="2"/>
  <c r="O92" i="2"/>
  <c r="AW90" i="2"/>
  <c r="AW92" i="2" s="1"/>
  <c r="AW45" i="2"/>
  <c r="AW56" i="2"/>
  <c r="AD27" i="2"/>
  <c r="AD41" i="2" s="1"/>
  <c r="O85" i="2"/>
  <c r="AW82" i="2"/>
  <c r="AW85" i="2" s="1"/>
  <c r="P97" i="2"/>
  <c r="O97" i="2"/>
  <c r="N97" i="2"/>
  <c r="R97" i="2"/>
  <c r="T97" i="2"/>
  <c r="S97" i="2"/>
  <c r="AU34" i="2"/>
  <c r="Q97" i="2"/>
  <c r="Q68" i="2"/>
  <c r="Y41" i="2"/>
  <c r="AY27" i="2"/>
  <c r="Y28" i="2"/>
  <c r="Y70" i="2" s="1"/>
  <c r="AY70" i="2" s="1"/>
  <c r="O102" i="2"/>
  <c r="O43" i="2"/>
  <c r="G42" i="2"/>
  <c r="G43" i="2"/>
  <c r="M102" i="2"/>
  <c r="M43" i="2"/>
  <c r="I42" i="2"/>
  <c r="I43" i="2"/>
  <c r="H19" i="2"/>
  <c r="H40" i="2" s="1"/>
  <c r="H43" i="2"/>
  <c r="P102" i="2"/>
  <c r="P43" i="2"/>
  <c r="L102" i="2"/>
  <c r="L43" i="2"/>
  <c r="R56" i="2"/>
  <c r="R45" i="2"/>
  <c r="AS32" i="2"/>
  <c r="AS19" i="2"/>
  <c r="AR32" i="2"/>
  <c r="AR19" i="2"/>
  <c r="AT19" i="2"/>
  <c r="AT32" i="2"/>
  <c r="T15" i="2"/>
  <c r="O56" i="2"/>
  <c r="N68" i="2"/>
  <c r="Q56" i="2"/>
  <c r="G102" i="2"/>
  <c r="U15" i="2"/>
  <c r="Y36" i="2" s="1"/>
  <c r="R16" i="2"/>
  <c r="R36" i="2"/>
  <c r="G68" i="2"/>
  <c r="N56" i="2"/>
  <c r="R68" i="2"/>
  <c r="V15" i="2"/>
  <c r="G56" i="2"/>
  <c r="G94" i="2"/>
  <c r="C94" i="2"/>
  <c r="AU15" i="2"/>
  <c r="AU16" i="2" s="1"/>
  <c r="AU32" i="2" s="1"/>
  <c r="AV39" i="2"/>
  <c r="G19" i="2"/>
  <c r="G40" i="2" s="1"/>
  <c r="K32" i="2"/>
  <c r="BA12" i="2"/>
  <c r="BB12" i="2" s="1"/>
  <c r="BC12" i="2" s="1"/>
  <c r="BD12" i="2" s="1"/>
  <c r="BE12" i="2" s="1"/>
  <c r="BF12" i="2" s="1"/>
  <c r="BG12" i="2" s="1"/>
  <c r="BH12" i="2" s="1"/>
  <c r="BI12" i="2" s="1"/>
  <c r="BJ12" i="2" s="1"/>
  <c r="AV35" i="2"/>
  <c r="AV34" i="2"/>
  <c r="K36" i="2"/>
  <c r="AS36" i="2"/>
  <c r="AT36" i="2"/>
  <c r="AV15" i="2"/>
  <c r="AV16" i="2" s="1"/>
  <c r="AV43" i="2" s="1"/>
  <c r="C24" i="2"/>
  <c r="C26" i="2" s="1"/>
  <c r="C28" i="2" s="1"/>
  <c r="AW34" i="2"/>
  <c r="P56" i="2"/>
  <c r="AW22" i="2"/>
  <c r="AX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Q23" i="2"/>
  <c r="AW21" i="2"/>
  <c r="AX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P45" i="2"/>
  <c r="AW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O94" i="2" l="1"/>
  <c r="AX80" i="2"/>
  <c r="AB45" i="2"/>
  <c r="AC45" i="2" s="1"/>
  <c r="AA70" i="2"/>
  <c r="AA29" i="2"/>
  <c r="AZ27" i="2"/>
  <c r="AW94" i="2"/>
  <c r="AD28" i="2"/>
  <c r="AD29" i="2" s="1"/>
  <c r="AU43" i="2"/>
  <c r="V36" i="2"/>
  <c r="Z36" i="2"/>
  <c r="X36" i="2"/>
  <c r="AX15" i="2"/>
  <c r="Y29" i="2"/>
  <c r="H24" i="2"/>
  <c r="H26" i="2" s="1"/>
  <c r="H28" i="2" s="1"/>
  <c r="R42" i="2"/>
  <c r="R43" i="2"/>
  <c r="AV32" i="2"/>
  <c r="V16" i="2"/>
  <c r="U16" i="2"/>
  <c r="Y32" i="2" s="1"/>
  <c r="U36" i="2"/>
  <c r="T16" i="2"/>
  <c r="X32" i="2" s="1"/>
  <c r="T36" i="2"/>
  <c r="S16" i="2"/>
  <c r="W32" i="2" s="1"/>
  <c r="S36" i="2"/>
  <c r="AT40" i="2"/>
  <c r="AT24" i="2"/>
  <c r="AT26" i="2" s="1"/>
  <c r="AR40" i="2"/>
  <c r="AR24" i="2"/>
  <c r="AR26" i="2" s="1"/>
  <c r="AS40" i="2"/>
  <c r="AS24" i="2"/>
  <c r="AS26" i="2" s="1"/>
  <c r="N42" i="2"/>
  <c r="N102" i="2"/>
  <c r="R32" i="2"/>
  <c r="R19" i="2"/>
  <c r="R40" i="2" s="1"/>
  <c r="R102" i="2"/>
  <c r="C29" i="2"/>
  <c r="C70" i="2"/>
  <c r="AU42" i="2"/>
  <c r="AU19" i="2"/>
  <c r="AU40" i="2" s="1"/>
  <c r="AV36" i="2"/>
  <c r="AU36" i="2"/>
  <c r="Q16" i="2"/>
  <c r="Q43" i="2" s="1"/>
  <c r="G24" i="2"/>
  <c r="G26" i="2" s="1"/>
  <c r="G28" i="2" s="1"/>
  <c r="AV19" i="2"/>
  <c r="AV40" i="2" s="1"/>
  <c r="AV42" i="2"/>
  <c r="AW35" i="2"/>
  <c r="AW36" i="2"/>
  <c r="AX39" i="2"/>
  <c r="AW39" i="2"/>
  <c r="AX35" i="2"/>
  <c r="AW23" i="2"/>
  <c r="AX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G41" i="2" l="1"/>
  <c r="AD45" i="2"/>
  <c r="V102" i="2"/>
  <c r="Z32" i="2"/>
  <c r="U102" i="2"/>
  <c r="U19" i="2"/>
  <c r="U32" i="2"/>
  <c r="H41" i="2"/>
  <c r="S32" i="2"/>
  <c r="S102" i="2"/>
  <c r="S19" i="2"/>
  <c r="S40" i="2" s="1"/>
  <c r="T19" i="2"/>
  <c r="T24" i="2" s="1"/>
  <c r="T102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BA9" i="2"/>
  <c r="AT28" i="2"/>
  <c r="AT41" i="2"/>
  <c r="AS28" i="2"/>
  <c r="AS41" i="2"/>
  <c r="AR28" i="2"/>
  <c r="AR41" i="2"/>
  <c r="Q32" i="2"/>
  <c r="Q102" i="2"/>
  <c r="Q19" i="2"/>
  <c r="Q24" i="2" s="1"/>
  <c r="Q26" i="2" s="1"/>
  <c r="H29" i="2"/>
  <c r="H70" i="2"/>
  <c r="P29" i="2"/>
  <c r="P70" i="2"/>
  <c r="Q42" i="2"/>
  <c r="AW32" i="2"/>
  <c r="AV24" i="2"/>
  <c r="AV26" i="2" s="1"/>
  <c r="AV28" i="2" s="1"/>
  <c r="AV29" i="2" s="1"/>
  <c r="AU24" i="2"/>
  <c r="AU26" i="2" s="1"/>
  <c r="AU41" i="2" s="1"/>
  <c r="G29" i="2"/>
  <c r="G70" i="2"/>
  <c r="BA11" i="2"/>
  <c r="AX23" i="2"/>
  <c r="AY34" i="2"/>
  <c r="M28" i="2"/>
  <c r="M41" i="2"/>
  <c r="O28" i="2"/>
  <c r="O41" i="2"/>
  <c r="K28" i="2"/>
  <c r="K41" i="2"/>
  <c r="L28" i="2"/>
  <c r="L41" i="2"/>
  <c r="J28" i="2"/>
  <c r="J41" i="2"/>
  <c r="I28" i="2"/>
  <c r="I41" i="2"/>
  <c r="AX34" i="2"/>
  <c r="N24" i="2"/>
  <c r="N26" i="2" s="1"/>
  <c r="R24" i="2"/>
  <c r="R26" i="2" s="1"/>
  <c r="R41" i="2" s="1"/>
  <c r="Q40" i="2" l="1"/>
  <c r="AY35" i="2"/>
  <c r="V40" i="2"/>
  <c r="V24" i="2"/>
  <c r="V26" i="2" s="1"/>
  <c r="U40" i="2"/>
  <c r="U24" i="2"/>
  <c r="U26" i="2" s="1"/>
  <c r="T40" i="2"/>
  <c r="T26" i="2"/>
  <c r="S41" i="2"/>
  <c r="BA10" i="2"/>
  <c r="AW42" i="2"/>
  <c r="BB9" i="2"/>
  <c r="AW19" i="2"/>
  <c r="AW40" i="2" s="1"/>
  <c r="AV41" i="2"/>
  <c r="J29" i="2"/>
  <c r="J70" i="2"/>
  <c r="L29" i="2"/>
  <c r="L70" i="2"/>
  <c r="M29" i="2"/>
  <c r="M70" i="2"/>
  <c r="I29" i="2"/>
  <c r="I70" i="2"/>
  <c r="K29" i="2"/>
  <c r="K70" i="2"/>
  <c r="O29" i="2"/>
  <c r="O70" i="2"/>
  <c r="AY39" i="2"/>
  <c r="AY36" i="2"/>
  <c r="AU28" i="2"/>
  <c r="AU29" i="2" s="1"/>
  <c r="AZ36" i="2"/>
  <c r="BA14" i="2"/>
  <c r="AY23" i="2"/>
  <c r="BA13" i="2"/>
  <c r="AZ35" i="2"/>
  <c r="BB11" i="2"/>
  <c r="AX16" i="2"/>
  <c r="AX102" i="2" s="1"/>
  <c r="AX36" i="2"/>
  <c r="N28" i="2"/>
  <c r="N41" i="2"/>
  <c r="Q28" i="2"/>
  <c r="Q70" i="2" s="1"/>
  <c r="AX19" i="2" l="1"/>
  <c r="AX17" i="2" s="1"/>
  <c r="AX43" i="2"/>
  <c r="AY40" i="2"/>
  <c r="AY17" i="2"/>
  <c r="AY43" i="2"/>
  <c r="AZ39" i="2"/>
  <c r="V41" i="2"/>
  <c r="U41" i="2"/>
  <c r="U28" i="2"/>
  <c r="T41" i="2"/>
  <c r="T28" i="2"/>
  <c r="S28" i="2"/>
  <c r="AW24" i="2"/>
  <c r="AW26" i="2" s="1"/>
  <c r="AZ16" i="2"/>
  <c r="AZ42" i="2" s="1"/>
  <c r="AY42" i="2"/>
  <c r="BC9" i="2"/>
  <c r="AY32" i="2"/>
  <c r="N29" i="2"/>
  <c r="N70" i="2"/>
  <c r="BA15" i="2"/>
  <c r="AY24" i="2"/>
  <c r="BC11" i="2"/>
  <c r="BA34" i="2"/>
  <c r="BB14" i="2"/>
  <c r="BC14" i="2" s="1"/>
  <c r="BD14" i="2" s="1"/>
  <c r="BE14" i="2" s="1"/>
  <c r="BF14" i="2" s="1"/>
  <c r="BB10" i="2"/>
  <c r="BC10" i="2" s="1"/>
  <c r="BD10" i="2" s="1"/>
  <c r="BE10" i="2" s="1"/>
  <c r="BF10" i="2" s="1"/>
  <c r="BA39" i="2"/>
  <c r="BA35" i="2"/>
  <c r="BB13" i="2"/>
  <c r="Q29" i="2"/>
  <c r="BA20" i="2"/>
  <c r="AZ23" i="2"/>
  <c r="AW27" i="2"/>
  <c r="Q41" i="2"/>
  <c r="AX32" i="2"/>
  <c r="AX42" i="2"/>
  <c r="R28" i="2"/>
  <c r="BG10" i="2" l="1"/>
  <c r="BF39" i="2"/>
  <c r="BG14" i="2"/>
  <c r="BF34" i="2"/>
  <c r="AZ40" i="2"/>
  <c r="AZ43" i="2"/>
  <c r="V28" i="2"/>
  <c r="U29" i="2"/>
  <c r="U70" i="2"/>
  <c r="S29" i="2"/>
  <c r="S70" i="2"/>
  <c r="T29" i="2"/>
  <c r="T70" i="2"/>
  <c r="AW41" i="2"/>
  <c r="BA16" i="2"/>
  <c r="BD9" i="2"/>
  <c r="R29" i="2"/>
  <c r="R70" i="2"/>
  <c r="AW70" i="2" s="1"/>
  <c r="BA36" i="2"/>
  <c r="AZ32" i="2"/>
  <c r="AX25" i="2"/>
  <c r="BB20" i="2"/>
  <c r="BA23" i="2"/>
  <c r="AW28" i="2"/>
  <c r="AW29" i="2" s="1"/>
  <c r="BB35" i="2"/>
  <c r="BC13" i="2"/>
  <c r="BB34" i="2"/>
  <c r="BB15" i="2"/>
  <c r="BB16" i="2" s="1"/>
  <c r="BB39" i="2"/>
  <c r="BD11" i="2"/>
  <c r="AX24" i="2"/>
  <c r="AX40" i="2"/>
  <c r="BH14" i="2" l="1"/>
  <c r="BG34" i="2"/>
  <c r="BH10" i="2"/>
  <c r="BG39" i="2"/>
  <c r="BA19" i="2"/>
  <c r="BA40" i="2" s="1"/>
  <c r="BA43" i="2"/>
  <c r="BB19" i="2"/>
  <c r="BB43" i="2"/>
  <c r="V29" i="2"/>
  <c r="V70" i="2"/>
  <c r="AX70" i="2" s="1"/>
  <c r="BC15" i="2"/>
  <c r="BC16" i="2" s="1"/>
  <c r="BA32" i="2"/>
  <c r="BA42" i="2"/>
  <c r="BE9" i="2"/>
  <c r="BF9" i="2" s="1"/>
  <c r="BG9" i="2" s="1"/>
  <c r="BH9" i="2" s="1"/>
  <c r="BI9" i="2" s="1"/>
  <c r="BJ9" i="2" s="1"/>
  <c r="AZ24" i="2"/>
  <c r="AZ17" i="2"/>
  <c r="AX26" i="2"/>
  <c r="AX27" i="2" s="1"/>
  <c r="AX41" i="2" s="1"/>
  <c r="BC39" i="2"/>
  <c r="BE11" i="2"/>
  <c r="BF11" i="2" s="1"/>
  <c r="BB36" i="2"/>
  <c r="BD13" i="2"/>
  <c r="BC35" i="2"/>
  <c r="BC20" i="2"/>
  <c r="BD20" i="2" s="1"/>
  <c r="BE20" i="2" s="1"/>
  <c r="BF20" i="2" s="1"/>
  <c r="BB23" i="2"/>
  <c r="BC34" i="2"/>
  <c r="BC36" i="2" l="1"/>
  <c r="BA24" i="2"/>
  <c r="BA17" i="2"/>
  <c r="BG11" i="2"/>
  <c r="BG20" i="2"/>
  <c r="BF23" i="2"/>
  <c r="BI10" i="2"/>
  <c r="BH39" i="2"/>
  <c r="BI14" i="2"/>
  <c r="BH34" i="2"/>
  <c r="BC19" i="2"/>
  <c r="BC40" i="2" s="1"/>
  <c r="BC43" i="2"/>
  <c r="BD34" i="2"/>
  <c r="BE34" i="2"/>
  <c r="BB40" i="2"/>
  <c r="BB32" i="2"/>
  <c r="BB42" i="2"/>
  <c r="BB24" i="2"/>
  <c r="BC23" i="2"/>
  <c r="BE13" i="2"/>
  <c r="BD35" i="2"/>
  <c r="BD15" i="2"/>
  <c r="BD16" i="2" s="1"/>
  <c r="BC32" i="2"/>
  <c r="BC42" i="2"/>
  <c r="BE39" i="2"/>
  <c r="BD39" i="2"/>
  <c r="AX28" i="2"/>
  <c r="BE35" i="2" l="1"/>
  <c r="BF13" i="2"/>
  <c r="BJ10" i="2"/>
  <c r="BJ39" i="2" s="1"/>
  <c r="BI39" i="2"/>
  <c r="BJ14" i="2"/>
  <c r="BI34" i="2"/>
  <c r="BH20" i="2"/>
  <c r="BG23" i="2"/>
  <c r="BH11" i="2"/>
  <c r="BD19" i="2"/>
  <c r="BD43" i="2"/>
  <c r="BB17" i="2"/>
  <c r="BC17" i="2"/>
  <c r="BE15" i="2"/>
  <c r="BE16" i="2" s="1"/>
  <c r="BD36" i="2"/>
  <c r="BE23" i="2"/>
  <c r="BD23" i="2"/>
  <c r="BC24" i="2"/>
  <c r="AX29" i="2"/>
  <c r="BE36" i="2" l="1"/>
  <c r="BI11" i="2"/>
  <c r="BI20" i="2"/>
  <c r="BH23" i="2"/>
  <c r="BJ34" i="2"/>
  <c r="BG13" i="2"/>
  <c r="BF35" i="2"/>
  <c r="BF15" i="2"/>
  <c r="BE19" i="2"/>
  <c r="BE40" i="2" s="1"/>
  <c r="BE43" i="2"/>
  <c r="BE42" i="2"/>
  <c r="BE32" i="2"/>
  <c r="BD40" i="2"/>
  <c r="BD42" i="2"/>
  <c r="BD32" i="2"/>
  <c r="AY26" i="2"/>
  <c r="BF16" i="2" l="1"/>
  <c r="BF36" i="2"/>
  <c r="BH13" i="2"/>
  <c r="BG35" i="2"/>
  <c r="BG15" i="2"/>
  <c r="BJ20" i="2"/>
  <c r="BJ23" i="2" s="1"/>
  <c r="BI23" i="2"/>
  <c r="BJ11" i="2"/>
  <c r="BE24" i="2"/>
  <c r="BD24" i="2"/>
  <c r="BD17" i="2"/>
  <c r="BE17" i="2"/>
  <c r="AY41" i="2"/>
  <c r="BG16" i="2" l="1"/>
  <c r="BG36" i="2"/>
  <c r="BI13" i="2"/>
  <c r="BH35" i="2"/>
  <c r="BH15" i="2"/>
  <c r="BF19" i="2"/>
  <c r="BF32" i="2"/>
  <c r="BF42" i="2"/>
  <c r="BF43" i="2"/>
  <c r="AY28" i="2"/>
  <c r="AY29" i="2" s="1"/>
  <c r="BJ13" i="2" l="1"/>
  <c r="BI35" i="2"/>
  <c r="BI15" i="2"/>
  <c r="BF40" i="2"/>
  <c r="BF24" i="2"/>
  <c r="BF17" i="2"/>
  <c r="BH16" i="2"/>
  <c r="BH36" i="2"/>
  <c r="BG32" i="2"/>
  <c r="BG19" i="2"/>
  <c r="BG42" i="2"/>
  <c r="BG43" i="2"/>
  <c r="AZ26" i="2"/>
  <c r="BG40" i="2" l="1"/>
  <c r="BG24" i="2"/>
  <c r="BG17" i="2"/>
  <c r="BI16" i="2"/>
  <c r="BI36" i="2"/>
  <c r="BH32" i="2"/>
  <c r="BH19" i="2"/>
  <c r="BH42" i="2"/>
  <c r="BH43" i="2"/>
  <c r="BJ35" i="2"/>
  <c r="BJ15" i="2"/>
  <c r="AZ41" i="2"/>
  <c r="BH40" i="2" l="1"/>
  <c r="BH24" i="2"/>
  <c r="BJ16" i="2"/>
  <c r="BJ36" i="2"/>
  <c r="BH17" i="2"/>
  <c r="BI19" i="2"/>
  <c r="BI32" i="2"/>
  <c r="BI42" i="2"/>
  <c r="BI43" i="2"/>
  <c r="AZ28" i="2"/>
  <c r="AZ29" i="2" l="1"/>
  <c r="AZ45" i="2"/>
  <c r="BA25" i="2" s="1"/>
  <c r="BA26" i="2" s="1"/>
  <c r="BI40" i="2"/>
  <c r="BI24" i="2"/>
  <c r="BI17" i="2"/>
  <c r="BJ32" i="2"/>
  <c r="BJ19" i="2"/>
  <c r="BJ42" i="2"/>
  <c r="BJ43" i="2"/>
  <c r="BJ40" i="2" l="1"/>
  <c r="BJ24" i="2"/>
  <c r="BJ17" i="2"/>
  <c r="BA27" i="2"/>
  <c r="BA41" i="2" s="1"/>
  <c r="BA28" i="2" l="1"/>
  <c r="BA45" i="2" l="1"/>
  <c r="BB25" i="2" s="1"/>
  <c r="BB26" i="2" s="1"/>
  <c r="BA29" i="2"/>
  <c r="BB27" i="2" l="1"/>
  <c r="BB41" i="2" s="1"/>
  <c r="BB28" i="2" l="1"/>
  <c r="BB29" i="2" l="1"/>
  <c r="BB45" i="2"/>
  <c r="BC25" i="2" s="1"/>
  <c r="BC26" i="2" s="1"/>
  <c r="BC27" i="2" l="1"/>
  <c r="BC41" i="2" s="1"/>
  <c r="BC28" i="2" l="1"/>
  <c r="BC29" i="2" l="1"/>
  <c r="BC45" i="2"/>
  <c r="BD25" i="2" s="1"/>
  <c r="BD26" i="2" s="1"/>
  <c r="BD27" i="2" l="1"/>
  <c r="BD41" i="2" s="1"/>
  <c r="BD28" i="2" l="1"/>
  <c r="BD29" i="2" l="1"/>
  <c r="BD45" i="2"/>
  <c r="BE25" i="2" s="1"/>
  <c r="BE26" i="2" s="1"/>
  <c r="BE27" i="2" l="1"/>
  <c r="BE41" i="2" s="1"/>
  <c r="BE28" i="2" l="1"/>
  <c r="BE45" i="2" l="1"/>
  <c r="BF25" i="2" s="1"/>
  <c r="BF26" i="2" s="1"/>
  <c r="BE29" i="2"/>
  <c r="BF27" i="2" l="1"/>
  <c r="BF41" i="2" s="1"/>
  <c r="BF28" i="2" l="1"/>
  <c r="BF29" i="2" s="1"/>
  <c r="BF45" i="2" l="1"/>
  <c r="BG25" i="2" s="1"/>
  <c r="BG26" i="2" s="1"/>
  <c r="BG27" i="2" s="1"/>
  <c r="BG28" i="2" l="1"/>
  <c r="BG29" i="2" s="1"/>
  <c r="BG41" i="2"/>
  <c r="BG45" i="2" l="1"/>
  <c r="BH25" i="2" s="1"/>
  <c r="BH26" i="2" s="1"/>
  <c r="BH27" i="2" s="1"/>
  <c r="BH28" i="2" l="1"/>
  <c r="BH29" i="2" s="1"/>
  <c r="BH41" i="2"/>
  <c r="BH45" i="2" l="1"/>
  <c r="BI25" i="2" s="1"/>
  <c r="BI26" i="2" s="1"/>
  <c r="BI27" i="2" s="1"/>
  <c r="BI28" i="2" l="1"/>
  <c r="BI29" i="2" s="1"/>
  <c r="BI41" i="2"/>
  <c r="BI45" i="2" l="1"/>
  <c r="BJ25" i="2" s="1"/>
  <c r="BJ26" i="2" s="1"/>
  <c r="BJ27" i="2" l="1"/>
  <c r="BJ41" i="2" s="1"/>
  <c r="BJ28" i="2" l="1"/>
  <c r="BJ29" i="2" s="1"/>
  <c r="BJ45" i="2" l="1"/>
  <c r="BK28" i="2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BM39" i="2" l="1"/>
  <c r="BM40" i="2" s="1"/>
  <c r="BM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  <author>tc={B77F9B6D-5145-4ED4-BC37-5F249706B128}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  <comment ref="AZ81" authorId="10" shapeId="0" xr:uid="{B77F9B6D-5145-4ED4-BC37-5F249706B128}">
      <text>
        <t>[Threaded comment]
Your version of Excel allows you to read this threaded comment; however, any edits to it will get removed if the file is opened in a newer version of Excel. Learn more: https://go.microsoft.com/fwlink/?linkid=870924
Comment:
    Q2 call: increased from 75B to 85B</t>
      </text>
    </comment>
  </commentList>
</comments>
</file>

<file path=xl/sharedStrings.xml><?xml version="1.0" encoding="utf-8"?>
<sst xmlns="http://schemas.openxmlformats.org/spreadsheetml/2006/main" count="299" uniqueCount="270">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</sst>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22241</xdr:colOff>
      <xdr:row>0</xdr:row>
      <xdr:rowOff>0</xdr:rowOff>
    </xdr:from>
    <xdr:to>
      <xdr:col>28</xdr:col>
      <xdr:colOff>22241</xdr:colOff>
      <xdr:row>118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7167241" y="0"/>
          <a:ext cx="0" cy="19713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32230</xdr:colOff>
      <xdr:row>0</xdr:row>
      <xdr:rowOff>8759</xdr:rowOff>
    </xdr:from>
    <xdr:to>
      <xdr:col>51</xdr:col>
      <xdr:colOff>32230</xdr:colOff>
      <xdr:row>118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  <threadedComment ref="AZ81" dT="2025-08-27T14:29:45.98" personId="{93A3133D-971F-4E59-B338-0D905228406B}" id="{B77F9B6D-5145-4ED4-BC37-5F249706B128}">
    <text>Q2 call: increased from 75B to 85B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L3" sqref="L3"/>
    </sheetView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9.453125" customWidth="1"/>
  </cols>
  <sheetData>
    <row r="1" spans="2:13" ht="13" x14ac:dyDescent="0.3">
      <c r="K1" s="7"/>
    </row>
    <row r="2" spans="2:13" x14ac:dyDescent="0.25">
      <c r="B2" t="s">
        <v>208</v>
      </c>
      <c r="K2" t="s">
        <v>0</v>
      </c>
      <c r="L2" s="1">
        <v>195</v>
      </c>
    </row>
    <row r="3" spans="2:13" x14ac:dyDescent="0.25">
      <c r="C3" t="s">
        <v>209</v>
      </c>
      <c r="H3" s="4"/>
      <c r="I3" s="3"/>
      <c r="K3" t="s">
        <v>1</v>
      </c>
      <c r="L3" s="3">
        <v>12291</v>
      </c>
      <c r="M3" s="2" t="s">
        <v>234</v>
      </c>
    </row>
    <row r="4" spans="2:13" x14ac:dyDescent="0.25">
      <c r="C4" t="s">
        <v>216</v>
      </c>
      <c r="D4" t="s">
        <v>217</v>
      </c>
      <c r="H4" s="4"/>
      <c r="K4" t="s">
        <v>2</v>
      </c>
      <c r="L4" s="3">
        <f>L2*L3</f>
        <v>2396745</v>
      </c>
    </row>
    <row r="5" spans="2:13" x14ac:dyDescent="0.25">
      <c r="C5" t="s">
        <v>213</v>
      </c>
      <c r="D5" t="s">
        <v>214</v>
      </c>
      <c r="H5" s="6"/>
      <c r="K5" t="s">
        <v>3</v>
      </c>
      <c r="L5" s="3">
        <v>146357</v>
      </c>
      <c r="M5" s="2" t="s">
        <v>234</v>
      </c>
    </row>
    <row r="6" spans="2:13" x14ac:dyDescent="0.25">
      <c r="C6" t="s">
        <v>210</v>
      </c>
      <c r="D6" t="s">
        <v>215</v>
      </c>
      <c r="K6" t="s">
        <v>4</v>
      </c>
      <c r="L6" s="3">
        <v>10886</v>
      </c>
      <c r="M6" s="2" t="s">
        <v>234</v>
      </c>
    </row>
    <row r="7" spans="2:13" x14ac:dyDescent="0.25">
      <c r="C7" t="s">
        <v>211</v>
      </c>
      <c r="K7" t="s">
        <v>5</v>
      </c>
      <c r="L7" s="3">
        <f>L4-L5+L6</f>
        <v>2261274</v>
      </c>
    </row>
    <row r="8" spans="2:13" ht="13" x14ac:dyDescent="0.3">
      <c r="D8" t="s">
        <v>212</v>
      </c>
      <c r="K8" s="7"/>
    </row>
    <row r="9" spans="2:13" ht="13" x14ac:dyDescent="0.3">
      <c r="C9" t="s">
        <v>238</v>
      </c>
      <c r="K9" s="7" t="s">
        <v>25</v>
      </c>
      <c r="L9" s="13">
        <v>1998</v>
      </c>
    </row>
    <row r="10" spans="2:13" x14ac:dyDescent="0.25">
      <c r="B10" t="s">
        <v>218</v>
      </c>
      <c r="L10" s="3"/>
    </row>
    <row r="11" spans="2:13" ht="13" x14ac:dyDescent="0.3">
      <c r="C11" t="s">
        <v>219</v>
      </c>
      <c r="D11" t="s">
        <v>220</v>
      </c>
      <c r="K11" s="8"/>
    </row>
    <row r="12" spans="2:13" x14ac:dyDescent="0.25">
      <c r="C12" t="s">
        <v>223</v>
      </c>
      <c r="K12" t="s">
        <v>101</v>
      </c>
      <c r="L12" s="19" t="s">
        <v>102</v>
      </c>
    </row>
    <row r="13" spans="2:13" x14ac:dyDescent="0.25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5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5">
      <c r="C15" t="s">
        <v>242</v>
      </c>
      <c r="K15" t="s">
        <v>107</v>
      </c>
      <c r="L15" s="19" t="s">
        <v>108</v>
      </c>
    </row>
    <row r="16" spans="2:13" x14ac:dyDescent="0.25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5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5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5">
      <c r="C19" t="s">
        <v>250</v>
      </c>
      <c r="K19" t="s">
        <v>114</v>
      </c>
      <c r="L19" s="19" t="s">
        <v>115</v>
      </c>
    </row>
    <row r="20" spans="2:14" x14ac:dyDescent="0.25">
      <c r="K20" t="s">
        <v>116</v>
      </c>
      <c r="L20" s="19" t="s">
        <v>117</v>
      </c>
    </row>
    <row r="21" spans="2:14" x14ac:dyDescent="0.25">
      <c r="B21" t="s">
        <v>44</v>
      </c>
      <c r="K21" t="s">
        <v>118</v>
      </c>
      <c r="L21" s="19" t="s">
        <v>119</v>
      </c>
    </row>
    <row r="22" spans="2:14" x14ac:dyDescent="0.25">
      <c r="C22" t="s">
        <v>254</v>
      </c>
      <c r="K22" t="s">
        <v>120</v>
      </c>
      <c r="L22" s="19"/>
    </row>
    <row r="23" spans="2:14" x14ac:dyDescent="0.25">
      <c r="C23" t="s">
        <v>258</v>
      </c>
    </row>
    <row r="24" spans="2:14" x14ac:dyDescent="0.25">
      <c r="C24" t="s">
        <v>259</v>
      </c>
    </row>
    <row r="25" spans="2:14" x14ac:dyDescent="0.25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5">
      <c r="B26" t="s">
        <v>222</v>
      </c>
      <c r="K26" t="s">
        <v>171</v>
      </c>
      <c r="L26" t="s">
        <v>170</v>
      </c>
      <c r="M26" t="s">
        <v>172</v>
      </c>
    </row>
    <row r="27" spans="2:14" x14ac:dyDescent="0.25">
      <c r="B27" t="s">
        <v>227</v>
      </c>
      <c r="K27" t="s">
        <v>167</v>
      </c>
      <c r="L27" t="s">
        <v>168</v>
      </c>
      <c r="M27" t="s">
        <v>169</v>
      </c>
    </row>
    <row r="28" spans="2:14" x14ac:dyDescent="0.25">
      <c r="B28" t="s">
        <v>39</v>
      </c>
      <c r="K28" t="s">
        <v>165</v>
      </c>
      <c r="L28" t="s">
        <v>166</v>
      </c>
      <c r="M28" t="s">
        <v>153</v>
      </c>
    </row>
    <row r="29" spans="2:14" x14ac:dyDescent="0.25">
      <c r="C29" t="s">
        <v>261</v>
      </c>
      <c r="K29" t="s">
        <v>162</v>
      </c>
      <c r="L29" t="s">
        <v>163</v>
      </c>
      <c r="M29" t="s">
        <v>164</v>
      </c>
    </row>
    <row r="30" spans="2:14" x14ac:dyDescent="0.25">
      <c r="C30" t="s">
        <v>262</v>
      </c>
      <c r="K30" t="s">
        <v>115</v>
      </c>
      <c r="L30" t="s">
        <v>161</v>
      </c>
      <c r="M30" t="s">
        <v>145</v>
      </c>
    </row>
    <row r="31" spans="2:14" x14ac:dyDescent="0.25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5">
      <c r="C32" t="s">
        <v>253</v>
      </c>
      <c r="K32" t="s">
        <v>157</v>
      </c>
      <c r="L32" t="s">
        <v>158</v>
      </c>
      <c r="M32" t="s">
        <v>145</v>
      </c>
    </row>
    <row r="33" spans="2:14" x14ac:dyDescent="0.25">
      <c r="B33" t="s">
        <v>252</v>
      </c>
      <c r="K33" t="s">
        <v>154</v>
      </c>
      <c r="L33" t="s">
        <v>155</v>
      </c>
      <c r="M33" t="s">
        <v>156</v>
      </c>
    </row>
    <row r="34" spans="2:14" x14ac:dyDescent="0.25">
      <c r="B34" t="s">
        <v>255</v>
      </c>
      <c r="K34" t="s">
        <v>152</v>
      </c>
      <c r="L34" t="s">
        <v>151</v>
      </c>
      <c r="M34" t="s">
        <v>153</v>
      </c>
    </row>
    <row r="35" spans="2:14" x14ac:dyDescent="0.25">
      <c r="B35" t="s">
        <v>257</v>
      </c>
      <c r="K35" t="s">
        <v>148</v>
      </c>
      <c r="L35" t="s">
        <v>149</v>
      </c>
      <c r="M35" t="s">
        <v>150</v>
      </c>
    </row>
    <row r="36" spans="2:14" x14ac:dyDescent="0.25">
      <c r="B36" t="s">
        <v>260</v>
      </c>
      <c r="K36" t="s">
        <v>146</v>
      </c>
      <c r="L36" t="s">
        <v>147</v>
      </c>
      <c r="M36" t="s">
        <v>137</v>
      </c>
    </row>
    <row r="37" spans="2:14" x14ac:dyDescent="0.25">
      <c r="K37" t="s">
        <v>143</v>
      </c>
      <c r="L37" t="s">
        <v>144</v>
      </c>
      <c r="M37" t="s">
        <v>145</v>
      </c>
    </row>
    <row r="38" spans="2:14" ht="13" x14ac:dyDescent="0.3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5">
      <c r="K39" t="s">
        <v>140</v>
      </c>
      <c r="L39" t="s">
        <v>141</v>
      </c>
      <c r="M39" t="s">
        <v>142</v>
      </c>
    </row>
    <row r="40" spans="2:14" x14ac:dyDescent="0.25">
      <c r="K40" t="s">
        <v>138</v>
      </c>
      <c r="L40" t="s">
        <v>139</v>
      </c>
      <c r="M40" t="s">
        <v>137</v>
      </c>
    </row>
    <row r="41" spans="2:14" x14ac:dyDescent="0.25">
      <c r="K41" t="s">
        <v>134</v>
      </c>
      <c r="L41" t="s">
        <v>135</v>
      </c>
      <c r="M41" t="s">
        <v>137</v>
      </c>
      <c r="N41" t="s">
        <v>136</v>
      </c>
    </row>
    <row r="42" spans="2:14" x14ac:dyDescent="0.25">
      <c r="K42" t="s">
        <v>130</v>
      </c>
      <c r="L42" t="s">
        <v>131</v>
      </c>
      <c r="M42" t="s">
        <v>133</v>
      </c>
      <c r="N42" t="s">
        <v>132</v>
      </c>
    </row>
    <row r="43" spans="2:14" ht="13" x14ac:dyDescent="0.3">
      <c r="K43" s="7" t="s">
        <v>127</v>
      </c>
      <c r="L43" t="s">
        <v>124</v>
      </c>
      <c r="M43" t="s">
        <v>129</v>
      </c>
    </row>
    <row r="44" spans="2:14" ht="13" x14ac:dyDescent="0.3">
      <c r="K44" s="7" t="s">
        <v>123</v>
      </c>
      <c r="L44" t="s">
        <v>122</v>
      </c>
      <c r="N44" t="s">
        <v>232</v>
      </c>
    </row>
    <row r="45" spans="2:14" ht="13" x14ac:dyDescent="0.3">
      <c r="K45" s="7" t="s">
        <v>121</v>
      </c>
      <c r="L45" t="s">
        <v>128</v>
      </c>
    </row>
    <row r="46" spans="2:14" x14ac:dyDescent="0.25">
      <c r="K46" t="s">
        <v>176</v>
      </c>
    </row>
    <row r="47" spans="2:14" ht="13" x14ac:dyDescent="0.3">
      <c r="K47" s="7" t="s">
        <v>177</v>
      </c>
    </row>
    <row r="48" spans="2:14" x14ac:dyDescent="0.25">
      <c r="K48" t="s">
        <v>178</v>
      </c>
      <c r="L48" t="s">
        <v>179</v>
      </c>
    </row>
    <row r="49" spans="11:11" x14ac:dyDescent="0.25">
      <c r="K49" t="s">
        <v>180</v>
      </c>
    </row>
    <row r="50" spans="11:11" x14ac:dyDescent="0.25">
      <c r="K50" t="s">
        <v>181</v>
      </c>
    </row>
    <row r="51" spans="11:11" x14ac:dyDescent="0.25">
      <c r="K51" t="s">
        <v>182</v>
      </c>
    </row>
    <row r="52" spans="11:11" ht="13" x14ac:dyDescent="0.3">
      <c r="K52" s="7" t="s">
        <v>183</v>
      </c>
    </row>
    <row r="53" spans="11:11" x14ac:dyDescent="0.25">
      <c r="K53" t="s">
        <v>184</v>
      </c>
    </row>
    <row r="54" spans="11:11" x14ac:dyDescent="0.25">
      <c r="K54" t="s">
        <v>185</v>
      </c>
    </row>
    <row r="55" spans="11:11" x14ac:dyDescent="0.25">
      <c r="K55" t="s">
        <v>186</v>
      </c>
    </row>
    <row r="56" spans="11:11" x14ac:dyDescent="0.25">
      <c r="K56" t="s">
        <v>187</v>
      </c>
    </row>
    <row r="57" spans="11:11" ht="13" x14ac:dyDescent="0.3">
      <c r="K57" s="7" t="s">
        <v>188</v>
      </c>
    </row>
    <row r="58" spans="11:11" x14ac:dyDescent="0.25">
      <c r="K58" t="s">
        <v>189</v>
      </c>
    </row>
    <row r="59" spans="11:11" x14ac:dyDescent="0.25">
      <c r="K59" t="s">
        <v>190</v>
      </c>
    </row>
    <row r="60" spans="11:11" x14ac:dyDescent="0.25">
      <c r="K60" t="s">
        <v>191</v>
      </c>
    </row>
    <row r="61" spans="11:11" x14ac:dyDescent="0.25">
      <c r="K61" t="s">
        <v>192</v>
      </c>
    </row>
    <row r="62" spans="11:11" x14ac:dyDescent="0.25">
      <c r="K62" t="s">
        <v>193</v>
      </c>
    </row>
    <row r="63" spans="11:11" x14ac:dyDescent="0.25">
      <c r="K63" t="s">
        <v>194</v>
      </c>
    </row>
    <row r="64" spans="11:11" x14ac:dyDescent="0.25">
      <c r="K64" t="s">
        <v>195</v>
      </c>
    </row>
    <row r="65" spans="11:11" x14ac:dyDescent="0.25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J109"/>
  <sheetViews>
    <sheetView tabSelected="1" zoomScale="145" zoomScaleNormal="145" workbookViewId="0">
      <pane xSplit="2" ySplit="2" topLeftCell="V73" activePane="bottomRight" state="frozen"/>
      <selection pane="topRight" activeCell="C1" sqref="C1"/>
      <selection pane="bottomLeft" activeCell="A4" sqref="A4"/>
      <selection pane="bottomRight" activeCell="AD81" sqref="AA81:AD81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27" max="27" width="8.26953125" style="2" customWidth="1"/>
    <col min="28" max="35" width="8.81640625" style="2"/>
    <col min="49" max="49" width="9.1796875" customWidth="1"/>
    <col min="56" max="57" width="9.26953125" customWidth="1"/>
    <col min="58" max="62" width="9.453125" customWidth="1"/>
    <col min="65" max="65" width="10.54296875" customWidth="1"/>
  </cols>
  <sheetData>
    <row r="1" spans="1:62" x14ac:dyDescent="0.25">
      <c r="A1" s="12" t="s">
        <v>7</v>
      </c>
    </row>
    <row r="2" spans="1:62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E2" s="2" t="s">
        <v>266</v>
      </c>
      <c r="AF2" s="2" t="s">
        <v>267</v>
      </c>
      <c r="AG2" s="2" t="s">
        <v>268</v>
      </c>
      <c r="AH2" s="2" t="s">
        <v>269</v>
      </c>
      <c r="AK2">
        <v>2010</v>
      </c>
      <c r="AL2">
        <v>2011</v>
      </c>
      <c r="AM2">
        <v>2012</v>
      </c>
      <c r="AN2">
        <v>2013</v>
      </c>
      <c r="AO2">
        <v>2014</v>
      </c>
      <c r="AP2">
        <v>2015</v>
      </c>
      <c r="AQ2">
        <v>2016</v>
      </c>
      <c r="AR2">
        <v>2017</v>
      </c>
      <c r="AS2">
        <v>2018</v>
      </c>
      <c r="AT2">
        <v>2019</v>
      </c>
      <c r="AU2">
        <v>2020</v>
      </c>
      <c r="AV2">
        <v>2021</v>
      </c>
      <c r="AW2">
        <f>AV2+1</f>
        <v>2022</v>
      </c>
      <c r="AX2">
        <f t="shared" ref="AX2:BJ2" si="0">AW2+1</f>
        <v>2023</v>
      </c>
      <c r="AY2">
        <f t="shared" si="0"/>
        <v>2024</v>
      </c>
      <c r="AZ2">
        <f t="shared" si="0"/>
        <v>2025</v>
      </c>
      <c r="BA2">
        <f t="shared" si="0"/>
        <v>2026</v>
      </c>
      <c r="BB2">
        <f t="shared" si="0"/>
        <v>2027</v>
      </c>
      <c r="BC2">
        <f t="shared" si="0"/>
        <v>2028</v>
      </c>
      <c r="BD2">
        <f t="shared" si="0"/>
        <v>2029</v>
      </c>
      <c r="BE2">
        <f t="shared" si="0"/>
        <v>2030</v>
      </c>
      <c r="BF2">
        <f t="shared" si="0"/>
        <v>2031</v>
      </c>
      <c r="BG2">
        <f t="shared" si="0"/>
        <v>2032</v>
      </c>
      <c r="BH2">
        <f t="shared" si="0"/>
        <v>2033</v>
      </c>
      <c r="BI2">
        <f t="shared" si="0"/>
        <v>2034</v>
      </c>
      <c r="BJ2">
        <f t="shared" si="0"/>
        <v>2035</v>
      </c>
    </row>
    <row r="3" spans="1:62" s="3" customFormat="1" x14ac:dyDescent="0.25">
      <c r="B3" s="3" t="s">
        <v>197</v>
      </c>
      <c r="C3" s="11"/>
      <c r="D3" s="11"/>
      <c r="E3" s="11"/>
      <c r="F3" s="11"/>
      <c r="G3" s="11"/>
      <c r="H3" s="11"/>
      <c r="I3" s="11"/>
      <c r="J3" s="11"/>
      <c r="K3" s="11">
        <v>25032</v>
      </c>
      <c r="L3" s="11"/>
      <c r="M3" s="11"/>
      <c r="N3" s="11"/>
      <c r="O3" s="11">
        <v>31733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>
        <v>43964</v>
      </c>
      <c r="AB3" s="11">
        <v>46063</v>
      </c>
      <c r="AC3" s="11"/>
      <c r="AD3" s="11"/>
      <c r="AE3" s="11"/>
      <c r="AF3" s="11"/>
      <c r="AG3" s="11"/>
      <c r="AH3" s="11"/>
      <c r="AI3" s="11"/>
      <c r="AX3" s="3">
        <f>SUM(S3:V3)</f>
        <v>146286</v>
      </c>
      <c r="AY3" s="3">
        <f>SUM(W3:Z3)</f>
        <v>170447</v>
      </c>
    </row>
    <row r="4" spans="1:62" s="3" customFormat="1" x14ac:dyDescent="0.25">
      <c r="B4" s="3" t="s">
        <v>198</v>
      </c>
      <c r="C4" s="11"/>
      <c r="D4" s="11"/>
      <c r="E4" s="11"/>
      <c r="F4" s="11"/>
      <c r="G4" s="11"/>
      <c r="H4" s="11"/>
      <c r="I4" s="11"/>
      <c r="J4" s="11"/>
      <c r="K4" s="11">
        <v>17031</v>
      </c>
      <c r="L4" s="11"/>
      <c r="M4" s="11"/>
      <c r="N4" s="11"/>
      <c r="O4" s="11">
        <v>20317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>
        <v>25923</v>
      </c>
      <c r="AB4" s="11">
        <v>28262</v>
      </c>
      <c r="AC4" s="11"/>
      <c r="AD4" s="11"/>
      <c r="AE4" s="11"/>
      <c r="AF4" s="11"/>
      <c r="AG4" s="11"/>
      <c r="AH4" s="11"/>
      <c r="AI4" s="11"/>
      <c r="AX4" s="3">
        <f>SUM(S4:V4)</f>
        <v>91038</v>
      </c>
      <c r="AY4" s="3">
        <f>SUM(W4:Z4)</f>
        <v>102127</v>
      </c>
    </row>
    <row r="5" spans="1:62" s="3" customFormat="1" x14ac:dyDescent="0.25">
      <c r="B5" s="3" t="s">
        <v>199</v>
      </c>
      <c r="C5" s="11"/>
      <c r="D5" s="11"/>
      <c r="E5" s="11"/>
      <c r="F5" s="11"/>
      <c r="G5" s="11"/>
      <c r="H5" s="11"/>
      <c r="I5" s="11"/>
      <c r="J5" s="11"/>
      <c r="K5" s="11">
        <v>10455</v>
      </c>
      <c r="L5" s="11"/>
      <c r="M5" s="11"/>
      <c r="N5" s="11"/>
      <c r="O5" s="11">
        <v>11841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>
        <v>14854</v>
      </c>
      <c r="AB5" s="11">
        <v>16480</v>
      </c>
      <c r="AC5" s="11"/>
      <c r="AD5" s="11"/>
      <c r="AE5" s="11"/>
      <c r="AF5" s="11"/>
      <c r="AG5" s="11"/>
      <c r="AH5" s="11"/>
      <c r="AI5" s="11"/>
      <c r="AX5" s="3">
        <f>SUM(S5:V5)</f>
        <v>51514</v>
      </c>
      <c r="AY5" s="3">
        <f>SUM(W5:Z5)</f>
        <v>56815</v>
      </c>
    </row>
    <row r="6" spans="1:62" s="3" customFormat="1" x14ac:dyDescent="0.25">
      <c r="B6" s="3" t="s">
        <v>200</v>
      </c>
      <c r="C6" s="11"/>
      <c r="D6" s="11"/>
      <c r="E6" s="11"/>
      <c r="F6" s="11"/>
      <c r="G6" s="11"/>
      <c r="H6" s="11"/>
      <c r="I6" s="11"/>
      <c r="J6" s="11"/>
      <c r="K6" s="11">
        <v>2905</v>
      </c>
      <c r="L6" s="11"/>
      <c r="M6" s="11"/>
      <c r="N6" s="11"/>
      <c r="O6" s="11">
        <v>3842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>
        <v>5233</v>
      </c>
      <c r="AB6" s="11">
        <v>5735</v>
      </c>
      <c r="AC6" s="11"/>
      <c r="AD6" s="11"/>
      <c r="AE6" s="11"/>
      <c r="AF6" s="11"/>
      <c r="AG6" s="11"/>
      <c r="AH6" s="11"/>
      <c r="AI6" s="11"/>
      <c r="AX6" s="3">
        <f>SUM(S6:V6)</f>
        <v>18320</v>
      </c>
      <c r="AY6" s="3">
        <f>SUM(W6:Z6)</f>
        <v>20418</v>
      </c>
    </row>
    <row r="8" spans="1:62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260</v>
      </c>
      <c r="AB8" s="11">
        <v>-112</v>
      </c>
      <c r="AC8" s="11"/>
      <c r="AD8" s="11"/>
      <c r="AE8" s="11"/>
      <c r="AF8" s="11"/>
      <c r="AG8" s="11"/>
      <c r="AH8" s="11"/>
      <c r="AI8" s="11"/>
      <c r="AR8" s="3">
        <v>-169</v>
      </c>
      <c r="AS8" s="3">
        <v>-138</v>
      </c>
      <c r="AT8" s="3">
        <v>455</v>
      </c>
      <c r="AU8" s="3">
        <f t="shared" ref="AU8:AU14" si="1">SUM(G8:J8)</f>
        <v>176</v>
      </c>
      <c r="AV8" s="3">
        <f t="shared" ref="AV8:AV11" si="2">SUM(K8:N8)</f>
        <v>149</v>
      </c>
      <c r="AW8" s="3">
        <f t="shared" ref="AW8:AW14" si="3">SUM(O8:R8)</f>
        <v>1960</v>
      </c>
      <c r="AX8" s="3">
        <f t="shared" ref="AX8:AX15" si="4">SUM(S8:V8)</f>
        <v>236</v>
      </c>
      <c r="AY8" s="3">
        <f t="shared" ref="AY8:AY15" si="5">SUM(W8:Z8)</f>
        <v>211</v>
      </c>
    </row>
    <row r="9" spans="1:62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v>373</v>
      </c>
      <c r="AC9" s="11">
        <f>+Y9</f>
        <v>388</v>
      </c>
      <c r="AD9" s="11">
        <f>+Z9</f>
        <v>400</v>
      </c>
      <c r="AE9" s="11"/>
      <c r="AF9" s="11"/>
      <c r="AG9" s="11"/>
      <c r="AH9" s="11"/>
      <c r="AI9" s="11"/>
      <c r="AR9" s="3">
        <v>477</v>
      </c>
      <c r="AS9" s="3">
        <v>595</v>
      </c>
      <c r="AT9" s="3">
        <v>659</v>
      </c>
      <c r="AU9" s="3">
        <f t="shared" si="1"/>
        <v>657</v>
      </c>
      <c r="AV9" s="3">
        <f t="shared" si="2"/>
        <v>753</v>
      </c>
      <c r="AW9" s="3">
        <f>SUM(O9:R9)</f>
        <v>1068</v>
      </c>
      <c r="AX9" s="3">
        <f t="shared" si="4"/>
        <v>1527</v>
      </c>
      <c r="AY9" s="3">
        <f t="shared" si="5"/>
        <v>1648</v>
      </c>
      <c r="AZ9" s="3">
        <f>SUM(AA9:AD9)</f>
        <v>1611</v>
      </c>
      <c r="BA9" s="3">
        <f t="shared" ref="BA9:BE9" si="6">+AZ9*1.01</f>
        <v>1627.1100000000001</v>
      </c>
      <c r="BB9" s="3">
        <f t="shared" si="6"/>
        <v>1643.3811000000001</v>
      </c>
      <c r="BC9" s="3">
        <f t="shared" si="6"/>
        <v>1659.8149110000002</v>
      </c>
      <c r="BD9" s="3">
        <f t="shared" si="6"/>
        <v>1676.4130601100003</v>
      </c>
      <c r="BE9" s="3">
        <f t="shared" si="6"/>
        <v>1693.1771907111004</v>
      </c>
      <c r="BF9" s="3">
        <f t="shared" ref="BF9" si="7">+BE9*1.01</f>
        <v>1710.1089626182113</v>
      </c>
      <c r="BG9" s="3">
        <f t="shared" ref="BG9" si="8">+BF9*1.01</f>
        <v>1727.2100522443934</v>
      </c>
      <c r="BH9" s="3">
        <f t="shared" ref="BH9" si="9">+BG9*1.01</f>
        <v>1744.4821527668373</v>
      </c>
      <c r="BI9" s="3">
        <f t="shared" ref="BI9" si="10">+BH9*1.01</f>
        <v>1761.9269742945057</v>
      </c>
      <c r="BJ9" s="3">
        <f t="shared" ref="BJ9" si="11">+BI9*1.01</f>
        <v>1779.5462440374508</v>
      </c>
    </row>
    <row r="10" spans="1:62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v>13624</v>
      </c>
      <c r="AC10" s="11">
        <f>+Y10*1.3</f>
        <v>14758.9</v>
      </c>
      <c r="AD10" s="11">
        <f>+Z10*1.3</f>
        <v>15541.5</v>
      </c>
      <c r="AE10" s="11"/>
      <c r="AF10" s="11"/>
      <c r="AG10" s="11"/>
      <c r="AH10" s="11"/>
      <c r="AI10" s="11"/>
      <c r="AR10" s="3">
        <v>4056</v>
      </c>
      <c r="AS10" s="3">
        <v>5838</v>
      </c>
      <c r="AT10" s="3">
        <v>8918</v>
      </c>
      <c r="AU10" s="3">
        <f t="shared" si="1"/>
        <v>13059</v>
      </c>
      <c r="AV10" s="3">
        <f t="shared" si="2"/>
        <v>19206</v>
      </c>
      <c r="AW10" s="3">
        <f t="shared" si="3"/>
        <v>26280</v>
      </c>
      <c r="AX10" s="3">
        <f t="shared" si="4"/>
        <v>33088</v>
      </c>
      <c r="AY10" s="3">
        <f t="shared" si="5"/>
        <v>43229</v>
      </c>
      <c r="AZ10" s="3">
        <f t="shared" ref="AZ10:AZ15" si="12">SUM(AA10:AD10)</f>
        <v>56184.4</v>
      </c>
      <c r="BA10" s="3">
        <f>+AZ10*1.3</f>
        <v>73039.72</v>
      </c>
      <c r="BB10" s="3">
        <f>+BA10*1.3</f>
        <v>94951.635999999999</v>
      </c>
      <c r="BC10" s="3">
        <f>+BB10*1.1</f>
        <v>104446.79960000001</v>
      </c>
      <c r="BD10" s="3">
        <f>+BC10*1.1</f>
        <v>114891.47956000002</v>
      </c>
      <c r="BE10" s="3">
        <f>+BD10*1.1</f>
        <v>126380.62751600004</v>
      </c>
      <c r="BF10" s="3">
        <f t="shared" ref="BF10:BJ10" si="13">+BE10*1.1</f>
        <v>139018.69026760006</v>
      </c>
      <c r="BG10" s="3">
        <f t="shared" si="13"/>
        <v>152920.55929436008</v>
      </c>
      <c r="BH10" s="3">
        <f t="shared" si="13"/>
        <v>168212.61522379611</v>
      </c>
      <c r="BI10" s="3">
        <f t="shared" si="13"/>
        <v>185033.87674617572</v>
      </c>
      <c r="BJ10" s="3">
        <f t="shared" si="13"/>
        <v>203537.2644207933</v>
      </c>
    </row>
    <row r="11" spans="1:62" s="3" customFormat="1" x14ac:dyDescent="0.25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v>11203</v>
      </c>
      <c r="AC11" s="11">
        <f>+Y11*1.1</f>
        <v>11721.6</v>
      </c>
      <c r="AD11" s="11">
        <f>+Z11*1.1</f>
        <v>12796.300000000001</v>
      </c>
      <c r="AE11" s="11"/>
      <c r="AF11" s="11"/>
      <c r="AG11" s="11"/>
      <c r="AH11" s="11"/>
      <c r="AI11" s="11"/>
      <c r="AR11" s="3">
        <v>10914</v>
      </c>
      <c r="AS11" s="3">
        <v>14063</v>
      </c>
      <c r="AT11" s="3">
        <v>17014</v>
      </c>
      <c r="AU11" s="3">
        <f t="shared" si="1"/>
        <v>21711</v>
      </c>
      <c r="AV11" s="3">
        <f t="shared" si="2"/>
        <v>28032</v>
      </c>
      <c r="AW11" s="3">
        <f t="shared" si="3"/>
        <v>29055</v>
      </c>
      <c r="AX11" s="3">
        <f t="shared" si="4"/>
        <v>34688</v>
      </c>
      <c r="AY11" s="3">
        <f t="shared" si="5"/>
        <v>40340</v>
      </c>
      <c r="AZ11" s="3">
        <f t="shared" si="12"/>
        <v>46099.9</v>
      </c>
      <c r="BA11" s="3">
        <f t="shared" ref="BA11:BE11" si="14">+AZ11*1.03</f>
        <v>47482.897000000004</v>
      </c>
      <c r="BB11" s="3">
        <f t="shared" si="14"/>
        <v>48907.383910000004</v>
      </c>
      <c r="BC11" s="3">
        <f t="shared" si="14"/>
        <v>50374.605427300005</v>
      </c>
      <c r="BD11" s="3">
        <f t="shared" si="14"/>
        <v>51885.84359011901</v>
      </c>
      <c r="BE11" s="3">
        <f t="shared" si="14"/>
        <v>53442.418897822579</v>
      </c>
      <c r="BF11" s="3">
        <f t="shared" ref="BF11:BF12" si="15">+BE11*1.03</f>
        <v>55045.691464757256</v>
      </c>
      <c r="BG11" s="3">
        <f t="shared" ref="BG11:BG12" si="16">+BF11*1.03</f>
        <v>56697.062208699972</v>
      </c>
      <c r="BH11" s="3">
        <f t="shared" ref="BH11:BH12" si="17">+BG11*1.03</f>
        <v>58397.97407496097</v>
      </c>
      <c r="BI11" s="3">
        <f t="shared" ref="BI11:BI12" si="18">+BH11*1.03</f>
        <v>60149.913297209801</v>
      </c>
      <c r="BJ11" s="3">
        <f t="shared" ref="BJ11:BJ12" si="19">+BI11*1.03</f>
        <v>61954.410696126099</v>
      </c>
    </row>
    <row r="12" spans="1:62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v>7354</v>
      </c>
      <c r="AC12" s="11">
        <f>+Y12*1.01</f>
        <v>7623.4800000000005</v>
      </c>
      <c r="AD12" s="11">
        <f>+Z12*1.01</f>
        <v>8033.54</v>
      </c>
      <c r="AE12" s="11"/>
      <c r="AF12" s="11"/>
      <c r="AG12" s="11"/>
      <c r="AH12" s="11"/>
      <c r="AI12" s="11"/>
      <c r="AR12" s="3">
        <v>17616</v>
      </c>
      <c r="AS12" s="3">
        <v>20010</v>
      </c>
      <c r="AT12" s="3">
        <v>21547</v>
      </c>
      <c r="AU12" s="3">
        <f t="shared" si="1"/>
        <v>23090</v>
      </c>
      <c r="AV12" s="3">
        <f>SUM(K12:N12)</f>
        <v>31701</v>
      </c>
      <c r="AW12" s="3">
        <f t="shared" si="3"/>
        <v>32780</v>
      </c>
      <c r="AX12" s="3">
        <f t="shared" si="4"/>
        <v>31312</v>
      </c>
      <c r="AY12" s="3">
        <f t="shared" si="5"/>
        <v>30359</v>
      </c>
      <c r="AZ12" s="3">
        <f t="shared" si="12"/>
        <v>30267.02</v>
      </c>
      <c r="BA12" s="3">
        <f t="shared" ref="BA12:BE12" si="20">+AZ12*1.03</f>
        <v>31175.030600000002</v>
      </c>
      <c r="BB12" s="3">
        <f t="shared" si="20"/>
        <v>32110.281518000003</v>
      </c>
      <c r="BC12" s="3">
        <f t="shared" si="20"/>
        <v>33073.589963540006</v>
      </c>
      <c r="BD12" s="3">
        <f t="shared" si="20"/>
        <v>34065.79766244621</v>
      </c>
      <c r="BE12" s="3">
        <f t="shared" si="20"/>
        <v>35087.771592319594</v>
      </c>
      <c r="BF12" s="3">
        <f t="shared" si="15"/>
        <v>36140.40474008918</v>
      </c>
      <c r="BG12" s="3">
        <f t="shared" si="16"/>
        <v>37224.616882291855</v>
      </c>
      <c r="BH12" s="3">
        <f t="shared" si="17"/>
        <v>38341.35538876061</v>
      </c>
      <c r="BI12" s="3">
        <f t="shared" si="18"/>
        <v>39491.596050423432</v>
      </c>
      <c r="BJ12" s="3">
        <f t="shared" si="19"/>
        <v>40676.343931936135</v>
      </c>
    </row>
    <row r="13" spans="1:62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v>9796</v>
      </c>
      <c r="AC13" s="11">
        <f>+Y13*1.12</f>
        <v>9991.52</v>
      </c>
      <c r="AD13" s="11">
        <f>+Z13*1.12</f>
        <v>11729.76</v>
      </c>
      <c r="AE13" s="11"/>
      <c r="AF13" s="11"/>
      <c r="AG13" s="11"/>
      <c r="AH13" s="11"/>
      <c r="AI13" s="11"/>
      <c r="AR13" s="3">
        <v>8150</v>
      </c>
      <c r="AS13" s="3">
        <v>11155</v>
      </c>
      <c r="AT13" s="3">
        <v>15149</v>
      </c>
      <c r="AU13" s="3">
        <f t="shared" si="1"/>
        <v>19772</v>
      </c>
      <c r="AV13" s="3">
        <f>SUM(K13:N13)</f>
        <v>28845</v>
      </c>
      <c r="AW13" s="3">
        <f t="shared" si="3"/>
        <v>29243</v>
      </c>
      <c r="AX13" s="3">
        <f t="shared" si="4"/>
        <v>31510</v>
      </c>
      <c r="AY13" s="3">
        <f t="shared" si="5"/>
        <v>36147</v>
      </c>
      <c r="AZ13" s="3">
        <f t="shared" si="12"/>
        <v>40444.28</v>
      </c>
      <c r="BA13" s="3">
        <f t="shared" ref="BA13:BE13" si="21">+AZ13*1.05</f>
        <v>42466.493999999999</v>
      </c>
      <c r="BB13" s="3">
        <f t="shared" si="21"/>
        <v>44589.818700000003</v>
      </c>
      <c r="BC13" s="3">
        <f t="shared" si="21"/>
        <v>46819.309635000005</v>
      </c>
      <c r="BD13" s="3">
        <f t="shared" si="21"/>
        <v>49160.27511675001</v>
      </c>
      <c r="BE13" s="3">
        <f t="shared" si="21"/>
        <v>51618.288872587509</v>
      </c>
      <c r="BF13" s="3">
        <f t="shared" ref="BF13:BF14" si="22">+BE13*1.05</f>
        <v>54199.203316216888</v>
      </c>
      <c r="BG13" s="3">
        <f t="shared" ref="BG13:BG14" si="23">+BF13*1.05</f>
        <v>56909.163482027732</v>
      </c>
      <c r="BH13" s="3">
        <f t="shared" ref="BH13:BH14" si="24">+BG13*1.05</f>
        <v>59754.621656129122</v>
      </c>
      <c r="BI13" s="3">
        <f t="shared" ref="BI13:BI14" si="25">+BH13*1.05</f>
        <v>62742.35273893558</v>
      </c>
      <c r="BJ13" s="3">
        <f t="shared" ref="BJ13:BJ14" si="26">+BI13*1.05</f>
        <v>65879.47037588236</v>
      </c>
    </row>
    <row r="14" spans="1:62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v>54190</v>
      </c>
      <c r="AC14" s="11">
        <f t="shared" ref="AC14:AD14" si="27">+Y14*1.11</f>
        <v>54817.350000000006</v>
      </c>
      <c r="AD14" s="11">
        <f t="shared" si="27"/>
        <v>59977.740000000005</v>
      </c>
      <c r="AE14" s="11"/>
      <c r="AF14" s="11"/>
      <c r="AG14" s="11"/>
      <c r="AH14" s="11"/>
      <c r="AI14" s="11"/>
      <c r="AR14" s="3">
        <v>69811</v>
      </c>
      <c r="AS14" s="3">
        <v>85296</v>
      </c>
      <c r="AT14" s="3">
        <v>98115</v>
      </c>
      <c r="AU14" s="3">
        <f t="shared" si="1"/>
        <v>104062</v>
      </c>
      <c r="AV14" s="3">
        <f>SUM(K14:N14)</f>
        <v>148951</v>
      </c>
      <c r="AW14" s="3">
        <f t="shared" si="3"/>
        <v>162450</v>
      </c>
      <c r="AX14" s="3">
        <f t="shared" si="4"/>
        <v>175033</v>
      </c>
      <c r="AY14" s="3">
        <f t="shared" si="5"/>
        <v>198084</v>
      </c>
      <c r="AZ14" s="3">
        <f t="shared" si="12"/>
        <v>219687.09000000003</v>
      </c>
      <c r="BA14" s="3">
        <f t="shared" ref="BA14:BB14" si="28">+AZ14*1.1</f>
        <v>241655.79900000006</v>
      </c>
      <c r="BB14" s="3">
        <f t="shared" si="28"/>
        <v>265821.37890000007</v>
      </c>
      <c r="BC14" s="3">
        <f>+BB14*1.07</f>
        <v>284428.87542300008</v>
      </c>
      <c r="BD14" s="3">
        <f>+BC14*1.07</f>
        <v>304338.89670261007</v>
      </c>
      <c r="BE14" s="3">
        <f>+BD14*1.05</f>
        <v>319555.84153774061</v>
      </c>
      <c r="BF14" s="3">
        <f t="shared" si="22"/>
        <v>335533.63361462764</v>
      </c>
      <c r="BG14" s="3">
        <f t="shared" si="23"/>
        <v>352310.31529535906</v>
      </c>
      <c r="BH14" s="3">
        <f t="shared" si="24"/>
        <v>369925.83106012701</v>
      </c>
      <c r="BI14" s="3">
        <f t="shared" si="25"/>
        <v>388422.1226131334</v>
      </c>
      <c r="BJ14" s="3">
        <f t="shared" si="26"/>
        <v>407843.22874379007</v>
      </c>
    </row>
    <row r="15" spans="1:62" s="3" customFormat="1" x14ac:dyDescent="0.25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82543</v>
      </c>
      <c r="AC15" s="11">
        <f>SUM(AC11:AC14)</f>
        <v>84153.950000000012</v>
      </c>
      <c r="AD15" s="11">
        <f>SUM(AD11:AD14)</f>
        <v>92537.34</v>
      </c>
      <c r="AE15" s="11"/>
      <c r="AF15" s="11"/>
      <c r="AG15" s="11"/>
      <c r="AH15" s="11"/>
      <c r="AI15" s="11"/>
      <c r="AR15" s="11">
        <f t="shared" ref="AR15:AU15" si="34">SUM(AR11:AR14)</f>
        <v>106491</v>
      </c>
      <c r="AS15" s="11">
        <f t="shared" si="34"/>
        <v>130524</v>
      </c>
      <c r="AT15" s="11">
        <f t="shared" si="34"/>
        <v>151825</v>
      </c>
      <c r="AU15" s="11">
        <f t="shared" si="34"/>
        <v>168635</v>
      </c>
      <c r="AV15" s="11">
        <f>SUM(AV11:AV14)</f>
        <v>237529</v>
      </c>
      <c r="AW15" s="11">
        <f>SUM(AW11:AW14)</f>
        <v>253528</v>
      </c>
      <c r="AX15" s="3">
        <f t="shared" si="4"/>
        <v>272543</v>
      </c>
      <c r="AY15" s="3">
        <f t="shared" si="5"/>
        <v>304930</v>
      </c>
      <c r="AZ15" s="3">
        <f t="shared" si="12"/>
        <v>336498.29000000004</v>
      </c>
      <c r="BA15" s="11">
        <f t="shared" ref="BA15:BE15" si="35">SUM(BA11:BA14)</f>
        <v>362780.22060000006</v>
      </c>
      <c r="BB15" s="11">
        <f t="shared" si="35"/>
        <v>391428.86302800011</v>
      </c>
      <c r="BC15" s="11">
        <f t="shared" si="35"/>
        <v>414696.38044884009</v>
      </c>
      <c r="BD15" s="11">
        <f t="shared" si="35"/>
        <v>439450.81307192531</v>
      </c>
      <c r="BE15" s="11">
        <f t="shared" si="35"/>
        <v>459704.32090047031</v>
      </c>
      <c r="BF15" s="11">
        <f t="shared" ref="BF15:BJ15" si="36">SUM(BF11:BF14)</f>
        <v>480918.93313569098</v>
      </c>
      <c r="BG15" s="11">
        <f t="shared" si="36"/>
        <v>503141.15786837862</v>
      </c>
      <c r="BH15" s="11">
        <f t="shared" si="36"/>
        <v>526419.78217997774</v>
      </c>
      <c r="BI15" s="11">
        <f t="shared" si="36"/>
        <v>550805.98469970224</v>
      </c>
      <c r="BJ15" s="11">
        <f t="shared" si="36"/>
        <v>576353.45374773466</v>
      </c>
    </row>
    <row r="16" spans="1:62" s="9" customFormat="1" ht="13" x14ac:dyDescent="0.3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H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90234</v>
      </c>
      <c r="AB16" s="10">
        <f t="shared" si="40"/>
        <v>96428</v>
      </c>
      <c r="AC16" s="10">
        <f t="shared" si="40"/>
        <v>99300.85</v>
      </c>
      <c r="AD16" s="10">
        <f t="shared" si="40"/>
        <v>108478.84</v>
      </c>
      <c r="AE16" s="10">
        <f t="shared" si="40"/>
        <v>0</v>
      </c>
      <c r="AF16" s="10">
        <f t="shared" si="40"/>
        <v>0</v>
      </c>
      <c r="AG16" s="10">
        <f t="shared" si="40"/>
        <v>0</v>
      </c>
      <c r="AH16" s="10">
        <f t="shared" si="40"/>
        <v>0</v>
      </c>
      <c r="AI16" s="10"/>
      <c r="AJ16" s="10"/>
      <c r="AK16" s="10"/>
      <c r="AL16" s="10"/>
      <c r="AM16" s="10">
        <v>46039</v>
      </c>
      <c r="AN16" s="10">
        <v>55519</v>
      </c>
      <c r="AO16" s="10">
        <v>66001</v>
      </c>
      <c r="AP16" s="10">
        <v>74989</v>
      </c>
      <c r="AQ16" s="10">
        <v>90272</v>
      </c>
      <c r="AR16" s="10">
        <f t="shared" ref="AR16:AU16" si="41">AR15+AR10+AR9+AR8</f>
        <v>110855</v>
      </c>
      <c r="AS16" s="10">
        <f t="shared" si="41"/>
        <v>136819</v>
      </c>
      <c r="AT16" s="10">
        <f t="shared" si="41"/>
        <v>161857</v>
      </c>
      <c r="AU16" s="10">
        <f t="shared" si="41"/>
        <v>182527</v>
      </c>
      <c r="AV16" s="10">
        <f>AV15+AV10+AV9+AV8</f>
        <v>257637</v>
      </c>
      <c r="AW16" s="10">
        <f>AW15+AW10+AW9+AW8</f>
        <v>282836</v>
      </c>
      <c r="AX16" s="10">
        <f t="shared" ref="AX16" si="42">AX15+AX10+AX9+AX8</f>
        <v>307394</v>
      </c>
      <c r="AY16" s="10">
        <f>AY15+AY10+AY9+AY8</f>
        <v>350018</v>
      </c>
      <c r="AZ16" s="10">
        <f t="shared" ref="AZ16" si="43">AZ15+AZ10+AZ9+AZ8</f>
        <v>394293.69000000006</v>
      </c>
      <c r="BA16" s="10">
        <f t="shared" ref="BA16" si="44">BA15+BA10+BA9+BA8</f>
        <v>437447.05060000008</v>
      </c>
      <c r="BB16" s="10">
        <f t="shared" ref="BB16" si="45">BB15+BB10+BB9+BB8</f>
        <v>488023.88012800011</v>
      </c>
      <c r="BC16" s="10">
        <f t="shared" ref="BC16" si="46">BC15+BC10+BC9+BC8</f>
        <v>520802.99495984014</v>
      </c>
      <c r="BD16" s="10">
        <f t="shared" ref="BD16" si="47">BD15+BD10+BD9+BD8</f>
        <v>556018.70569203526</v>
      </c>
      <c r="BE16" s="10">
        <f t="shared" ref="BE16:BJ16" si="48">BE15+BE10+BE9+BE8</f>
        <v>587778.12560718146</v>
      </c>
      <c r="BF16" s="10">
        <f t="shared" si="48"/>
        <v>621647.73236590915</v>
      </c>
      <c r="BG16" s="10">
        <f t="shared" si="48"/>
        <v>657788.92721498304</v>
      </c>
      <c r="BH16" s="10">
        <f t="shared" si="48"/>
        <v>696376.87955654063</v>
      </c>
      <c r="BI16" s="10">
        <f t="shared" si="48"/>
        <v>737601.78842017241</v>
      </c>
      <c r="BJ16" s="10">
        <f t="shared" si="48"/>
        <v>781670.26441256539</v>
      </c>
    </row>
    <row r="17" spans="2:114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37898.280000000006</v>
      </c>
      <c r="AB17" s="11">
        <v>39039</v>
      </c>
      <c r="AC17" s="11">
        <f>+AC16-AC19</f>
        <v>41706.357000000004</v>
      </c>
      <c r="AD17" s="11">
        <f>+AD16-AD19</f>
        <v>45561.112800000003</v>
      </c>
      <c r="AE17" s="11"/>
      <c r="AF17" s="11"/>
      <c r="AG17" s="11"/>
      <c r="AH17" s="11"/>
      <c r="AI17" s="11"/>
      <c r="AO17" s="3">
        <v>25691</v>
      </c>
      <c r="AP17" s="3">
        <v>28164</v>
      </c>
      <c r="AQ17" s="3">
        <v>35138</v>
      </c>
      <c r="AR17" s="3">
        <v>45583</v>
      </c>
      <c r="AS17" s="3">
        <v>59549</v>
      </c>
      <c r="AT17" s="3">
        <v>71896</v>
      </c>
      <c r="AU17" s="3">
        <v>84732</v>
      </c>
      <c r="AV17" s="3">
        <v>110939</v>
      </c>
      <c r="AW17" s="3">
        <f>SUM(O17:R17)</f>
        <v>126203</v>
      </c>
      <c r="AX17" s="3">
        <f>+AX16-AX19</f>
        <v>135253.35999999999</v>
      </c>
      <c r="AY17" s="3">
        <f>+AY16-AY19</f>
        <v>146306</v>
      </c>
      <c r="AZ17" s="3">
        <f t="shared" ref="AZ17:BE17" si="49">+AZ16-AZ19</f>
        <v>164056.74980000008</v>
      </c>
      <c r="BA17" s="3">
        <f t="shared" si="49"/>
        <v>192476.70226400002</v>
      </c>
      <c r="BB17" s="3">
        <f t="shared" si="49"/>
        <v>214730.50725632004</v>
      </c>
      <c r="BC17" s="3">
        <f t="shared" si="49"/>
        <v>229153.31778232963</v>
      </c>
      <c r="BD17" s="3">
        <f t="shared" si="49"/>
        <v>244648.2305044955</v>
      </c>
      <c r="BE17" s="3">
        <f t="shared" si="49"/>
        <v>258622.37526715983</v>
      </c>
      <c r="BF17" s="3">
        <f t="shared" ref="BF17:BJ17" si="50">+BF16-BF19</f>
        <v>273525.00224100001</v>
      </c>
      <c r="BG17" s="3">
        <f t="shared" si="50"/>
        <v>289427.1279745925</v>
      </c>
      <c r="BH17" s="3">
        <f t="shared" si="50"/>
        <v>306405.82700487785</v>
      </c>
      <c r="BI17" s="3">
        <f t="shared" si="50"/>
        <v>324544.78690487583</v>
      </c>
      <c r="BJ17" s="3">
        <f t="shared" si="50"/>
        <v>343934.9163415287</v>
      </c>
    </row>
    <row r="18" spans="2:114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>
        <v>13748</v>
      </c>
      <c r="AB18" s="11">
        <v>14705</v>
      </c>
      <c r="AC18" s="11" t="s">
        <v>239</v>
      </c>
      <c r="AD18" s="11" t="s">
        <v>239</v>
      </c>
      <c r="AE18" s="11"/>
      <c r="AF18" s="11"/>
      <c r="AG18" s="11"/>
      <c r="AH18" s="11"/>
      <c r="AI18" s="11"/>
    </row>
    <row r="19" spans="2:114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52335.719999999994</v>
      </c>
      <c r="AB19" s="11">
        <f>+AB16-AB17</f>
        <v>57389</v>
      </c>
      <c r="AC19" s="11">
        <f>+AC16*0.58</f>
        <v>57594.493000000002</v>
      </c>
      <c r="AD19" s="11">
        <f>+AD16*0.58</f>
        <v>62917.727199999994</v>
      </c>
      <c r="AE19" s="11"/>
      <c r="AF19" s="11"/>
      <c r="AG19" s="11"/>
      <c r="AH19" s="11"/>
      <c r="AI19" s="11"/>
      <c r="AO19" s="3">
        <f t="shared" ref="AO19:AT19" si="56">+AO16-AO17</f>
        <v>40310</v>
      </c>
      <c r="AP19" s="3">
        <f t="shared" si="56"/>
        <v>46825</v>
      </c>
      <c r="AQ19" s="3">
        <f t="shared" si="56"/>
        <v>55134</v>
      </c>
      <c r="AR19" s="3">
        <f t="shared" si="56"/>
        <v>65272</v>
      </c>
      <c r="AS19" s="3">
        <f t="shared" si="56"/>
        <v>77270</v>
      </c>
      <c r="AT19" s="3">
        <f t="shared" si="56"/>
        <v>89961</v>
      </c>
      <c r="AU19" s="3">
        <f>AU16-AU17</f>
        <v>97795</v>
      </c>
      <c r="AV19" s="3">
        <f t="shared" ref="AV19" si="57">AV16-AV17</f>
        <v>146698</v>
      </c>
      <c r="AW19" s="3">
        <f>+AW16-AW17</f>
        <v>156633</v>
      </c>
      <c r="AX19" s="3">
        <f>+AX16*0.56</f>
        <v>172140.64</v>
      </c>
      <c r="AY19" s="3">
        <f>SUM(W19:Z19)</f>
        <v>203712</v>
      </c>
      <c r="AZ19" s="3">
        <f>SUM(AA19:AD19)</f>
        <v>230236.94019999998</v>
      </c>
      <c r="BA19" s="3">
        <f t="shared" ref="BA19:BJ19" si="58">+BA16*0.56</f>
        <v>244970.34833600005</v>
      </c>
      <c r="BB19" s="3">
        <f t="shared" si="58"/>
        <v>273293.37287168007</v>
      </c>
      <c r="BC19" s="3">
        <f t="shared" si="58"/>
        <v>291649.67717751052</v>
      </c>
      <c r="BD19" s="3">
        <f t="shared" si="58"/>
        <v>311370.47518753976</v>
      </c>
      <c r="BE19" s="3">
        <f t="shared" si="58"/>
        <v>329155.75034002162</v>
      </c>
      <c r="BF19" s="3">
        <f t="shared" si="58"/>
        <v>348122.73012490914</v>
      </c>
      <c r="BG19" s="3">
        <f t="shared" si="58"/>
        <v>368361.79924039054</v>
      </c>
      <c r="BH19" s="3">
        <f t="shared" si="58"/>
        <v>389971.05255166278</v>
      </c>
      <c r="BI19" s="3">
        <f t="shared" si="58"/>
        <v>413057.00151529658</v>
      </c>
      <c r="BJ19" s="3">
        <f t="shared" si="58"/>
        <v>437735.34807103669</v>
      </c>
    </row>
    <row r="20" spans="2:114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v>13808</v>
      </c>
      <c r="AC20" s="11">
        <f t="shared" ref="AC20:AC22" si="59">+Y20*1.05</f>
        <v>13069.35</v>
      </c>
      <c r="AD20" s="11">
        <f t="shared" ref="AD20:AD22" si="60">+Z20*1.05</f>
        <v>13771.800000000001</v>
      </c>
      <c r="AE20" s="11"/>
      <c r="AF20" s="11"/>
      <c r="AG20" s="11"/>
      <c r="AH20" s="11"/>
      <c r="AI20" s="11"/>
      <c r="AO20" s="3">
        <v>9832</v>
      </c>
      <c r="AP20" s="3">
        <v>12282</v>
      </c>
      <c r="AQ20" s="3">
        <v>13948</v>
      </c>
      <c r="AR20" s="3">
        <v>16625</v>
      </c>
      <c r="AS20" s="3">
        <v>21419</v>
      </c>
      <c r="AT20" s="3">
        <v>26018</v>
      </c>
      <c r="AU20" s="3">
        <v>27573</v>
      </c>
      <c r="AV20" s="3">
        <v>31562</v>
      </c>
      <c r="AW20" s="3">
        <f t="shared" ref="AW20:AW22" si="61">SUM(O20:R20)</f>
        <v>39500</v>
      </c>
      <c r="AX20" s="3">
        <f>+AW20*1.05</f>
        <v>41475</v>
      </c>
      <c r="AY20" s="3">
        <f>SUM(W20:Z20)</f>
        <v>49326</v>
      </c>
      <c r="AZ20" s="3">
        <f t="shared" ref="AZ20:AZ22" si="62">SUM(AA20:AD20)</f>
        <v>53147.3</v>
      </c>
      <c r="BA20" s="3">
        <f t="shared" ref="BA20:BC20" si="63">+AZ20*1.05</f>
        <v>55804.665000000008</v>
      </c>
      <c r="BB20" s="3">
        <f t="shared" si="63"/>
        <v>58594.898250000013</v>
      </c>
      <c r="BC20" s="3">
        <f t="shared" si="63"/>
        <v>61524.643162500019</v>
      </c>
      <c r="BD20" s="3">
        <f>+BC20*1.03</f>
        <v>63370.382457375024</v>
      </c>
      <c r="BE20" s="3">
        <f t="shared" ref="BE20:BJ20" si="64">+BD20*1.03</f>
        <v>65271.49393109628</v>
      </c>
      <c r="BF20" s="3">
        <f t="shared" si="64"/>
        <v>67229.638749029167</v>
      </c>
      <c r="BG20" s="3">
        <f t="shared" si="64"/>
        <v>69246.527911500045</v>
      </c>
      <c r="BH20" s="3">
        <f t="shared" si="64"/>
        <v>71323.923748845045</v>
      </c>
      <c r="BI20" s="3">
        <f t="shared" si="64"/>
        <v>73463.641461310399</v>
      </c>
      <c r="BJ20" s="3">
        <f t="shared" si="64"/>
        <v>75667.550705149712</v>
      </c>
    </row>
    <row r="21" spans="2:114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v>7101</v>
      </c>
      <c r="AC21" s="11">
        <f t="shared" si="59"/>
        <v>7588.35</v>
      </c>
      <c r="AD21" s="11">
        <f t="shared" si="60"/>
        <v>7731.1500000000005</v>
      </c>
      <c r="AE21" s="11"/>
      <c r="AF21" s="11"/>
      <c r="AG21" s="11"/>
      <c r="AH21" s="11"/>
      <c r="AI21" s="11"/>
      <c r="AO21" s="3">
        <v>8131</v>
      </c>
      <c r="AP21" s="3">
        <v>9047</v>
      </c>
      <c r="AQ21" s="3">
        <v>10485</v>
      </c>
      <c r="AR21" s="3">
        <v>12893</v>
      </c>
      <c r="AS21" s="3">
        <v>16333</v>
      </c>
      <c r="AT21" s="3">
        <v>18464</v>
      </c>
      <c r="AU21" s="3">
        <v>17946</v>
      </c>
      <c r="AV21" s="3">
        <v>22912</v>
      </c>
      <c r="AW21" s="3">
        <f t="shared" si="61"/>
        <v>26567</v>
      </c>
      <c r="AX21" s="3">
        <f>+AW21*1.05</f>
        <v>27895.350000000002</v>
      </c>
      <c r="AY21" s="3">
        <f>SUM(W21:Z21)</f>
        <v>27808</v>
      </c>
      <c r="AZ21" s="3">
        <f t="shared" si="62"/>
        <v>28592.5</v>
      </c>
      <c r="BA21" s="3">
        <f t="shared" ref="BA21:BC21" si="65">+AZ21*1.05</f>
        <v>30022.125</v>
      </c>
      <c r="BB21" s="3">
        <f t="shared" si="65"/>
        <v>31523.231250000001</v>
      </c>
      <c r="BC21" s="3">
        <f t="shared" si="65"/>
        <v>33099.392812500002</v>
      </c>
      <c r="BD21" s="3">
        <f t="shared" ref="BD21:BJ22" si="66">+BC21*1.03</f>
        <v>34092.374596875001</v>
      </c>
      <c r="BE21" s="3">
        <f t="shared" si="66"/>
        <v>35115.145834781251</v>
      </c>
      <c r="BF21" s="3">
        <f t="shared" si="66"/>
        <v>36168.60020982469</v>
      </c>
      <c r="BG21" s="3">
        <f t="shared" si="66"/>
        <v>37253.658216119431</v>
      </c>
      <c r="BH21" s="3">
        <f t="shared" si="66"/>
        <v>38371.267962603015</v>
      </c>
      <c r="BI21" s="3">
        <f t="shared" si="66"/>
        <v>39522.406001481104</v>
      </c>
      <c r="BJ21" s="3">
        <f t="shared" si="66"/>
        <v>40708.07818152554</v>
      </c>
    </row>
    <row r="22" spans="2:114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v>5209</v>
      </c>
      <c r="AC22" s="11">
        <f t="shared" si="59"/>
        <v>3778.9500000000003</v>
      </c>
      <c r="AD22" s="11">
        <f t="shared" si="60"/>
        <v>4625.25</v>
      </c>
      <c r="AE22" s="11"/>
      <c r="AF22" s="11"/>
      <c r="AG22" s="11"/>
      <c r="AH22" s="11"/>
      <c r="AI22" s="11"/>
      <c r="AO22" s="3">
        <v>5851</v>
      </c>
      <c r="AP22" s="3">
        <v>6136</v>
      </c>
      <c r="AQ22" s="3">
        <v>6985</v>
      </c>
      <c r="AR22" s="3">
        <v>6872</v>
      </c>
      <c r="AS22" s="3">
        <v>8126</v>
      </c>
      <c r="AT22" s="3">
        <v>9551</v>
      </c>
      <c r="AU22" s="3">
        <v>11052</v>
      </c>
      <c r="AV22" s="3">
        <v>13510</v>
      </c>
      <c r="AW22" s="3">
        <f t="shared" si="61"/>
        <v>15724</v>
      </c>
      <c r="AX22" s="3">
        <f>+AW22*1.05</f>
        <v>16510.2</v>
      </c>
      <c r="AY22" s="3">
        <f>SUM(W22:Z22)</f>
        <v>14188</v>
      </c>
      <c r="AZ22" s="3">
        <f t="shared" si="62"/>
        <v>17152.2</v>
      </c>
      <c r="BA22" s="3">
        <f t="shared" ref="BA22:BC22" si="67">+AZ22*1.05</f>
        <v>18009.810000000001</v>
      </c>
      <c r="BB22" s="3">
        <f t="shared" si="67"/>
        <v>18910.300500000001</v>
      </c>
      <c r="BC22" s="3">
        <f t="shared" si="67"/>
        <v>19855.815525000002</v>
      </c>
      <c r="BD22" s="3">
        <f t="shared" si="66"/>
        <v>20451.489990750004</v>
      </c>
      <c r="BE22" s="3">
        <f t="shared" si="66"/>
        <v>21065.034690472505</v>
      </c>
      <c r="BF22" s="3">
        <f t="shared" si="66"/>
        <v>21696.98573118668</v>
      </c>
      <c r="BG22" s="3">
        <f t="shared" si="66"/>
        <v>22347.895303122281</v>
      </c>
      <c r="BH22" s="3">
        <f t="shared" si="66"/>
        <v>23018.332162215949</v>
      </c>
      <c r="BI22" s="3">
        <f t="shared" si="66"/>
        <v>23708.88212708243</v>
      </c>
      <c r="BJ22" s="3">
        <f t="shared" si="66"/>
        <v>24420.148590894903</v>
      </c>
    </row>
    <row r="23" spans="2:114" s="3" customFormat="1" x14ac:dyDescent="0.25">
      <c r="B23" s="3" t="s">
        <v>26</v>
      </c>
      <c r="C23" s="11">
        <f t="shared" ref="C23" si="68">SUM(C20:C22)</f>
        <v>12022</v>
      </c>
      <c r="D23" s="11"/>
      <c r="E23" s="11"/>
      <c r="F23" s="11"/>
      <c r="G23" s="11">
        <f t="shared" ref="G23" si="69">SUM(G20:G22)</f>
        <v>14200</v>
      </c>
      <c r="H23" s="11">
        <f t="shared" ref="H23" si="70">SUM(H20:H22)</f>
        <v>13361</v>
      </c>
      <c r="I23" s="11">
        <f t="shared" ref="I23" si="71">SUM(I20:I22)</f>
        <v>13843</v>
      </c>
      <c r="J23" s="11">
        <f t="shared" ref="J23" si="72">SUM(J20:J22)</f>
        <v>15167</v>
      </c>
      <c r="K23" s="11">
        <f>SUM(K20:K22)</f>
        <v>14774</v>
      </c>
      <c r="L23" s="11">
        <f t="shared" ref="L23:O23" si="73">SUM(L20:L22)</f>
        <v>16292</v>
      </c>
      <c r="M23" s="11">
        <f t="shared" si="73"/>
        <v>16466</v>
      </c>
      <c r="N23" s="11">
        <f t="shared" si="73"/>
        <v>20452</v>
      </c>
      <c r="O23" s="11">
        <f t="shared" si="73"/>
        <v>18318</v>
      </c>
      <c r="P23" s="11">
        <f t="shared" ref="P23:Q23" si="74">SUM(P20:P22)</f>
        <v>20128</v>
      </c>
      <c r="Q23" s="11">
        <f t="shared" si="74"/>
        <v>20799</v>
      </c>
      <c r="R23" s="11">
        <f>SUM(R20:R22)</f>
        <v>22546</v>
      </c>
      <c r="S23" s="11">
        <f t="shared" ref="S23:W23" si="75">SUM(S20:S22)</f>
        <v>21760</v>
      </c>
      <c r="T23" s="11">
        <f>SUM(T20:T22)</f>
        <v>20850</v>
      </c>
      <c r="U23" s="11">
        <f t="shared" si="75"/>
        <v>22121</v>
      </c>
      <c r="V23" s="11">
        <f t="shared" si="75"/>
        <v>25038</v>
      </c>
      <c r="W23" s="11">
        <f t="shared" si="75"/>
        <v>21355</v>
      </c>
      <c r="X23" s="11">
        <f t="shared" ref="X23:Z23" si="76">SUM(X20:X22)</f>
        <v>21810</v>
      </c>
      <c r="Y23" s="11">
        <f t="shared" si="76"/>
        <v>23273</v>
      </c>
      <c r="Z23" s="11">
        <f t="shared" si="76"/>
        <v>24884</v>
      </c>
      <c r="AA23" s="11">
        <f t="shared" ref="AA23:AD23" si="77">SUM(AA20:AA22)</f>
        <v>22209.15</v>
      </c>
      <c r="AB23" s="11">
        <f t="shared" si="77"/>
        <v>26118</v>
      </c>
      <c r="AC23" s="11">
        <f t="shared" si="77"/>
        <v>24436.65</v>
      </c>
      <c r="AD23" s="11">
        <f t="shared" si="77"/>
        <v>26128.2</v>
      </c>
      <c r="AE23" s="11"/>
      <c r="AF23" s="11"/>
      <c r="AG23" s="11"/>
      <c r="AH23" s="11"/>
      <c r="AI23" s="11"/>
      <c r="AO23" s="3">
        <f>SUM(AO20:AO22)</f>
        <v>23814</v>
      </c>
      <c r="AP23" s="3">
        <f t="shared" ref="AP23:AT23" si="78">SUM(AP20:AP22)</f>
        <v>27465</v>
      </c>
      <c r="AQ23" s="3">
        <f t="shared" si="78"/>
        <v>31418</v>
      </c>
      <c r="AR23" s="3">
        <f t="shared" si="78"/>
        <v>36390</v>
      </c>
      <c r="AS23" s="3">
        <f t="shared" si="78"/>
        <v>45878</v>
      </c>
      <c r="AT23" s="3">
        <f t="shared" si="78"/>
        <v>54033</v>
      </c>
      <c r="AU23" s="3">
        <f>SUM(AU20:AU22)</f>
        <v>56571</v>
      </c>
      <c r="AV23" s="3">
        <f t="shared" ref="AV23:AX23" si="79">SUM(AV20:AV22)</f>
        <v>67984</v>
      </c>
      <c r="AW23" s="3">
        <f t="shared" si="79"/>
        <v>81791</v>
      </c>
      <c r="AX23" s="3">
        <f t="shared" si="79"/>
        <v>85880.55</v>
      </c>
      <c r="AY23" s="3">
        <f t="shared" ref="AY23:BE23" si="80">SUM(AY20:AY22)</f>
        <v>91322</v>
      </c>
      <c r="AZ23" s="3">
        <f t="shared" si="80"/>
        <v>98892</v>
      </c>
      <c r="BA23" s="3">
        <f t="shared" si="80"/>
        <v>103836.6</v>
      </c>
      <c r="BB23" s="3">
        <f t="shared" si="80"/>
        <v>109028.43000000001</v>
      </c>
      <c r="BC23" s="3">
        <f t="shared" si="80"/>
        <v>114479.85150000002</v>
      </c>
      <c r="BD23" s="3">
        <f t="shared" si="80"/>
        <v>117914.24704500003</v>
      </c>
      <c r="BE23" s="3">
        <f t="shared" si="80"/>
        <v>121451.67445635004</v>
      </c>
      <c r="BF23" s="3">
        <f t="shared" ref="BF23:BJ23" si="81">SUM(BF20:BF22)</f>
        <v>125095.22469004053</v>
      </c>
      <c r="BG23" s="3">
        <f t="shared" si="81"/>
        <v>128848.08143074175</v>
      </c>
      <c r="BH23" s="3">
        <f t="shared" si="81"/>
        <v>132713.523873664</v>
      </c>
      <c r="BI23" s="3">
        <f t="shared" si="81"/>
        <v>136694.92958987394</v>
      </c>
      <c r="BJ23" s="3">
        <f t="shared" si="81"/>
        <v>140795.77747757017</v>
      </c>
    </row>
    <row r="24" spans="2:114" s="3" customFormat="1" x14ac:dyDescent="0.25">
      <c r="B24" s="3" t="s">
        <v>27</v>
      </c>
      <c r="C24" s="11">
        <f t="shared" ref="C24" si="82">C19-C23</f>
        <v>8305</v>
      </c>
      <c r="D24" s="11"/>
      <c r="E24" s="11"/>
      <c r="F24" s="11"/>
      <c r="G24" s="11">
        <f t="shared" ref="G24" si="83">G19-G23</f>
        <v>7977</v>
      </c>
      <c r="H24" s="11">
        <f t="shared" ref="H24" si="84">H19-H23</f>
        <v>6383</v>
      </c>
      <c r="I24" s="11">
        <f t="shared" ref="I24" si="85">I19-I23</f>
        <v>11213</v>
      </c>
      <c r="J24" s="11">
        <f t="shared" ref="J24" si="86">J19-J23</f>
        <v>15651</v>
      </c>
      <c r="K24" s="11">
        <f t="shared" ref="K24:N24" si="87">K19-K23</f>
        <v>16437</v>
      </c>
      <c r="L24" s="11">
        <f t="shared" si="87"/>
        <v>19361</v>
      </c>
      <c r="M24" s="11">
        <f t="shared" si="87"/>
        <v>21031</v>
      </c>
      <c r="N24" s="11">
        <f t="shared" si="87"/>
        <v>21885</v>
      </c>
      <c r="O24" s="11">
        <f>O19-O23</f>
        <v>20094</v>
      </c>
      <c r="P24" s="11">
        <f t="shared" ref="P24:R24" si="88">P19-P23</f>
        <v>19453</v>
      </c>
      <c r="Q24" s="11">
        <f t="shared" si="88"/>
        <v>17135</v>
      </c>
      <c r="R24" s="11">
        <f t="shared" si="88"/>
        <v>18160</v>
      </c>
      <c r="S24" s="11">
        <f t="shared" ref="S24:W24" si="89">S19-S23</f>
        <v>17415</v>
      </c>
      <c r="T24" s="11">
        <f>T19-T23</f>
        <v>21838</v>
      </c>
      <c r="U24" s="11">
        <f t="shared" si="89"/>
        <v>21343</v>
      </c>
      <c r="V24" s="11">
        <f t="shared" si="89"/>
        <v>23697</v>
      </c>
      <c r="W24" s="11">
        <f t="shared" si="89"/>
        <v>25472</v>
      </c>
      <c r="X24" s="11">
        <f t="shared" ref="X24:Z24" si="90">X19-X23</f>
        <v>27425</v>
      </c>
      <c r="Y24" s="11">
        <f t="shared" si="90"/>
        <v>28521</v>
      </c>
      <c r="Z24" s="11">
        <f t="shared" si="90"/>
        <v>30972</v>
      </c>
      <c r="AA24" s="11">
        <f t="shared" ref="AA24:AD24" si="91">AA19-AA23</f>
        <v>30126.569999999992</v>
      </c>
      <c r="AB24" s="11">
        <f t="shared" si="91"/>
        <v>31271</v>
      </c>
      <c r="AC24" s="11">
        <f t="shared" si="91"/>
        <v>33157.843000000001</v>
      </c>
      <c r="AD24" s="11">
        <f t="shared" si="91"/>
        <v>36789.527199999997</v>
      </c>
      <c r="AE24" s="11"/>
      <c r="AF24" s="11"/>
      <c r="AG24" s="11"/>
      <c r="AH24" s="11"/>
      <c r="AI24" s="11"/>
      <c r="AO24" s="3">
        <f>AO19-AO23</f>
        <v>16496</v>
      </c>
      <c r="AP24" s="3">
        <f t="shared" ref="AP24:AT24" si="92">AP19-AP23</f>
        <v>19360</v>
      </c>
      <c r="AQ24" s="3">
        <f t="shared" si="92"/>
        <v>23716</v>
      </c>
      <c r="AR24" s="3">
        <f t="shared" si="92"/>
        <v>28882</v>
      </c>
      <c r="AS24" s="3">
        <f t="shared" si="92"/>
        <v>31392</v>
      </c>
      <c r="AT24" s="3">
        <f t="shared" si="92"/>
        <v>35928</v>
      </c>
      <c r="AU24" s="3">
        <f>AU19-AU23</f>
        <v>41224</v>
      </c>
      <c r="AV24" s="3">
        <f t="shared" ref="AV24:AX24" si="93">AV19-AV23</f>
        <v>78714</v>
      </c>
      <c r="AW24" s="3">
        <f t="shared" si="93"/>
        <v>74842</v>
      </c>
      <c r="AX24" s="3">
        <f t="shared" si="93"/>
        <v>86260.090000000011</v>
      </c>
      <c r="AY24" s="3">
        <f t="shared" ref="AY24:BE24" si="94">AY19-AY23</f>
        <v>112390</v>
      </c>
      <c r="AZ24" s="3">
        <f t="shared" si="94"/>
        <v>131344.94019999998</v>
      </c>
      <c r="BA24" s="3">
        <f t="shared" si="94"/>
        <v>141133.74833600005</v>
      </c>
      <c r="BB24" s="3">
        <f t="shared" si="94"/>
        <v>164264.94287168008</v>
      </c>
      <c r="BC24" s="3">
        <f t="shared" si="94"/>
        <v>177169.8256775105</v>
      </c>
      <c r="BD24" s="3">
        <f t="shared" si="94"/>
        <v>193456.22814253974</v>
      </c>
      <c r="BE24" s="3">
        <f t="shared" si="94"/>
        <v>207704.07588367158</v>
      </c>
      <c r="BF24" s="3">
        <f t="shared" ref="BF24:BJ24" si="95">BF19-BF23</f>
        <v>223027.50543486862</v>
      </c>
      <c r="BG24" s="3">
        <f t="shared" si="95"/>
        <v>239513.71780964878</v>
      </c>
      <c r="BH24" s="3">
        <f t="shared" si="95"/>
        <v>257257.52867799878</v>
      </c>
      <c r="BI24" s="3">
        <f t="shared" si="95"/>
        <v>276362.07192542264</v>
      </c>
      <c r="BJ24" s="3">
        <f t="shared" si="95"/>
        <v>296939.57059346652</v>
      </c>
    </row>
    <row r="25" spans="2:114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v>2662</v>
      </c>
      <c r="AC25" s="11">
        <f>+Y25</f>
        <v>0</v>
      </c>
      <c r="AD25" s="11">
        <f>+Z25</f>
        <v>1338</v>
      </c>
      <c r="AE25" s="11"/>
      <c r="AF25" s="11"/>
      <c r="AG25" s="11"/>
      <c r="AH25" s="11"/>
      <c r="AI25" s="11"/>
      <c r="AO25" s="3">
        <v>763</v>
      </c>
      <c r="AP25" s="3">
        <v>291</v>
      </c>
      <c r="AQ25" s="3">
        <v>434</v>
      </c>
      <c r="AR25" s="3">
        <v>1047</v>
      </c>
      <c r="AS25" s="3">
        <v>8592</v>
      </c>
      <c r="AT25" s="3">
        <v>5394</v>
      </c>
      <c r="AU25" s="3">
        <v>6858</v>
      </c>
      <c r="AV25" s="3">
        <v>12020</v>
      </c>
      <c r="AW25" s="3">
        <f t="shared" ref="AW25:AW27" si="96">SUM(O25:R25)</f>
        <v>-3514</v>
      </c>
      <c r="AX25" s="3">
        <f>+AW45*$BM$36</f>
        <v>3886.5899999999997</v>
      </c>
      <c r="AY25" s="3">
        <f>SUM(W25:Z25)</f>
        <v>2064</v>
      </c>
      <c r="AZ25" s="3">
        <f t="shared" ref="AZ25:AZ27" si="97">SUM(AA25:AD25)</f>
        <v>4000</v>
      </c>
      <c r="BA25" s="3">
        <f t="shared" ref="BA25:BJ25" si="98">+AZ45*$BM$36</f>
        <v>6968.5072069199996</v>
      </c>
      <c r="BB25" s="3">
        <f t="shared" si="98"/>
        <v>10611.822693275833</v>
      </c>
      <c r="BC25" s="3">
        <f t="shared" si="98"/>
        <v>14913.79112617375</v>
      </c>
      <c r="BD25" s="3">
        <f t="shared" si="98"/>
        <v>19639.048099544383</v>
      </c>
      <c r="BE25" s="3">
        <f t="shared" si="98"/>
        <v>24881.191895099651</v>
      </c>
      <c r="BF25" s="3">
        <f t="shared" si="98"/>
        <v>30602.789482457425</v>
      </c>
      <c r="BG25" s="3">
        <f t="shared" si="98"/>
        <v>36842.094737423642</v>
      </c>
      <c r="BH25" s="3">
        <f t="shared" si="98"/>
        <v>43640.447726081627</v>
      </c>
      <c r="BI25" s="3">
        <f t="shared" si="98"/>
        <v>51042.537945622003</v>
      </c>
      <c r="BJ25" s="3">
        <f t="shared" si="98"/>
        <v>59096.691348449705</v>
      </c>
    </row>
    <row r="26" spans="2:114" s="3" customFormat="1" x14ac:dyDescent="0.25">
      <c r="B26" s="3" t="s">
        <v>29</v>
      </c>
      <c r="C26" s="11">
        <f t="shared" ref="C26" si="99">C24+C25</f>
        <v>9843</v>
      </c>
      <c r="D26" s="11"/>
      <c r="E26" s="11"/>
      <c r="F26" s="11"/>
      <c r="G26" s="11">
        <f t="shared" ref="G26" si="100">G24+G25</f>
        <v>7757</v>
      </c>
      <c r="H26" s="11">
        <f t="shared" ref="H26" si="101">H24+H25</f>
        <v>8277</v>
      </c>
      <c r="I26" s="11">
        <f t="shared" ref="I26" si="102">I24+I25</f>
        <v>13359</v>
      </c>
      <c r="J26" s="11">
        <f t="shared" ref="J26" si="103">J24+J25</f>
        <v>18689</v>
      </c>
      <c r="K26" s="11">
        <f>K24+K25</f>
        <v>21283</v>
      </c>
      <c r="L26" s="11">
        <f t="shared" ref="L26:O26" si="104">L24+L25</f>
        <v>21625</v>
      </c>
      <c r="M26" s="11">
        <f t="shared" si="104"/>
        <v>23064</v>
      </c>
      <c r="N26" s="11">
        <f t="shared" si="104"/>
        <v>24402</v>
      </c>
      <c r="O26" s="11">
        <f t="shared" si="104"/>
        <v>18934</v>
      </c>
      <c r="P26" s="11">
        <f t="shared" ref="P26:AD26" si="105">P24+P25</f>
        <v>19014</v>
      </c>
      <c r="Q26" s="11">
        <f t="shared" si="105"/>
        <v>16233</v>
      </c>
      <c r="R26" s="11">
        <f t="shared" si="105"/>
        <v>17147</v>
      </c>
      <c r="S26" s="11">
        <f t="shared" si="105"/>
        <v>18205</v>
      </c>
      <c r="T26" s="11">
        <f t="shared" si="105"/>
        <v>21903</v>
      </c>
      <c r="U26" s="11">
        <f t="shared" si="105"/>
        <v>21197</v>
      </c>
      <c r="V26" s="11">
        <f t="shared" si="105"/>
        <v>23941</v>
      </c>
      <c r="W26" s="11">
        <f t="shared" si="105"/>
        <v>26072</v>
      </c>
      <c r="X26" s="11">
        <f t="shared" si="105"/>
        <v>27551</v>
      </c>
      <c r="Y26" s="11">
        <f t="shared" si="105"/>
        <v>28521</v>
      </c>
      <c r="Z26" s="11">
        <f t="shared" si="105"/>
        <v>32310</v>
      </c>
      <c r="AA26" s="11">
        <f t="shared" si="105"/>
        <v>30126.569999999992</v>
      </c>
      <c r="AB26" s="11">
        <f t="shared" si="105"/>
        <v>33933</v>
      </c>
      <c r="AC26" s="11">
        <f t="shared" si="105"/>
        <v>33157.843000000001</v>
      </c>
      <c r="AD26" s="11">
        <f t="shared" si="105"/>
        <v>38127.527199999997</v>
      </c>
      <c r="AE26" s="11"/>
      <c r="AF26" s="11"/>
      <c r="AG26" s="11"/>
      <c r="AH26" s="11"/>
      <c r="AI26" s="11"/>
      <c r="AO26" s="3">
        <f t="shared" ref="AO26:AT26" si="106">+AO24+AO25</f>
        <v>17259</v>
      </c>
      <c r="AP26" s="3">
        <f t="shared" si="106"/>
        <v>19651</v>
      </c>
      <c r="AQ26" s="3">
        <f t="shared" si="106"/>
        <v>24150</v>
      </c>
      <c r="AR26" s="3">
        <f t="shared" si="106"/>
        <v>29929</v>
      </c>
      <c r="AS26" s="3">
        <f t="shared" si="106"/>
        <v>39984</v>
      </c>
      <c r="AT26" s="3">
        <f t="shared" si="106"/>
        <v>41322</v>
      </c>
      <c r="AU26" s="3">
        <f>AU24+AU25</f>
        <v>48082</v>
      </c>
      <c r="AV26" s="3">
        <f t="shared" ref="AV26:AX26" si="107">AV24+AV25</f>
        <v>90734</v>
      </c>
      <c r="AW26" s="3">
        <f t="shared" si="107"/>
        <v>71328</v>
      </c>
      <c r="AX26" s="3">
        <f t="shared" si="107"/>
        <v>90146.680000000008</v>
      </c>
      <c r="AY26" s="3">
        <f t="shared" ref="AY26:BJ26" si="108">AY24+AY25</f>
        <v>114454</v>
      </c>
      <c r="AZ26" s="3">
        <f t="shared" si="108"/>
        <v>135344.94019999998</v>
      </c>
      <c r="BA26" s="3">
        <f t="shared" si="108"/>
        <v>148102.25554292006</v>
      </c>
      <c r="BB26" s="3">
        <f t="shared" si="108"/>
        <v>174876.76556495592</v>
      </c>
      <c r="BC26" s="3">
        <f t="shared" si="108"/>
        <v>192083.61680368424</v>
      </c>
      <c r="BD26" s="3">
        <f t="shared" si="108"/>
        <v>213095.27624208413</v>
      </c>
      <c r="BE26" s="3">
        <f t="shared" si="108"/>
        <v>232585.26777877123</v>
      </c>
      <c r="BF26" s="3">
        <f t="shared" si="108"/>
        <v>253630.29491732604</v>
      </c>
      <c r="BG26" s="3">
        <f t="shared" si="108"/>
        <v>276355.81254707242</v>
      </c>
      <c r="BH26" s="3">
        <f t="shared" si="108"/>
        <v>300897.9764040804</v>
      </c>
      <c r="BI26" s="3">
        <f t="shared" si="108"/>
        <v>327404.60987104464</v>
      </c>
      <c r="BJ26" s="3">
        <f t="shared" si="108"/>
        <v>356036.26194191619</v>
      </c>
    </row>
    <row r="27" spans="2:114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v>5737</v>
      </c>
      <c r="AC27" s="11">
        <f>+AC26*0.18</f>
        <v>5968.4117399999996</v>
      </c>
      <c r="AD27" s="11">
        <f>+AD26*0.18</f>
        <v>6862.9548959999993</v>
      </c>
      <c r="AE27" s="11"/>
      <c r="AF27" s="11"/>
      <c r="AG27" s="11"/>
      <c r="AH27" s="11"/>
      <c r="AI27" s="11"/>
      <c r="AO27" s="3">
        <v>3639</v>
      </c>
      <c r="AP27" s="3">
        <v>3303</v>
      </c>
      <c r="AQ27" s="3">
        <v>4672</v>
      </c>
      <c r="AR27" s="3">
        <v>14531</v>
      </c>
      <c r="AS27" s="3">
        <v>4177</v>
      </c>
      <c r="AT27" s="3">
        <v>5282</v>
      </c>
      <c r="AU27" s="3">
        <v>7813</v>
      </c>
      <c r="AV27" s="3">
        <v>14701</v>
      </c>
      <c r="AW27" s="3">
        <f t="shared" si="96"/>
        <v>11356</v>
      </c>
      <c r="AX27" s="3">
        <f>+AX26*0.18</f>
        <v>16226.402400000001</v>
      </c>
      <c r="AY27" s="3">
        <f>SUM(W27:Z27)</f>
        <v>19697</v>
      </c>
      <c r="AZ27" s="3">
        <f t="shared" si="97"/>
        <v>25817.366635999999</v>
      </c>
      <c r="BA27" s="3">
        <f t="shared" ref="BA27:BJ27" si="109">+BA26*0.18</f>
        <v>26658.405997725611</v>
      </c>
      <c r="BB27" s="3">
        <f t="shared" si="109"/>
        <v>31477.817801692065</v>
      </c>
      <c r="BC27" s="3">
        <f t="shared" si="109"/>
        <v>34575.05102466316</v>
      </c>
      <c r="BD27" s="3">
        <f t="shared" si="109"/>
        <v>38357.149723575145</v>
      </c>
      <c r="BE27" s="3">
        <f t="shared" si="109"/>
        <v>41865.348200178822</v>
      </c>
      <c r="BF27" s="3">
        <f t="shared" si="109"/>
        <v>45653.453085118686</v>
      </c>
      <c r="BG27" s="3">
        <f t="shared" si="109"/>
        <v>49744.046258473034</v>
      </c>
      <c r="BH27" s="3">
        <f t="shared" si="109"/>
        <v>54161.635752734473</v>
      </c>
      <c r="BI27" s="3">
        <f t="shared" si="109"/>
        <v>58932.829776788036</v>
      </c>
      <c r="BJ27" s="3">
        <f t="shared" si="109"/>
        <v>64086.527149544912</v>
      </c>
    </row>
    <row r="28" spans="2:114" s="3" customFormat="1" x14ac:dyDescent="0.25">
      <c r="B28" s="3" t="s">
        <v>31</v>
      </c>
      <c r="C28" s="11">
        <f t="shared" ref="C28" si="110">C26-C27</f>
        <v>8354</v>
      </c>
      <c r="D28" s="11"/>
      <c r="E28" s="11"/>
      <c r="F28" s="11"/>
      <c r="G28" s="11">
        <f t="shared" ref="G28" si="111">G26-G27</f>
        <v>6836</v>
      </c>
      <c r="H28" s="11">
        <f t="shared" ref="H28" si="112">H26-H27</f>
        <v>6959</v>
      </c>
      <c r="I28" s="11">
        <f t="shared" ref="I28" si="113">I26-I27</f>
        <v>11247</v>
      </c>
      <c r="J28" s="11">
        <f t="shared" ref="J28" si="114">J26-J27</f>
        <v>15227</v>
      </c>
      <c r="K28" s="11">
        <f>K26-K27</f>
        <v>17930</v>
      </c>
      <c r="L28" s="11">
        <f t="shared" ref="L28:O28" si="115">L26-L27</f>
        <v>18165</v>
      </c>
      <c r="M28" s="11">
        <f t="shared" si="115"/>
        <v>18936</v>
      </c>
      <c r="N28" s="11">
        <f t="shared" si="115"/>
        <v>20642</v>
      </c>
      <c r="O28" s="11">
        <f t="shared" si="115"/>
        <v>16436</v>
      </c>
      <c r="P28" s="11">
        <f t="shared" ref="P28:AD28" si="116">P26-P27</f>
        <v>16002</v>
      </c>
      <c r="Q28" s="11">
        <f t="shared" si="116"/>
        <v>13910</v>
      </c>
      <c r="R28" s="11">
        <f t="shared" si="116"/>
        <v>13624</v>
      </c>
      <c r="S28" s="11">
        <f t="shared" si="116"/>
        <v>15051</v>
      </c>
      <c r="T28" s="11">
        <f t="shared" si="116"/>
        <v>18368</v>
      </c>
      <c r="U28" s="11">
        <f t="shared" si="116"/>
        <v>19689</v>
      </c>
      <c r="V28" s="11">
        <f t="shared" si="116"/>
        <v>20216</v>
      </c>
      <c r="W28" s="11">
        <f t="shared" si="116"/>
        <v>21419</v>
      </c>
      <c r="X28" s="11">
        <f t="shared" si="116"/>
        <v>23619</v>
      </c>
      <c r="Y28" s="11">
        <f t="shared" si="116"/>
        <v>23116</v>
      </c>
      <c r="Z28" s="11">
        <f t="shared" si="116"/>
        <v>26603</v>
      </c>
      <c r="AA28" s="11">
        <f t="shared" si="116"/>
        <v>22877.569999999992</v>
      </c>
      <c r="AB28" s="11">
        <f t="shared" si="116"/>
        <v>28196</v>
      </c>
      <c r="AC28" s="11">
        <f t="shared" si="116"/>
        <v>27189.431260000001</v>
      </c>
      <c r="AD28" s="11">
        <f t="shared" si="116"/>
        <v>31264.572303999998</v>
      </c>
      <c r="AE28" s="11"/>
      <c r="AF28" s="11"/>
      <c r="AG28" s="11"/>
      <c r="AH28" s="11"/>
      <c r="AI28" s="11"/>
      <c r="AO28" s="3">
        <f t="shared" ref="AO28:AT28" si="117">+AO26-AO27</f>
        <v>13620</v>
      </c>
      <c r="AP28" s="3">
        <f t="shared" si="117"/>
        <v>16348</v>
      </c>
      <c r="AQ28" s="3">
        <f t="shared" si="117"/>
        <v>19478</v>
      </c>
      <c r="AR28" s="3">
        <f t="shared" si="117"/>
        <v>15398</v>
      </c>
      <c r="AS28" s="3">
        <f t="shared" si="117"/>
        <v>35807</v>
      </c>
      <c r="AT28" s="3">
        <f t="shared" si="117"/>
        <v>36040</v>
      </c>
      <c r="AU28" s="3">
        <f>AU26-AU27</f>
        <v>40269</v>
      </c>
      <c r="AV28" s="3">
        <f t="shared" ref="AV28:AX28" si="118">AV26-AV27</f>
        <v>76033</v>
      </c>
      <c r="AW28" s="3">
        <f t="shared" si="118"/>
        <v>59972</v>
      </c>
      <c r="AX28" s="3">
        <f t="shared" si="118"/>
        <v>73920.277600000001</v>
      </c>
      <c r="AY28" s="3">
        <f t="shared" ref="AY28:BJ28" si="119">AY26-AY27</f>
        <v>94757</v>
      </c>
      <c r="AZ28" s="3">
        <f t="shared" si="119"/>
        <v>109527.57356399999</v>
      </c>
      <c r="BA28" s="3">
        <f t="shared" si="119"/>
        <v>121443.84954519445</v>
      </c>
      <c r="BB28" s="3">
        <f t="shared" si="119"/>
        <v>143398.94776326386</v>
      </c>
      <c r="BC28" s="3">
        <f t="shared" si="119"/>
        <v>157508.56577902107</v>
      </c>
      <c r="BD28" s="3">
        <f t="shared" si="119"/>
        <v>174738.126518509</v>
      </c>
      <c r="BE28" s="3">
        <f t="shared" si="119"/>
        <v>190719.91957859241</v>
      </c>
      <c r="BF28" s="3">
        <f t="shared" si="119"/>
        <v>207976.84183220734</v>
      </c>
      <c r="BG28" s="3">
        <f t="shared" si="119"/>
        <v>226611.76628859938</v>
      </c>
      <c r="BH28" s="3">
        <f t="shared" si="119"/>
        <v>246736.34065134593</v>
      </c>
      <c r="BI28" s="3">
        <f t="shared" si="119"/>
        <v>268471.78009425662</v>
      </c>
      <c r="BJ28" s="3">
        <f t="shared" si="119"/>
        <v>291949.73479237128</v>
      </c>
      <c r="BK28" s="3">
        <f t="shared" ref="BK28:CP28" si="120">+BJ28*(1+$BM$34)</f>
        <v>297788.72948821873</v>
      </c>
      <c r="BL28" s="3">
        <f t="shared" si="120"/>
        <v>303744.50407798309</v>
      </c>
      <c r="BM28" s="3">
        <f t="shared" si="120"/>
        <v>309819.39415954275</v>
      </c>
      <c r="BN28" s="3">
        <f t="shared" si="120"/>
        <v>316015.78204273363</v>
      </c>
      <c r="BO28" s="3">
        <f t="shared" si="120"/>
        <v>322336.09768358828</v>
      </c>
      <c r="BP28" s="3">
        <f t="shared" si="120"/>
        <v>328782.81963726005</v>
      </c>
      <c r="BQ28" s="3">
        <f t="shared" si="120"/>
        <v>335358.47603000526</v>
      </c>
      <c r="BR28" s="3">
        <f t="shared" si="120"/>
        <v>342065.64555060538</v>
      </c>
      <c r="BS28" s="3">
        <f t="shared" si="120"/>
        <v>348906.95846161747</v>
      </c>
      <c r="BT28" s="3">
        <f t="shared" si="120"/>
        <v>355885.09763084981</v>
      </c>
      <c r="BU28" s="3">
        <f t="shared" si="120"/>
        <v>363002.79958346678</v>
      </c>
      <c r="BV28" s="3">
        <f t="shared" si="120"/>
        <v>370262.85557513614</v>
      </c>
      <c r="BW28" s="3">
        <f t="shared" si="120"/>
        <v>377668.11268663889</v>
      </c>
      <c r="BX28" s="3">
        <f t="shared" si="120"/>
        <v>385221.4749403717</v>
      </c>
      <c r="BY28" s="3">
        <f t="shared" si="120"/>
        <v>392925.90443917917</v>
      </c>
      <c r="BZ28" s="3">
        <f t="shared" si="120"/>
        <v>400784.42252796277</v>
      </c>
      <c r="CA28" s="3">
        <f t="shared" si="120"/>
        <v>408800.11097852205</v>
      </c>
      <c r="CB28" s="3">
        <f t="shared" si="120"/>
        <v>416976.1131980925</v>
      </c>
      <c r="CC28" s="3">
        <f t="shared" si="120"/>
        <v>425315.63546205434</v>
      </c>
      <c r="CD28" s="3">
        <f t="shared" si="120"/>
        <v>433821.94817129546</v>
      </c>
      <c r="CE28" s="3">
        <f t="shared" si="120"/>
        <v>442498.38713472139</v>
      </c>
      <c r="CF28" s="3">
        <f t="shared" si="120"/>
        <v>451348.35487741581</v>
      </c>
      <c r="CG28" s="3">
        <f t="shared" si="120"/>
        <v>460375.32197496411</v>
      </c>
      <c r="CH28" s="3">
        <f t="shared" si="120"/>
        <v>469582.82841446338</v>
      </c>
      <c r="CI28" s="3">
        <f t="shared" si="120"/>
        <v>478974.48498275265</v>
      </c>
      <c r="CJ28" s="3">
        <f t="shared" si="120"/>
        <v>488553.97468240769</v>
      </c>
      <c r="CK28" s="3">
        <f t="shared" si="120"/>
        <v>498325.05417605583</v>
      </c>
      <c r="CL28" s="3">
        <f t="shared" si="120"/>
        <v>508291.55525957694</v>
      </c>
      <c r="CM28" s="3">
        <f t="shared" si="120"/>
        <v>518457.38636476849</v>
      </c>
      <c r="CN28" s="3">
        <f t="shared" si="120"/>
        <v>528826.5340920639</v>
      </c>
      <c r="CO28" s="3">
        <f t="shared" si="120"/>
        <v>539403.06477390521</v>
      </c>
      <c r="CP28" s="3">
        <f t="shared" si="120"/>
        <v>550191.12606938335</v>
      </c>
      <c r="CQ28" s="3">
        <f t="shared" ref="CQ28:DJ28" si="121">+CP28*(1+$BM$34)</f>
        <v>561194.94859077106</v>
      </c>
      <c r="CR28" s="3">
        <f t="shared" si="121"/>
        <v>572418.84756258654</v>
      </c>
      <c r="CS28" s="3">
        <f t="shared" si="121"/>
        <v>583867.2245138383</v>
      </c>
      <c r="CT28" s="3">
        <f t="shared" si="121"/>
        <v>595544.56900411507</v>
      </c>
      <c r="CU28" s="3">
        <f t="shared" si="121"/>
        <v>607455.46038419742</v>
      </c>
      <c r="CV28" s="3">
        <f t="shared" si="121"/>
        <v>619604.56959188136</v>
      </c>
      <c r="CW28" s="3">
        <f t="shared" si="121"/>
        <v>631996.66098371905</v>
      </c>
      <c r="CX28" s="3">
        <f t="shared" si="121"/>
        <v>644636.59420339344</v>
      </c>
      <c r="CY28" s="3">
        <f t="shared" si="121"/>
        <v>657529.32608746132</v>
      </c>
      <c r="CZ28" s="3">
        <f t="shared" si="121"/>
        <v>670679.91260921059</v>
      </c>
      <c r="DA28" s="3">
        <f t="shared" si="121"/>
        <v>684093.51086139481</v>
      </c>
      <c r="DB28" s="3">
        <f t="shared" si="121"/>
        <v>697775.38107862277</v>
      </c>
      <c r="DC28" s="3">
        <f t="shared" si="121"/>
        <v>711730.88870019524</v>
      </c>
      <c r="DD28" s="3">
        <f t="shared" si="121"/>
        <v>725965.50647419912</v>
      </c>
      <c r="DE28" s="3">
        <f t="shared" si="121"/>
        <v>740484.81660368317</v>
      </c>
      <c r="DF28" s="3">
        <f t="shared" si="121"/>
        <v>755294.51293575682</v>
      </c>
      <c r="DG28" s="3">
        <f t="shared" si="121"/>
        <v>770400.40319447196</v>
      </c>
      <c r="DH28" s="3">
        <f t="shared" si="121"/>
        <v>785808.41125836142</v>
      </c>
      <c r="DI28" s="3">
        <f t="shared" si="121"/>
        <v>801524.57948352862</v>
      </c>
      <c r="DJ28" s="3">
        <f t="shared" si="121"/>
        <v>817555.07107319916</v>
      </c>
    </row>
    <row r="29" spans="2:114" s="7" customFormat="1" ht="13" x14ac:dyDescent="0.3">
      <c r="B29" s="9" t="s">
        <v>32</v>
      </c>
      <c r="C29" s="14">
        <f t="shared" ref="C29" si="122">C28/C30</f>
        <v>11.919318455824756</v>
      </c>
      <c r="D29" s="14"/>
      <c r="E29" s="14"/>
      <c r="F29" s="14"/>
      <c r="G29" s="14">
        <f t="shared" ref="G29" si="123">G28/G30</f>
        <v>9.8748026411774639</v>
      </c>
      <c r="H29" s="14">
        <f t="shared" ref="H29" si="124">H28/H30</f>
        <v>10.129194904399265</v>
      </c>
      <c r="I29" s="14">
        <f t="shared" ref="I29" si="125">I28/I30</f>
        <v>16.398605528022852</v>
      </c>
      <c r="J29" s="14">
        <f t="shared" ref="J29" si="126">J28/J30</f>
        <v>22.295301836540162</v>
      </c>
      <c r="K29" s="14">
        <f t="shared" ref="K29:N29" si="127">K28/K30</f>
        <v>26.287585896482916</v>
      </c>
      <c r="L29" s="14">
        <f t="shared" si="127"/>
        <v>1.3364479105356091</v>
      </c>
      <c r="M29" s="14">
        <f t="shared" si="127"/>
        <v>27.990344690984287</v>
      </c>
      <c r="N29" s="14">
        <f t="shared" si="127"/>
        <v>30.69474329100823</v>
      </c>
      <c r="O29" s="14">
        <f>O28/O30</f>
        <v>24.621339792764896</v>
      </c>
      <c r="P29" s="14">
        <f t="shared" ref="P29:AD29" si="128">P28/P30</f>
        <v>1.2087015635622025</v>
      </c>
      <c r="Q29" s="14">
        <f t="shared" si="128"/>
        <v>1.0620752844162786</v>
      </c>
      <c r="R29" s="14">
        <f t="shared" si="128"/>
        <v>1.0522901058160192</v>
      </c>
      <c r="S29" s="14">
        <f t="shared" si="128"/>
        <v>1.1737502924432659</v>
      </c>
      <c r="T29" s="14">
        <f t="shared" si="128"/>
        <v>1.4544302795154012</v>
      </c>
      <c r="U29" s="14">
        <f t="shared" si="128"/>
        <v>1.5508034026465027</v>
      </c>
      <c r="V29" s="14">
        <f t="shared" si="128"/>
        <v>1.6041898111410886</v>
      </c>
      <c r="W29" s="14">
        <f t="shared" si="128"/>
        <v>1.7098267741677975</v>
      </c>
      <c r="X29" s="14">
        <f t="shared" si="128"/>
        <v>1.8902761104441776</v>
      </c>
      <c r="Y29" s="14">
        <f t="shared" si="128"/>
        <v>1.8613414928738223</v>
      </c>
      <c r="Z29" s="14">
        <f t="shared" si="128"/>
        <v>2.1544379656624555</v>
      </c>
      <c r="AA29" s="14">
        <f t="shared" si="128"/>
        <v>1.8613269872264253</v>
      </c>
      <c r="AB29" s="14">
        <f t="shared" si="128"/>
        <v>2.3115264797507789</v>
      </c>
      <c r="AC29" s="14">
        <f t="shared" si="128"/>
        <v>2.229007317593048</v>
      </c>
      <c r="AD29" s="14">
        <f t="shared" si="128"/>
        <v>2.5630900396786358</v>
      </c>
      <c r="AE29" s="14"/>
      <c r="AF29" s="14"/>
      <c r="AG29" s="14"/>
      <c r="AH29" s="14"/>
      <c r="AI29" s="14"/>
      <c r="AU29" s="17">
        <f>AU28/AU30</f>
        <v>58.613331625494155</v>
      </c>
      <c r="AV29" s="17">
        <f>AV28/AV30</f>
        <v>112.19701508394893</v>
      </c>
      <c r="AW29" s="17">
        <f>AW28/AW30</f>
        <v>4.5799964361174039</v>
      </c>
      <c r="AX29" s="17">
        <f>AX28/AX30</f>
        <v>5.8262287763546796</v>
      </c>
      <c r="AY29" s="17">
        <f t="shared" ref="AY29:BE29" si="129">AY28/AY30</f>
        <v>7.7534622072210286</v>
      </c>
      <c r="AZ29" s="17">
        <f t="shared" si="129"/>
        <v>8.9620598190856082</v>
      </c>
      <c r="BA29" s="17">
        <f t="shared" si="129"/>
        <v>9.9371054143556883</v>
      </c>
      <c r="BB29" s="17">
        <f t="shared" si="129"/>
        <v>11.733574533150362</v>
      </c>
      <c r="BC29" s="17">
        <f t="shared" si="129"/>
        <v>12.888089661779365</v>
      </c>
      <c r="BD29" s="17">
        <f t="shared" si="129"/>
        <v>14.297893138468568</v>
      </c>
      <c r="BE29" s="17">
        <f t="shared" si="129"/>
        <v>15.605598410849334</v>
      </c>
      <c r="BF29" s="17">
        <f t="shared" ref="BF29:BJ29" si="130">BF28/BF30</f>
        <v>17.017640734966335</v>
      </c>
      <c r="BG29" s="17">
        <f t="shared" si="130"/>
        <v>18.54243766297223</v>
      </c>
      <c r="BH29" s="17">
        <f t="shared" si="130"/>
        <v>20.189124733668482</v>
      </c>
      <c r="BI29" s="17">
        <f t="shared" si="130"/>
        <v>21.967620341148134</v>
      </c>
      <c r="BJ29" s="17">
        <f t="shared" si="130"/>
        <v>23.888696720251307</v>
      </c>
    </row>
    <row r="30" spans="2:114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12291</v>
      </c>
      <c r="AB30" s="11">
        <v>12198</v>
      </c>
      <c r="AC30" s="11">
        <f>+AB30</f>
        <v>12198</v>
      </c>
      <c r="AD30" s="11">
        <f>+AC30</f>
        <v>12198</v>
      </c>
      <c r="AE30" s="11"/>
      <c r="AF30" s="11"/>
      <c r="AG30" s="11"/>
      <c r="AH30" s="11"/>
      <c r="AI30" s="11"/>
      <c r="AP30" s="3">
        <v>687.34799999999996</v>
      </c>
      <c r="AQ30" s="3">
        <v>691.29300000000001</v>
      </c>
      <c r="AU30" s="3">
        <v>687.02800000000002</v>
      </c>
      <c r="AV30" s="3">
        <v>677.67399999999998</v>
      </c>
      <c r="AW30" s="3">
        <f>AVERAGE(P30:R30)</f>
        <v>13094.333333333334</v>
      </c>
      <c r="AX30" s="3">
        <f>AVERAGE(S30:V30)</f>
        <v>12687.5</v>
      </c>
      <c r="AY30" s="3">
        <f>AVERAGE(AA30:AD30)</f>
        <v>12221.25</v>
      </c>
      <c r="AZ30" s="3">
        <f t="shared" ref="AZ30:BE30" si="131">+AY30</f>
        <v>12221.25</v>
      </c>
      <c r="BA30" s="3">
        <f t="shared" si="131"/>
        <v>12221.25</v>
      </c>
      <c r="BB30" s="3">
        <f t="shared" si="131"/>
        <v>12221.25</v>
      </c>
      <c r="BC30" s="3">
        <f t="shared" si="131"/>
        <v>12221.25</v>
      </c>
      <c r="BD30" s="3">
        <f t="shared" si="131"/>
        <v>12221.25</v>
      </c>
      <c r="BE30" s="3">
        <f t="shared" si="131"/>
        <v>12221.25</v>
      </c>
      <c r="BF30" s="3">
        <f t="shared" ref="BF30" si="132">+BE30</f>
        <v>12221.25</v>
      </c>
      <c r="BG30" s="3">
        <f t="shared" ref="BG30" si="133">+BF30</f>
        <v>12221.25</v>
      </c>
      <c r="BH30" s="3">
        <f t="shared" ref="BH30" si="134">+BG30</f>
        <v>12221.25</v>
      </c>
      <c r="BI30" s="3">
        <f t="shared" ref="BI30" si="135">+BH30</f>
        <v>12221.25</v>
      </c>
      <c r="BJ30" s="3">
        <f t="shared" ref="BJ30" si="136">+BI30</f>
        <v>12221.25</v>
      </c>
    </row>
    <row r="32" spans="2:114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7">K16/G16-1</f>
        <v>0.34391020189994892</v>
      </c>
      <c r="L32" s="16">
        <f t="shared" si="137"/>
        <v>0.61579235971486024</v>
      </c>
      <c r="M32" s="16">
        <f t="shared" ref="M32" si="138">M16/I16-1</f>
        <v>0.41030472353973102</v>
      </c>
      <c r="N32" s="16">
        <f t="shared" ref="N32" si="139">N16/J16-1</f>
        <v>0.32386024113325607</v>
      </c>
      <c r="O32" s="16">
        <f>O16/K16-1</f>
        <v>0.22954405756228069</v>
      </c>
      <c r="P32" s="16">
        <f t="shared" ref="P32:T32" si="140">P16/L16-1</f>
        <v>0.12613122171945701</v>
      </c>
      <c r="Q32" s="16">
        <f t="shared" si="140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0"/>
        <v>7.0589079428858392E-2</v>
      </c>
      <c r="U32" s="16">
        <f t="shared" ref="U32:Z32" si="141">U16/Q16-1</f>
        <v>0.11001273664100042</v>
      </c>
      <c r="V32" s="16">
        <f t="shared" si="141"/>
        <v>0.13494108983799702</v>
      </c>
      <c r="W32" s="16">
        <f t="shared" si="141"/>
        <v>0.15406880937710454</v>
      </c>
      <c r="X32" s="16">
        <f t="shared" si="141"/>
        <v>0.13589083695244231</v>
      </c>
      <c r="Y32" s="16">
        <f t="shared" si="141"/>
        <v>0.15092642092498654</v>
      </c>
      <c r="Z32" s="16">
        <f t="shared" si="141"/>
        <v>0.11770362646275045</v>
      </c>
      <c r="AA32" s="16">
        <f t="shared" ref="AA32" si="142">AA16/W16-1</f>
        <v>0.12037646357665222</v>
      </c>
      <c r="AB32" s="16">
        <f t="shared" ref="AB32" si="143">AB16/X16-1</f>
        <v>0.13790092280097244</v>
      </c>
      <c r="AC32" s="16">
        <f t="shared" ref="AC32" si="144">AC16/Y16-1</f>
        <v>0.12499263606289945</v>
      </c>
      <c r="AD32" s="16">
        <f t="shared" ref="AD32" si="145">AD16/Z16-1</f>
        <v>0.12449429350361263</v>
      </c>
      <c r="AE32" s="16"/>
      <c r="AF32" s="16"/>
      <c r="AG32" s="16"/>
      <c r="AH32" s="16"/>
      <c r="AI32" s="16"/>
      <c r="AJ32" s="16"/>
      <c r="AN32" s="18">
        <f t="shared" ref="AN32:AW32" si="146">AN16/AM16-1</f>
        <v>0.2059123786355046</v>
      </c>
      <c r="AO32" s="18">
        <f t="shared" si="146"/>
        <v>0.18880023055170292</v>
      </c>
      <c r="AP32" s="18">
        <f t="shared" si="146"/>
        <v>0.13617975485219924</v>
      </c>
      <c r="AQ32" s="18">
        <f t="shared" si="146"/>
        <v>0.20380322447292265</v>
      </c>
      <c r="AR32" s="18">
        <f t="shared" si="146"/>
        <v>0.22801090038993266</v>
      </c>
      <c r="AS32" s="18">
        <f t="shared" si="146"/>
        <v>0.23421586757475987</v>
      </c>
      <c r="AT32" s="18">
        <f t="shared" si="146"/>
        <v>0.18300089899794614</v>
      </c>
      <c r="AU32" s="18">
        <f t="shared" si="146"/>
        <v>0.12770532012826141</v>
      </c>
      <c r="AV32" s="18">
        <f t="shared" si="146"/>
        <v>0.41150076427049154</v>
      </c>
      <c r="AW32" s="18">
        <f t="shared" si="146"/>
        <v>9.7808156437157789E-2</v>
      </c>
      <c r="AX32" s="18">
        <f t="shared" ref="AX32:BE32" si="147">AX16/AW16-1</f>
        <v>8.6827702272695095E-2</v>
      </c>
      <c r="AY32" s="18">
        <f t="shared" si="147"/>
        <v>0.13866243322901561</v>
      </c>
      <c r="AZ32" s="18">
        <f t="shared" si="147"/>
        <v>0.12649546594746575</v>
      </c>
      <c r="BA32" s="18">
        <f t="shared" si="147"/>
        <v>0.1094447151817215</v>
      </c>
      <c r="BB32" s="18">
        <f t="shared" si="147"/>
        <v>0.11561817472224156</v>
      </c>
      <c r="BC32" s="18">
        <f t="shared" si="147"/>
        <v>6.7167030480645096E-2</v>
      </c>
      <c r="BD32" s="18">
        <f t="shared" si="147"/>
        <v>6.7618103338500601E-2</v>
      </c>
      <c r="BE32" s="18">
        <f t="shared" si="147"/>
        <v>5.711933715542461E-2</v>
      </c>
      <c r="BF32" s="18">
        <f t="shared" ref="BF32" si="148">BF16/BE16-1</f>
        <v>5.7623115395354363E-2</v>
      </c>
      <c r="BG32" s="18">
        <f t="shared" ref="BG32" si="149">BG16/BF16-1</f>
        <v>5.8137740986402786E-2</v>
      </c>
      <c r="BH32" s="18">
        <f t="shared" ref="BH32" si="150">BH16/BG16-1</f>
        <v>5.8663122386287903E-2</v>
      </c>
      <c r="BI32" s="18">
        <f t="shared" ref="BI32" si="151">BI16/BH16-1</f>
        <v>5.919913494239526E-2</v>
      </c>
      <c r="BJ32" s="18">
        <f t="shared" ref="BJ32" si="152">BJ16/BI16-1</f>
        <v>5.9745619769687286E-2</v>
      </c>
    </row>
    <row r="33" spans="2:65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>
        <v>0.14000000000000001</v>
      </c>
      <c r="AB33" s="16">
        <v>0.13</v>
      </c>
      <c r="AC33" s="16"/>
      <c r="AD33" s="16"/>
      <c r="AE33" s="16"/>
      <c r="AF33" s="16"/>
      <c r="AG33" s="16"/>
      <c r="AH33" s="16"/>
      <c r="AI33" s="16"/>
      <c r="AW33" s="18">
        <v>0.14000000000000001</v>
      </c>
      <c r="AY33" s="18">
        <v>0.15</v>
      </c>
    </row>
    <row r="34" spans="2:65" s="5" customFormat="1" ht="13" x14ac:dyDescent="0.3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3">+K14/G14-1</f>
        <v>0.30107746306423966</v>
      </c>
      <c r="L34" s="15">
        <f t="shared" ref="L34:N34" si="154">+L14/H14-1</f>
        <v>0.68136404146535945</v>
      </c>
      <c r="M34" s="15">
        <f t="shared" si="154"/>
        <v>0.43997266307236682</v>
      </c>
      <c r="N34" s="15">
        <f t="shared" si="154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5">+S14/O14-1</f>
        <v>1.8703619566863505E-2</v>
      </c>
      <c r="T34" s="15">
        <f t="shared" si="155"/>
        <v>4.7654157143208309E-2</v>
      </c>
      <c r="U34" s="15">
        <f t="shared" si="155"/>
        <v>0.11348289031083225</v>
      </c>
      <c r="V34" s="15">
        <f t="shared" si="155"/>
        <v>0.12712421368885551</v>
      </c>
      <c r="W34" s="15">
        <f t="shared" ref="W34:X34" si="156">+W14/S14-1</f>
        <v>0.14363586808394668</v>
      </c>
      <c r="X34" s="15">
        <f t="shared" si="156"/>
        <v>0.13796096462419061</v>
      </c>
      <c r="Y34" s="15">
        <f t="shared" ref="Y34" si="157">+Y14/U14-1</f>
        <v>0.12172352700676869</v>
      </c>
      <c r="Z34" s="15">
        <f t="shared" ref="Z34" si="158">+Z14/V14-1</f>
        <v>0.12523948354852155</v>
      </c>
      <c r="AA34" s="15">
        <f t="shared" ref="AA34" si="159">+AA14/W14-1</f>
        <v>9.8492070370049367E-2</v>
      </c>
      <c r="AB34" s="15">
        <f t="shared" ref="AB34" si="160">+AB14/X14-1</f>
        <v>0.11711228844132027</v>
      </c>
      <c r="AC34" s="15">
        <f t="shared" ref="AC34" si="161">+AC14/Y14-1</f>
        <v>0.1100000000000001</v>
      </c>
      <c r="AD34" s="15">
        <f t="shared" ref="AD34" si="162">+AD14/Z14-1</f>
        <v>0.1100000000000001</v>
      </c>
      <c r="AE34" s="15"/>
      <c r="AF34" s="15"/>
      <c r="AG34" s="15"/>
      <c r="AH34" s="15"/>
      <c r="AI34" s="15"/>
      <c r="AS34" s="5">
        <f t="shared" ref="AS34:AW34" si="163">+AS14/AR14-1</f>
        <v>0.22181318130380601</v>
      </c>
      <c r="AT34" s="5">
        <f t="shared" si="163"/>
        <v>0.15028840742824978</v>
      </c>
      <c r="AU34" s="5">
        <f t="shared" si="163"/>
        <v>6.0612546501554343E-2</v>
      </c>
      <c r="AV34" s="5">
        <f t="shared" si="163"/>
        <v>0.43136783840402826</v>
      </c>
      <c r="AW34" s="5">
        <f t="shared" si="163"/>
        <v>9.0627118985438182E-2</v>
      </c>
      <c r="AX34" s="5">
        <f>+AX14/AW14-1</f>
        <v>7.7457679285934056E-2</v>
      </c>
      <c r="AY34" s="15">
        <f t="shared" ref="AY34:BE34" si="164">+AY14/AX14-1</f>
        <v>0.13169516605440124</v>
      </c>
      <c r="AZ34" s="15">
        <f>+AZ14/AY14-1</f>
        <v>0.10906024716786833</v>
      </c>
      <c r="BA34" s="15">
        <f t="shared" si="164"/>
        <v>0.10000000000000009</v>
      </c>
      <c r="BB34" s="15">
        <f t="shared" si="164"/>
        <v>0.10000000000000009</v>
      </c>
      <c r="BC34" s="15">
        <f t="shared" si="164"/>
        <v>7.0000000000000062E-2</v>
      </c>
      <c r="BD34" s="15">
        <f t="shared" si="164"/>
        <v>7.0000000000000062E-2</v>
      </c>
      <c r="BE34" s="15">
        <f t="shared" si="164"/>
        <v>5.0000000000000044E-2</v>
      </c>
      <c r="BF34" s="15">
        <f t="shared" ref="BF34" si="165">+BF14/BE14-1</f>
        <v>5.0000000000000044E-2</v>
      </c>
      <c r="BG34" s="15">
        <f t="shared" ref="BG34" si="166">+BG14/BF14-1</f>
        <v>5.0000000000000044E-2</v>
      </c>
      <c r="BH34" s="15">
        <f t="shared" ref="BH34" si="167">+BH14/BG14-1</f>
        <v>5.0000000000000044E-2</v>
      </c>
      <c r="BI34" s="15">
        <f t="shared" ref="BI34" si="168">+BI14/BH14-1</f>
        <v>5.0000000000000044E-2</v>
      </c>
      <c r="BJ34" s="15">
        <f t="shared" ref="BJ34" si="169">+BJ14/BI14-1</f>
        <v>5.0000000000000044E-2</v>
      </c>
      <c r="BL34" s="18" t="s">
        <v>72</v>
      </c>
      <c r="BM34" s="18">
        <v>0.02</v>
      </c>
    </row>
    <row r="35" spans="2:65" s="5" customFormat="1" ht="13" x14ac:dyDescent="0.3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0">+K13/G13-1</f>
        <v>0.48712233779098568</v>
      </c>
      <c r="L35" s="15">
        <f t="shared" ref="L35:Q35" si="171">+L13/H13-1</f>
        <v>0.83683105981112282</v>
      </c>
      <c r="M35" s="15">
        <f t="shared" si="171"/>
        <v>0.4304149295215407</v>
      </c>
      <c r="N35" s="15">
        <f t="shared" si="171"/>
        <v>0.25388525780682647</v>
      </c>
      <c r="O35" s="15">
        <f t="shared" si="171"/>
        <v>0.143880099916736</v>
      </c>
      <c r="P35" s="15">
        <f t="shared" si="171"/>
        <v>4.8271922307911996E-2</v>
      </c>
      <c r="Q35" s="15">
        <f t="shared" si="171"/>
        <v>-1.8598195697432374E-2</v>
      </c>
      <c r="R35" s="15">
        <f>+R13/N13-1</f>
        <v>-7.7609174099386058E-2</v>
      </c>
      <c r="S35" s="15">
        <f t="shared" ref="S35:V35" si="172">+S13/O13-1</f>
        <v>-2.5622361333527466E-2</v>
      </c>
      <c r="T35" s="15">
        <f t="shared" si="172"/>
        <v>4.4277929155313256E-2</v>
      </c>
      <c r="U35" s="15">
        <f t="shared" si="172"/>
        <v>0.12459340970159816</v>
      </c>
      <c r="V35" s="15">
        <f t="shared" si="172"/>
        <v>0.15534346351877426</v>
      </c>
      <c r="W35" s="15">
        <f t="shared" ref="W35:X35" si="173">+W13/S13-1</f>
        <v>0.20872553414014638</v>
      </c>
      <c r="X35" s="15">
        <f t="shared" si="173"/>
        <v>0.13020221787345077</v>
      </c>
      <c r="Y35" s="15">
        <f t="shared" ref="Y35" si="174">+Y13/U13-1</f>
        <v>0.12185613682092544</v>
      </c>
      <c r="Z35" s="15">
        <f t="shared" ref="Z35" si="175">+Z13/V13-1</f>
        <v>0.1383695652173913</v>
      </c>
      <c r="AA35" s="15">
        <f t="shared" ref="AA35" si="176">+AA13/W13-1</f>
        <v>0.10346106304079106</v>
      </c>
      <c r="AB35" s="15">
        <f t="shared" ref="AB35" si="177">+AB13/X13-1</f>
        <v>0.1307861018123051</v>
      </c>
      <c r="AC35" s="15">
        <f t="shared" ref="AC35" si="178">+AC13/Y13-1</f>
        <v>0.12000000000000011</v>
      </c>
      <c r="AD35" s="15">
        <f t="shared" ref="AD35" si="179">+AD13/Z13-1</f>
        <v>0.12000000000000011</v>
      </c>
      <c r="AE35" s="15"/>
      <c r="AF35" s="15"/>
      <c r="AG35" s="15"/>
      <c r="AH35" s="15"/>
      <c r="AI35" s="15"/>
      <c r="AS35" s="5">
        <f t="shared" ref="AS35:AV35" si="180">+AS13/AR13-1</f>
        <v>0.36871165644171788</v>
      </c>
      <c r="AT35" s="5">
        <f t="shared" si="180"/>
        <v>0.35804571940833707</v>
      </c>
      <c r="AU35" s="5">
        <f t="shared" si="180"/>
        <v>0.30516865799722748</v>
      </c>
      <c r="AV35" s="5">
        <f t="shared" si="180"/>
        <v>0.45888124620675708</v>
      </c>
      <c r="AW35" s="5">
        <f>+AW13/AV13-1</f>
        <v>1.3797885248743258E-2</v>
      </c>
      <c r="AX35" s="5">
        <f>+AX13/AW13-1</f>
        <v>7.7522825975447018E-2</v>
      </c>
      <c r="AY35" s="15">
        <f t="shared" ref="AY35:BE35" si="181">+AY13/AX13-1</f>
        <v>0.14715963186290071</v>
      </c>
      <c r="AZ35" s="15">
        <f t="shared" si="181"/>
        <v>0.11888344814230778</v>
      </c>
      <c r="BA35" s="15">
        <f t="shared" si="181"/>
        <v>5.0000000000000044E-2</v>
      </c>
      <c r="BB35" s="15">
        <f t="shared" si="181"/>
        <v>5.0000000000000044E-2</v>
      </c>
      <c r="BC35" s="15">
        <f t="shared" si="181"/>
        <v>5.0000000000000044E-2</v>
      </c>
      <c r="BD35" s="15">
        <f t="shared" si="181"/>
        <v>5.0000000000000044E-2</v>
      </c>
      <c r="BE35" s="15">
        <f t="shared" si="181"/>
        <v>5.0000000000000044E-2</v>
      </c>
      <c r="BF35" s="15">
        <f t="shared" ref="BF35" si="182">+BF13/BE13-1</f>
        <v>5.0000000000000044E-2</v>
      </c>
      <c r="BG35" s="15">
        <f t="shared" ref="BG35" si="183">+BG13/BF13-1</f>
        <v>5.0000000000000044E-2</v>
      </c>
      <c r="BH35" s="15">
        <f t="shared" ref="BH35" si="184">+BH13/BG13-1</f>
        <v>5.0000000000000044E-2</v>
      </c>
      <c r="BI35" s="15">
        <f t="shared" ref="BI35" si="185">+BI13/BH13-1</f>
        <v>5.0000000000000044E-2</v>
      </c>
      <c r="BJ35" s="15">
        <f t="shared" ref="BJ35" si="186">+BJ13/BI13-1</f>
        <v>5.0000000000000044E-2</v>
      </c>
      <c r="BL35" s="18" t="s">
        <v>73</v>
      </c>
      <c r="BM35" s="21">
        <v>0.08</v>
      </c>
    </row>
    <row r="36" spans="2:65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7">K15/G15-1</f>
        <v>0.33980836693020566</v>
      </c>
      <c r="L36" s="15">
        <f t="shared" ref="L36" si="188">L15/H15-1</f>
        <v>0.63090508988025484</v>
      </c>
      <c r="M36" s="15">
        <f t="shared" ref="M36" si="189">M15/I15-1</f>
        <v>0.40661921875367013</v>
      </c>
      <c r="N36" s="15">
        <f t="shared" ref="N36" si="190">N15/J15-1</f>
        <v>0.31257919921320898</v>
      </c>
      <c r="O36" s="15">
        <f>O15/K15-1</f>
        <v>0.20114111532299028</v>
      </c>
      <c r="P36" s="15">
        <f t="shared" ref="P36:Q36" si="191">P15/L15-1</f>
        <v>0.10117931554138115</v>
      </c>
      <c r="Q36" s="15">
        <f t="shared" si="191"/>
        <v>2.4931534299645897E-2</v>
      </c>
      <c r="R36" s="15">
        <f>R15/N15-1</f>
        <v>-2.2507204610951015E-2</v>
      </c>
      <c r="S36" s="15">
        <f t="shared" ref="S36:V36" si="192">S15/O15-1</f>
        <v>7.9548412285268544E-3</v>
      </c>
      <c r="T36" s="15">
        <f t="shared" si="192"/>
        <v>5.4804984007256419E-2</v>
      </c>
      <c r="U36" s="15">
        <f t="shared" si="192"/>
        <v>0.1076787721785033</v>
      </c>
      <c r="V36" s="15">
        <f t="shared" si="192"/>
        <v>0.12490049824582083</v>
      </c>
      <c r="W36" s="15">
        <f t="shared" ref="W36:X36" si="193">W15/S15-1</f>
        <v>0.13616629815529113</v>
      </c>
      <c r="X36" s="15">
        <f t="shared" si="193"/>
        <v>0.11530512182243347</v>
      </c>
      <c r="Y36" s="15">
        <f t="shared" ref="Y36" si="194">Y15/U15-1</f>
        <v>0.12537875444944557</v>
      </c>
      <c r="Z36" s="15">
        <f t="shared" ref="Z36" si="195">Z15/V15-1</f>
        <v>0.10199053871656782</v>
      </c>
      <c r="AA36" s="15">
        <f t="shared" ref="AA36" si="196">AA15/W15-1</f>
        <v>9.7531179863064255E-2</v>
      </c>
      <c r="AB36" s="15">
        <f t="shared" ref="AB36" si="197">AB15/X15-1</f>
        <v>0.11653230169895035</v>
      </c>
      <c r="AC36" s="15">
        <f t="shared" ref="AC36" si="198">AC15/Y15-1</f>
        <v>9.9907855182329364E-2</v>
      </c>
      <c r="AD36" s="15">
        <f t="shared" ref="AD36" si="199">AD15/Z15-1</f>
        <v>0.10040359597593174</v>
      </c>
      <c r="AE36" s="15"/>
      <c r="AF36" s="15"/>
      <c r="AG36" s="15"/>
      <c r="AH36" s="15"/>
      <c r="AI36" s="15"/>
      <c r="AS36" s="5">
        <f t="shared" ref="AS36:AW36" si="200">+AS15/AR15-1</f>
        <v>0.22568104346846218</v>
      </c>
      <c r="AT36" s="5">
        <f t="shared" si="200"/>
        <v>0.16319604057491333</v>
      </c>
      <c r="AU36" s="5">
        <f t="shared" si="200"/>
        <v>0.11071957846204517</v>
      </c>
      <c r="AV36" s="5">
        <f t="shared" si="200"/>
        <v>0.40853915260770313</v>
      </c>
      <c r="AW36" s="5">
        <f t="shared" si="200"/>
        <v>6.7355986005919188E-2</v>
      </c>
      <c r="AX36" s="5">
        <f>+AX15/AW15-1</f>
        <v>7.5001577735003711E-2</v>
      </c>
      <c r="AY36" s="15">
        <f t="shared" ref="AY36:BE36" si="201">+AY15/AX15-1</f>
        <v>0.11883262457667221</v>
      </c>
      <c r="AZ36" s="15">
        <f t="shared" si="201"/>
        <v>0.10352635030990731</v>
      </c>
      <c r="BA36" s="15">
        <f t="shared" si="201"/>
        <v>7.8104202550330903E-2</v>
      </c>
      <c r="BB36" s="15">
        <f t="shared" si="201"/>
        <v>7.8969692395628011E-2</v>
      </c>
      <c r="BC36" s="15">
        <f t="shared" si="201"/>
        <v>5.9442518471550798E-2</v>
      </c>
      <c r="BD36" s="15">
        <f t="shared" si="201"/>
        <v>5.9692907365848313E-2</v>
      </c>
      <c r="BE36" s="15">
        <f t="shared" si="201"/>
        <v>4.608822472523233E-2</v>
      </c>
      <c r="BF36" s="15">
        <f t="shared" ref="BF36" si="202">+BF15/BE15-1</f>
        <v>4.6148385539786618E-2</v>
      </c>
      <c r="BG36" s="15">
        <f t="shared" ref="BG36" si="203">+BG15/BF15-1</f>
        <v>4.62078392044043E-2</v>
      </c>
      <c r="BH36" s="15">
        <f t="shared" ref="BH36" si="204">+BH15/BG15-1</f>
        <v>4.6266587313631868E-2</v>
      </c>
      <c r="BI36" s="15">
        <f t="shared" ref="BI36" si="205">+BI15/BH15-1</f>
        <v>4.6324631682224782E-2</v>
      </c>
      <c r="BJ36" s="15">
        <f t="shared" ref="BJ36" si="206">+BJ15/BI15-1</f>
        <v>4.6381974338860488E-2</v>
      </c>
      <c r="BL36" s="5" t="s">
        <v>74</v>
      </c>
      <c r="BM36" s="5">
        <v>0.03</v>
      </c>
    </row>
    <row r="37" spans="2:65" s="5" customFormat="1" x14ac:dyDescent="0.25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7">T12/P12-1</f>
        <v>-4.9521733866085493E-2</v>
      </c>
      <c r="U37" s="15">
        <f t="shared" ref="U37" si="208">U12/Q12-1</f>
        <v>-2.5787601626016232E-2</v>
      </c>
      <c r="V37" s="15">
        <f t="shared" ref="V37" si="209">V12/R12-1</f>
        <v>-2.1002949852507391E-2</v>
      </c>
      <c r="W37" s="15">
        <f t="shared" ref="W37" si="210">W12/S12-1</f>
        <v>-1.1072572038420492E-2</v>
      </c>
      <c r="X37" s="15">
        <f t="shared" ref="X37:Z37" si="211">X12/T12-1</f>
        <v>-5.1719745222929991E-2</v>
      </c>
      <c r="Y37" s="15">
        <f t="shared" si="211"/>
        <v>-1.5777806754466051E-2</v>
      </c>
      <c r="Z37" s="15">
        <f t="shared" si="211"/>
        <v>-4.1340243461492121E-2</v>
      </c>
      <c r="AA37" s="15">
        <f>AA12/W12-1</f>
        <v>-2.1179009847565045E-2</v>
      </c>
      <c r="AB37" s="15">
        <f>AB12/X12-1</f>
        <v>-1.2090274046211769E-2</v>
      </c>
      <c r="AC37" s="15"/>
      <c r="AD37" s="15"/>
      <c r="AE37" s="15"/>
      <c r="AF37" s="15"/>
      <c r="AG37" s="15"/>
      <c r="AH37" s="15"/>
      <c r="AI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</row>
    <row r="38" spans="2:65" s="5" customFormat="1" x14ac:dyDescent="0.25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2">T11/P11-1</f>
        <v>0.24248435830917137</v>
      </c>
      <c r="U38" s="15">
        <f t="shared" ref="U38" si="213">U11/Q11-1</f>
        <v>0.20942712110224804</v>
      </c>
      <c r="V38" s="15">
        <f t="shared" ref="V38:Y38" si="214">V11/R11-1</f>
        <v>0.22714870395634379</v>
      </c>
      <c r="W38" s="15">
        <f t="shared" si="214"/>
        <v>0.17887494941319293</v>
      </c>
      <c r="X38" s="15">
        <f t="shared" si="214"/>
        <v>0.14369933677229185</v>
      </c>
      <c r="Y38" s="15">
        <f t="shared" si="214"/>
        <v>0.2778510612783307</v>
      </c>
      <c r="Z38" s="15">
        <f>Z11/V11-1</f>
        <v>7.772836761163604E-2</v>
      </c>
      <c r="AA38" s="15">
        <f>AA11/W11-1</f>
        <v>0.18766449250486317</v>
      </c>
      <c r="AB38" s="15">
        <f>AB11/X11-1</f>
        <v>0.20307130584192445</v>
      </c>
      <c r="AC38" s="15"/>
      <c r="AD38" s="15"/>
      <c r="AE38" s="15"/>
      <c r="AF38" s="15"/>
      <c r="AG38" s="15"/>
      <c r="AH38" s="15"/>
      <c r="AI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</row>
    <row r="39" spans="2:65" s="5" customFormat="1" x14ac:dyDescent="0.25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5">K10/G10-1</f>
        <v>0.4573280518545193</v>
      </c>
      <c r="L39" s="15">
        <f t="shared" ref="L39" si="216">L10/H10-1</f>
        <v>0.53907549052211512</v>
      </c>
      <c r="M39" s="15">
        <f t="shared" ref="M39" si="217">M10/I10-1</f>
        <v>0.44889663182346107</v>
      </c>
      <c r="N39" s="15">
        <f t="shared" ref="N39" si="218">N10/J10-1</f>
        <v>0.44635865309318712</v>
      </c>
      <c r="O39" s="15">
        <f>O10/K10-1</f>
        <v>0.4383493946132937</v>
      </c>
      <c r="P39" s="15">
        <f t="shared" ref="P39:Q39" si="219">P10/L10-1</f>
        <v>0.35609334485738975</v>
      </c>
      <c r="Q39" s="15">
        <f t="shared" si="219"/>
        <v>0.37635270541082155</v>
      </c>
      <c r="R39" s="15">
        <f>R10/N10-1</f>
        <v>0.3201588160981772</v>
      </c>
      <c r="S39" s="15">
        <f t="shared" ref="S39:V39" si="220">S10/O10-1</f>
        <v>0.28053599037965982</v>
      </c>
      <c r="T39" s="15">
        <f t="shared" si="220"/>
        <v>0.2796367112810707</v>
      </c>
      <c r="U39" s="15">
        <f t="shared" si="220"/>
        <v>0.22466511357018049</v>
      </c>
      <c r="V39" s="15">
        <f t="shared" si="220"/>
        <v>0.25659603554340404</v>
      </c>
      <c r="W39" s="15">
        <f t="shared" ref="W39:X39" si="221">W10/S10-1</f>
        <v>0.28441105446740012</v>
      </c>
      <c r="X39" s="15">
        <f t="shared" si="221"/>
        <v>0.28838251774374291</v>
      </c>
      <c r="Y39" s="15">
        <f>Y10/U10-1</f>
        <v>0.34978004993460954</v>
      </c>
      <c r="Z39" s="15">
        <f t="shared" ref="Z39" si="222">Z10/V10-1</f>
        <v>0.3005874673629243</v>
      </c>
      <c r="AA39" s="15">
        <f t="shared" ref="AA39" si="223">AA10/W10-1</f>
        <v>0.28055149362857734</v>
      </c>
      <c r="AB39" s="15">
        <f t="shared" ref="AB39" si="224">AB10/X10-1</f>
        <v>0.31671015753358467</v>
      </c>
      <c r="AC39" s="15">
        <f t="shared" ref="AC39" si="225">AC10/Y10-1</f>
        <v>0.30000000000000004</v>
      </c>
      <c r="AD39" s="15">
        <f t="shared" ref="AD39" si="226">AD10/Z10-1</f>
        <v>0.30000000000000004</v>
      </c>
      <c r="AE39" s="15"/>
      <c r="AF39" s="15"/>
      <c r="AG39" s="15"/>
      <c r="AH39" s="15"/>
      <c r="AI39" s="15"/>
      <c r="AS39" s="5">
        <f t="shared" ref="AS39:AW39" si="227">+AS10/AR10-1</f>
        <v>0.43934911242603558</v>
      </c>
      <c r="AT39" s="5">
        <f t="shared" si="227"/>
        <v>0.52757793764988015</v>
      </c>
      <c r="AU39" s="5">
        <f t="shared" si="227"/>
        <v>0.46434178066831122</v>
      </c>
      <c r="AV39" s="5">
        <f t="shared" si="227"/>
        <v>0.47070985527222597</v>
      </c>
      <c r="AW39" s="5">
        <f t="shared" si="227"/>
        <v>0.36832239925023424</v>
      </c>
      <c r="AX39" s="5">
        <f>+AX10/AW10-1</f>
        <v>0.25905631659056327</v>
      </c>
      <c r="AY39" s="15">
        <f t="shared" ref="AY39:BE39" si="228">+AY10/AX10-1</f>
        <v>0.30648573500967125</v>
      </c>
      <c r="AZ39" s="15">
        <f t="shared" si="228"/>
        <v>0.29969233616322377</v>
      </c>
      <c r="BA39" s="15">
        <f t="shared" si="228"/>
        <v>0.30000000000000004</v>
      </c>
      <c r="BB39" s="15">
        <f t="shared" si="228"/>
        <v>0.30000000000000004</v>
      </c>
      <c r="BC39" s="15">
        <f t="shared" si="228"/>
        <v>0.10000000000000009</v>
      </c>
      <c r="BD39" s="15">
        <f t="shared" si="228"/>
        <v>0.10000000000000009</v>
      </c>
      <c r="BE39" s="15">
        <f t="shared" si="228"/>
        <v>0.10000000000000009</v>
      </c>
      <c r="BF39" s="15">
        <f t="shared" ref="BF39" si="229">+BF10/BE10-1</f>
        <v>0.10000000000000009</v>
      </c>
      <c r="BG39" s="15">
        <f t="shared" ref="BG39" si="230">+BG10/BF10-1</f>
        <v>0.10000000000000009</v>
      </c>
      <c r="BH39" s="15">
        <f t="shared" ref="BH39" si="231">+BH10/BG10-1</f>
        <v>0.10000000000000009</v>
      </c>
      <c r="BI39" s="15">
        <f t="shared" ref="BI39" si="232">+BI10/BH10-1</f>
        <v>0.10000000000000009</v>
      </c>
      <c r="BJ39" s="15">
        <f t="shared" ref="BJ39" si="233">+BJ10/BI10-1</f>
        <v>0.10000000000000009</v>
      </c>
      <c r="BL39" s="5" t="s">
        <v>75</v>
      </c>
      <c r="BM39" s="3">
        <f>NPV(BM35,BA28:DM28)+Main!L5-Main!L6</f>
        <v>3601476.0384379262</v>
      </c>
    </row>
    <row r="40" spans="2:65" s="18" customFormat="1" ht="13" x14ac:dyDescent="0.3">
      <c r="B40" s="18" t="s">
        <v>33</v>
      </c>
      <c r="C40" s="16"/>
      <c r="D40" s="16"/>
      <c r="E40" s="16"/>
      <c r="F40" s="16"/>
      <c r="G40" s="16">
        <f t="shared" ref="G40:H40" si="234">G19/G16</f>
        <v>0.53881289632887097</v>
      </c>
      <c r="H40" s="16">
        <f t="shared" si="234"/>
        <v>0.51554952085019712</v>
      </c>
      <c r="I40" s="16">
        <f t="shared" ref="I40" si="235">I19/I16</f>
        <v>0.54265479825872265</v>
      </c>
      <c r="J40" s="16">
        <f t="shared" ref="J40" si="236">J19/J16</f>
        <v>0.54163590987380927</v>
      </c>
      <c r="K40" s="16">
        <f>K19/K16</f>
        <v>0.56425136493473627</v>
      </c>
      <c r="L40" s="16">
        <f t="shared" ref="L40:O40" si="237">L19/L16</f>
        <v>0.57616354234001288</v>
      </c>
      <c r="M40" s="16">
        <f t="shared" si="237"/>
        <v>0.57583156730857832</v>
      </c>
      <c r="N40" s="16">
        <f t="shared" si="237"/>
        <v>0.56205774975107869</v>
      </c>
      <c r="O40" s="16">
        <f t="shared" si="237"/>
        <v>0.5647909896928438</v>
      </c>
      <c r="P40" s="16">
        <f t="shared" ref="P40:Q40" si="238">P19/P16</f>
        <v>0.56799885197675248</v>
      </c>
      <c r="Q40" s="16">
        <f t="shared" si="238"/>
        <v>0.54903606785156023</v>
      </c>
      <c r="R40" s="16">
        <f>R19/R16</f>
        <v>0.53526719966337055</v>
      </c>
      <c r="S40" s="16">
        <f t="shared" ref="S40:V40" si="239">S19/S16</f>
        <v>0.56135096794531936</v>
      </c>
      <c r="T40" s="16">
        <f t="shared" si="239"/>
        <v>0.5721945204010509</v>
      </c>
      <c r="U40" s="16">
        <f t="shared" si="239"/>
        <v>0.56672708069836886</v>
      </c>
      <c r="V40" s="16">
        <f t="shared" si="239"/>
        <v>0.56465067778936395</v>
      </c>
      <c r="W40" s="16">
        <f t="shared" ref="W40:AD40" si="240">W19/W16</f>
        <v>0.58142018152696207</v>
      </c>
      <c r="X40" s="16">
        <f t="shared" si="240"/>
        <v>0.58099879634655782</v>
      </c>
      <c r="Y40" s="16">
        <f t="shared" si="240"/>
        <v>0.58678116644763678</v>
      </c>
      <c r="Z40" s="16">
        <f t="shared" si="240"/>
        <v>0.5790046543449191</v>
      </c>
      <c r="AA40" s="16">
        <f t="shared" si="240"/>
        <v>0.57999999999999996</v>
      </c>
      <c r="AB40" s="16">
        <f t="shared" si="240"/>
        <v>0.59514871199236741</v>
      </c>
      <c r="AC40" s="16">
        <f t="shared" si="240"/>
        <v>0.57999999999999996</v>
      </c>
      <c r="AD40" s="16">
        <f t="shared" si="240"/>
        <v>0.57999999999999996</v>
      </c>
      <c r="AE40" s="16"/>
      <c r="AF40" s="16"/>
      <c r="AG40" s="16"/>
      <c r="AH40" s="16"/>
      <c r="AI40" s="16"/>
      <c r="AO40" s="18">
        <f t="shared" ref="AO40" si="241">AO19/AO16</f>
        <v>0.6107483219951213</v>
      </c>
      <c r="AP40" s="18">
        <f t="shared" ref="AP40" si="242">AP19/AP16</f>
        <v>0.62442491565429592</v>
      </c>
      <c r="AQ40" s="18">
        <f t="shared" ref="AQ40:AR40" si="243">AQ19/AQ16</f>
        <v>0.61075416518964909</v>
      </c>
      <c r="AR40" s="18">
        <f t="shared" si="243"/>
        <v>0.58880519597672631</v>
      </c>
      <c r="AS40" s="18">
        <f t="shared" ref="AS40:AU40" si="244">AS19/AS16</f>
        <v>0.5647607422945643</v>
      </c>
      <c r="AT40" s="18">
        <f t="shared" si="244"/>
        <v>0.5558054331910266</v>
      </c>
      <c r="AU40" s="18">
        <f t="shared" si="244"/>
        <v>0.53578374706207854</v>
      </c>
      <c r="AV40" s="18">
        <f>AV19/AV16</f>
        <v>0.5693980290098084</v>
      </c>
      <c r="AW40" s="18">
        <f>AW19/AW16</f>
        <v>0.55379442503783116</v>
      </c>
      <c r="AX40" s="18">
        <f t="shared" ref="AX40" si="245">AX19/AX16</f>
        <v>0.56000000000000005</v>
      </c>
      <c r="AY40" s="16">
        <f t="shared" ref="AY40:BE40" si="246">AY19/AY16</f>
        <v>0.58200435406179107</v>
      </c>
      <c r="AZ40" s="16">
        <f t="shared" si="246"/>
        <v>0.58392245688740274</v>
      </c>
      <c r="BA40" s="16">
        <f t="shared" si="246"/>
        <v>0.56000000000000005</v>
      </c>
      <c r="BB40" s="16">
        <f t="shared" si="246"/>
        <v>0.56000000000000005</v>
      </c>
      <c r="BC40" s="16">
        <f t="shared" si="246"/>
        <v>0.56000000000000005</v>
      </c>
      <c r="BD40" s="16">
        <f t="shared" si="246"/>
        <v>0.56000000000000005</v>
      </c>
      <c r="BE40" s="16">
        <f t="shared" si="246"/>
        <v>0.56000000000000005</v>
      </c>
      <c r="BF40" s="16">
        <f t="shared" ref="BF40:BJ40" si="247">BF19/BF16</f>
        <v>0.56000000000000005</v>
      </c>
      <c r="BG40" s="16">
        <f t="shared" si="247"/>
        <v>0.56000000000000005</v>
      </c>
      <c r="BH40" s="16">
        <f t="shared" si="247"/>
        <v>0.56000000000000005</v>
      </c>
      <c r="BI40" s="16">
        <f t="shared" si="247"/>
        <v>0.56000000000000005</v>
      </c>
      <c r="BJ40" s="16">
        <f t="shared" si="247"/>
        <v>0.56000000000000005</v>
      </c>
      <c r="BL40" s="5" t="s">
        <v>76</v>
      </c>
      <c r="BM40" s="1">
        <f>+BM39/Main!L3</f>
        <v>293.01733288080106</v>
      </c>
    </row>
    <row r="41" spans="2:65" s="5" customFormat="1" x14ac:dyDescent="0.25">
      <c r="B41" s="5" t="s">
        <v>70</v>
      </c>
      <c r="C41" s="15"/>
      <c r="D41" s="15"/>
      <c r="E41" s="15"/>
      <c r="F41" s="15"/>
      <c r="G41" s="15">
        <f t="shared" ref="G41" si="248">+G27/G26</f>
        <v>0.11873146835116669</v>
      </c>
      <c r="H41" s="15">
        <f>+H27/H26</f>
        <v>0.15923643832306392</v>
      </c>
      <c r="I41" s="15">
        <f t="shared" ref="I41:Q41" si="249">+I27/I26</f>
        <v>0.15809566584325174</v>
      </c>
      <c r="J41" s="15">
        <f t="shared" si="249"/>
        <v>0.18524265610787094</v>
      </c>
      <c r="K41" s="15">
        <f t="shared" si="249"/>
        <v>0.15754357938260583</v>
      </c>
      <c r="L41" s="15">
        <f t="shared" si="249"/>
        <v>0.16</v>
      </c>
      <c r="M41" s="15">
        <f t="shared" si="249"/>
        <v>0.17898022892819979</v>
      </c>
      <c r="N41" s="15">
        <f t="shared" si="249"/>
        <v>0.15408573067781328</v>
      </c>
      <c r="O41" s="15">
        <f t="shared" si="249"/>
        <v>0.13193197422625963</v>
      </c>
      <c r="P41" s="15">
        <f t="shared" si="249"/>
        <v>0.15840959293152415</v>
      </c>
      <c r="Q41" s="15">
        <f t="shared" si="249"/>
        <v>0.14310355448777182</v>
      </c>
      <c r="R41" s="15">
        <f>+R27/R26</f>
        <v>0.20545868081880211</v>
      </c>
      <c r="S41" s="15">
        <f t="shared" ref="S41:V41" si="250">+S27/S26</f>
        <v>0.17324910738808019</v>
      </c>
      <c r="T41" s="15">
        <f t="shared" si="250"/>
        <v>0.16139341642697347</v>
      </c>
      <c r="U41" s="15">
        <f t="shared" si="250"/>
        <v>7.1142142756050381E-2</v>
      </c>
      <c r="V41" s="15">
        <f t="shared" si="250"/>
        <v>0.15559082745081659</v>
      </c>
      <c r="W41" s="15">
        <f t="shared" ref="W41:X41" si="251">+W27/W26</f>
        <v>0.17846732126419146</v>
      </c>
      <c r="X41" s="15">
        <f t="shared" si="251"/>
        <v>0.14271714275343908</v>
      </c>
      <c r="Y41" s="15">
        <f t="shared" ref="Y41:Z41" si="252">+Y27/Y26</f>
        <v>0.18950948423968303</v>
      </c>
      <c r="Z41" s="15">
        <f t="shared" si="252"/>
        <v>0.17663262147941813</v>
      </c>
      <c r="AA41" s="15">
        <f t="shared" ref="AA41:AD41" si="253">+AA27/AA26</f>
        <v>0.24061816529395819</v>
      </c>
      <c r="AB41" s="15">
        <f t="shared" si="253"/>
        <v>0.16906845843279403</v>
      </c>
      <c r="AC41" s="15">
        <f t="shared" si="253"/>
        <v>0.18</v>
      </c>
      <c r="AD41" s="15">
        <f t="shared" si="253"/>
        <v>0.18</v>
      </c>
      <c r="AE41" s="15"/>
      <c r="AF41" s="15"/>
      <c r="AG41" s="15"/>
      <c r="AH41" s="15"/>
      <c r="AI41" s="15"/>
      <c r="AO41" s="15">
        <f t="shared" ref="AO41" si="254">+AO27/AO26</f>
        <v>0.21084651486181122</v>
      </c>
      <c r="AP41" s="15">
        <f t="shared" ref="AP41" si="255">+AP27/AP26</f>
        <v>0.16808304920869166</v>
      </c>
      <c r="AQ41" s="15">
        <f t="shared" ref="AQ41:AR41" si="256">+AQ27/AQ26</f>
        <v>0.19345755693581781</v>
      </c>
      <c r="AR41" s="15">
        <f t="shared" si="256"/>
        <v>0.48551572053860803</v>
      </c>
      <c r="AS41" s="15">
        <f t="shared" ref="AS41:AU41" si="257">+AS27/AS26</f>
        <v>0.10446678671468587</v>
      </c>
      <c r="AT41" s="15">
        <f t="shared" si="257"/>
        <v>0.12782537147282319</v>
      </c>
      <c r="AU41" s="15">
        <f t="shared" si="257"/>
        <v>0.16249324071378063</v>
      </c>
      <c r="AV41" s="15">
        <f t="shared" ref="AV41:AX41" si="258">+AV27/AV26</f>
        <v>0.16202305640663919</v>
      </c>
      <c r="AW41" s="15">
        <f>+AW27/AW26</f>
        <v>0.1592081650964558</v>
      </c>
      <c r="AX41" s="15">
        <f t="shared" si="258"/>
        <v>0.18</v>
      </c>
      <c r="AY41" s="15">
        <f t="shared" ref="AY41:BE41" si="259">+AY27/AY26</f>
        <v>0.17209533961242071</v>
      </c>
      <c r="AZ41" s="15">
        <f t="shared" si="259"/>
        <v>0.19075235910444477</v>
      </c>
      <c r="BA41" s="15">
        <f t="shared" si="259"/>
        <v>0.18</v>
      </c>
      <c r="BB41" s="15">
        <f t="shared" si="259"/>
        <v>0.18</v>
      </c>
      <c r="BC41" s="15">
        <f t="shared" si="259"/>
        <v>0.18</v>
      </c>
      <c r="BD41" s="15">
        <f t="shared" si="259"/>
        <v>0.18</v>
      </c>
      <c r="BE41" s="15">
        <f t="shared" si="259"/>
        <v>0.18</v>
      </c>
      <c r="BF41" s="15">
        <f t="shared" ref="BF41:BJ41" si="260">+BF27/BF26</f>
        <v>0.18</v>
      </c>
      <c r="BG41" s="15">
        <f t="shared" si="260"/>
        <v>0.18</v>
      </c>
      <c r="BH41" s="15">
        <f t="shared" si="260"/>
        <v>0.18</v>
      </c>
      <c r="BI41" s="15">
        <f t="shared" si="260"/>
        <v>0.18</v>
      </c>
      <c r="BJ41" s="15">
        <f t="shared" si="260"/>
        <v>0.18</v>
      </c>
      <c r="BL41" s="5" t="s">
        <v>229</v>
      </c>
      <c r="BM41" s="1">
        <v>171</v>
      </c>
    </row>
    <row r="42" spans="2:65" s="5" customFormat="1" ht="13" x14ac:dyDescent="0.3">
      <c r="B42" s="5" t="s">
        <v>47</v>
      </c>
      <c r="C42" s="15"/>
      <c r="D42" s="15"/>
      <c r="E42" s="15"/>
      <c r="F42" s="15"/>
      <c r="G42" s="15">
        <f t="shared" ref="G42:H42" si="261">G14/G16</f>
        <v>0.5953011492018756</v>
      </c>
      <c r="H42" s="15">
        <f t="shared" si="261"/>
        <v>0.55667545760764547</v>
      </c>
      <c r="I42" s="15">
        <f t="shared" ref="I42" si="262">I14/I16</f>
        <v>0.57041994239057459</v>
      </c>
      <c r="J42" s="15">
        <f>J14/J16</f>
        <v>0.56070512144539353</v>
      </c>
      <c r="K42" s="15">
        <f t="shared" ref="K42:O42" si="263">K14/K16</f>
        <v>0.57632787359438842</v>
      </c>
      <c r="L42" s="15">
        <f t="shared" si="263"/>
        <v>0.57926632191338079</v>
      </c>
      <c r="M42" s="15">
        <f t="shared" si="263"/>
        <v>0.58241960748180222</v>
      </c>
      <c r="N42" s="15">
        <f t="shared" si="263"/>
        <v>0.5748556256223033</v>
      </c>
      <c r="O42" s="15">
        <f t="shared" si="263"/>
        <v>0.58252341532987306</v>
      </c>
      <c r="P42" s="15">
        <f t="shared" ref="P42:Q42" si="264">P14/P16</f>
        <v>0.58389897395422252</v>
      </c>
      <c r="Q42" s="15">
        <f t="shared" si="264"/>
        <v>0.57226596422161757</v>
      </c>
      <c r="R42" s="15">
        <f>R14/R16</f>
        <v>0.56022512097622557</v>
      </c>
      <c r="S42" s="15">
        <f t="shared" ref="S42:V42" si="265">S14/S16</f>
        <v>0.57831687850172664</v>
      </c>
      <c r="T42" s="15">
        <f t="shared" si="265"/>
        <v>0.57139027397994746</v>
      </c>
      <c r="U42" s="15">
        <f t="shared" si="265"/>
        <v>0.574054998500515</v>
      </c>
      <c r="V42" s="15">
        <f t="shared" si="265"/>
        <v>0.55636658556366581</v>
      </c>
      <c r="W42" s="15">
        <f t="shared" ref="W42:X42" si="266">W14/W16</f>
        <v>0.57308881411490087</v>
      </c>
      <c r="X42" s="15">
        <f t="shared" si="266"/>
        <v>0.57243161596374881</v>
      </c>
      <c r="Y42" s="15">
        <f t="shared" ref="Y42:Z42" si="267">Y14/Y16</f>
        <v>0.55948928263923503</v>
      </c>
      <c r="Z42" s="15">
        <f t="shared" si="267"/>
        <v>0.5601177580362604</v>
      </c>
      <c r="AA42" s="15">
        <f t="shared" ref="AA42:AD42" si="268">AA14/AA16</f>
        <v>0.56189462951880664</v>
      </c>
      <c r="AB42" s="15">
        <f>AB14/AB16</f>
        <v>0.56197370058489238</v>
      </c>
      <c r="AC42" s="15">
        <f t="shared" si="268"/>
        <v>0.55203303899211342</v>
      </c>
      <c r="AD42" s="15">
        <f t="shared" si="268"/>
        <v>0.55289805827569694</v>
      </c>
      <c r="AE42" s="15"/>
      <c r="AF42" s="15"/>
      <c r="AG42" s="15"/>
      <c r="AH42" s="15"/>
      <c r="AI42" s="15"/>
      <c r="AU42" s="15">
        <f t="shared" ref="AU42:AX42" si="269">AU14/AU16</f>
        <v>0.57011839344316184</v>
      </c>
      <c r="AV42" s="15">
        <f t="shared" si="269"/>
        <v>0.57814289096674776</v>
      </c>
      <c r="AW42" s="15">
        <f t="shared" si="269"/>
        <v>0.57436111386103605</v>
      </c>
      <c r="AX42" s="15">
        <f t="shared" si="269"/>
        <v>0.56940929230889348</v>
      </c>
      <c r="AY42" s="15">
        <f t="shared" ref="AY42:BE42" si="270">AY14/AY16</f>
        <v>0.56592518099069189</v>
      </c>
      <c r="AZ42" s="15">
        <f t="shared" si="270"/>
        <v>0.55716613167205387</v>
      </c>
      <c r="BA42" s="15">
        <f t="shared" si="270"/>
        <v>0.55242297020529962</v>
      </c>
      <c r="BB42" s="15">
        <f t="shared" si="270"/>
        <v>0.54468928616829115</v>
      </c>
      <c r="BC42" s="15">
        <f t="shared" si="270"/>
        <v>0.54613525301430499</v>
      </c>
      <c r="BD42" s="15">
        <f t="shared" si="270"/>
        <v>0.54735370156984564</v>
      </c>
      <c r="BE42" s="15">
        <f t="shared" si="270"/>
        <v>0.5436674616082996</v>
      </c>
      <c r="BF42" s="15">
        <f t="shared" ref="BF42:BJ42" si="271">BF14/BF16</f>
        <v>0.53974882581430961</v>
      </c>
      <c r="BG42" s="15">
        <f t="shared" si="271"/>
        <v>0.53559781978545618</v>
      </c>
      <c r="BH42" s="15">
        <f t="shared" si="271"/>
        <v>0.53121498131256062</v>
      </c>
      <c r="BI42" s="15">
        <f t="shared" si="271"/>
        <v>0.52660138398670753</v>
      </c>
      <c r="BJ42" s="15">
        <f t="shared" si="271"/>
        <v>0.52175865874888971</v>
      </c>
      <c r="BL42" s="18" t="s">
        <v>230</v>
      </c>
      <c r="BM42" s="18">
        <f>+BM40/BM41-1</f>
        <v>0.71355165427369038</v>
      </c>
    </row>
    <row r="43" spans="2:65" s="5" customFormat="1" x14ac:dyDescent="0.25">
      <c r="B43" s="5" t="s">
        <v>104</v>
      </c>
      <c r="C43" s="15"/>
      <c r="D43" s="15"/>
      <c r="E43" s="15"/>
      <c r="F43" s="15"/>
      <c r="G43" s="15">
        <f t="shared" ref="G43:J43" si="272">(G14+G13+G12)/G16</f>
        <v>0.82030661580699238</v>
      </c>
      <c r="H43" s="15">
        <f t="shared" si="272"/>
        <v>0.7798783194506097</v>
      </c>
      <c r="I43" s="15">
        <f t="shared" si="272"/>
        <v>0.80339159248911707</v>
      </c>
      <c r="J43" s="15">
        <f t="shared" si="272"/>
        <v>0.81196175612499566</v>
      </c>
      <c r="K43" s="15">
        <f t="shared" ref="K43:Q43" si="273">(K14+K13+K12)/K16</f>
        <v>0.80782442058068482</v>
      </c>
      <c r="L43" s="15">
        <f t="shared" si="273"/>
        <v>0.81519069166127989</v>
      </c>
      <c r="M43" s="15">
        <f t="shared" si="273"/>
        <v>0.81590343683774069</v>
      </c>
      <c r="N43" s="15">
        <f t="shared" si="273"/>
        <v>0.81299701294390969</v>
      </c>
      <c r="O43" s="15">
        <f t="shared" si="273"/>
        <v>0.80370822366970052</v>
      </c>
      <c r="P43" s="15">
        <f t="shared" si="273"/>
        <v>0.80774915692042759</v>
      </c>
      <c r="Q43" s="15">
        <f t="shared" si="273"/>
        <v>0.78854281248190816</v>
      </c>
      <c r="R43" s="15">
        <f>(R14+R13+R12)/R16</f>
        <v>0.77637807700399752</v>
      </c>
      <c r="S43" s="15">
        <f t="shared" ref="S43:V43" si="274">(S14+S13+S12)/S16</f>
        <v>0.78163554816799685</v>
      </c>
      <c r="T43" s="15">
        <f t="shared" si="274"/>
        <v>0.779354994370275</v>
      </c>
      <c r="U43" s="15">
        <f t="shared" si="274"/>
        <v>0.77773721200109525</v>
      </c>
      <c r="V43" s="15">
        <f t="shared" si="274"/>
        <v>0.75908932916232186</v>
      </c>
      <c r="W43" s="15">
        <f t="shared" ref="W43:X43" si="275">(W14+W13+W12)/W16</f>
        <v>0.76557940873365704</v>
      </c>
      <c r="X43" s="15">
        <f t="shared" si="275"/>
        <v>0.76250265511788728</v>
      </c>
      <c r="Y43" s="15">
        <f t="shared" ref="Y43:Z43" si="276">(Y14+Y13+Y12)/Y16</f>
        <v>0.74606879050165409</v>
      </c>
      <c r="Z43" s="15">
        <f t="shared" si="276"/>
        <v>0.75113248815681721</v>
      </c>
      <c r="AA43" s="15">
        <f t="shared" ref="AA43:AD43" si="277">(AA14+AA13+AA12)/AA16</f>
        <v>0.74123944411197551</v>
      </c>
      <c r="AB43" s="15">
        <f>(AB14+AB13+AB12)/AB16</f>
        <v>0.73982660637988962</v>
      </c>
      <c r="AC43" s="15">
        <f t="shared" si="277"/>
        <v>0.72942326274145686</v>
      </c>
      <c r="AD43" s="15">
        <f t="shared" si="277"/>
        <v>0.73508381911163501</v>
      </c>
      <c r="AE43" s="15"/>
      <c r="AF43" s="15"/>
      <c r="AG43" s="15"/>
      <c r="AH43" s="15"/>
      <c r="AI43" s="15"/>
      <c r="AO43" s="15">
        <f t="shared" ref="AO43:BE43" si="278">(AO14+AO13+AO12)/AO16</f>
        <v>0</v>
      </c>
      <c r="AP43" s="15"/>
      <c r="AQ43" s="15"/>
      <c r="AR43" s="15">
        <f t="shared" si="278"/>
        <v>0.86218032565062463</v>
      </c>
      <c r="AS43" s="15">
        <f t="shared" si="278"/>
        <v>0.85120487651568866</v>
      </c>
      <c r="AT43" s="15">
        <f t="shared" si="278"/>
        <v>0.83290188252593333</v>
      </c>
      <c r="AU43" s="15">
        <f t="shared" si="278"/>
        <v>0.80494392610408327</v>
      </c>
      <c r="AV43" s="15">
        <f t="shared" si="278"/>
        <v>0.81314795623299452</v>
      </c>
      <c r="AW43" s="15">
        <f t="shared" si="278"/>
        <v>0.79365073752987592</v>
      </c>
      <c r="AX43" s="15">
        <f t="shared" si="278"/>
        <v>0.7737789286713469</v>
      </c>
      <c r="AY43" s="15">
        <f t="shared" si="278"/>
        <v>0.75593255204018084</v>
      </c>
      <c r="AZ43" s="15">
        <f t="shared" si="278"/>
        <v>0.73650275762718898</v>
      </c>
      <c r="BA43" s="15">
        <f t="shared" si="278"/>
        <v>0.72076682919118995</v>
      </c>
      <c r="BB43" s="15">
        <f t="shared" si="278"/>
        <v>0.70185393187760137</v>
      </c>
      <c r="BC43" s="15">
        <f t="shared" si="278"/>
        <v>0.69953855593636416</v>
      </c>
      <c r="BD43" s="15">
        <f t="shared" si="278"/>
        <v>0.69703584702142884</v>
      </c>
      <c r="BE43" s="15">
        <f t="shared" si="278"/>
        <v>0.69118241102112221</v>
      </c>
      <c r="BF43" s="15">
        <f t="shared" ref="BF43:BJ43" si="279">(BF14+BF13+BF12)/BF16</f>
        <v>0.68507165633841605</v>
      </c>
      <c r="BG43" s="15">
        <f t="shared" si="279"/>
        <v>0.67870418182604764</v>
      </c>
      <c r="BH43" s="15">
        <f t="shared" si="279"/>
        <v>0.67208119890921347</v>
      </c>
      <c r="BI43" s="15">
        <f t="shared" si="279"/>
        <v>0.66520455766979758</v>
      </c>
      <c r="BJ43" s="15">
        <f t="shared" si="279"/>
        <v>0.65807677030951872</v>
      </c>
    </row>
    <row r="45" spans="2:65" x14ac:dyDescent="0.25">
      <c r="B45" s="3" t="s">
        <v>71</v>
      </c>
      <c r="G45" s="11">
        <f>+G46-G64</f>
        <v>124580</v>
      </c>
      <c r="N45" s="11">
        <f t="shared" ref="N45:O45" si="280">+N46-N64</f>
        <v>154381</v>
      </c>
      <c r="O45" s="11">
        <f t="shared" si="280"/>
        <v>149723</v>
      </c>
      <c r="P45" s="11">
        <f t="shared" ref="P45:Y45" si="281">+P46-P64</f>
        <v>140928</v>
      </c>
      <c r="Q45" s="11">
        <f t="shared" si="281"/>
        <v>132025</v>
      </c>
      <c r="R45" s="11">
        <f t="shared" si="281"/>
        <v>129553</v>
      </c>
      <c r="S45" s="11">
        <f t="shared" si="281"/>
        <v>132618</v>
      </c>
      <c r="T45" s="11">
        <f t="shared" si="281"/>
        <v>135851</v>
      </c>
      <c r="U45" s="11">
        <f t="shared" si="281"/>
        <v>137061</v>
      </c>
      <c r="V45" s="11">
        <f t="shared" si="281"/>
        <v>128671</v>
      </c>
      <c r="W45" s="11">
        <f t="shared" si="281"/>
        <v>128856</v>
      </c>
      <c r="X45" s="11">
        <f t="shared" si="281"/>
        <v>121659</v>
      </c>
      <c r="Y45" s="11">
        <f t="shared" si="281"/>
        <v>117110</v>
      </c>
      <c r="Z45" s="11">
        <f>+Z46-Z64</f>
        <v>122756</v>
      </c>
      <c r="AA45" s="11">
        <f>+AA46-AA64</f>
        <v>135471</v>
      </c>
      <c r="AB45" s="11">
        <f>+AA45+AB28</f>
        <v>163667</v>
      </c>
      <c r="AC45" s="11">
        <f>+AB45+AC28</f>
        <v>190856.43126000001</v>
      </c>
      <c r="AD45" s="11">
        <f>+AC45+AD28</f>
        <v>222121.00356400001</v>
      </c>
      <c r="AE45" s="11"/>
      <c r="AF45" s="11"/>
      <c r="AG45" s="11"/>
      <c r="AH45" s="11"/>
      <c r="AI45" s="11"/>
      <c r="AQ45" s="3">
        <v>72053</v>
      </c>
      <c r="AW45" s="11">
        <f>+AW46-AW64</f>
        <v>129553</v>
      </c>
      <c r="AX45" s="11">
        <f>+AX46-AX64</f>
        <v>128671</v>
      </c>
      <c r="AY45" s="11">
        <f>+AY46-AY64</f>
        <v>122756</v>
      </c>
      <c r="AZ45" s="3">
        <f>+AY45+AZ28</f>
        <v>232283.57356399999</v>
      </c>
      <c r="BA45" s="3">
        <f>+AZ45+BA28</f>
        <v>353727.42310919444</v>
      </c>
      <c r="BB45" s="3">
        <f t="shared" ref="BB45:BE45" si="282">+BA45+BB28</f>
        <v>497126.37087245833</v>
      </c>
      <c r="BC45" s="3">
        <f t="shared" si="282"/>
        <v>654634.93665147945</v>
      </c>
      <c r="BD45" s="3">
        <f t="shared" si="282"/>
        <v>829373.06316998845</v>
      </c>
      <c r="BE45" s="3">
        <f t="shared" si="282"/>
        <v>1020092.9827485809</v>
      </c>
      <c r="BF45" s="3">
        <f t="shared" ref="BF45" si="283">+BE45+BF28</f>
        <v>1228069.8245807881</v>
      </c>
      <c r="BG45" s="3">
        <f t="shared" ref="BG45" si="284">+BF45+BG28</f>
        <v>1454681.5908693876</v>
      </c>
      <c r="BH45" s="3">
        <f t="shared" ref="BH45" si="285">+BG45+BH28</f>
        <v>1701417.9315207335</v>
      </c>
      <c r="BI45" s="3">
        <f t="shared" ref="BI45" si="286">+BH45+BI28</f>
        <v>1969889.7116149901</v>
      </c>
      <c r="BJ45" s="3">
        <f t="shared" ref="BJ45" si="287">+BI45+BJ28</f>
        <v>2261839.4464073614</v>
      </c>
    </row>
    <row r="46" spans="2:65" s="3" customFormat="1" x14ac:dyDescent="0.25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>
        <f>95328+51029</f>
        <v>146357</v>
      </c>
      <c r="AB46" s="11">
        <f>95148+52574</f>
        <v>147722</v>
      </c>
      <c r="AC46" s="11"/>
      <c r="AD46" s="11"/>
      <c r="AE46" s="11"/>
      <c r="AF46" s="11"/>
      <c r="AG46" s="11"/>
      <c r="AH46" s="11"/>
      <c r="AI46" s="11"/>
      <c r="AW46" s="3">
        <f>R46</f>
        <v>144254</v>
      </c>
      <c r="AX46" s="3">
        <f>+V46</f>
        <v>141924</v>
      </c>
      <c r="AY46" s="3">
        <f t="shared" ref="AY46:AY55" si="288">Z46</f>
        <v>133639</v>
      </c>
    </row>
    <row r="47" spans="2:65" s="3" customFormat="1" x14ac:dyDescent="0.25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>
        <v>51000</v>
      </c>
      <c r="AB47" s="11">
        <v>55048</v>
      </c>
      <c r="AC47" s="11"/>
      <c r="AD47" s="11"/>
      <c r="AE47" s="11"/>
      <c r="AF47" s="11"/>
      <c r="AG47" s="11"/>
      <c r="AH47" s="11"/>
      <c r="AI47" s="11"/>
      <c r="AW47" s="3">
        <f t="shared" ref="AW47:AW55" si="289">R47</f>
        <v>40258</v>
      </c>
      <c r="AX47" s="3">
        <f t="shared" ref="AX47:AX55" si="290">+V47</f>
        <v>47964</v>
      </c>
      <c r="AY47" s="3">
        <f t="shared" si="288"/>
        <v>52340</v>
      </c>
    </row>
    <row r="48" spans="2:65" s="3" customFormat="1" x14ac:dyDescent="0.25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/>
      <c r="AD48" s="11"/>
      <c r="AE48" s="11"/>
      <c r="AF48" s="11"/>
      <c r="AG48" s="11"/>
      <c r="AH48" s="11"/>
      <c r="AI48" s="11"/>
      <c r="AW48" s="3">
        <f t="shared" si="289"/>
        <v>0</v>
      </c>
      <c r="AX48" s="3">
        <f t="shared" si="290"/>
        <v>0</v>
      </c>
      <c r="AY48" s="3">
        <f t="shared" si="288"/>
        <v>0</v>
      </c>
    </row>
    <row r="49" spans="2:51" s="3" customFormat="1" x14ac:dyDescent="0.25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/>
      <c r="AD49" s="11"/>
      <c r="AE49" s="11"/>
      <c r="AF49" s="11"/>
      <c r="AG49" s="11"/>
      <c r="AH49" s="11"/>
      <c r="AI49" s="11"/>
      <c r="AW49" s="3">
        <f t="shared" si="289"/>
        <v>2670</v>
      </c>
      <c r="AX49" s="3">
        <f t="shared" si="290"/>
        <v>0</v>
      </c>
      <c r="AY49" s="3">
        <f t="shared" si="288"/>
        <v>0</v>
      </c>
    </row>
    <row r="50" spans="2:51" s="3" customFormat="1" x14ac:dyDescent="0.25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>
        <v>15724</v>
      </c>
      <c r="AB50" s="11">
        <v>16020</v>
      </c>
      <c r="AC50" s="11"/>
      <c r="AD50" s="11"/>
      <c r="AE50" s="11"/>
      <c r="AF50" s="11"/>
      <c r="AG50" s="11"/>
      <c r="AH50" s="11"/>
      <c r="AI50" s="11"/>
      <c r="AW50" s="3">
        <f t="shared" si="289"/>
        <v>8105</v>
      </c>
      <c r="AX50" s="3">
        <f t="shared" si="290"/>
        <v>12650</v>
      </c>
      <c r="AY50" s="3">
        <f t="shared" si="288"/>
        <v>15714</v>
      </c>
    </row>
    <row r="51" spans="2:51" x14ac:dyDescent="0.25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>
        <v>18386</v>
      </c>
      <c r="AB51" s="11">
        <v>19289</v>
      </c>
      <c r="AC51" s="11"/>
      <c r="AD51" s="11"/>
      <c r="AE51" s="11"/>
      <c r="AF51" s="11"/>
      <c r="AG51" s="11"/>
      <c r="AH51" s="11"/>
      <c r="AI51" s="11"/>
      <c r="AW51" s="3">
        <f t="shared" si="289"/>
        <v>5261</v>
      </c>
      <c r="AX51" s="3">
        <f t="shared" si="290"/>
        <v>12169</v>
      </c>
      <c r="AY51" s="3">
        <f t="shared" si="288"/>
        <v>17180</v>
      </c>
    </row>
    <row r="52" spans="2:51" x14ac:dyDescent="0.25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>
        <v>185062</v>
      </c>
      <c r="AB52" s="11">
        <v>203231</v>
      </c>
      <c r="AC52" s="11"/>
      <c r="AD52" s="11"/>
      <c r="AE52" s="11"/>
      <c r="AF52" s="11"/>
      <c r="AG52" s="11"/>
      <c r="AH52" s="11"/>
      <c r="AI52" s="11"/>
      <c r="AW52" s="3">
        <f t="shared" si="289"/>
        <v>112668</v>
      </c>
      <c r="AX52" s="3">
        <f t="shared" si="290"/>
        <v>134345</v>
      </c>
      <c r="AY52" s="3">
        <f t="shared" si="288"/>
        <v>171036</v>
      </c>
    </row>
    <row r="53" spans="2:51" x14ac:dyDescent="0.25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>
        <v>13722</v>
      </c>
      <c r="AB53" s="11">
        <v>14255</v>
      </c>
      <c r="AC53" s="11"/>
      <c r="AD53" s="11"/>
      <c r="AE53" s="11"/>
      <c r="AF53" s="11"/>
      <c r="AG53" s="11"/>
      <c r="AH53" s="11"/>
      <c r="AI53" s="11"/>
      <c r="AW53" s="3">
        <f t="shared" si="289"/>
        <v>14381</v>
      </c>
      <c r="AX53" s="3">
        <f t="shared" si="290"/>
        <v>14091</v>
      </c>
      <c r="AY53" s="3">
        <f t="shared" si="288"/>
        <v>13588</v>
      </c>
    </row>
    <row r="54" spans="2:51" x14ac:dyDescent="0.25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>
        <v>32173</v>
      </c>
      <c r="AB54" s="11">
        <v>32335</v>
      </c>
      <c r="AC54" s="11"/>
      <c r="AD54" s="11"/>
      <c r="AE54" s="11"/>
      <c r="AF54" s="11"/>
      <c r="AG54" s="11"/>
      <c r="AH54" s="11"/>
      <c r="AI54" s="11"/>
      <c r="AW54" s="3">
        <f t="shared" si="289"/>
        <v>31044</v>
      </c>
      <c r="AX54" s="3">
        <f t="shared" si="290"/>
        <v>29198</v>
      </c>
      <c r="AY54" s="3">
        <f t="shared" si="288"/>
        <v>31885</v>
      </c>
    </row>
    <row r="55" spans="2:51" x14ac:dyDescent="0.25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>
        <v>12950</v>
      </c>
      <c r="AB55" s="11">
        <v>14153</v>
      </c>
      <c r="AC55" s="11"/>
      <c r="AD55" s="11"/>
      <c r="AE55" s="11"/>
      <c r="AF55" s="11"/>
      <c r="AG55" s="11"/>
      <c r="AH55" s="11"/>
      <c r="AI55" s="11"/>
      <c r="AW55" s="3">
        <f t="shared" si="289"/>
        <v>6623</v>
      </c>
      <c r="AX55" s="3">
        <f t="shared" si="290"/>
        <v>10051</v>
      </c>
      <c r="AY55" s="3">
        <f t="shared" si="288"/>
        <v>14874</v>
      </c>
    </row>
    <row r="56" spans="2:51" x14ac:dyDescent="0.25">
      <c r="B56" s="3" t="s">
        <v>59</v>
      </c>
      <c r="G56" s="11">
        <f>SUM(G46:G55)</f>
        <v>273403</v>
      </c>
      <c r="N56" s="11">
        <f t="shared" ref="N56:Z56" si="291">SUM(N46:N55)</f>
        <v>359268</v>
      </c>
      <c r="O56" s="11">
        <f t="shared" si="291"/>
        <v>357096</v>
      </c>
      <c r="P56" s="11">
        <f t="shared" si="291"/>
        <v>355185</v>
      </c>
      <c r="Q56" s="11">
        <f t="shared" si="291"/>
        <v>358255</v>
      </c>
      <c r="R56" s="11">
        <f t="shared" si="291"/>
        <v>365264</v>
      </c>
      <c r="S56" s="11">
        <f t="shared" si="291"/>
        <v>369491</v>
      </c>
      <c r="T56" s="11">
        <f t="shared" si="291"/>
        <v>383044</v>
      </c>
      <c r="U56" s="11">
        <f t="shared" si="291"/>
        <v>396711</v>
      </c>
      <c r="V56" s="11">
        <f t="shared" si="291"/>
        <v>402392</v>
      </c>
      <c r="W56" s="11">
        <f t="shared" si="291"/>
        <v>407350</v>
      </c>
      <c r="X56" s="11">
        <f t="shared" si="291"/>
        <v>414770</v>
      </c>
      <c r="Y56" s="11">
        <f t="shared" si="291"/>
        <v>430266</v>
      </c>
      <c r="Z56" s="11">
        <f t="shared" si="291"/>
        <v>450256</v>
      </c>
      <c r="AA56" s="11">
        <f>SUM(AA46:AA55)</f>
        <v>475374</v>
      </c>
      <c r="AB56" s="11">
        <f>SUM(AB46:AB55)</f>
        <v>502053</v>
      </c>
      <c r="AC56" s="11"/>
      <c r="AD56" s="11"/>
      <c r="AE56" s="11"/>
      <c r="AF56" s="11"/>
      <c r="AG56" s="11"/>
      <c r="AH56" s="11"/>
      <c r="AI56" s="11"/>
      <c r="AW56" s="3">
        <f>SUM(AW46:AW55)</f>
        <v>365264</v>
      </c>
      <c r="AX56" s="3">
        <f>SUM(AX46:AX55)</f>
        <v>402392</v>
      </c>
      <c r="AY56" s="3">
        <f>SUM(AY46:AY55)</f>
        <v>450256</v>
      </c>
    </row>
    <row r="57" spans="2:51" x14ac:dyDescent="0.25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2:51" x14ac:dyDescent="0.25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>
        <v>8497</v>
      </c>
      <c r="AB58" s="11">
        <v>8347</v>
      </c>
      <c r="AC58" s="11"/>
      <c r="AD58" s="11"/>
      <c r="AE58" s="11"/>
      <c r="AF58" s="11"/>
      <c r="AG58" s="11"/>
      <c r="AH58" s="11"/>
      <c r="AI58" s="11"/>
      <c r="AW58" s="3">
        <f t="shared" ref="AW58:AW67" si="292">R58</f>
        <v>5128</v>
      </c>
      <c r="AX58" s="3">
        <f t="shared" ref="AX58:AX67" si="293">+V58</f>
        <v>7493</v>
      </c>
      <c r="AY58" s="3">
        <f>Z58</f>
        <v>7987</v>
      </c>
    </row>
    <row r="59" spans="2:51" x14ac:dyDescent="0.25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>
        <v>9984</v>
      </c>
      <c r="AB59" s="11">
        <v>12168</v>
      </c>
      <c r="AC59" s="11"/>
      <c r="AD59" s="11"/>
      <c r="AE59" s="11"/>
      <c r="AF59" s="11"/>
      <c r="AG59" s="11"/>
      <c r="AH59" s="11"/>
      <c r="AI59" s="11"/>
      <c r="AW59" s="3">
        <f t="shared" si="292"/>
        <v>14028</v>
      </c>
      <c r="AX59" s="3">
        <f t="shared" si="293"/>
        <v>15140</v>
      </c>
      <c r="AY59" s="3">
        <f t="shared" ref="AY59:AY67" si="294">Z59</f>
        <v>15069</v>
      </c>
    </row>
    <row r="60" spans="2:51" x14ac:dyDescent="0.25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>
        <v>58300</v>
      </c>
      <c r="AB60" s="11">
        <v>52039</v>
      </c>
      <c r="AC60" s="11"/>
      <c r="AD60" s="11"/>
      <c r="AE60" s="11"/>
      <c r="AF60" s="11"/>
      <c r="AG60" s="11"/>
      <c r="AH60" s="11"/>
      <c r="AI60" s="11"/>
      <c r="AW60" s="3">
        <f t="shared" si="292"/>
        <v>37866</v>
      </c>
      <c r="AX60" s="3">
        <f t="shared" si="293"/>
        <v>46168</v>
      </c>
      <c r="AY60" s="3">
        <f t="shared" si="294"/>
        <v>51228</v>
      </c>
    </row>
    <row r="61" spans="2:51" x14ac:dyDescent="0.25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>
        <v>9965</v>
      </c>
      <c r="AB61" s="11">
        <v>9787</v>
      </c>
      <c r="AC61" s="11"/>
      <c r="AD61" s="11"/>
      <c r="AE61" s="11"/>
      <c r="AF61" s="11"/>
      <c r="AG61" s="11"/>
      <c r="AH61" s="11"/>
      <c r="AI61" s="11"/>
      <c r="AW61" s="3">
        <f t="shared" si="292"/>
        <v>8370</v>
      </c>
      <c r="AX61" s="3">
        <f t="shared" si="293"/>
        <v>8876</v>
      </c>
      <c r="AY61" s="3">
        <f t="shared" si="294"/>
        <v>9802</v>
      </c>
    </row>
    <row r="62" spans="2:51" x14ac:dyDescent="0.25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>
        <v>4908</v>
      </c>
      <c r="AB62" s="11">
        <v>4969</v>
      </c>
      <c r="AC62" s="11"/>
      <c r="AD62" s="11"/>
      <c r="AE62" s="11"/>
      <c r="AF62" s="11"/>
      <c r="AG62" s="11"/>
      <c r="AH62" s="11"/>
      <c r="AI62" s="11"/>
      <c r="AW62" s="3">
        <f t="shared" si="292"/>
        <v>4507</v>
      </c>
      <c r="AX62" s="3">
        <f t="shared" si="293"/>
        <v>5048</v>
      </c>
      <c r="AY62" s="3">
        <f t="shared" si="294"/>
        <v>5036</v>
      </c>
    </row>
    <row r="63" spans="2:51" x14ac:dyDescent="0.25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>
        <v>9773</v>
      </c>
      <c r="AB63" s="11">
        <v>10027</v>
      </c>
      <c r="AC63" s="11"/>
      <c r="AD63" s="11"/>
      <c r="AE63" s="11"/>
      <c r="AF63" s="11"/>
      <c r="AG63" s="11"/>
      <c r="AH63" s="11"/>
      <c r="AI63" s="11"/>
      <c r="AW63" s="3">
        <f t="shared" si="292"/>
        <v>9772</v>
      </c>
      <c r="AX63" s="3">
        <f t="shared" si="293"/>
        <v>8959</v>
      </c>
      <c r="AY63" s="3">
        <f t="shared" si="294"/>
        <v>8782</v>
      </c>
    </row>
    <row r="64" spans="2:51" x14ac:dyDescent="0.25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>
        <v>10886</v>
      </c>
      <c r="AB64" s="11">
        <v>23607</v>
      </c>
      <c r="AC64" s="11"/>
      <c r="AD64" s="11"/>
      <c r="AE64" s="11"/>
      <c r="AF64" s="11"/>
      <c r="AG64" s="11"/>
      <c r="AH64" s="11"/>
      <c r="AI64" s="11"/>
      <c r="AW64" s="3">
        <f t="shared" si="292"/>
        <v>14701</v>
      </c>
      <c r="AX64" s="3">
        <f t="shared" si="293"/>
        <v>13253</v>
      </c>
      <c r="AY64" s="3">
        <f t="shared" si="294"/>
        <v>10883</v>
      </c>
    </row>
    <row r="65" spans="2:51" x14ac:dyDescent="0.25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>
        <v>11678</v>
      </c>
      <c r="AB65" s="11">
        <v>11952</v>
      </c>
      <c r="AC65" s="11"/>
      <c r="AD65" s="11"/>
      <c r="AE65" s="11"/>
      <c r="AF65" s="11"/>
      <c r="AG65" s="11"/>
      <c r="AH65" s="11"/>
      <c r="AI65" s="11"/>
      <c r="AW65" s="3">
        <f t="shared" si="292"/>
        <v>12501</v>
      </c>
      <c r="AX65" s="3">
        <f t="shared" si="293"/>
        <v>12460</v>
      </c>
      <c r="AY65" s="3">
        <f t="shared" si="294"/>
        <v>11691</v>
      </c>
    </row>
    <row r="66" spans="2:51" x14ac:dyDescent="0.25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>
        <v>6116</v>
      </c>
      <c r="AB66" s="11">
        <v>6241</v>
      </c>
      <c r="AC66" s="11"/>
      <c r="AD66" s="11"/>
      <c r="AE66" s="11"/>
      <c r="AF66" s="11"/>
      <c r="AG66" s="11"/>
      <c r="AH66" s="11"/>
      <c r="AI66" s="11"/>
      <c r="AW66" s="3">
        <f t="shared" si="292"/>
        <v>2247</v>
      </c>
      <c r="AX66" s="3">
        <f t="shared" si="293"/>
        <v>1616</v>
      </c>
      <c r="AY66" s="3">
        <f t="shared" si="294"/>
        <v>4694</v>
      </c>
    </row>
    <row r="67" spans="2:51" x14ac:dyDescent="0.25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>
        <v>345267</v>
      </c>
      <c r="AB67" s="11">
        <v>362916</v>
      </c>
      <c r="AC67" s="11"/>
      <c r="AD67" s="11"/>
      <c r="AE67" s="11"/>
      <c r="AF67" s="11"/>
      <c r="AG67" s="11"/>
      <c r="AH67" s="11"/>
      <c r="AI67" s="11"/>
      <c r="AW67" s="3">
        <f t="shared" si="292"/>
        <v>256144</v>
      </c>
      <c r="AX67" s="3">
        <f t="shared" si="293"/>
        <v>283379</v>
      </c>
      <c r="AY67" s="3">
        <f t="shared" si="294"/>
        <v>325084</v>
      </c>
    </row>
    <row r="68" spans="2:51" x14ac:dyDescent="0.25">
      <c r="B68" s="3" t="s">
        <v>67</v>
      </c>
      <c r="G68" s="11">
        <f>SUM(G58:G67)</f>
        <v>273403</v>
      </c>
      <c r="N68" s="11">
        <f t="shared" ref="N68:AB68" si="295">SUM(N58:N67)</f>
        <v>359268</v>
      </c>
      <c r="O68" s="11">
        <f t="shared" si="295"/>
        <v>357096</v>
      </c>
      <c r="P68" s="11">
        <f t="shared" si="295"/>
        <v>355185</v>
      </c>
      <c r="Q68" s="11">
        <f t="shared" si="295"/>
        <v>358255</v>
      </c>
      <c r="R68" s="11">
        <f t="shared" si="295"/>
        <v>365264</v>
      </c>
      <c r="S68" s="11">
        <f t="shared" si="295"/>
        <v>369491</v>
      </c>
      <c r="T68" s="11">
        <f t="shared" si="295"/>
        <v>383044</v>
      </c>
      <c r="U68" s="11">
        <f t="shared" si="295"/>
        <v>396711</v>
      </c>
      <c r="V68" s="11">
        <f t="shared" si="295"/>
        <v>402392</v>
      </c>
      <c r="W68" s="11">
        <f t="shared" si="295"/>
        <v>407350</v>
      </c>
      <c r="X68" s="11">
        <f t="shared" si="295"/>
        <v>414770</v>
      </c>
      <c r="Y68" s="11">
        <f t="shared" si="295"/>
        <v>430266</v>
      </c>
      <c r="Z68" s="11">
        <f t="shared" si="295"/>
        <v>450256</v>
      </c>
      <c r="AA68" s="11">
        <f t="shared" si="295"/>
        <v>475374</v>
      </c>
      <c r="AB68" s="11">
        <f t="shared" si="295"/>
        <v>502053</v>
      </c>
      <c r="AC68" s="11"/>
      <c r="AD68" s="11"/>
      <c r="AE68" s="11"/>
      <c r="AF68" s="11"/>
      <c r="AG68" s="11"/>
      <c r="AH68" s="11"/>
      <c r="AI68" s="11"/>
      <c r="AW68" s="3">
        <f>SUM(AW58:AW67)</f>
        <v>365264</v>
      </c>
      <c r="AX68" s="3">
        <f>SUM(AX58:AX67)</f>
        <v>402392</v>
      </c>
      <c r="AY68" s="3">
        <f>SUM(AY58:AY67)</f>
        <v>450256</v>
      </c>
    </row>
    <row r="70" spans="2:51" s="3" customFormat="1" x14ac:dyDescent="0.25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AB70" si="296">+H28</f>
        <v>6959</v>
      </c>
      <c r="I70" s="11">
        <f t="shared" si="296"/>
        <v>11247</v>
      </c>
      <c r="J70" s="11">
        <f t="shared" si="296"/>
        <v>15227</v>
      </c>
      <c r="K70" s="11">
        <f t="shared" si="296"/>
        <v>17930</v>
      </c>
      <c r="L70" s="11">
        <f t="shared" si="296"/>
        <v>18165</v>
      </c>
      <c r="M70" s="11">
        <f t="shared" si="296"/>
        <v>18936</v>
      </c>
      <c r="N70" s="11">
        <f t="shared" si="296"/>
        <v>20642</v>
      </c>
      <c r="O70" s="11">
        <f t="shared" si="296"/>
        <v>16436</v>
      </c>
      <c r="P70" s="11">
        <f t="shared" si="296"/>
        <v>16002</v>
      </c>
      <c r="Q70" s="11">
        <f t="shared" si="296"/>
        <v>13910</v>
      </c>
      <c r="R70" s="11">
        <f t="shared" si="296"/>
        <v>13624</v>
      </c>
      <c r="S70" s="11">
        <f t="shared" si="296"/>
        <v>15051</v>
      </c>
      <c r="T70" s="11">
        <f t="shared" si="296"/>
        <v>18368</v>
      </c>
      <c r="U70" s="11">
        <f t="shared" si="296"/>
        <v>19689</v>
      </c>
      <c r="V70" s="11">
        <f t="shared" si="296"/>
        <v>20216</v>
      </c>
      <c r="W70" s="11">
        <f t="shared" si="296"/>
        <v>21419</v>
      </c>
      <c r="X70" s="11">
        <f t="shared" si="296"/>
        <v>23619</v>
      </c>
      <c r="Y70" s="11">
        <f t="shared" si="296"/>
        <v>23116</v>
      </c>
      <c r="Z70" s="11">
        <f t="shared" si="296"/>
        <v>26603</v>
      </c>
      <c r="AA70" s="11">
        <f t="shared" si="296"/>
        <v>22877.569999999992</v>
      </c>
      <c r="AB70" s="11">
        <f t="shared" si="296"/>
        <v>28196</v>
      </c>
      <c r="AC70" s="11"/>
      <c r="AD70" s="11"/>
      <c r="AE70" s="11"/>
      <c r="AF70" s="11"/>
      <c r="AG70" s="11"/>
      <c r="AH70" s="11"/>
      <c r="AI70" s="11"/>
      <c r="AW70" s="3">
        <f>SUM(O70:R70)</f>
        <v>59972</v>
      </c>
      <c r="AX70" s="3">
        <f>SUM(S70:V70)</f>
        <v>73324</v>
      </c>
      <c r="AY70" s="3">
        <f>SUM(W70:Z70)</f>
        <v>94757</v>
      </c>
    </row>
    <row r="71" spans="2:51" s="3" customFormat="1" x14ac:dyDescent="0.25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>
        <v>34540</v>
      </c>
      <c r="AB71" s="11">
        <v>28196</v>
      </c>
      <c r="AC71" s="11"/>
      <c r="AD71" s="11"/>
      <c r="AE71" s="11"/>
      <c r="AF71" s="11"/>
      <c r="AG71" s="11"/>
      <c r="AH71" s="11"/>
      <c r="AI71" s="11"/>
      <c r="AW71" s="3">
        <f t="shared" ref="AW71:AW78" si="297">SUM(O71:R71)</f>
        <v>59972</v>
      </c>
      <c r="AX71" s="3">
        <f t="shared" ref="AX71:AX78" si="298">SUM(S71:V71)</f>
        <v>73795</v>
      </c>
      <c r="AY71" s="3">
        <f>SUM(W71:Z71)</f>
        <v>100118</v>
      </c>
    </row>
    <row r="72" spans="2:51" s="3" customFormat="1" x14ac:dyDescent="0.25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>
        <v>4487</v>
      </c>
      <c r="AB72" s="11">
        <v>4998</v>
      </c>
      <c r="AC72" s="11"/>
      <c r="AD72" s="11"/>
      <c r="AE72" s="11"/>
      <c r="AF72" s="11"/>
      <c r="AG72" s="11"/>
      <c r="AH72" s="11"/>
      <c r="AI72" s="11"/>
      <c r="AW72" s="3">
        <f t="shared" si="297"/>
        <v>15287</v>
      </c>
      <c r="AX72" s="3">
        <f t="shared" si="298"/>
        <v>13326</v>
      </c>
      <c r="AY72" s="3">
        <f t="shared" ref="AY72:AY78" si="299">SUM(W72:Z72)</f>
        <v>15311</v>
      </c>
    </row>
    <row r="73" spans="2:51" s="3" customFormat="1" x14ac:dyDescent="0.25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/>
      <c r="AD73" s="11"/>
      <c r="AE73" s="11"/>
      <c r="AF73" s="11"/>
      <c r="AG73" s="11"/>
      <c r="AH73" s="11"/>
      <c r="AI73" s="11"/>
      <c r="AW73" s="3">
        <f t="shared" si="297"/>
        <v>641</v>
      </c>
      <c r="AX73" s="3">
        <f t="shared" si="298"/>
        <v>373</v>
      </c>
      <c r="AY73" s="3">
        <f t="shared" si="299"/>
        <v>0</v>
      </c>
    </row>
    <row r="74" spans="2:51" s="3" customFormat="1" x14ac:dyDescent="0.25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>
        <v>5516</v>
      </c>
      <c r="AB74" s="11">
        <v>5998</v>
      </c>
      <c r="AC74" s="11"/>
      <c r="AD74" s="11"/>
      <c r="AE74" s="11"/>
      <c r="AF74" s="11"/>
      <c r="AG74" s="11"/>
      <c r="AH74" s="11"/>
      <c r="AI74" s="11"/>
      <c r="AW74" s="3">
        <f t="shared" si="297"/>
        <v>19362</v>
      </c>
      <c r="AX74" s="3">
        <f t="shared" si="298"/>
        <v>22460</v>
      </c>
      <c r="AY74" s="3">
        <f t="shared" si="299"/>
        <v>22785</v>
      </c>
    </row>
    <row r="75" spans="2:51" s="3" customFormat="1" x14ac:dyDescent="0.25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>
        <v>-1152</v>
      </c>
      <c r="AB75" s="11">
        <v>-444</v>
      </c>
      <c r="AC75" s="11"/>
      <c r="AD75" s="11"/>
      <c r="AE75" s="11"/>
      <c r="AF75" s="11"/>
      <c r="AG75" s="11"/>
      <c r="AH75" s="11"/>
      <c r="AI75" s="11"/>
      <c r="AW75" s="3">
        <f t="shared" si="297"/>
        <v>-8081</v>
      </c>
      <c r="AX75" s="3">
        <f t="shared" si="298"/>
        <v>-7763</v>
      </c>
      <c r="AY75" s="3">
        <f t="shared" si="299"/>
        <v>-5257</v>
      </c>
    </row>
    <row r="76" spans="2:51" s="3" customFormat="1" x14ac:dyDescent="0.25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>
        <v>-9960</v>
      </c>
      <c r="AB76" s="11">
        <v>-1451</v>
      </c>
      <c r="AC76" s="11"/>
      <c r="AD76" s="11"/>
      <c r="AE76" s="11"/>
      <c r="AF76" s="11"/>
      <c r="AG76" s="11"/>
      <c r="AH76" s="11"/>
      <c r="AI76" s="11"/>
      <c r="AW76" s="3">
        <f t="shared" si="297"/>
        <v>5519</v>
      </c>
      <c r="AX76" s="3">
        <f t="shared" si="298"/>
        <v>823</v>
      </c>
      <c r="AY76" s="3">
        <f t="shared" si="299"/>
        <v>-2671</v>
      </c>
    </row>
    <row r="77" spans="2:51" s="3" customFormat="1" x14ac:dyDescent="0.25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>
        <v>481</v>
      </c>
      <c r="AB77" s="11">
        <v>560</v>
      </c>
      <c r="AC77" s="11"/>
      <c r="AD77" s="11"/>
      <c r="AE77" s="11"/>
      <c r="AF77" s="11"/>
      <c r="AG77" s="11"/>
      <c r="AH77" s="11"/>
      <c r="AI77" s="11"/>
      <c r="AW77" s="3">
        <f t="shared" si="297"/>
        <v>1030</v>
      </c>
      <c r="AX77" s="3">
        <f t="shared" si="298"/>
        <v>2577</v>
      </c>
      <c r="AY77" s="3">
        <f t="shared" si="299"/>
        <v>3419</v>
      </c>
    </row>
    <row r="78" spans="2:51" s="3" customFormat="1" x14ac:dyDescent="0.25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>
        <f>1638+7197-1288-880-5045+116+500</f>
        <v>2238</v>
      </c>
      <c r="AB78" s="11">
        <f>-2839-9631-1479+553+3485-335+136</f>
        <v>-10110</v>
      </c>
      <c r="AC78" s="11"/>
      <c r="AD78" s="11"/>
      <c r="AE78" s="11"/>
      <c r="AF78" s="11"/>
      <c r="AG78" s="11"/>
      <c r="AH78" s="11"/>
      <c r="AI78" s="11"/>
      <c r="AW78" s="3">
        <f t="shared" si="297"/>
        <v>-2235</v>
      </c>
      <c r="AX78" s="3">
        <f t="shared" si="298"/>
        <v>-3845</v>
      </c>
      <c r="AY78" s="3">
        <f t="shared" si="299"/>
        <v>-8406</v>
      </c>
    </row>
    <row r="79" spans="2:51" s="3" customFormat="1" x14ac:dyDescent="0.25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AB79" si="300">SUM(N71:N78)</f>
        <v>0</v>
      </c>
      <c r="O79" s="11">
        <f t="shared" si="300"/>
        <v>25106</v>
      </c>
      <c r="P79" s="11">
        <f t="shared" si="300"/>
        <v>19422</v>
      </c>
      <c r="Q79" s="11">
        <f t="shared" si="300"/>
        <v>23353</v>
      </c>
      <c r="R79" s="11">
        <f t="shared" si="300"/>
        <v>23614</v>
      </c>
      <c r="S79" s="11">
        <f t="shared" si="300"/>
        <v>23509</v>
      </c>
      <c r="T79" s="11">
        <f t="shared" si="300"/>
        <v>28666</v>
      </c>
      <c r="U79" s="11">
        <f t="shared" si="300"/>
        <v>30656</v>
      </c>
      <c r="V79" s="11">
        <f t="shared" si="300"/>
        <v>18915</v>
      </c>
      <c r="W79" s="11">
        <f t="shared" si="300"/>
        <v>28848</v>
      </c>
      <c r="X79" s="11">
        <f>SUM(X71:X78)</f>
        <v>26640</v>
      </c>
      <c r="Y79" s="11">
        <f t="shared" si="300"/>
        <v>30698</v>
      </c>
      <c r="Z79" s="11">
        <f t="shared" si="300"/>
        <v>39113</v>
      </c>
      <c r="AA79" s="11">
        <f t="shared" si="300"/>
        <v>36150</v>
      </c>
      <c r="AB79" s="11">
        <f t="shared" si="300"/>
        <v>27747</v>
      </c>
      <c r="AC79" s="11"/>
      <c r="AD79" s="11"/>
      <c r="AE79" s="11"/>
      <c r="AF79" s="11"/>
      <c r="AG79" s="11"/>
      <c r="AH79" s="11"/>
      <c r="AI79" s="11"/>
      <c r="AW79" s="3">
        <f>SUM(AW71:AW78)</f>
        <v>91495</v>
      </c>
      <c r="AX79" s="3">
        <f>SUM(AX71:AX78)</f>
        <v>101746</v>
      </c>
      <c r="AY79" s="3">
        <f>SUM(AY71:AY78)</f>
        <v>125299</v>
      </c>
    </row>
    <row r="80" spans="2:51" s="3" customFormat="1" ht="13" x14ac:dyDescent="0.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X80" s="22">
        <f>+AX79/AW79-1</f>
        <v>0.11203890923001247</v>
      </c>
      <c r="AY80" s="22">
        <f>+AY79/AX79-1</f>
        <v>0.23148821575295342</v>
      </c>
    </row>
    <row r="81" spans="2:52" s="3" customFormat="1" x14ac:dyDescent="0.25">
      <c r="B81" s="3" t="s">
        <v>36</v>
      </c>
      <c r="C81" s="11">
        <v>-4638</v>
      </c>
      <c r="D81" s="11"/>
      <c r="E81" s="11"/>
      <c r="F81" s="11"/>
      <c r="G81" s="11">
        <v>-6005</v>
      </c>
      <c r="H81" s="11"/>
      <c r="I81" s="11"/>
      <c r="J81" s="11">
        <v>-5479</v>
      </c>
      <c r="K81" s="11">
        <v>-5942</v>
      </c>
      <c r="L81" s="11">
        <v>-5496</v>
      </c>
      <c r="M81" s="11">
        <v>-6819</v>
      </c>
      <c r="N81" s="11">
        <v>-6383</v>
      </c>
      <c r="O81" s="11">
        <v>-9786</v>
      </c>
      <c r="P81" s="11">
        <v>-6828</v>
      </c>
      <c r="Q81" s="11">
        <v>-7276</v>
      </c>
      <c r="R81" s="11">
        <v>-7595</v>
      </c>
      <c r="S81" s="11">
        <v>-6289</v>
      </c>
      <c r="T81" s="11">
        <f>-13177-S81</f>
        <v>-6888</v>
      </c>
      <c r="U81" s="11">
        <v>-8055</v>
      </c>
      <c r="V81" s="11">
        <v>-11019</v>
      </c>
      <c r="W81" s="11">
        <v>-12012</v>
      </c>
      <c r="X81" s="11">
        <f>-25198-W81</f>
        <v>-13186</v>
      </c>
      <c r="Y81" s="11">
        <f>-38259-X81-W81</f>
        <v>-13061</v>
      </c>
      <c r="Z81" s="11">
        <f>-52535-Y81-X81-W81</f>
        <v>-14276</v>
      </c>
      <c r="AA81" s="11">
        <v>-17197</v>
      </c>
      <c r="AB81" s="11">
        <v>-22446</v>
      </c>
      <c r="AC81" s="11">
        <f>+AB81-500</f>
        <v>-22946</v>
      </c>
      <c r="AD81" s="11">
        <f>+AC81-500</f>
        <v>-23446</v>
      </c>
      <c r="AE81" s="11"/>
      <c r="AF81" s="11"/>
      <c r="AG81" s="11"/>
      <c r="AH81" s="11"/>
      <c r="AI81" s="11"/>
      <c r="AW81" s="3">
        <f t="shared" ref="AW81:AW84" si="301">SUM(O81:R81)</f>
        <v>-31485</v>
      </c>
      <c r="AX81" s="3">
        <f t="shared" ref="AX81:AX84" si="302">SUM(S81:V81)</f>
        <v>-32251</v>
      </c>
      <c r="AY81" s="3">
        <f t="shared" ref="AY81:AY84" si="303">SUM(W81:Z81)</f>
        <v>-52535</v>
      </c>
      <c r="AZ81" s="3">
        <f>SUM(AA81:AD81)</f>
        <v>-86035</v>
      </c>
    </row>
    <row r="82" spans="2:52" s="3" customFormat="1" x14ac:dyDescent="0.25">
      <c r="B82" s="3" t="s">
        <v>89</v>
      </c>
      <c r="C82" s="11">
        <f>-20883+21006-907+99</f>
        <v>-685</v>
      </c>
      <c r="D82" s="11"/>
      <c r="E82" s="11"/>
      <c r="F82" s="11"/>
      <c r="G82" s="11">
        <f>-37563+41811-572+260</f>
        <v>3936</v>
      </c>
      <c r="H82" s="11"/>
      <c r="I82" s="11"/>
      <c r="J82" s="11"/>
      <c r="K82" s="11"/>
      <c r="L82" s="11"/>
      <c r="M82" s="11"/>
      <c r="N82" s="11"/>
      <c r="O82" s="11">
        <f>-28462+29779-776+12</f>
        <v>553</v>
      </c>
      <c r="P82" s="11">
        <f>-21737+25595-488+113</f>
        <v>3483</v>
      </c>
      <c r="Q82" s="11"/>
      <c r="R82" s="11">
        <f>-11621+13735-903+19</f>
        <v>1230</v>
      </c>
      <c r="S82" s="11">
        <f>-14227+18327-626+36</f>
        <v>3510</v>
      </c>
      <c r="T82" s="11">
        <f>-35589+37049-1513-S82+181</f>
        <v>-3382</v>
      </c>
      <c r="U82" s="11">
        <f>-13833+15593-663+562</f>
        <v>1659</v>
      </c>
      <c r="V82" s="11">
        <f>-28436+34030-851+204</f>
        <v>4947</v>
      </c>
      <c r="W82" s="11">
        <f>-20684+24985-1206+313</f>
        <v>3408</v>
      </c>
      <c r="X82" s="11">
        <f>-43011+58577-2199+605-W82</f>
        <v>10564</v>
      </c>
      <c r="Y82" s="11">
        <f>-65034+81779-3234+732-X82-W82</f>
        <v>271</v>
      </c>
      <c r="Z82" s="11">
        <f>-86679+103428-5034+882-Y82-X82-W82</f>
        <v>-1646</v>
      </c>
      <c r="AA82" s="11">
        <f>-18453+20345-958+259</f>
        <v>1193</v>
      </c>
      <c r="AB82" s="11">
        <f>-21417+20585-1354+614</f>
        <v>-1572</v>
      </c>
      <c r="AC82" s="11"/>
      <c r="AD82" s="11"/>
      <c r="AE82" s="11"/>
      <c r="AF82" s="11"/>
      <c r="AG82" s="11"/>
      <c r="AH82" s="11"/>
      <c r="AI82" s="11"/>
      <c r="AW82" s="3">
        <f t="shared" si="301"/>
        <v>5266</v>
      </c>
      <c r="AX82" s="3">
        <f t="shared" si="302"/>
        <v>6734</v>
      </c>
      <c r="AY82" s="3">
        <f t="shared" si="303"/>
        <v>12597</v>
      </c>
    </row>
    <row r="83" spans="2:52" s="3" customFormat="1" x14ac:dyDescent="0.25">
      <c r="B83" s="3" t="s">
        <v>91</v>
      </c>
      <c r="C83" s="11">
        <v>-99</v>
      </c>
      <c r="D83" s="11"/>
      <c r="E83" s="11"/>
      <c r="F83" s="11"/>
      <c r="G83" s="11">
        <v>-190</v>
      </c>
      <c r="H83" s="11"/>
      <c r="I83" s="11"/>
      <c r="J83" s="11"/>
      <c r="K83" s="11"/>
      <c r="L83" s="11"/>
      <c r="M83" s="11"/>
      <c r="N83" s="11"/>
      <c r="O83" s="11">
        <v>-173</v>
      </c>
      <c r="P83" s="11">
        <v>-1063</v>
      </c>
      <c r="Q83" s="11"/>
      <c r="R83" s="11">
        <v>-84</v>
      </c>
      <c r="S83" s="11">
        <v>-42</v>
      </c>
      <c r="T83" s="11">
        <f>-340-S83</f>
        <v>-298</v>
      </c>
      <c r="U83" s="11">
        <v>-126</v>
      </c>
      <c r="V83" s="11">
        <v>-29</v>
      </c>
      <c r="W83" s="11">
        <v>-61</v>
      </c>
      <c r="X83" s="11">
        <f>-87-W83</f>
        <v>-26</v>
      </c>
      <c r="Y83" s="11">
        <f>-2840-X83-W83</f>
        <v>-2753</v>
      </c>
      <c r="Z83" s="11">
        <f>-2931-Y83-X83-W83</f>
        <v>-91</v>
      </c>
      <c r="AA83" s="11">
        <v>-340</v>
      </c>
      <c r="AB83" s="11">
        <v>-13</v>
      </c>
      <c r="AC83" s="11"/>
      <c r="AD83" s="11"/>
      <c r="AE83" s="11"/>
      <c r="AF83" s="11"/>
      <c r="AG83" s="11"/>
      <c r="AH83" s="11"/>
      <c r="AI83" s="11"/>
      <c r="AW83" s="3">
        <f t="shared" si="301"/>
        <v>-1320</v>
      </c>
      <c r="AX83" s="3">
        <f t="shared" si="302"/>
        <v>-495</v>
      </c>
      <c r="AY83" s="3">
        <f t="shared" si="303"/>
        <v>-2931</v>
      </c>
    </row>
    <row r="84" spans="2:52" s="3" customFormat="1" x14ac:dyDescent="0.25">
      <c r="B84" s="3" t="s">
        <v>28</v>
      </c>
      <c r="C84" s="11">
        <v>34</v>
      </c>
      <c r="D84" s="11"/>
      <c r="E84" s="11"/>
      <c r="F84" s="11"/>
      <c r="G84" s="11">
        <v>412</v>
      </c>
      <c r="H84" s="11"/>
      <c r="I84" s="11"/>
      <c r="J84" s="11"/>
      <c r="K84" s="11"/>
      <c r="L84" s="11"/>
      <c r="M84" s="11"/>
      <c r="N84" s="11"/>
      <c r="O84" s="11">
        <v>355</v>
      </c>
      <c r="P84" s="11">
        <v>221</v>
      </c>
      <c r="Q84" s="11"/>
      <c r="R84" s="11">
        <v>222</v>
      </c>
      <c r="S84" s="11">
        <v>-125</v>
      </c>
      <c r="T84" s="11">
        <f>-357-S84</f>
        <v>-232</v>
      </c>
      <c r="U84" s="11">
        <v>-628</v>
      </c>
      <c r="V84" s="11">
        <v>-66</v>
      </c>
      <c r="W84" s="11">
        <v>101</v>
      </c>
      <c r="X84" s="11">
        <f>-32-W84</f>
        <v>-133</v>
      </c>
      <c r="Y84" s="11">
        <f>-2500-X84-W84</f>
        <v>-2468</v>
      </c>
      <c r="Z84" s="11">
        <f>-2667-Y84-X84-W84</f>
        <v>-167</v>
      </c>
      <c r="AA84" s="11">
        <v>150</v>
      </c>
      <c r="AB84" s="11">
        <v>-513</v>
      </c>
      <c r="AC84" s="11"/>
      <c r="AD84" s="11"/>
      <c r="AE84" s="11"/>
      <c r="AF84" s="11"/>
      <c r="AG84" s="11"/>
      <c r="AH84" s="11"/>
      <c r="AI84" s="11"/>
      <c r="AW84" s="3">
        <f t="shared" si="301"/>
        <v>798</v>
      </c>
      <c r="AX84" s="3">
        <f t="shared" si="302"/>
        <v>-1051</v>
      </c>
      <c r="AY84" s="3">
        <f t="shared" si="303"/>
        <v>-2667</v>
      </c>
    </row>
    <row r="85" spans="2:52" s="3" customFormat="1" x14ac:dyDescent="0.25">
      <c r="B85" s="3" t="s">
        <v>92</v>
      </c>
      <c r="C85" s="11">
        <f>SUM(C81:C84)</f>
        <v>-5388</v>
      </c>
      <c r="D85" s="11"/>
      <c r="E85" s="11"/>
      <c r="F85" s="11"/>
      <c r="G85" s="11">
        <f>SUM(G81:G84)</f>
        <v>-1847</v>
      </c>
      <c r="H85" s="11"/>
      <c r="I85" s="11"/>
      <c r="J85" s="11"/>
      <c r="K85" s="11"/>
      <c r="L85" s="11"/>
      <c r="M85" s="11"/>
      <c r="N85" s="11"/>
      <c r="O85" s="11">
        <f>SUM(O81:O84)</f>
        <v>-9051</v>
      </c>
      <c r="P85" s="11">
        <f>SUM(P81:P84)</f>
        <v>-4187</v>
      </c>
      <c r="Q85" s="11"/>
      <c r="R85" s="11">
        <f t="shared" ref="R85:AB85" si="304">SUM(R81:R84)</f>
        <v>-6227</v>
      </c>
      <c r="S85" s="11">
        <f t="shared" si="304"/>
        <v>-2946</v>
      </c>
      <c r="T85" s="11">
        <f t="shared" si="304"/>
        <v>-10800</v>
      </c>
      <c r="U85" s="11">
        <f t="shared" si="304"/>
        <v>-7150</v>
      </c>
      <c r="V85" s="11">
        <f t="shared" si="304"/>
        <v>-6167</v>
      </c>
      <c r="W85" s="11">
        <f t="shared" si="304"/>
        <v>-8564</v>
      </c>
      <c r="X85" s="11">
        <f t="shared" si="304"/>
        <v>-2781</v>
      </c>
      <c r="Y85" s="11">
        <f t="shared" si="304"/>
        <v>-18011</v>
      </c>
      <c r="Z85" s="11">
        <f t="shared" si="304"/>
        <v>-16180</v>
      </c>
      <c r="AA85" s="11">
        <f t="shared" si="304"/>
        <v>-16194</v>
      </c>
      <c r="AB85" s="11">
        <f t="shared" si="304"/>
        <v>-24544</v>
      </c>
      <c r="AC85" s="11"/>
      <c r="AD85" s="11"/>
      <c r="AE85" s="11"/>
      <c r="AF85" s="11"/>
      <c r="AG85" s="11"/>
      <c r="AH85" s="11"/>
      <c r="AI85" s="11"/>
      <c r="AW85" s="3">
        <f>SUM(AW81:AW84)</f>
        <v>-26741</v>
      </c>
      <c r="AX85" s="3">
        <f>SUM(AX81:AX84)</f>
        <v>-27063</v>
      </c>
      <c r="AY85" s="3">
        <f>SUM(AY81:AY84)</f>
        <v>-45536</v>
      </c>
    </row>
    <row r="86" spans="2:52" s="3" customFormat="1" x14ac:dyDescent="0.25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2:52" s="3" customFormat="1" x14ac:dyDescent="0.25">
      <c r="B87" s="3" t="s">
        <v>86</v>
      </c>
      <c r="C87" s="11">
        <v>-1175</v>
      </c>
      <c r="D87" s="11"/>
      <c r="E87" s="11"/>
      <c r="F87" s="11"/>
      <c r="G87" s="11">
        <v>-1241</v>
      </c>
      <c r="H87" s="11"/>
      <c r="I87" s="11"/>
      <c r="J87" s="11"/>
      <c r="K87" s="11"/>
      <c r="L87" s="11"/>
      <c r="M87" s="11"/>
      <c r="N87" s="11"/>
      <c r="O87" s="11">
        <v>-2916</v>
      </c>
      <c r="P87" s="11">
        <v>-2264</v>
      </c>
      <c r="Q87" s="11"/>
      <c r="R87" s="11">
        <v>-2079</v>
      </c>
      <c r="S87" s="11">
        <v>-1989</v>
      </c>
      <c r="T87" s="11">
        <f>-4725-S87</f>
        <v>-2736</v>
      </c>
      <c r="U87" s="11">
        <v>-2432</v>
      </c>
      <c r="V87" s="11">
        <v>-2680</v>
      </c>
      <c r="W87" s="11">
        <v>-2929</v>
      </c>
      <c r="X87" s="11">
        <f>-6138-W87</f>
        <v>-3209</v>
      </c>
      <c r="Y87" s="11">
        <f>-9141-X87-W87</f>
        <v>-3003</v>
      </c>
      <c r="Z87" s="11">
        <f>-12190-Y87-X87-W87</f>
        <v>-3049</v>
      </c>
      <c r="AA87" s="11">
        <v>-3110</v>
      </c>
      <c r="AB87" s="11">
        <v>-2621</v>
      </c>
      <c r="AC87" s="11"/>
      <c r="AD87" s="11"/>
      <c r="AE87" s="11"/>
      <c r="AF87" s="11"/>
      <c r="AG87" s="11"/>
      <c r="AH87" s="11"/>
      <c r="AI87" s="11"/>
      <c r="AW87" s="3">
        <f t="shared" ref="AW87:AW93" si="305">SUM(O87:R87)</f>
        <v>-7259</v>
      </c>
      <c r="AX87" s="3">
        <f t="shared" ref="AX87:AX91" si="306">SUM(S87:V87)</f>
        <v>-9837</v>
      </c>
      <c r="AY87" s="3">
        <f t="shared" ref="AY87:AY93" si="307">SUM(W87:Z87)</f>
        <v>-12190</v>
      </c>
    </row>
    <row r="88" spans="2:52" s="3" customFormat="1" x14ac:dyDescent="0.25">
      <c r="B88" s="3" t="s">
        <v>93</v>
      </c>
      <c r="C88" s="11">
        <v>-3025</v>
      </c>
      <c r="D88" s="11"/>
      <c r="E88" s="11"/>
      <c r="F88" s="11"/>
      <c r="G88" s="11">
        <v>-8496</v>
      </c>
      <c r="H88" s="11"/>
      <c r="I88" s="11"/>
      <c r="J88" s="11"/>
      <c r="K88" s="11"/>
      <c r="L88" s="11"/>
      <c r="M88" s="11"/>
      <c r="N88" s="11"/>
      <c r="O88" s="11">
        <v>-13300</v>
      </c>
      <c r="P88" s="11">
        <v>-15197</v>
      </c>
      <c r="Q88" s="11"/>
      <c r="R88" s="11">
        <v>-15407</v>
      </c>
      <c r="S88" s="11">
        <v>-14557</v>
      </c>
      <c r="T88" s="11">
        <f>-29526-S88</f>
        <v>-14969</v>
      </c>
      <c r="U88" s="11">
        <v>-15787</v>
      </c>
      <c r="V88" s="11">
        <v>-16191</v>
      </c>
      <c r="W88" s="11">
        <v>-15696</v>
      </c>
      <c r="X88" s="11">
        <f>-31380-W88</f>
        <v>-15684</v>
      </c>
      <c r="Y88" s="11">
        <f>-46671-X88-W88</f>
        <v>-15291</v>
      </c>
      <c r="Z88" s="11">
        <f>-62222-Y88-X88-W88</f>
        <v>-15551</v>
      </c>
      <c r="AA88" s="11">
        <v>-15068</v>
      </c>
      <c r="AB88" s="11">
        <v>-13638</v>
      </c>
      <c r="AC88" s="11"/>
      <c r="AD88" s="11"/>
      <c r="AE88" s="11"/>
      <c r="AF88" s="11"/>
      <c r="AG88" s="11"/>
      <c r="AH88" s="11"/>
      <c r="AI88" s="11"/>
      <c r="AW88" s="3">
        <f t="shared" si="305"/>
        <v>-43904</v>
      </c>
      <c r="AX88" s="3">
        <f t="shared" si="306"/>
        <v>-61504</v>
      </c>
      <c r="AY88" s="3">
        <f t="shared" si="307"/>
        <v>-62222</v>
      </c>
    </row>
    <row r="89" spans="2:52" s="3" customFormat="1" x14ac:dyDescent="0.25">
      <c r="B89" s="3" t="s">
        <v>233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>
        <v>0</v>
      </c>
      <c r="X89" s="11">
        <f>-2466-W89</f>
        <v>-2466</v>
      </c>
      <c r="Y89" s="11">
        <f>-4921-X89-W89</f>
        <v>-2455</v>
      </c>
      <c r="Z89" s="11">
        <f>-7363-Y89-X89-W89</f>
        <v>-2442</v>
      </c>
      <c r="AA89" s="11">
        <v>-2434</v>
      </c>
      <c r="AB89" s="11">
        <v>-2543</v>
      </c>
      <c r="AC89" s="11"/>
      <c r="AD89" s="11"/>
      <c r="AE89" s="11"/>
      <c r="AF89" s="11"/>
      <c r="AG89" s="11"/>
      <c r="AH89" s="11"/>
      <c r="AI89" s="11"/>
      <c r="AW89" s="3">
        <f t="shared" si="305"/>
        <v>0</v>
      </c>
      <c r="AX89" s="3">
        <f t="shared" si="306"/>
        <v>0</v>
      </c>
      <c r="AY89" s="3">
        <f t="shared" si="307"/>
        <v>-7363</v>
      </c>
    </row>
    <row r="90" spans="2:52" s="3" customFormat="1" x14ac:dyDescent="0.25">
      <c r="B90" s="3" t="s">
        <v>4</v>
      </c>
      <c r="C90" s="11">
        <f>315-345</f>
        <v>-30</v>
      </c>
      <c r="D90" s="11"/>
      <c r="E90" s="11"/>
      <c r="F90" s="11"/>
      <c r="G90" s="11">
        <f>1898-1947</f>
        <v>-49</v>
      </c>
      <c r="H90" s="11"/>
      <c r="I90" s="11"/>
      <c r="J90" s="11"/>
      <c r="K90" s="11"/>
      <c r="L90" s="11"/>
      <c r="M90" s="11"/>
      <c r="N90" s="11"/>
      <c r="O90" s="11">
        <f>16422-16420</f>
        <v>2</v>
      </c>
      <c r="P90" s="11">
        <f>12806-13162</f>
        <v>-356</v>
      </c>
      <c r="Q90" s="11"/>
      <c r="R90" s="11">
        <f>8550-8718</f>
        <v>-168</v>
      </c>
      <c r="S90" s="11">
        <f>6927-6952</f>
        <v>-25</v>
      </c>
      <c r="T90" s="11">
        <f>8050-8207-S90</f>
        <v>-132</v>
      </c>
      <c r="U90" s="11">
        <f>1248-1414</f>
        <v>-166</v>
      </c>
      <c r="V90" s="11">
        <f>1492-1929</f>
        <v>-437</v>
      </c>
      <c r="W90" s="11">
        <f>1982-3079</f>
        <v>-1097</v>
      </c>
      <c r="X90" s="11">
        <f>4875-5502-W90</f>
        <v>470</v>
      </c>
      <c r="Y90" s="11">
        <f>8694-8951-X90-W90</f>
        <v>370</v>
      </c>
      <c r="Z90" s="11">
        <f>13589-12701-Y90-X90-W90</f>
        <v>1145</v>
      </c>
      <c r="AA90" s="11">
        <f>4532-4521</f>
        <v>11</v>
      </c>
      <c r="AB90" s="11">
        <f>26846-13876</f>
        <v>12970</v>
      </c>
      <c r="AC90" s="11"/>
      <c r="AD90" s="11"/>
      <c r="AE90" s="11"/>
      <c r="AF90" s="11"/>
      <c r="AG90" s="11"/>
      <c r="AH90" s="11"/>
      <c r="AI90" s="11"/>
      <c r="AW90" s="3">
        <f t="shared" si="305"/>
        <v>-522</v>
      </c>
      <c r="AX90" s="3">
        <f t="shared" si="306"/>
        <v>-760</v>
      </c>
      <c r="AY90" s="3">
        <f t="shared" si="307"/>
        <v>888</v>
      </c>
    </row>
    <row r="91" spans="2:52" s="3" customFormat="1" x14ac:dyDescent="0.25">
      <c r="B91" s="3" t="s">
        <v>94</v>
      </c>
      <c r="C91" s="11">
        <v>47</v>
      </c>
      <c r="D91" s="11"/>
      <c r="E91" s="11"/>
      <c r="F91" s="11"/>
      <c r="G91" s="11">
        <v>1600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/>
      <c r="R91" s="11">
        <v>25</v>
      </c>
      <c r="S91" s="11">
        <v>3</v>
      </c>
      <c r="T91" s="11">
        <f>5-S91</f>
        <v>2</v>
      </c>
      <c r="U91" s="11">
        <v>3</v>
      </c>
      <c r="V91" s="11">
        <v>0</v>
      </c>
      <c r="W91" s="11">
        <v>8</v>
      </c>
      <c r="X91" s="11">
        <f>8-W91</f>
        <v>0</v>
      </c>
      <c r="Y91" s="11">
        <f>293-X91-W91</f>
        <v>285</v>
      </c>
      <c r="Z91" s="11">
        <f>1154-Y91-X91-W91</f>
        <v>861</v>
      </c>
      <c r="AA91" s="11">
        <v>400</v>
      </c>
      <c r="AB91" s="11">
        <v>0</v>
      </c>
      <c r="AC91" s="11"/>
      <c r="AD91" s="11"/>
      <c r="AE91" s="11"/>
      <c r="AF91" s="11"/>
      <c r="AG91" s="11"/>
      <c r="AH91" s="11"/>
      <c r="AI91" s="11"/>
      <c r="AW91" s="3">
        <f t="shared" si="305"/>
        <v>25</v>
      </c>
      <c r="AX91" s="3">
        <f t="shared" si="306"/>
        <v>8</v>
      </c>
      <c r="AY91" s="3">
        <f t="shared" si="307"/>
        <v>1154</v>
      </c>
    </row>
    <row r="92" spans="2:52" s="3" customFormat="1" x14ac:dyDescent="0.25">
      <c r="B92" s="3" t="s">
        <v>90</v>
      </c>
      <c r="C92" s="11">
        <f>SUM(C87:C91)</f>
        <v>-4183</v>
      </c>
      <c r="D92" s="11"/>
      <c r="E92" s="11"/>
      <c r="F92" s="11"/>
      <c r="G92" s="11">
        <f>SUM(G87:G91)</f>
        <v>-8186</v>
      </c>
      <c r="H92" s="11"/>
      <c r="I92" s="11"/>
      <c r="J92" s="11"/>
      <c r="K92" s="11"/>
      <c r="L92" s="11"/>
      <c r="M92" s="11"/>
      <c r="N92" s="11"/>
      <c r="O92" s="11">
        <f>SUM(O87:O91)</f>
        <v>-16214</v>
      </c>
      <c r="P92" s="11">
        <f>SUM(P87:P91)</f>
        <v>-17817</v>
      </c>
      <c r="Q92" s="11"/>
      <c r="R92" s="11">
        <f t="shared" ref="R92:AB92" si="308">SUM(R87:R91)</f>
        <v>-17629</v>
      </c>
      <c r="S92" s="11">
        <f t="shared" si="308"/>
        <v>-16568</v>
      </c>
      <c r="T92" s="11">
        <f t="shared" si="308"/>
        <v>-17835</v>
      </c>
      <c r="U92" s="11">
        <f t="shared" si="308"/>
        <v>-18382</v>
      </c>
      <c r="V92" s="11">
        <f t="shared" si="308"/>
        <v>-19308</v>
      </c>
      <c r="W92" s="11">
        <f t="shared" si="308"/>
        <v>-19714</v>
      </c>
      <c r="X92" s="11">
        <f t="shared" si="308"/>
        <v>-20889</v>
      </c>
      <c r="Y92" s="11">
        <f t="shared" si="308"/>
        <v>-20094</v>
      </c>
      <c r="Z92" s="11">
        <f t="shared" si="308"/>
        <v>-19036</v>
      </c>
      <c r="AA92" s="11">
        <f t="shared" si="308"/>
        <v>-20201</v>
      </c>
      <c r="AB92" s="11">
        <f t="shared" si="308"/>
        <v>-5832</v>
      </c>
      <c r="AC92" s="11"/>
      <c r="AD92" s="11"/>
      <c r="AE92" s="11"/>
      <c r="AF92" s="11"/>
      <c r="AG92" s="11"/>
      <c r="AH92" s="11"/>
      <c r="AI92" s="11"/>
      <c r="AW92" s="3">
        <f>SUM(AW87:AW91)</f>
        <v>-51660</v>
      </c>
      <c r="AX92" s="3">
        <f>SUM(AX87:AX91)</f>
        <v>-72093</v>
      </c>
      <c r="AY92" s="3">
        <f>SUM(AY87:AY91)</f>
        <v>-79733</v>
      </c>
    </row>
    <row r="93" spans="2:52" s="3" customFormat="1" x14ac:dyDescent="0.25">
      <c r="B93" s="3" t="s">
        <v>41</v>
      </c>
      <c r="C93" s="11">
        <v>18</v>
      </c>
      <c r="D93" s="11"/>
      <c r="E93" s="11"/>
      <c r="F93" s="11"/>
      <c r="G93" s="11">
        <v>-272</v>
      </c>
      <c r="H93" s="11"/>
      <c r="I93" s="11"/>
      <c r="J93" s="11"/>
      <c r="K93" s="11"/>
      <c r="L93" s="11"/>
      <c r="M93" s="11"/>
      <c r="N93" s="11"/>
      <c r="O93" s="11">
        <v>100</v>
      </c>
      <c r="P93" s="11">
        <v>-368</v>
      </c>
      <c r="Q93" s="11"/>
      <c r="R93" s="11">
        <v>137</v>
      </c>
      <c r="S93" s="11">
        <v>50</v>
      </c>
      <c r="T93" s="11">
        <f>24-S93</f>
        <v>-26</v>
      </c>
      <c r="U93" s="11">
        <v>-351</v>
      </c>
      <c r="V93" s="11">
        <v>-94</v>
      </c>
      <c r="W93" s="11">
        <v>-125</v>
      </c>
      <c r="X93" s="11">
        <f>-363-W93</f>
        <v>-238</v>
      </c>
      <c r="Y93" s="11">
        <f>-222-X93-W93</f>
        <v>141</v>
      </c>
      <c r="Z93" s="11">
        <f>-612-Y93-X93-W93</f>
        <v>-390</v>
      </c>
      <c r="AA93" s="11">
        <v>43</v>
      </c>
      <c r="AB93" s="11">
        <v>401</v>
      </c>
      <c r="AC93" s="11"/>
      <c r="AD93" s="11"/>
      <c r="AE93" s="11"/>
      <c r="AF93" s="11"/>
      <c r="AG93" s="11"/>
      <c r="AH93" s="11"/>
      <c r="AI93" s="11"/>
      <c r="AW93" s="3">
        <f t="shared" si="305"/>
        <v>-131</v>
      </c>
      <c r="AX93" s="3">
        <f>SUM(S93:V93)</f>
        <v>-421</v>
      </c>
      <c r="AY93" s="3">
        <f t="shared" si="307"/>
        <v>-612</v>
      </c>
    </row>
    <row r="94" spans="2:52" s="3" customFormat="1" x14ac:dyDescent="0.25">
      <c r="B94" s="3" t="s">
        <v>95</v>
      </c>
      <c r="C94" s="11">
        <f>+C93+C92+C85+C79</f>
        <v>2447</v>
      </c>
      <c r="D94" s="11"/>
      <c r="E94" s="11"/>
      <c r="F94" s="11"/>
      <c r="G94" s="11">
        <f>+G93+G92+G85+G79</f>
        <v>1146</v>
      </c>
      <c r="H94" s="11"/>
      <c r="I94" s="11"/>
      <c r="J94" s="11"/>
      <c r="K94" s="11"/>
      <c r="L94" s="11"/>
      <c r="M94" s="11"/>
      <c r="N94" s="11"/>
      <c r="O94" s="11">
        <f>+O93+O92+O85+O79</f>
        <v>-59</v>
      </c>
      <c r="P94" s="11">
        <f>+P93+P92+P85+P79</f>
        <v>-2950</v>
      </c>
      <c r="Q94" s="11"/>
      <c r="R94" s="11">
        <f t="shared" ref="R94:AB94" si="309">+R93+R92+R85+R79</f>
        <v>-105</v>
      </c>
      <c r="S94" s="11">
        <f t="shared" si="309"/>
        <v>4045</v>
      </c>
      <c r="T94" s="11">
        <f t="shared" si="309"/>
        <v>5</v>
      </c>
      <c r="U94" s="11">
        <f t="shared" si="309"/>
        <v>4773</v>
      </c>
      <c r="V94" s="11">
        <f t="shared" si="309"/>
        <v>-6654</v>
      </c>
      <c r="W94" s="11">
        <f t="shared" si="309"/>
        <v>445</v>
      </c>
      <c r="X94" s="11">
        <f t="shared" si="309"/>
        <v>2732</v>
      </c>
      <c r="Y94" s="11">
        <f t="shared" si="309"/>
        <v>-7266</v>
      </c>
      <c r="Z94" s="11">
        <f t="shared" si="309"/>
        <v>3507</v>
      </c>
      <c r="AA94" s="11">
        <f t="shared" si="309"/>
        <v>-202</v>
      </c>
      <c r="AB94" s="11">
        <f t="shared" si="309"/>
        <v>-2228</v>
      </c>
      <c r="AC94" s="11"/>
      <c r="AD94" s="11"/>
      <c r="AE94" s="11"/>
      <c r="AF94" s="11"/>
      <c r="AG94" s="11"/>
      <c r="AH94" s="11"/>
      <c r="AI94" s="11"/>
      <c r="AW94" s="3">
        <f>+AW93+AW92+AW85+AW79</f>
        <v>12963</v>
      </c>
      <c r="AX94" s="3">
        <f>+AX93+AX92+AX85+AX79</f>
        <v>2169</v>
      </c>
      <c r="AY94" s="3">
        <f>+AY93+AY92+AY85+AY79</f>
        <v>-582</v>
      </c>
    </row>
    <row r="95" spans="2:52" s="3" customFormat="1" x14ac:dyDescent="0.25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2:52" s="3" customFormat="1" x14ac:dyDescent="0.25">
      <c r="B96" s="3" t="s">
        <v>37</v>
      </c>
      <c r="C96" s="11"/>
      <c r="D96" s="11"/>
      <c r="E96" s="11"/>
      <c r="F96" s="11"/>
      <c r="G96" s="11"/>
      <c r="H96" s="11"/>
      <c r="I96" s="11"/>
      <c r="J96" s="11">
        <f>J79-J81</f>
        <v>28156</v>
      </c>
      <c r="K96" s="11">
        <f>K79-K81</f>
        <v>25231</v>
      </c>
      <c r="L96" s="11"/>
      <c r="M96" s="11">
        <f>M79-M81</f>
        <v>32358</v>
      </c>
      <c r="N96" s="11">
        <f>N79-N81</f>
        <v>6383</v>
      </c>
      <c r="O96" s="11">
        <f t="shared" ref="O96:AB96" si="310">O79+O81</f>
        <v>15320</v>
      </c>
      <c r="P96" s="11">
        <f t="shared" si="310"/>
        <v>12594</v>
      </c>
      <c r="Q96" s="11">
        <f t="shared" si="310"/>
        <v>16077</v>
      </c>
      <c r="R96" s="11">
        <f t="shared" si="310"/>
        <v>16019</v>
      </c>
      <c r="S96" s="11">
        <f t="shared" si="310"/>
        <v>17220</v>
      </c>
      <c r="T96" s="11">
        <f t="shared" si="310"/>
        <v>21778</v>
      </c>
      <c r="U96" s="11">
        <f t="shared" si="310"/>
        <v>22601</v>
      </c>
      <c r="V96" s="11">
        <f t="shared" si="310"/>
        <v>7896</v>
      </c>
      <c r="W96" s="11">
        <f t="shared" si="310"/>
        <v>16836</v>
      </c>
      <c r="X96" s="11">
        <f t="shared" si="310"/>
        <v>13454</v>
      </c>
      <c r="Y96" s="11">
        <f t="shared" si="310"/>
        <v>17637</v>
      </c>
      <c r="Z96" s="11">
        <f t="shared" si="310"/>
        <v>24837</v>
      </c>
      <c r="AA96" s="11">
        <f t="shared" si="310"/>
        <v>18953</v>
      </c>
      <c r="AB96" s="11">
        <f t="shared" si="310"/>
        <v>5301</v>
      </c>
      <c r="AC96" s="11"/>
      <c r="AD96" s="11"/>
      <c r="AE96" s="11"/>
      <c r="AF96" s="11"/>
      <c r="AG96" s="11"/>
      <c r="AH96" s="11"/>
      <c r="AI96" s="11"/>
      <c r="AW96" s="11">
        <f>AW79+AW81</f>
        <v>60010</v>
      </c>
      <c r="AX96" s="11">
        <f>AX79+AX81</f>
        <v>69495</v>
      </c>
      <c r="AY96" s="11">
        <f>AY79+AY81</f>
        <v>72764</v>
      </c>
    </row>
    <row r="97" spans="2:51" s="9" customFormat="1" ht="13" x14ac:dyDescent="0.3">
      <c r="B97" s="9" t="s">
        <v>205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>
        <f t="shared" ref="N97:T97" si="311">SUM(K96:N96)</f>
        <v>63972</v>
      </c>
      <c r="O97" s="10">
        <f t="shared" si="311"/>
        <v>54061</v>
      </c>
      <c r="P97" s="10">
        <f t="shared" si="311"/>
        <v>66655</v>
      </c>
      <c r="Q97" s="10">
        <f t="shared" si="311"/>
        <v>50374</v>
      </c>
      <c r="R97" s="10">
        <f t="shared" si="311"/>
        <v>60010</v>
      </c>
      <c r="S97" s="10">
        <f t="shared" si="311"/>
        <v>61910</v>
      </c>
      <c r="T97" s="10">
        <f t="shared" si="311"/>
        <v>71094</v>
      </c>
      <c r="U97" s="10">
        <f t="shared" ref="U97:Y97" si="312">SUM(R96:U96)</f>
        <v>77618</v>
      </c>
      <c r="V97" s="10">
        <f t="shared" si="312"/>
        <v>69495</v>
      </c>
      <c r="W97" s="10">
        <f t="shared" si="312"/>
        <v>69111</v>
      </c>
      <c r="X97" s="10">
        <f t="shared" si="312"/>
        <v>60787</v>
      </c>
      <c r="Y97" s="10">
        <f t="shared" si="312"/>
        <v>55823</v>
      </c>
      <c r="Z97" s="10">
        <f>SUM(W96:Z96)</f>
        <v>72764</v>
      </c>
      <c r="AA97" s="10">
        <f>SUM(X96:AA96)</f>
        <v>74881</v>
      </c>
      <c r="AB97" s="10">
        <f>SUM(Y96:AB96)</f>
        <v>66728</v>
      </c>
      <c r="AC97" s="10"/>
      <c r="AD97" s="10"/>
      <c r="AE97" s="10"/>
      <c r="AF97" s="10"/>
      <c r="AG97" s="10"/>
      <c r="AH97" s="10"/>
      <c r="AI97" s="10"/>
      <c r="AW97" s="10" t="s">
        <v>239</v>
      </c>
      <c r="AX97" s="10" t="s">
        <v>239</v>
      </c>
      <c r="AY97" s="10" t="s">
        <v>239</v>
      </c>
    </row>
    <row r="98" spans="2:51" s="9" customFormat="1" ht="13" x14ac:dyDescent="0.3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6">
        <f t="shared" ref="W98" si="313">W97/S97-1</f>
        <v>0.11631400419964466</v>
      </c>
      <c r="X98" s="16">
        <f t="shared" ref="X98" si="314">X97/T97-1</f>
        <v>-0.14497707260809634</v>
      </c>
      <c r="Y98" s="16">
        <f t="shared" ref="Y98:AA98" si="315">Y97/U97-1</f>
        <v>-0.28079826844288691</v>
      </c>
      <c r="Z98" s="16">
        <f t="shared" si="315"/>
        <v>4.7039355349305811E-2</v>
      </c>
      <c r="AA98" s="16">
        <f t="shared" si="315"/>
        <v>8.3488880207202909E-2</v>
      </c>
      <c r="AB98" s="16">
        <f>AB97/X97-1</f>
        <v>9.7734713014295815E-2</v>
      </c>
      <c r="AC98" s="10"/>
      <c r="AD98" s="10"/>
      <c r="AE98" s="10"/>
      <c r="AF98" s="10"/>
      <c r="AG98" s="10"/>
      <c r="AH98" s="10"/>
      <c r="AI98" s="10"/>
      <c r="AW98" s="10"/>
      <c r="AX98" s="10"/>
      <c r="AY98" s="10"/>
    </row>
    <row r="99" spans="2:51" x14ac:dyDescent="0.25">
      <c r="R99" s="11"/>
    </row>
    <row r="100" spans="2:51" s="3" customFormat="1" x14ac:dyDescent="0.25">
      <c r="B100" s="3" t="s">
        <v>52</v>
      </c>
      <c r="C100" s="11">
        <v>103459</v>
      </c>
      <c r="D100" s="11"/>
      <c r="E100" s="11"/>
      <c r="F100" s="11"/>
      <c r="G100" s="11">
        <v>123048</v>
      </c>
      <c r="H100" s="11"/>
      <c r="I100" s="11"/>
      <c r="J100" s="11"/>
      <c r="K100" s="11">
        <v>139995</v>
      </c>
      <c r="L100" s="11">
        <v>144056</v>
      </c>
      <c r="M100" s="11">
        <v>150028</v>
      </c>
      <c r="N100" s="11">
        <v>156500</v>
      </c>
      <c r="O100" s="11">
        <v>163906</v>
      </c>
      <c r="P100" s="11">
        <v>174014</v>
      </c>
      <c r="Q100" s="11">
        <v>186779</v>
      </c>
      <c r="R100" s="11">
        <v>190234</v>
      </c>
      <c r="S100" s="11">
        <v>190711</v>
      </c>
      <c r="T100" s="11">
        <v>181798</v>
      </c>
      <c r="U100" s="11">
        <v>182381</v>
      </c>
      <c r="V100" s="11">
        <v>182502</v>
      </c>
      <c r="W100" s="11">
        <v>180895</v>
      </c>
      <c r="X100" s="11">
        <v>181798</v>
      </c>
      <c r="Y100" s="11">
        <v>181269</v>
      </c>
      <c r="Z100" s="11">
        <v>182323</v>
      </c>
      <c r="AA100" s="11">
        <v>185719</v>
      </c>
      <c r="AB100" s="11">
        <v>187103</v>
      </c>
      <c r="AC100" s="11"/>
      <c r="AD100" s="11"/>
      <c r="AE100" s="11"/>
      <c r="AF100" s="11"/>
      <c r="AG100" s="11"/>
      <c r="AH100" s="11"/>
      <c r="AI100" s="11"/>
      <c r="AW100" s="3">
        <f t="shared" ref="AW100:AX100" si="316">R100</f>
        <v>190234</v>
      </c>
      <c r="AX100" s="3">
        <f t="shared" si="316"/>
        <v>190711</v>
      </c>
      <c r="AY100" s="3">
        <f>T100</f>
        <v>181798</v>
      </c>
    </row>
    <row r="101" spans="2:51" x14ac:dyDescent="0.25">
      <c r="B101" s="3" t="s">
        <v>81</v>
      </c>
      <c r="O101" s="15">
        <f t="shared" ref="O101:AB101" si="317">+O100/K100-1</f>
        <v>0.17079895710561099</v>
      </c>
      <c r="P101" s="15">
        <f t="shared" si="317"/>
        <v>0.20796079302493475</v>
      </c>
      <c r="Q101" s="15">
        <f t="shared" si="317"/>
        <v>0.24496094062441687</v>
      </c>
      <c r="R101" s="15">
        <f t="shared" si="317"/>
        <v>0.21555271565495215</v>
      </c>
      <c r="S101" s="15">
        <f t="shared" si="317"/>
        <v>0.16353885763791443</v>
      </c>
      <c r="T101" s="15">
        <f t="shared" si="317"/>
        <v>4.4732033054811771E-2</v>
      </c>
      <c r="U101" s="15">
        <f t="shared" si="317"/>
        <v>-2.3546544311726647E-2</v>
      </c>
      <c r="V101" s="15">
        <f t="shared" si="317"/>
        <v>-4.0644679710251541E-2</v>
      </c>
      <c r="W101" s="15">
        <f t="shared" si="317"/>
        <v>-5.1470549679882072E-2</v>
      </c>
      <c r="X101" s="15">
        <f t="shared" si="317"/>
        <v>0</v>
      </c>
      <c r="Y101" s="15">
        <f t="shared" si="317"/>
        <v>-6.0971263453978297E-3</v>
      </c>
      <c r="Z101" s="15">
        <f t="shared" si="317"/>
        <v>-9.8081116919268574E-4</v>
      </c>
      <c r="AA101" s="15">
        <f t="shared" si="317"/>
        <v>2.6667403742502538E-2</v>
      </c>
      <c r="AB101" s="15">
        <f t="shared" si="317"/>
        <v>2.9180739062035776E-2</v>
      </c>
      <c r="AX101" s="5">
        <f>+AX100/AW100-1</f>
        <v>2.5074382076810675E-3</v>
      </c>
      <c r="AY101" s="5">
        <f>+AY100/AX100-1</f>
        <v>-4.6735636643927214E-2</v>
      </c>
    </row>
    <row r="102" spans="2:51" x14ac:dyDescent="0.25">
      <c r="B102" s="3" t="s">
        <v>100</v>
      </c>
      <c r="G102" s="11">
        <f>+G16/G100*1000</f>
        <v>334.49548143813797</v>
      </c>
      <c r="K102" s="11">
        <f t="shared" ref="K102:AB102" si="318">+K16/K100*1000</f>
        <v>395.11411121825779</v>
      </c>
      <c r="L102" s="11">
        <f t="shared" si="318"/>
        <v>429.55517298828232</v>
      </c>
      <c r="M102" s="11">
        <f t="shared" si="318"/>
        <v>434.03897939051376</v>
      </c>
      <c r="N102" s="11">
        <f t="shared" si="318"/>
        <v>481.30990415335464</v>
      </c>
      <c r="O102" s="11">
        <f t="shared" si="318"/>
        <v>414.93905043134475</v>
      </c>
      <c r="P102" s="11">
        <f t="shared" si="318"/>
        <v>400.45628512648409</v>
      </c>
      <c r="Q102" s="11">
        <f t="shared" si="318"/>
        <v>369.91310586307884</v>
      </c>
      <c r="R102" s="11">
        <f t="shared" si="318"/>
        <v>399.76029521536634</v>
      </c>
      <c r="S102" s="11">
        <f t="shared" si="318"/>
        <v>365.93064899245451</v>
      </c>
      <c r="T102" s="11">
        <f t="shared" si="318"/>
        <v>410.36755079813861</v>
      </c>
      <c r="U102" s="11">
        <f t="shared" si="318"/>
        <v>420.50981187733373</v>
      </c>
      <c r="V102" s="11">
        <f t="shared" si="318"/>
        <v>472.92632409507837</v>
      </c>
      <c r="W102" s="11">
        <f t="shared" si="318"/>
        <v>445.22513060062471</v>
      </c>
      <c r="X102" s="11">
        <f t="shared" si="318"/>
        <v>466.1327407342215</v>
      </c>
      <c r="Y102" s="11">
        <f t="shared" si="318"/>
        <v>486.9448168192024</v>
      </c>
      <c r="Z102" s="11">
        <f t="shared" si="318"/>
        <v>529.11042490525062</v>
      </c>
      <c r="AA102" s="11">
        <f t="shared" si="318"/>
        <v>485.86305116870108</v>
      </c>
      <c r="AB102" s="11">
        <f t="shared" si="318"/>
        <v>515.37388497244831</v>
      </c>
      <c r="AW102" s="11">
        <f>+AW16/AW100*1000</f>
        <v>1486.779440058034</v>
      </c>
      <c r="AX102" s="11">
        <f>+AX16/AX100*1000</f>
        <v>1611.8315147002534</v>
      </c>
      <c r="AY102" s="11">
        <f>+AY16/AY100*1000</f>
        <v>1925.3127097107779</v>
      </c>
    </row>
    <row r="103" spans="2:51" x14ac:dyDescent="0.25">
      <c r="AW103" s="11"/>
    </row>
    <row r="105" spans="2:51" x14ac:dyDescent="0.25">
      <c r="B105" s="3" t="s">
        <v>241</v>
      </c>
      <c r="AP105">
        <v>37.94</v>
      </c>
      <c r="AQ105">
        <v>38.590000000000003</v>
      </c>
      <c r="AR105">
        <v>52.32</v>
      </c>
      <c r="AS105">
        <v>51.78</v>
      </c>
      <c r="AT105">
        <v>66.849999999999994</v>
      </c>
      <c r="AU105">
        <v>87.59</v>
      </c>
      <c r="AV105">
        <v>144.68</v>
      </c>
      <c r="AW105">
        <v>88.73</v>
      </c>
    </row>
    <row r="106" spans="2:51" x14ac:dyDescent="0.25">
      <c r="AW106" s="5">
        <f>AW105/AP105-1</f>
        <v>1.3386926726410122</v>
      </c>
    </row>
    <row r="108" spans="2:51" x14ac:dyDescent="0.25">
      <c r="B108" t="s">
        <v>240</v>
      </c>
      <c r="AP108" s="3">
        <v>5007.41</v>
      </c>
      <c r="AQ108" s="3">
        <v>5383.12</v>
      </c>
      <c r="AR108" s="3">
        <v>6903.39</v>
      </c>
      <c r="AS108" s="3">
        <v>6635.28</v>
      </c>
      <c r="AT108" s="3">
        <v>8972.6</v>
      </c>
      <c r="AU108" s="3">
        <v>12888.28</v>
      </c>
      <c r="AV108" s="3">
        <v>15644.97</v>
      </c>
      <c r="AW108" s="3">
        <v>10466.48</v>
      </c>
    </row>
    <row r="109" spans="2:51" x14ac:dyDescent="0.25">
      <c r="AW109" s="5">
        <f>AW108/AP108-1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2025-08-27T14:30:02Z</dcterms:modified>
</cp:coreProperties>
</file>