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B0DBE76-1804-438E-9F57-8DCB0790E310}" xr6:coauthVersionLast="47" xr6:coauthVersionMax="47" xr10:uidLastSave="{00000000-0000-0000-0000-000000000000}"/>
  <bookViews>
    <workbookView xWindow="39820" yWindow="1480" windowWidth="26400" windowHeight="1803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112" i="2" l="1"/>
  <c r="BT113" i="2"/>
  <c r="BS112" i="2"/>
  <c r="BT112" i="2"/>
  <c r="BT111" i="2"/>
  <c r="BT85" i="2"/>
  <c r="BT91" i="2"/>
  <c r="BT90" i="2"/>
  <c r="BT89" i="2"/>
  <c r="BT88" i="2"/>
  <c r="BT87" i="2"/>
  <c r="BT86" i="2"/>
  <c r="BT92" i="2"/>
  <c r="BT109" i="2" s="1"/>
  <c r="BS109" i="2"/>
  <c r="BT107" i="2"/>
  <c r="BT106" i="2"/>
  <c r="BT105" i="2"/>
  <c r="BT104" i="2"/>
  <c r="BT103" i="2"/>
  <c r="BT102" i="2"/>
  <c r="BT101" i="2"/>
  <c r="BT100" i="2"/>
  <c r="BT98" i="2"/>
  <c r="BT97" i="2"/>
  <c r="BT96" i="2"/>
  <c r="BT95" i="2"/>
  <c r="BT94" i="2"/>
  <c r="BS29" i="2"/>
  <c r="BS28" i="2"/>
  <c r="BS27" i="2"/>
  <c r="BT29" i="2"/>
  <c r="BT28" i="2"/>
  <c r="BT27" i="2"/>
  <c r="BR5" i="2"/>
  <c r="BS5" i="2"/>
  <c r="BT5" i="2"/>
  <c r="BQ4" i="2"/>
  <c r="BR4" i="2"/>
  <c r="BS4" i="2"/>
  <c r="BT4" i="2"/>
  <c r="AD5" i="2"/>
  <c r="AD21" i="2"/>
  <c r="AD52" i="2"/>
  <c r="AD113" i="2"/>
  <c r="AD112" i="2"/>
  <c r="AD111" i="2"/>
  <c r="AD110" i="2"/>
  <c r="AD109" i="2"/>
  <c r="AD107" i="2"/>
  <c r="AD105" i="2"/>
  <c r="AD102" i="2"/>
  <c r="AD98" i="2"/>
  <c r="AD96" i="2"/>
  <c r="AD91" i="2"/>
  <c r="AD92" i="2" s="1"/>
  <c r="AD85" i="2"/>
  <c r="AD77" i="2"/>
  <c r="AD78" i="2"/>
  <c r="AD75" i="2"/>
  <c r="AD72" i="2"/>
  <c r="AD70" i="2"/>
  <c r="AD63" i="2"/>
  <c r="AD64" i="2"/>
  <c r="AD37" i="2"/>
  <c r="AD36" i="2"/>
  <c r="AD94" i="2"/>
  <c r="AD27" i="2"/>
  <c r="BQ50" i="2"/>
  <c r="BR52" i="2"/>
  <c r="BS107" i="2"/>
  <c r="BS106" i="2"/>
  <c r="BS105" i="2"/>
  <c r="BS104" i="2"/>
  <c r="BS103" i="2"/>
  <c r="BS102" i="2"/>
  <c r="BS101" i="2"/>
  <c r="BS100" i="2"/>
  <c r="BS98" i="2"/>
  <c r="BS97" i="2"/>
  <c r="BS96" i="2"/>
  <c r="BS95" i="2"/>
  <c r="BS94" i="2"/>
  <c r="BS92" i="2"/>
  <c r="BS91" i="2"/>
  <c r="BS90" i="2"/>
  <c r="BS89" i="2"/>
  <c r="BS88" i="2"/>
  <c r="BS87" i="2"/>
  <c r="BS86" i="2"/>
  <c r="BS85" i="2"/>
  <c r="BQ83" i="2"/>
  <c r="BQ82" i="2"/>
  <c r="BQ81" i="2"/>
  <c r="BQ80" i="2"/>
  <c r="BQ79" i="2"/>
  <c r="BQ78" i="2"/>
  <c r="BQ77" i="2"/>
  <c r="BQ76" i="2"/>
  <c r="BQ75" i="2"/>
  <c r="BQ74" i="2"/>
  <c r="BQ72" i="2"/>
  <c r="BQ71" i="2"/>
  <c r="BQ70" i="2"/>
  <c r="BQ69" i="2"/>
  <c r="BQ68" i="2"/>
  <c r="BQ67" i="2"/>
  <c r="BQ66" i="2"/>
  <c r="BQ65" i="2"/>
  <c r="BQ64" i="2"/>
  <c r="BQ63" i="2" s="1"/>
  <c r="BR53" i="2"/>
  <c r="BQ53" i="2"/>
  <c r="BS53" i="2"/>
  <c r="BS52" i="2"/>
  <c r="BR82" i="2"/>
  <c r="BR81" i="2"/>
  <c r="BR80" i="2"/>
  <c r="BR79" i="2"/>
  <c r="BR78" i="2"/>
  <c r="BR77" i="2"/>
  <c r="BR76" i="2"/>
  <c r="BR75" i="2"/>
  <c r="BR74" i="2"/>
  <c r="BR83" i="2"/>
  <c r="BR72" i="2"/>
  <c r="BR71" i="2"/>
  <c r="BR70" i="2"/>
  <c r="BR69" i="2"/>
  <c r="BR68" i="2"/>
  <c r="BR67" i="2"/>
  <c r="BR66" i="2"/>
  <c r="BR65" i="2"/>
  <c r="BR64" i="2"/>
  <c r="BR63" i="2" s="1"/>
  <c r="BS83" i="2"/>
  <c r="BS82" i="2"/>
  <c r="BS81" i="2"/>
  <c r="BS80" i="2"/>
  <c r="BS79" i="2"/>
  <c r="BS78" i="2"/>
  <c r="BS77" i="2"/>
  <c r="BS76" i="2"/>
  <c r="BS75" i="2"/>
  <c r="BS74" i="2"/>
  <c r="BS72" i="2"/>
  <c r="BS71" i="2"/>
  <c r="BS70" i="2"/>
  <c r="BS69" i="2"/>
  <c r="BS68" i="2"/>
  <c r="BS67" i="2"/>
  <c r="BS66" i="2"/>
  <c r="BS65" i="2"/>
  <c r="BS64" i="2"/>
  <c r="BS63" i="2" s="1"/>
  <c r="BS46" i="2"/>
  <c r="AC113" i="2"/>
  <c r="AC112" i="2"/>
  <c r="AC111" i="2"/>
  <c r="AC110" i="2"/>
  <c r="AC109" i="2"/>
  <c r="AC107" i="2"/>
  <c r="AC105" i="2"/>
  <c r="AC102" i="2"/>
  <c r="AC96" i="2"/>
  <c r="AC98" i="2"/>
  <c r="AC91" i="2"/>
  <c r="AC92" i="2"/>
  <c r="AC85" i="2"/>
  <c r="AD83" i="2" l="1"/>
  <c r="AG60" i="2"/>
  <c r="AF60" i="2"/>
  <c r="AE60" i="2"/>
  <c r="AG59" i="2"/>
  <c r="AF59" i="2"/>
  <c r="AE59" i="2"/>
  <c r="AG58" i="2"/>
  <c r="AF58" i="2"/>
  <c r="AE58" i="2"/>
  <c r="AG57" i="2"/>
  <c r="AF57" i="2"/>
  <c r="AE57" i="2"/>
  <c r="AH32" i="2"/>
  <c r="AH60" i="2" s="1"/>
  <c r="AG32" i="2"/>
  <c r="AF32" i="2"/>
  <c r="AE32" i="2"/>
  <c r="AH31" i="2"/>
  <c r="AH59" i="2" s="1"/>
  <c r="AG31" i="2"/>
  <c r="AF31" i="2"/>
  <c r="AE31" i="2"/>
  <c r="AC52" i="2"/>
  <c r="AH41" i="2"/>
  <c r="AG41" i="2"/>
  <c r="AF41" i="2"/>
  <c r="AE41" i="2"/>
  <c r="AE48" i="2"/>
  <c r="AF48" i="2" s="1"/>
  <c r="AG48" i="2" s="1"/>
  <c r="AH48" i="2" s="1"/>
  <c r="AG33" i="2"/>
  <c r="AG50" i="2" s="1"/>
  <c r="AF33" i="2"/>
  <c r="AF50" i="2" s="1"/>
  <c r="AE33" i="2"/>
  <c r="AE37" i="2" s="1"/>
  <c r="AE56" i="2" s="1"/>
  <c r="AH8" i="2"/>
  <c r="AG8" i="2"/>
  <c r="AF8" i="2"/>
  <c r="AE8" i="2"/>
  <c r="AH2" i="2"/>
  <c r="AG2" i="2"/>
  <c r="AF2" i="2"/>
  <c r="AE2" i="2"/>
  <c r="AC78" i="2"/>
  <c r="AC77" i="2"/>
  <c r="AC75" i="2"/>
  <c r="AC64" i="2"/>
  <c r="AC70" i="2"/>
  <c r="AC72" i="2"/>
  <c r="AC5" i="2"/>
  <c r="AC36" i="2"/>
  <c r="N112" i="2"/>
  <c r="M112" i="2"/>
  <c r="L112" i="2"/>
  <c r="K112" i="2"/>
  <c r="J112" i="2"/>
  <c r="J102" i="2"/>
  <c r="J105" i="2" s="1"/>
  <c r="J96" i="2"/>
  <c r="J98" i="2" s="1"/>
  <c r="J91" i="2"/>
  <c r="J92" i="2"/>
  <c r="J109" i="2" s="1"/>
  <c r="J77" i="2"/>
  <c r="J78" i="2"/>
  <c r="J75" i="2"/>
  <c r="J83" i="2"/>
  <c r="J70" i="2"/>
  <c r="J64" i="2"/>
  <c r="J72" i="2"/>
  <c r="J63" i="2"/>
  <c r="F41" i="2"/>
  <c r="F36" i="2"/>
  <c r="F33" i="2"/>
  <c r="I109" i="2"/>
  <c r="I102" i="2"/>
  <c r="I105" i="2"/>
  <c r="I96" i="2"/>
  <c r="I98" i="2" s="1"/>
  <c r="I91" i="2"/>
  <c r="I92" i="2" s="1"/>
  <c r="I78" i="2"/>
  <c r="I77" i="2"/>
  <c r="I75" i="2"/>
  <c r="I83" i="2"/>
  <c r="I64" i="2"/>
  <c r="I70" i="2"/>
  <c r="E60" i="2"/>
  <c r="E59" i="2"/>
  <c r="E41" i="2"/>
  <c r="E36" i="2"/>
  <c r="E33" i="2"/>
  <c r="H102" i="2"/>
  <c r="H105" i="2" s="1"/>
  <c r="H96" i="2"/>
  <c r="H98" i="2" s="1"/>
  <c r="D96" i="2"/>
  <c r="D98" i="2" s="1"/>
  <c r="H91" i="2"/>
  <c r="H92" i="2" s="1"/>
  <c r="H109" i="2" s="1"/>
  <c r="H77" i="2"/>
  <c r="H78" i="2"/>
  <c r="H75" i="2"/>
  <c r="H70" i="2"/>
  <c r="H64" i="2"/>
  <c r="H63" i="2" s="1"/>
  <c r="D60" i="2"/>
  <c r="D59" i="2"/>
  <c r="C60" i="2"/>
  <c r="C59" i="2"/>
  <c r="D41" i="2"/>
  <c r="D36" i="2"/>
  <c r="D33" i="2"/>
  <c r="G102" i="2"/>
  <c r="G105" i="2" s="1"/>
  <c r="G96" i="2"/>
  <c r="G98" i="2"/>
  <c r="G91" i="2"/>
  <c r="G92" i="2" s="1"/>
  <c r="G109" i="2" s="1"/>
  <c r="G77" i="2"/>
  <c r="G78" i="2"/>
  <c r="G75" i="2"/>
  <c r="G83" i="2"/>
  <c r="G70" i="2"/>
  <c r="G64" i="2"/>
  <c r="G63" i="2"/>
  <c r="C41" i="2"/>
  <c r="C36" i="2"/>
  <c r="C33" i="2"/>
  <c r="BT35" i="2"/>
  <c r="BS45" i="2"/>
  <c r="BR45" i="2"/>
  <c r="BR43" i="2"/>
  <c r="BS43" i="2"/>
  <c r="BS40" i="2"/>
  <c r="BS39" i="2"/>
  <c r="BS38" i="2"/>
  <c r="BS35" i="2"/>
  <c r="BS34" i="2"/>
  <c r="BS32" i="2"/>
  <c r="BS31" i="2"/>
  <c r="BR32" i="2"/>
  <c r="BR31" i="2"/>
  <c r="AD18" i="2"/>
  <c r="AC19" i="2"/>
  <c r="AC18" i="2"/>
  <c r="BT18" i="2" s="1"/>
  <c r="AC17" i="2"/>
  <c r="AC16" i="2"/>
  <c r="AC15" i="2"/>
  <c r="AC14" i="2"/>
  <c r="AC13" i="2"/>
  <c r="AC12" i="2"/>
  <c r="AC11" i="2"/>
  <c r="AC10" i="2"/>
  <c r="AC9" i="2"/>
  <c r="AC21" i="2"/>
  <c r="AB60" i="2"/>
  <c r="AB59" i="2"/>
  <c r="AB55" i="2"/>
  <c r="AB54" i="2"/>
  <c r="AB53" i="2"/>
  <c r="AB5" i="2"/>
  <c r="AB21" i="2"/>
  <c r="AB112" i="2"/>
  <c r="AB102" i="2"/>
  <c r="AB105" i="2" s="1"/>
  <c r="AB96" i="2"/>
  <c r="AB98" i="2" s="1"/>
  <c r="AB91" i="2"/>
  <c r="AB92" i="2" s="1"/>
  <c r="AB109" i="2" s="1"/>
  <c r="AB77" i="2"/>
  <c r="AB78" i="2"/>
  <c r="AB75" i="2"/>
  <c r="AB70" i="2"/>
  <c r="AB64" i="2"/>
  <c r="AB72" i="2" s="1"/>
  <c r="AB36" i="2"/>
  <c r="AH33" i="2" l="1"/>
  <c r="AH37" i="2"/>
  <c r="AH56" i="2" s="1"/>
  <c r="AH42" i="2"/>
  <c r="AG37" i="2"/>
  <c r="AG56" i="2" s="1"/>
  <c r="AG42" i="2"/>
  <c r="AG44" i="2" s="1"/>
  <c r="AG46" i="2" s="1"/>
  <c r="AG47" i="2" s="1"/>
  <c r="AF37" i="2"/>
  <c r="AF56" i="2" s="1"/>
  <c r="AF42" i="2"/>
  <c r="AF44" i="2" s="1"/>
  <c r="AF46" i="2" s="1"/>
  <c r="AF47" i="2" s="1"/>
  <c r="AE50" i="2"/>
  <c r="AE42" i="2"/>
  <c r="AE44" i="2" s="1"/>
  <c r="AE46" i="2" s="1"/>
  <c r="AE47" i="2" s="1"/>
  <c r="G72" i="2"/>
  <c r="BS36" i="2"/>
  <c r="N113" i="2"/>
  <c r="I72" i="2"/>
  <c r="G107" i="2"/>
  <c r="J110" i="2"/>
  <c r="I63" i="2"/>
  <c r="J107" i="2"/>
  <c r="H72" i="2"/>
  <c r="I107" i="2"/>
  <c r="H83" i="2"/>
  <c r="AC83" i="2"/>
  <c r="AC63" i="2"/>
  <c r="F37" i="2"/>
  <c r="F42" i="2" s="1"/>
  <c r="F44" i="2" s="1"/>
  <c r="F46" i="2" s="1"/>
  <c r="F47" i="2" s="1"/>
  <c r="E37" i="2"/>
  <c r="H107" i="2"/>
  <c r="D37" i="2"/>
  <c r="C37" i="2"/>
  <c r="AB63" i="2"/>
  <c r="BT8" i="2"/>
  <c r="BT19" i="2"/>
  <c r="AB83" i="2"/>
  <c r="AB107" i="2"/>
  <c r="BT40" i="2"/>
  <c r="BT39" i="2"/>
  <c r="AD41" i="2"/>
  <c r="AD60" i="2"/>
  <c r="BT31" i="2"/>
  <c r="BU31" i="2" s="1"/>
  <c r="BV31" i="2" s="1"/>
  <c r="AD55" i="2"/>
  <c r="AD54" i="2"/>
  <c r="AC55" i="2"/>
  <c r="AC54" i="2"/>
  <c r="AD53" i="2"/>
  <c r="AC53" i="2"/>
  <c r="BP21" i="2"/>
  <c r="BO21" i="2"/>
  <c r="BN21" i="2"/>
  <c r="BM21" i="2"/>
  <c r="BL21" i="2"/>
  <c r="BS8" i="2"/>
  <c r="Z19" i="2"/>
  <c r="AD19" i="2" s="1"/>
  <c r="Z17" i="2"/>
  <c r="AD17" i="2" s="1"/>
  <c r="BT17" i="2" s="1"/>
  <c r="Z16" i="2"/>
  <c r="AD16" i="2" s="1"/>
  <c r="BT16" i="2" s="1"/>
  <c r="Z15" i="2"/>
  <c r="AD15" i="2" s="1"/>
  <c r="BT15" i="2" s="1"/>
  <c r="Z14" i="2"/>
  <c r="AD14" i="2" s="1"/>
  <c r="BT14" i="2" s="1"/>
  <c r="Z13" i="2"/>
  <c r="AD13" i="2" s="1"/>
  <c r="BT13" i="2" s="1"/>
  <c r="Z12" i="2"/>
  <c r="AD12" i="2" s="1"/>
  <c r="BT12" i="2" s="1"/>
  <c r="Z11" i="2"/>
  <c r="AD11" i="2" s="1"/>
  <c r="BT11" i="2" s="1"/>
  <c r="Z10" i="2"/>
  <c r="AD10" i="2" s="1"/>
  <c r="BT10" i="2" s="1"/>
  <c r="Z9" i="2"/>
  <c r="AD9" i="2" s="1"/>
  <c r="BT9" i="2" s="1"/>
  <c r="AA5" i="2"/>
  <c r="AA112" i="2"/>
  <c r="AA102" i="2"/>
  <c r="AA101" i="2"/>
  <c r="AA105" i="2" s="1"/>
  <c r="AA96" i="2"/>
  <c r="AA98" i="2" s="1"/>
  <c r="AA91" i="2"/>
  <c r="AA92" i="2" s="1"/>
  <c r="AA109" i="2" s="1"/>
  <c r="AA21" i="2"/>
  <c r="AA54" i="2"/>
  <c r="AA55" i="2"/>
  <c r="AA60" i="2"/>
  <c r="AA59" i="2"/>
  <c r="AA53" i="2"/>
  <c r="AA78" i="2"/>
  <c r="AA77" i="2"/>
  <c r="AA75" i="2"/>
  <c r="AA70" i="2"/>
  <c r="AA64" i="2"/>
  <c r="AA63" i="2" s="1"/>
  <c r="AA41" i="2"/>
  <c r="AA36" i="2"/>
  <c r="Y102" i="2"/>
  <c r="Y101" i="2"/>
  <c r="Y96" i="2"/>
  <c r="Y91" i="2"/>
  <c r="Y77" i="2"/>
  <c r="Y78" i="2"/>
  <c r="Y75" i="2"/>
  <c r="Y70" i="2"/>
  <c r="Y64" i="2"/>
  <c r="Y36" i="2"/>
  <c r="AH44" i="2" l="1"/>
  <c r="AH57" i="2"/>
  <c r="E42" i="2"/>
  <c r="E56" i="2"/>
  <c r="D42" i="2"/>
  <c r="D56" i="2"/>
  <c r="C42" i="2"/>
  <c r="C56" i="2"/>
  <c r="AA83" i="2"/>
  <c r="BT48" i="2"/>
  <c r="AA107" i="2"/>
  <c r="AC60" i="2"/>
  <c r="BT32" i="2"/>
  <c r="BU32" i="2" s="1"/>
  <c r="BV32" i="2" s="1"/>
  <c r="BW32" i="2" s="1"/>
  <c r="AC41" i="2"/>
  <c r="BT38" i="2"/>
  <c r="BT21" i="2"/>
  <c r="BT43" i="2"/>
  <c r="BU43" i="2" s="1"/>
  <c r="BV43" i="2" s="1"/>
  <c r="AB41" i="2"/>
  <c r="AA72" i="2"/>
  <c r="Y21" i="2"/>
  <c r="Z21" i="2"/>
  <c r="X21" i="2"/>
  <c r="W21" i="2"/>
  <c r="V21" i="2"/>
  <c r="U21" i="2"/>
  <c r="T21" i="2"/>
  <c r="Z5" i="2"/>
  <c r="Y5" i="2"/>
  <c r="X5" i="2"/>
  <c r="W5" i="2"/>
  <c r="AA33" i="2"/>
  <c r="Z55" i="2"/>
  <c r="Y55" i="2"/>
  <c r="Z54" i="2"/>
  <c r="Y54" i="2"/>
  <c r="Z53" i="2"/>
  <c r="Y53" i="2"/>
  <c r="Z112" i="2"/>
  <c r="Y112" i="2"/>
  <c r="Y105" i="2"/>
  <c r="Z102" i="2"/>
  <c r="Z101" i="2"/>
  <c r="Z105" i="2" s="1"/>
  <c r="Z96" i="2"/>
  <c r="Z98" i="2" s="1"/>
  <c r="Y98" i="2"/>
  <c r="Y92" i="2"/>
  <c r="Z91" i="2"/>
  <c r="Z92" i="2" s="1"/>
  <c r="Z109" i="2" s="1"/>
  <c r="Z77" i="2"/>
  <c r="Z78" i="2"/>
  <c r="Z75" i="2"/>
  <c r="Y83" i="2"/>
  <c r="Z64" i="2"/>
  <c r="Y72" i="2"/>
  <c r="Z70" i="2"/>
  <c r="Z41" i="2"/>
  <c r="Z36" i="2"/>
  <c r="AD33" i="2"/>
  <c r="AH50" i="2" s="1"/>
  <c r="AC33" i="2"/>
  <c r="AC37" i="2" s="1"/>
  <c r="AB33" i="2"/>
  <c r="AB37" i="2" s="1"/>
  <c r="J19" i="2"/>
  <c r="J17" i="2"/>
  <c r="J16" i="2"/>
  <c r="J15" i="2"/>
  <c r="J14" i="2"/>
  <c r="J13" i="2"/>
  <c r="J12" i="2"/>
  <c r="J11" i="2"/>
  <c r="J10" i="2"/>
  <c r="J9" i="2"/>
  <c r="K55" i="2"/>
  <c r="K54" i="2"/>
  <c r="K53" i="2"/>
  <c r="O112" i="2"/>
  <c r="O113" i="2" s="1"/>
  <c r="K102" i="2"/>
  <c r="K105" i="2"/>
  <c r="K96" i="2"/>
  <c r="K98" i="2" s="1"/>
  <c r="K91" i="2"/>
  <c r="K92" i="2" s="1"/>
  <c r="K109" i="2" s="1"/>
  <c r="K77" i="2"/>
  <c r="K78" i="2"/>
  <c r="K75" i="2"/>
  <c r="K70" i="2"/>
  <c r="K64" i="2"/>
  <c r="G60" i="2"/>
  <c r="G59" i="2"/>
  <c r="G41" i="2"/>
  <c r="G36" i="2"/>
  <c r="G33" i="2"/>
  <c r="G50" i="2" s="1"/>
  <c r="W112" i="2"/>
  <c r="AA113" i="2" s="1"/>
  <c r="V112" i="2"/>
  <c r="U112" i="2"/>
  <c r="T112" i="2"/>
  <c r="S112" i="2"/>
  <c r="R112" i="2"/>
  <c r="R113" i="2" s="1"/>
  <c r="Q112" i="2"/>
  <c r="Q113" i="2" s="1"/>
  <c r="P112" i="2"/>
  <c r="P113" i="2" s="1"/>
  <c r="X112" i="2"/>
  <c r="AB113" i="2" s="1"/>
  <c r="L102" i="2"/>
  <c r="L105" i="2" s="1"/>
  <c r="L96" i="2"/>
  <c r="L98" i="2" s="1"/>
  <c r="L91" i="2"/>
  <c r="L92" i="2" s="1"/>
  <c r="L109" i="2" s="1"/>
  <c r="L78" i="2"/>
  <c r="L77" i="2"/>
  <c r="L75" i="2"/>
  <c r="L83" i="2" s="1"/>
  <c r="L64" i="2"/>
  <c r="L70" i="2"/>
  <c r="H60" i="2"/>
  <c r="H59" i="2"/>
  <c r="L55" i="2"/>
  <c r="L54" i="2"/>
  <c r="L53" i="2"/>
  <c r="H41" i="2"/>
  <c r="H36" i="2"/>
  <c r="H33" i="2"/>
  <c r="H50" i="2" s="1"/>
  <c r="M55" i="2"/>
  <c r="M54" i="2"/>
  <c r="M53" i="2"/>
  <c r="I60" i="2"/>
  <c r="I59" i="2"/>
  <c r="I41" i="2"/>
  <c r="I36" i="2"/>
  <c r="I33" i="2"/>
  <c r="I50" i="2" s="1"/>
  <c r="BQ8" i="2"/>
  <c r="BQ21" i="2" s="1"/>
  <c r="N8" i="2"/>
  <c r="N19" i="2"/>
  <c r="N17" i="2"/>
  <c r="N16" i="2"/>
  <c r="N15" i="2"/>
  <c r="N14" i="2"/>
  <c r="N13" i="2"/>
  <c r="N12" i="2"/>
  <c r="N11" i="2"/>
  <c r="N10" i="2"/>
  <c r="N9" i="2"/>
  <c r="R17" i="2"/>
  <c r="R19" i="2"/>
  <c r="R16" i="2"/>
  <c r="R15" i="2"/>
  <c r="R14" i="2"/>
  <c r="R13" i="2"/>
  <c r="R12" i="2"/>
  <c r="R11" i="2"/>
  <c r="R10" i="2"/>
  <c r="R9" i="2"/>
  <c r="V19" i="2"/>
  <c r="V17" i="2"/>
  <c r="V16" i="2"/>
  <c r="V15" i="2"/>
  <c r="V14" i="2"/>
  <c r="V13" i="2"/>
  <c r="V12" i="2"/>
  <c r="V11" i="2"/>
  <c r="V10" i="2"/>
  <c r="V9" i="2"/>
  <c r="X54" i="2"/>
  <c r="W101" i="2"/>
  <c r="W102" i="2"/>
  <c r="W96" i="2"/>
  <c r="W98" i="2" s="1"/>
  <c r="W91" i="2"/>
  <c r="W92" i="2" s="1"/>
  <c r="W109" i="2" s="1"/>
  <c r="W75" i="2"/>
  <c r="W78" i="2"/>
  <c r="AA52" i="2" s="1"/>
  <c r="W77" i="2"/>
  <c r="W64" i="2"/>
  <c r="W70" i="2"/>
  <c r="X55" i="2"/>
  <c r="W55" i="2"/>
  <c r="X53" i="2"/>
  <c r="W53" i="2"/>
  <c r="W54" i="2"/>
  <c r="W36" i="2"/>
  <c r="X33" i="2"/>
  <c r="X102" i="2"/>
  <c r="X101" i="2"/>
  <c r="X105" i="2" s="1"/>
  <c r="X96" i="2"/>
  <c r="X98" i="2" s="1"/>
  <c r="X91" i="2"/>
  <c r="X92" i="2" s="1"/>
  <c r="X109" i="2" s="1"/>
  <c r="X77" i="2"/>
  <c r="X78" i="2"/>
  <c r="AB52" i="2" s="1"/>
  <c r="X75" i="2"/>
  <c r="X64" i="2"/>
  <c r="X70" i="2"/>
  <c r="Y63" i="2"/>
  <c r="X36" i="2"/>
  <c r="W60" i="2"/>
  <c r="BR8" i="2"/>
  <c r="P55" i="2"/>
  <c r="O55" i="2"/>
  <c r="N55" i="2"/>
  <c r="P54" i="2"/>
  <c r="O54" i="2"/>
  <c r="N54" i="2"/>
  <c r="P53" i="2"/>
  <c r="O53" i="2"/>
  <c r="N53" i="2"/>
  <c r="Q55" i="2"/>
  <c r="Q54" i="2"/>
  <c r="Q53" i="2"/>
  <c r="V53" i="2"/>
  <c r="T53" i="2"/>
  <c r="S53" i="2"/>
  <c r="R53" i="2"/>
  <c r="T55" i="2"/>
  <c r="S55" i="2"/>
  <c r="R55" i="2"/>
  <c r="V55" i="2"/>
  <c r="V54" i="2"/>
  <c r="T54" i="2"/>
  <c r="S54" i="2"/>
  <c r="R54" i="2"/>
  <c r="V5" i="2"/>
  <c r="U5" i="2"/>
  <c r="T5" i="2"/>
  <c r="M102" i="2"/>
  <c r="M105" i="2" s="1"/>
  <c r="M96" i="2"/>
  <c r="M98" i="2" s="1"/>
  <c r="M91" i="2"/>
  <c r="M92" i="2" s="1"/>
  <c r="M109" i="2" s="1"/>
  <c r="M77" i="2"/>
  <c r="M78" i="2"/>
  <c r="M75" i="2"/>
  <c r="M70" i="2"/>
  <c r="M64" i="2"/>
  <c r="N102" i="2"/>
  <c r="N105" i="2" s="1"/>
  <c r="N96" i="2"/>
  <c r="N98" i="2" s="1"/>
  <c r="N91" i="2"/>
  <c r="N92" i="2" s="1"/>
  <c r="N109" i="2" s="1"/>
  <c r="N77" i="2"/>
  <c r="N78" i="2"/>
  <c r="N75" i="2"/>
  <c r="N64" i="2"/>
  <c r="N70" i="2"/>
  <c r="U102" i="2"/>
  <c r="U105" i="2" s="1"/>
  <c r="U96" i="2"/>
  <c r="U98" i="2" s="1"/>
  <c r="U91" i="2"/>
  <c r="U92" i="2" s="1"/>
  <c r="U109" i="2" s="1"/>
  <c r="V101" i="2"/>
  <c r="V105" i="2" s="1"/>
  <c r="V96" i="2"/>
  <c r="V98" i="2" s="1"/>
  <c r="V91" i="2"/>
  <c r="V92" i="2" s="1"/>
  <c r="V109" i="2" s="1"/>
  <c r="V77" i="2"/>
  <c r="V78" i="2"/>
  <c r="V75" i="2"/>
  <c r="V70" i="2"/>
  <c r="V64" i="2"/>
  <c r="V36" i="2"/>
  <c r="BK60" i="2"/>
  <c r="BK59" i="2"/>
  <c r="BK41" i="2"/>
  <c r="BK36" i="2"/>
  <c r="BK33" i="2"/>
  <c r="BK50" i="2" s="1"/>
  <c r="BK118" i="2"/>
  <c r="BK119" i="2" s="1"/>
  <c r="BJ50" i="2"/>
  <c r="BJ41" i="2"/>
  <c r="BJ37" i="2"/>
  <c r="BJ118" i="2"/>
  <c r="BJ119" i="2" s="1"/>
  <c r="BI81" i="2"/>
  <c r="BI78" i="2"/>
  <c r="BI77" i="2"/>
  <c r="BI75" i="2"/>
  <c r="BI70" i="2"/>
  <c r="BI67" i="2"/>
  <c r="BI64" i="2"/>
  <c r="BI50" i="2"/>
  <c r="BI41" i="2"/>
  <c r="BI37" i="2"/>
  <c r="BI118" i="2"/>
  <c r="BI119" i="2" s="1"/>
  <c r="BH81" i="2"/>
  <c r="BH78" i="2"/>
  <c r="BH75" i="2"/>
  <c r="BH70" i="2"/>
  <c r="BH67" i="2"/>
  <c r="BH64" i="2"/>
  <c r="BH50" i="2"/>
  <c r="BH41" i="2"/>
  <c r="BH37" i="2"/>
  <c r="BH56" i="2" s="1"/>
  <c r="BH118" i="2"/>
  <c r="BH119" i="2" s="1"/>
  <c r="BH125" i="2" s="1"/>
  <c r="BG81" i="2"/>
  <c r="BG78" i="2"/>
  <c r="BG75" i="2"/>
  <c r="BG70" i="2"/>
  <c r="BG67" i="2"/>
  <c r="BG64" i="2"/>
  <c r="BG50" i="2"/>
  <c r="BG41" i="2"/>
  <c r="BG37" i="2"/>
  <c r="BG56" i="2" s="1"/>
  <c r="BG118" i="2"/>
  <c r="BG119" i="2" s="1"/>
  <c r="BG125" i="2" s="1"/>
  <c r="BF81" i="2"/>
  <c r="BF79" i="2"/>
  <c r="BF78" i="2"/>
  <c r="BF70" i="2"/>
  <c r="BF71" i="2"/>
  <c r="BF67" i="2"/>
  <c r="BF64" i="2"/>
  <c r="BF63" i="2" s="1"/>
  <c r="BF50" i="2"/>
  <c r="BF41" i="2"/>
  <c r="BF37" i="2"/>
  <c r="BF56" i="2" s="1"/>
  <c r="BF118" i="2"/>
  <c r="BF119" i="2" s="1"/>
  <c r="BE81" i="2"/>
  <c r="BE78" i="2"/>
  <c r="BE75" i="2"/>
  <c r="BE70" i="2"/>
  <c r="BE67" i="2"/>
  <c r="BE64" i="2"/>
  <c r="BE50" i="2"/>
  <c r="BE41" i="2"/>
  <c r="BE37" i="2"/>
  <c r="BE56" i="2" s="1"/>
  <c r="BE118" i="2"/>
  <c r="BE119" i="2" s="1"/>
  <c r="BD81" i="2"/>
  <c r="BD75" i="2"/>
  <c r="BD78" i="2"/>
  <c r="BD77" i="2"/>
  <c r="BD74" i="2"/>
  <c r="BD71" i="2"/>
  <c r="BD70" i="2"/>
  <c r="BD67" i="2"/>
  <c r="BD64" i="2"/>
  <c r="BD50" i="2"/>
  <c r="BD41" i="2"/>
  <c r="BD37" i="2"/>
  <c r="BD118" i="2"/>
  <c r="BD119" i="2" s="1"/>
  <c r="BC81" i="2"/>
  <c r="BC78" i="2"/>
  <c r="BC64" i="2"/>
  <c r="BC63" i="2" s="1"/>
  <c r="BC71" i="2"/>
  <c r="BC70" i="2"/>
  <c r="BC67" i="2"/>
  <c r="BC41" i="2"/>
  <c r="BC37" i="2"/>
  <c r="BC56" i="2" s="1"/>
  <c r="BC50" i="2"/>
  <c r="BC118" i="2"/>
  <c r="BC119" i="2" s="1"/>
  <c r="BB81" i="2"/>
  <c r="BB78" i="2"/>
  <c r="BB71" i="2"/>
  <c r="BB70" i="2"/>
  <c r="BB67" i="2"/>
  <c r="BB64" i="2"/>
  <c r="BB63" i="2" s="1"/>
  <c r="BB41" i="2"/>
  <c r="BB37" i="2"/>
  <c r="BB56" i="2" s="1"/>
  <c r="BB50" i="2"/>
  <c r="BB118" i="2"/>
  <c r="BB119" i="2" s="1"/>
  <c r="BB125" i="2" s="1"/>
  <c r="BA81" i="2"/>
  <c r="BA78" i="2"/>
  <c r="BA71" i="2"/>
  <c r="BA70" i="2"/>
  <c r="BA67" i="2"/>
  <c r="BA64" i="2"/>
  <c r="BA63" i="2" s="1"/>
  <c r="BA41" i="2"/>
  <c r="BA37" i="2"/>
  <c r="BA50" i="2"/>
  <c r="BA118" i="2"/>
  <c r="BA119" i="2" s="1"/>
  <c r="BA125" i="2" s="1"/>
  <c r="AZ78" i="2"/>
  <c r="AZ77" i="2"/>
  <c r="AZ71" i="2"/>
  <c r="AZ70" i="2"/>
  <c r="AZ67" i="2"/>
  <c r="AZ64" i="2"/>
  <c r="AZ63" i="2" s="1"/>
  <c r="AZ41" i="2"/>
  <c r="AZ37" i="2"/>
  <c r="AZ50" i="2"/>
  <c r="AZ118" i="2"/>
  <c r="AZ119" i="2" s="1"/>
  <c r="AZ125" i="2" s="1"/>
  <c r="AY78" i="2"/>
  <c r="AY83" i="2" s="1"/>
  <c r="AY71" i="2"/>
  <c r="AY70" i="2"/>
  <c r="AY67" i="2"/>
  <c r="AY64" i="2"/>
  <c r="AY63" i="2" s="1"/>
  <c r="AY41" i="2"/>
  <c r="AY37" i="2"/>
  <c r="AY56" i="2" s="1"/>
  <c r="AY50" i="2"/>
  <c r="AY118" i="2"/>
  <c r="AY119" i="2" s="1"/>
  <c r="AX81" i="2"/>
  <c r="AX78" i="2"/>
  <c r="AX70" i="2"/>
  <c r="AX64" i="2"/>
  <c r="AX63" i="2" s="1"/>
  <c r="AX67" i="2"/>
  <c r="AX41" i="2"/>
  <c r="AX37" i="2"/>
  <c r="AX50" i="2"/>
  <c r="AX118" i="2"/>
  <c r="AX119" i="2" s="1"/>
  <c r="AW81" i="2"/>
  <c r="AW78" i="2"/>
  <c r="AW70" i="2"/>
  <c r="AW64" i="2"/>
  <c r="AW63" i="2" s="1"/>
  <c r="AW67" i="2"/>
  <c r="AW50" i="2"/>
  <c r="AW41" i="2"/>
  <c r="AW37" i="2"/>
  <c r="AW118" i="2"/>
  <c r="AW119" i="2" s="1"/>
  <c r="AW125" i="2" s="1"/>
  <c r="AV81" i="2"/>
  <c r="AV83" i="2" s="1"/>
  <c r="AV67" i="2"/>
  <c r="AV64" i="2"/>
  <c r="AV63" i="2" s="1"/>
  <c r="AV41" i="2"/>
  <c r="AV37" i="2"/>
  <c r="AV56" i="2" s="1"/>
  <c r="AV50" i="2"/>
  <c r="AV118" i="2"/>
  <c r="AV119" i="2" s="1"/>
  <c r="AV125" i="2" s="1"/>
  <c r="AU83" i="2"/>
  <c r="AU67" i="2"/>
  <c r="AU64" i="2"/>
  <c r="AU43" i="2"/>
  <c r="AU41" i="2"/>
  <c r="AU37" i="2"/>
  <c r="AU50" i="2"/>
  <c r="AU118" i="2"/>
  <c r="AU119" i="2" s="1"/>
  <c r="AS124" i="2"/>
  <c r="AO124" i="2"/>
  <c r="AT83" i="2"/>
  <c r="AT64" i="2"/>
  <c r="AT72" i="2" s="1"/>
  <c r="AT43" i="2"/>
  <c r="AT41" i="2"/>
  <c r="AT37" i="2"/>
  <c r="AT56" i="2" s="1"/>
  <c r="AT50" i="2"/>
  <c r="AT118" i="2"/>
  <c r="AT119" i="2" s="1"/>
  <c r="AT125" i="2" s="1"/>
  <c r="AS83" i="2"/>
  <c r="AS64" i="2"/>
  <c r="AS72" i="2" s="1"/>
  <c r="AS50" i="2"/>
  <c r="AS37" i="2"/>
  <c r="AS56" i="2" s="1"/>
  <c r="AS45" i="2"/>
  <c r="AS43" i="2"/>
  <c r="AS41" i="2"/>
  <c r="AS118" i="2"/>
  <c r="AS119" i="2" s="1"/>
  <c r="AS125" i="2" s="1"/>
  <c r="AR118" i="2"/>
  <c r="AR119" i="2" s="1"/>
  <c r="AR82" i="2"/>
  <c r="AR83" i="2" s="1"/>
  <c r="AR64" i="2"/>
  <c r="AR72" i="2" s="1"/>
  <c r="AR43" i="2"/>
  <c r="AR50" i="2"/>
  <c r="AR41" i="2"/>
  <c r="AR37" i="2"/>
  <c r="AR56" i="2" s="1"/>
  <c r="AQ81" i="2"/>
  <c r="AQ83" i="2" s="1"/>
  <c r="AQ72" i="2"/>
  <c r="AQ63" i="2"/>
  <c r="AQ43" i="2"/>
  <c r="AQ41" i="2"/>
  <c r="AQ37" i="2"/>
  <c r="AQ56" i="2" s="1"/>
  <c r="AO50" i="2"/>
  <c r="AQ50" i="2"/>
  <c r="AQ118" i="2"/>
  <c r="AQ119" i="2" s="1"/>
  <c r="AQ125" i="2" s="1"/>
  <c r="AP81" i="2"/>
  <c r="AP83" i="2" s="1"/>
  <c r="AP72" i="2"/>
  <c r="AP63" i="2"/>
  <c r="AP43" i="2"/>
  <c r="AP41" i="2"/>
  <c r="AP37" i="2"/>
  <c r="AP50" i="2"/>
  <c r="AP118" i="2"/>
  <c r="AP119" i="2" s="1"/>
  <c r="AO118" i="2"/>
  <c r="AO119" i="2" s="1"/>
  <c r="AL43" i="2"/>
  <c r="AK43" i="2"/>
  <c r="AL41" i="2"/>
  <c r="AK41" i="2"/>
  <c r="AL37" i="2"/>
  <c r="AL56" i="2" s="1"/>
  <c r="AK37" i="2"/>
  <c r="AK56" i="2" s="1"/>
  <c r="AO83" i="2"/>
  <c r="AO64" i="2"/>
  <c r="AO72" i="2" s="1"/>
  <c r="AM43" i="2"/>
  <c r="AM41" i="2"/>
  <c r="AM37" i="2"/>
  <c r="AM56" i="2" s="1"/>
  <c r="AN43" i="2"/>
  <c r="AN41" i="2"/>
  <c r="AN37" i="2"/>
  <c r="AN56" i="2" s="1"/>
  <c r="AO43" i="2"/>
  <c r="AO41" i="2"/>
  <c r="AO37" i="2"/>
  <c r="AN50" i="2"/>
  <c r="AM50" i="2"/>
  <c r="AL50" i="2"/>
  <c r="U77" i="2"/>
  <c r="U78" i="2"/>
  <c r="Y52" i="2" s="1"/>
  <c r="U75" i="2"/>
  <c r="U70" i="2"/>
  <c r="U64" i="2"/>
  <c r="U36" i="2"/>
  <c r="U33" i="2"/>
  <c r="U60" i="2"/>
  <c r="BO60" i="2"/>
  <c r="BN60" i="2"/>
  <c r="BM60" i="2"/>
  <c r="BO59" i="2"/>
  <c r="BN59" i="2"/>
  <c r="BM59" i="2"/>
  <c r="BL60" i="2"/>
  <c r="BL59" i="2"/>
  <c r="V60" i="2"/>
  <c r="K60" i="2"/>
  <c r="J60" i="2"/>
  <c r="M59" i="2"/>
  <c r="L59" i="2"/>
  <c r="K59" i="2"/>
  <c r="J59" i="2"/>
  <c r="O60" i="2"/>
  <c r="N60" i="2"/>
  <c r="M60" i="2"/>
  <c r="L60" i="2"/>
  <c r="P59" i="2"/>
  <c r="O59" i="2"/>
  <c r="N59" i="2"/>
  <c r="S60" i="2"/>
  <c r="R60" i="2"/>
  <c r="Q60" i="2"/>
  <c r="P60" i="2"/>
  <c r="T60" i="2"/>
  <c r="S59" i="2"/>
  <c r="R59" i="2"/>
  <c r="Q59" i="2"/>
  <c r="T59" i="2"/>
  <c r="Z60" i="2"/>
  <c r="U55" i="2"/>
  <c r="U54" i="2"/>
  <c r="BR27" i="2"/>
  <c r="T33" i="2"/>
  <c r="T102" i="2"/>
  <c r="T105" i="2" s="1"/>
  <c r="T96" i="2"/>
  <c r="T98" i="2" s="1"/>
  <c r="T91" i="2"/>
  <c r="T92" i="2" s="1"/>
  <c r="T109" i="2" s="1"/>
  <c r="T78" i="2"/>
  <c r="T77" i="2"/>
  <c r="T75" i="2"/>
  <c r="T70" i="2"/>
  <c r="T64" i="2"/>
  <c r="T41" i="2"/>
  <c r="T36" i="2"/>
  <c r="S36" i="2"/>
  <c r="BR40" i="2"/>
  <c r="BU40" i="2" s="1"/>
  <c r="BV40" i="2" s="1"/>
  <c r="BW40" i="2" s="1"/>
  <c r="BX40" i="2" s="1"/>
  <c r="BY40" i="2" s="1"/>
  <c r="S102" i="2"/>
  <c r="S105" i="2" s="1"/>
  <c r="S96" i="2"/>
  <c r="S98" i="2" s="1"/>
  <c r="S91" i="2"/>
  <c r="S92" i="2" s="1"/>
  <c r="S109" i="2" s="1"/>
  <c r="AH46" i="2" l="1"/>
  <c r="AH47" i="2" s="1"/>
  <c r="AH58" i="2"/>
  <c r="Z72" i="2"/>
  <c r="C44" i="2"/>
  <c r="C57" i="2"/>
  <c r="D44" i="2"/>
  <c r="D57" i="2"/>
  <c r="L110" i="2"/>
  <c r="N110" i="2"/>
  <c r="N111" i="2" s="1"/>
  <c r="M110" i="2"/>
  <c r="K110" i="2"/>
  <c r="E44" i="2"/>
  <c r="E57" i="2"/>
  <c r="Z52" i="2"/>
  <c r="AD42" i="2"/>
  <c r="AD59" i="2"/>
  <c r="Y113" i="2"/>
  <c r="Z113" i="2"/>
  <c r="BR21" i="2"/>
  <c r="BS21" i="2"/>
  <c r="AB56" i="2"/>
  <c r="AB50" i="2"/>
  <c r="AB42" i="2"/>
  <c r="Z107" i="2"/>
  <c r="Z83" i="2"/>
  <c r="AA37" i="2"/>
  <c r="K63" i="2"/>
  <c r="Y107" i="2"/>
  <c r="Y109" i="2"/>
  <c r="Z63" i="2"/>
  <c r="AW83" i="2"/>
  <c r="AX120" i="2"/>
  <c r="X113" i="2"/>
  <c r="U113" i="2"/>
  <c r="V113" i="2"/>
  <c r="W113" i="2"/>
  <c r="K72" i="2"/>
  <c r="K83" i="2"/>
  <c r="T113" i="2"/>
  <c r="K107" i="2"/>
  <c r="W105" i="2"/>
  <c r="W107" i="2" s="1"/>
  <c r="S113" i="2"/>
  <c r="L72" i="2"/>
  <c r="I37" i="2"/>
  <c r="I56" i="2" s="1"/>
  <c r="G37" i="2"/>
  <c r="W72" i="2"/>
  <c r="X52" i="2"/>
  <c r="L63" i="2"/>
  <c r="X37" i="2"/>
  <c r="L107" i="2"/>
  <c r="H37" i="2"/>
  <c r="N63" i="2"/>
  <c r="AW42" i="2"/>
  <c r="AW44" i="2" s="1"/>
  <c r="AW58" i="2" s="1"/>
  <c r="W63" i="2"/>
  <c r="AU72" i="2"/>
  <c r="AU42" i="2"/>
  <c r="AU44" i="2" s="1"/>
  <c r="BB83" i="2"/>
  <c r="AX83" i="2"/>
  <c r="X72" i="2"/>
  <c r="AU63" i="2"/>
  <c r="AU120" i="2" s="1"/>
  <c r="AZ83" i="2"/>
  <c r="W83" i="2"/>
  <c r="W110" i="2"/>
  <c r="AV72" i="2"/>
  <c r="X107" i="2"/>
  <c r="AP42" i="2"/>
  <c r="AP44" i="2" s="1"/>
  <c r="AP46" i="2" s="1"/>
  <c r="AP47" i="2" s="1"/>
  <c r="BA42" i="2"/>
  <c r="BA44" i="2" s="1"/>
  <c r="BA46" i="2" s="1"/>
  <c r="BA47" i="2" s="1"/>
  <c r="AT63" i="2"/>
  <c r="AT120" i="2" s="1"/>
  <c r="AZ42" i="2"/>
  <c r="AZ44" i="2" s="1"/>
  <c r="AZ46" i="2" s="1"/>
  <c r="AZ47" i="2" s="1"/>
  <c r="BB72" i="2"/>
  <c r="BF83" i="2"/>
  <c r="BI42" i="2"/>
  <c r="X110" i="2"/>
  <c r="X83" i="2"/>
  <c r="X63" i="2"/>
  <c r="BF72" i="2"/>
  <c r="M83" i="2"/>
  <c r="U53" i="2"/>
  <c r="V83" i="2"/>
  <c r="BR28" i="2"/>
  <c r="BR29" i="2"/>
  <c r="AO42" i="2"/>
  <c r="AO44" i="2" s="1"/>
  <c r="AO46" i="2" s="1"/>
  <c r="AO47" i="2" s="1"/>
  <c r="AS63" i="2"/>
  <c r="AS120" i="2" s="1"/>
  <c r="N72" i="2"/>
  <c r="BC42" i="2"/>
  <c r="BC44" i="2" s="1"/>
  <c r="BC46" i="2" s="1"/>
  <c r="BC47" i="2" s="1"/>
  <c r="BG63" i="2"/>
  <c r="BG120" i="2" s="1"/>
  <c r="BD42" i="2"/>
  <c r="BH72" i="2"/>
  <c r="AP56" i="2"/>
  <c r="U63" i="2"/>
  <c r="AZ72" i="2"/>
  <c r="V63" i="2"/>
  <c r="BG83" i="2"/>
  <c r="BA83" i="2"/>
  <c r="BC83" i="2"/>
  <c r="AX72" i="2"/>
  <c r="AV42" i="2"/>
  <c r="AV44" i="2" s="1"/>
  <c r="AV58" i="2" s="1"/>
  <c r="BC72" i="2"/>
  <c r="AW56" i="2"/>
  <c r="BD83" i="2"/>
  <c r="AY120" i="2"/>
  <c r="BE83" i="2"/>
  <c r="BC120" i="2"/>
  <c r="BC125" i="2"/>
  <c r="N83" i="2"/>
  <c r="AU56" i="2"/>
  <c r="BI72" i="2"/>
  <c r="BI83" i="2"/>
  <c r="BE63" i="2"/>
  <c r="BE120" i="2" s="1"/>
  <c r="M63" i="2"/>
  <c r="AL42" i="2"/>
  <c r="AL44" i="2" s="1"/>
  <c r="AO56" i="2"/>
  <c r="M72" i="2"/>
  <c r="AQ42" i="2"/>
  <c r="AQ44" i="2" s="1"/>
  <c r="AQ46" i="2" s="1"/>
  <c r="AQ47" i="2" s="1"/>
  <c r="V107" i="2"/>
  <c r="BI56" i="2"/>
  <c r="BD63" i="2"/>
  <c r="BD120" i="2" s="1"/>
  <c r="BH83" i="2"/>
  <c r="AZ56" i="2"/>
  <c r="BB42" i="2"/>
  <c r="BB44" i="2" s="1"/>
  <c r="BB46" i="2" s="1"/>
  <c r="BB47" i="2" s="1"/>
  <c r="AQ120" i="2"/>
  <c r="BA56" i="2"/>
  <c r="BJ125" i="2"/>
  <c r="BJ120" i="2"/>
  <c r="AO125" i="2"/>
  <c r="BD125" i="2"/>
  <c r="M107" i="2"/>
  <c r="V72" i="2"/>
  <c r="N107" i="2"/>
  <c r="AT42" i="2"/>
  <c r="AT44" i="2" s="1"/>
  <c r="AO63" i="2"/>
  <c r="AO120" i="2" s="1"/>
  <c r="AY42" i="2"/>
  <c r="AY44" i="2" s="1"/>
  <c r="AX125" i="2"/>
  <c r="BE125" i="2"/>
  <c r="AP120" i="2"/>
  <c r="AY125" i="2"/>
  <c r="AW72" i="2"/>
  <c r="AR63" i="2"/>
  <c r="AR120" i="2" s="1"/>
  <c r="BH63" i="2"/>
  <c r="BH120" i="2" s="1"/>
  <c r="BJ56" i="2"/>
  <c r="BJ42" i="2"/>
  <c r="BG42" i="2"/>
  <c r="BK125" i="2"/>
  <c r="BK120" i="2"/>
  <c r="AW120" i="2"/>
  <c r="BE72" i="2"/>
  <c r="AR125" i="2"/>
  <c r="BA120" i="2"/>
  <c r="BB120" i="2"/>
  <c r="BK37" i="2"/>
  <c r="BK56" i="2" s="1"/>
  <c r="AV120" i="2"/>
  <c r="BF125" i="2"/>
  <c r="BF120" i="2"/>
  <c r="AX42" i="2"/>
  <c r="AX44" i="2" s="1"/>
  <c r="AX56" i="2"/>
  <c r="AZ120" i="2"/>
  <c r="BA72" i="2"/>
  <c r="BI125" i="2"/>
  <c r="BD72" i="2"/>
  <c r="AU125" i="2"/>
  <c r="BF42" i="2"/>
  <c r="AK42" i="2"/>
  <c r="AK44" i="2" s="1"/>
  <c r="AP125" i="2"/>
  <c r="BD56" i="2"/>
  <c r="BH42" i="2"/>
  <c r="BI63" i="2"/>
  <c r="BI120" i="2" s="1"/>
  <c r="BE42" i="2"/>
  <c r="BG72" i="2"/>
  <c r="AY72" i="2"/>
  <c r="V110" i="2"/>
  <c r="U107" i="2"/>
  <c r="AS42" i="2"/>
  <c r="AS44" i="2" s="1"/>
  <c r="AS58" i="2" s="1"/>
  <c r="AR42" i="2"/>
  <c r="AR44" i="2" s="1"/>
  <c r="AM42" i="2"/>
  <c r="AM44" i="2" s="1"/>
  <c r="AN42" i="2"/>
  <c r="AN44" i="2" s="1"/>
  <c r="BR38" i="2"/>
  <c r="BU38" i="2" s="1"/>
  <c r="BV38" i="2" s="1"/>
  <c r="BW38" i="2" s="1"/>
  <c r="BX38" i="2" s="1"/>
  <c r="BY38" i="2" s="1"/>
  <c r="U37" i="2"/>
  <c r="U56" i="2" s="1"/>
  <c r="BR39" i="2"/>
  <c r="BU39" i="2" s="1"/>
  <c r="BV39" i="2" s="1"/>
  <c r="BW39" i="2" s="1"/>
  <c r="BX39" i="2" s="1"/>
  <c r="BY39" i="2" s="1"/>
  <c r="Z33" i="2"/>
  <c r="AD50" i="2" s="1"/>
  <c r="U72" i="2"/>
  <c r="BR34" i="2"/>
  <c r="U83" i="2"/>
  <c r="X60" i="2"/>
  <c r="X59" i="2"/>
  <c r="W59" i="2"/>
  <c r="BR48" i="2"/>
  <c r="BS48" i="2"/>
  <c r="BU48" i="2" s="1"/>
  <c r="BV48" i="2" s="1"/>
  <c r="BW48" i="2" s="1"/>
  <c r="BX48" i="2" s="1"/>
  <c r="BY48" i="2" s="1"/>
  <c r="Y59" i="2"/>
  <c r="Y33" i="2"/>
  <c r="AC50" i="2" s="1"/>
  <c r="BR35" i="2"/>
  <c r="Z59" i="2"/>
  <c r="X41" i="2"/>
  <c r="U59" i="2"/>
  <c r="W33" i="2"/>
  <c r="W37" i="2" s="1"/>
  <c r="W41" i="2"/>
  <c r="X50" i="2"/>
  <c r="V33" i="2"/>
  <c r="T63" i="2"/>
  <c r="V41" i="2"/>
  <c r="U41" i="2"/>
  <c r="T72" i="2"/>
  <c r="T83" i="2"/>
  <c r="T37" i="2"/>
  <c r="T107" i="2"/>
  <c r="S107" i="2"/>
  <c r="S78" i="2"/>
  <c r="W52" i="2" s="1"/>
  <c r="S77" i="2"/>
  <c r="S75" i="2"/>
  <c r="S70" i="2"/>
  <c r="S64" i="2"/>
  <c r="S41" i="2"/>
  <c r="S33" i="2"/>
  <c r="J41" i="2"/>
  <c r="J36" i="2"/>
  <c r="J33" i="2"/>
  <c r="J50" i="2" s="1"/>
  <c r="BL41" i="2"/>
  <c r="BL36" i="2"/>
  <c r="BL33" i="2"/>
  <c r="BL50" i="2" s="1"/>
  <c r="BM41" i="2"/>
  <c r="BM36" i="2"/>
  <c r="BM33" i="2"/>
  <c r="BS2" i="2"/>
  <c r="BT2" i="2" s="1"/>
  <c r="BU2" i="2" s="1"/>
  <c r="BV2" i="2" s="1"/>
  <c r="BW2" i="2" s="1"/>
  <c r="BX2" i="2" s="1"/>
  <c r="BY2" i="2" s="1"/>
  <c r="BQ45" i="2"/>
  <c r="BQ43" i="2"/>
  <c r="BQ48" i="2"/>
  <c r="BP48" i="2"/>
  <c r="BP45" i="2"/>
  <c r="BP43" i="2"/>
  <c r="BO41" i="2"/>
  <c r="BN41" i="2"/>
  <c r="BO36" i="2"/>
  <c r="BN36" i="2"/>
  <c r="BN33" i="2"/>
  <c r="BO33" i="2"/>
  <c r="BP2" i="2"/>
  <c r="BQ2" i="2"/>
  <c r="V2" i="2"/>
  <c r="U2" i="2"/>
  <c r="T2" i="2"/>
  <c r="X2" i="2" s="1"/>
  <c r="S2" i="2"/>
  <c r="W2" i="2" s="1"/>
  <c r="BP40" i="2"/>
  <c r="BP39" i="2"/>
  <c r="BP38" i="2"/>
  <c r="BQ40" i="2"/>
  <c r="BQ39" i="2"/>
  <c r="BQ38" i="2"/>
  <c r="BQ35" i="2"/>
  <c r="BQ34" i="2"/>
  <c r="BP35" i="2"/>
  <c r="BP34" i="2"/>
  <c r="BP27" i="2"/>
  <c r="BP28" i="2"/>
  <c r="BP29" i="2"/>
  <c r="BP32" i="2"/>
  <c r="BP31" i="2"/>
  <c r="BQ32" i="2"/>
  <c r="BQ31" i="2"/>
  <c r="BQ29" i="2"/>
  <c r="BQ28" i="2"/>
  <c r="BQ27" i="2"/>
  <c r="R22" i="2"/>
  <c r="R102" i="2"/>
  <c r="R105" i="2" s="1"/>
  <c r="R96" i="2"/>
  <c r="R98" i="2" s="1"/>
  <c r="R91" i="2"/>
  <c r="R92" i="2" s="1"/>
  <c r="R109" i="2" s="1"/>
  <c r="U110" i="2" s="1"/>
  <c r="R77" i="2"/>
  <c r="R78" i="2"/>
  <c r="R75" i="2"/>
  <c r="R64" i="2"/>
  <c r="R70" i="2"/>
  <c r="R41" i="2"/>
  <c r="O102" i="2"/>
  <c r="O105" i="2" s="1"/>
  <c r="O96" i="2"/>
  <c r="O98" i="2" s="1"/>
  <c r="O91" i="2"/>
  <c r="O92" i="2" s="1"/>
  <c r="O109" i="2" s="1"/>
  <c r="O78" i="2"/>
  <c r="O77" i="2"/>
  <c r="O75" i="2"/>
  <c r="O70" i="2"/>
  <c r="O64" i="2"/>
  <c r="P102" i="2"/>
  <c r="P105" i="2" s="1"/>
  <c r="P96" i="2"/>
  <c r="P98" i="2" s="1"/>
  <c r="P91" i="2"/>
  <c r="P92" i="2" s="1"/>
  <c r="P109" i="2" s="1"/>
  <c r="P78" i="2"/>
  <c r="T52" i="2" s="1"/>
  <c r="P77" i="2"/>
  <c r="P75" i="2"/>
  <c r="P70" i="2"/>
  <c r="P64" i="2"/>
  <c r="Q102" i="2"/>
  <c r="Q105" i="2" s="1"/>
  <c r="Q96" i="2"/>
  <c r="Q98" i="2" s="1"/>
  <c r="Q91" i="2"/>
  <c r="Q92" i="2" s="1"/>
  <c r="Q109" i="2" s="1"/>
  <c r="Q77" i="2"/>
  <c r="Q78" i="2"/>
  <c r="Q75" i="2"/>
  <c r="Q70" i="2"/>
  <c r="Q64" i="2"/>
  <c r="Q63" i="2" s="1"/>
  <c r="L4" i="1"/>
  <c r="L7" i="1" s="1"/>
  <c r="P41" i="2"/>
  <c r="O41" i="2"/>
  <c r="N41" i="2"/>
  <c r="M41" i="2"/>
  <c r="L41" i="2"/>
  <c r="K41" i="2"/>
  <c r="Q41" i="2"/>
  <c r="R36" i="2"/>
  <c r="R33" i="2"/>
  <c r="K33" i="2"/>
  <c r="K50" i="2" s="1"/>
  <c r="L36" i="2"/>
  <c r="K36" i="2"/>
  <c r="Q36" i="2"/>
  <c r="P36" i="2"/>
  <c r="O36" i="2"/>
  <c r="N36" i="2"/>
  <c r="M36" i="2"/>
  <c r="P33" i="2"/>
  <c r="T50" i="2" s="1"/>
  <c r="O33" i="2"/>
  <c r="N33" i="2"/>
  <c r="M33" i="2"/>
  <c r="M50" i="2" s="1"/>
  <c r="L33" i="2"/>
  <c r="L50" i="2" s="1"/>
  <c r="Q33" i="2"/>
  <c r="U50" i="2" s="1"/>
  <c r="BS54" i="2" l="1"/>
  <c r="BR54" i="2"/>
  <c r="BR55" i="2"/>
  <c r="BS55" i="2"/>
  <c r="BQ54" i="2"/>
  <c r="BQ55" i="2"/>
  <c r="E46" i="2"/>
  <c r="E47" i="2" s="1"/>
  <c r="E58" i="2"/>
  <c r="D46" i="2"/>
  <c r="D47" i="2" s="1"/>
  <c r="D58" i="2"/>
  <c r="C46" i="2"/>
  <c r="C47" i="2" s="1"/>
  <c r="C58" i="2"/>
  <c r="AC59" i="2"/>
  <c r="BT34" i="2"/>
  <c r="BT36" i="2" s="1"/>
  <c r="AD57" i="2"/>
  <c r="AD44" i="2"/>
  <c r="BT45" i="2" s="1"/>
  <c r="AD56" i="2"/>
  <c r="AB44" i="2"/>
  <c r="AB58" i="2" s="1"/>
  <c r="AB57" i="2"/>
  <c r="AA110" i="2"/>
  <c r="AA111" i="2" s="1"/>
  <c r="AB110" i="2"/>
  <c r="AB111" i="2" s="1"/>
  <c r="AC56" i="2"/>
  <c r="AC42" i="2"/>
  <c r="AB46" i="2"/>
  <c r="AA56" i="2"/>
  <c r="AA42" i="2"/>
  <c r="I42" i="2"/>
  <c r="I57" i="2" s="1"/>
  <c r="AA50" i="2"/>
  <c r="Y37" i="2"/>
  <c r="Y56" i="2" s="1"/>
  <c r="Z110" i="2"/>
  <c r="Z111" i="2" s="1"/>
  <c r="Y110" i="2"/>
  <c r="Y111" i="2" s="1"/>
  <c r="Z37" i="2"/>
  <c r="Z42" i="2" s="1"/>
  <c r="AW46" i="2"/>
  <c r="AW47" i="2" s="1"/>
  <c r="G42" i="2"/>
  <c r="G56" i="2"/>
  <c r="P110" i="2"/>
  <c r="P111" i="2" s="1"/>
  <c r="O110" i="2"/>
  <c r="O111" i="2" s="1"/>
  <c r="H42" i="2"/>
  <c r="H56" i="2"/>
  <c r="R63" i="2"/>
  <c r="AZ58" i="2"/>
  <c r="BA58" i="2"/>
  <c r="BA121" i="2"/>
  <c r="AZ121" i="2"/>
  <c r="BE44" i="2"/>
  <c r="BE58" i="2" s="1"/>
  <c r="BE57" i="2"/>
  <c r="BD44" i="2"/>
  <c r="BD57" i="2"/>
  <c r="BG44" i="2"/>
  <c r="BG58" i="2" s="1"/>
  <c r="BG57" i="2"/>
  <c r="BH44" i="2"/>
  <c r="BH58" i="2" s="1"/>
  <c r="BH57" i="2"/>
  <c r="BI44" i="2"/>
  <c r="BI57" i="2"/>
  <c r="BJ44" i="2"/>
  <c r="BJ58" i="2" s="1"/>
  <c r="BJ57" i="2"/>
  <c r="BF44" i="2"/>
  <c r="BF58" i="2" s="1"/>
  <c r="BF57" i="2"/>
  <c r="BC58" i="2"/>
  <c r="BC121" i="2"/>
  <c r="Q110" i="2"/>
  <c r="U52" i="2"/>
  <c r="Q52" i="2"/>
  <c r="V52" i="2"/>
  <c r="R52" i="2"/>
  <c r="AO58" i="2"/>
  <c r="AV46" i="2"/>
  <c r="AV47" i="2" s="1"/>
  <c r="AP58" i="2"/>
  <c r="BB58" i="2"/>
  <c r="AQ58" i="2"/>
  <c r="BK42" i="2"/>
  <c r="AO121" i="2"/>
  <c r="BB121" i="2"/>
  <c r="AK58" i="2"/>
  <c r="AK46" i="2"/>
  <c r="AK47" i="2" s="1"/>
  <c r="AT58" i="2"/>
  <c r="AT46" i="2"/>
  <c r="AT47" i="2" s="1"/>
  <c r="AN46" i="2"/>
  <c r="AN47" i="2" s="1"/>
  <c r="AN58" i="2"/>
  <c r="AM46" i="2"/>
  <c r="AM47" i="2" s="1"/>
  <c r="AM58" i="2"/>
  <c r="AQ121" i="2"/>
  <c r="BN50" i="2"/>
  <c r="BQ60" i="2"/>
  <c r="AX46" i="2"/>
  <c r="AX58" i="2"/>
  <c r="AP121" i="2"/>
  <c r="BP60" i="2"/>
  <c r="BR36" i="2"/>
  <c r="AR46" i="2"/>
  <c r="AR47" i="2" s="1"/>
  <c r="AR58" i="2"/>
  <c r="BQ59" i="2"/>
  <c r="AS46" i="2"/>
  <c r="AS47" i="2" s="1"/>
  <c r="BP59" i="2"/>
  <c r="S52" i="2"/>
  <c r="V50" i="2"/>
  <c r="V37" i="2"/>
  <c r="V56" i="2" s="1"/>
  <c r="AU46" i="2"/>
  <c r="AU47" i="2" s="1"/>
  <c r="AU58" i="2"/>
  <c r="AL58" i="2"/>
  <c r="AL46" i="2"/>
  <c r="AL47" i="2" s="1"/>
  <c r="AY58" i="2"/>
  <c r="AY46" i="2"/>
  <c r="BR59" i="2"/>
  <c r="V59" i="2"/>
  <c r="Y50" i="2"/>
  <c r="X42" i="2"/>
  <c r="W50" i="2"/>
  <c r="Y41" i="2"/>
  <c r="Y60" i="2"/>
  <c r="BR60" i="2"/>
  <c r="Z50" i="2"/>
  <c r="W56" i="2"/>
  <c r="X56" i="2"/>
  <c r="W42" i="2"/>
  <c r="U42" i="2"/>
  <c r="N50" i="2"/>
  <c r="BP36" i="2"/>
  <c r="P63" i="2"/>
  <c r="S50" i="2"/>
  <c r="S37" i="2"/>
  <c r="S56" i="2" s="1"/>
  <c r="S72" i="2"/>
  <c r="S63" i="2"/>
  <c r="O63" i="2"/>
  <c r="T56" i="2"/>
  <c r="T42" i="2"/>
  <c r="T110" i="2"/>
  <c r="S110" i="2"/>
  <c r="R110" i="2"/>
  <c r="S83" i="2"/>
  <c r="BM37" i="2"/>
  <c r="BM42" i="2" s="1"/>
  <c r="J37" i="2"/>
  <c r="J42" i="2" s="1"/>
  <c r="BL37" i="2"/>
  <c r="BL42" i="2" s="1"/>
  <c r="BM50" i="2"/>
  <c r="BQ41" i="2"/>
  <c r="BO50" i="2"/>
  <c r="BQ33" i="2"/>
  <c r="BP41" i="2"/>
  <c r="BO37" i="2"/>
  <c r="BO56" i="2" s="1"/>
  <c r="BN37" i="2"/>
  <c r="BN56" i="2" s="1"/>
  <c r="BQ36" i="2"/>
  <c r="BP33" i="2"/>
  <c r="R83" i="2"/>
  <c r="O83" i="2"/>
  <c r="R107" i="2"/>
  <c r="O72" i="2"/>
  <c r="R72" i="2"/>
  <c r="P50" i="2"/>
  <c r="O50" i="2"/>
  <c r="Q83" i="2"/>
  <c r="O107" i="2"/>
  <c r="R50" i="2"/>
  <c r="P72" i="2"/>
  <c r="P107" i="2"/>
  <c r="K37" i="2"/>
  <c r="K56" i="2" s="1"/>
  <c r="P83" i="2"/>
  <c r="Q37" i="2"/>
  <c r="Q42" i="2" s="1"/>
  <c r="M37" i="2"/>
  <c r="M56" i="2" s="1"/>
  <c r="Q72" i="2"/>
  <c r="Q107" i="2"/>
  <c r="Q50" i="2"/>
  <c r="N37" i="2"/>
  <c r="N56" i="2" s="1"/>
  <c r="O37" i="2"/>
  <c r="O56" i="2" s="1"/>
  <c r="P37" i="2"/>
  <c r="P56" i="2" s="1"/>
  <c r="L37" i="2"/>
  <c r="R37" i="2"/>
  <c r="R56" i="2" s="1"/>
  <c r="V111" i="2" l="1"/>
  <c r="R111" i="2"/>
  <c r="U111" i="2"/>
  <c r="Q111" i="2"/>
  <c r="AC44" i="2"/>
  <c r="AC57" i="2"/>
  <c r="AD46" i="2"/>
  <c r="AD47" i="2" s="1"/>
  <c r="AD58" i="2"/>
  <c r="I44" i="2"/>
  <c r="Y42" i="2"/>
  <c r="Y44" i="2" s="1"/>
  <c r="Y58" i="2" s="1"/>
  <c r="AB47" i="2"/>
  <c r="AB85" i="2"/>
  <c r="AA44" i="2"/>
  <c r="AA57" i="2"/>
  <c r="AW121" i="2"/>
  <c r="Z56" i="2"/>
  <c r="BE46" i="2"/>
  <c r="BE47" i="2" s="1"/>
  <c r="W111" i="2"/>
  <c r="S111" i="2"/>
  <c r="BG46" i="2"/>
  <c r="BG47" i="2" s="1"/>
  <c r="G44" i="2"/>
  <c r="G57" i="2"/>
  <c r="AR121" i="2"/>
  <c r="I58" i="2"/>
  <c r="I46" i="2"/>
  <c r="X111" i="2"/>
  <c r="T111" i="2"/>
  <c r="H44" i="2"/>
  <c r="H57" i="2"/>
  <c r="BF46" i="2"/>
  <c r="BH46" i="2"/>
  <c r="BH47" i="2" s="1"/>
  <c r="BL44" i="2"/>
  <c r="BL46" i="2" s="1"/>
  <c r="BL47" i="2" s="1"/>
  <c r="BL57" i="2"/>
  <c r="BM44" i="2"/>
  <c r="BM46" i="2" s="1"/>
  <c r="BM47" i="2" s="1"/>
  <c r="BM57" i="2"/>
  <c r="X44" i="2"/>
  <c r="X58" i="2" s="1"/>
  <c r="X57" i="2"/>
  <c r="Q44" i="2"/>
  <c r="Q58" i="2" s="1"/>
  <c r="Q57" i="2"/>
  <c r="Z44" i="2"/>
  <c r="Z58" i="2" s="1"/>
  <c r="Z57" i="2"/>
  <c r="BK44" i="2"/>
  <c r="BK58" i="2" s="1"/>
  <c r="BK57" i="2"/>
  <c r="U44" i="2"/>
  <c r="U46" i="2" s="1"/>
  <c r="U47" i="2" s="1"/>
  <c r="U57" i="2"/>
  <c r="J44" i="2"/>
  <c r="J46" i="2" s="1"/>
  <c r="J57" i="2"/>
  <c r="BI58" i="2"/>
  <c r="BI46" i="2"/>
  <c r="T44" i="2"/>
  <c r="T58" i="2" s="1"/>
  <c r="T57" i="2"/>
  <c r="BD46" i="2"/>
  <c r="BD58" i="2"/>
  <c r="BJ46" i="2"/>
  <c r="W44" i="2"/>
  <c r="W58" i="2" s="1"/>
  <c r="W57" i="2"/>
  <c r="AV121" i="2"/>
  <c r="V42" i="2"/>
  <c r="AS121" i="2"/>
  <c r="AT121" i="2"/>
  <c r="AX47" i="2"/>
  <c r="AX121" i="2"/>
  <c r="AU121" i="2"/>
  <c r="AY47" i="2"/>
  <c r="AY121" i="2"/>
  <c r="BL56" i="2"/>
  <c r="BN42" i="2"/>
  <c r="BP37" i="2"/>
  <c r="BP56" i="2" s="1"/>
  <c r="BS59" i="2"/>
  <c r="S42" i="2"/>
  <c r="BM56" i="2"/>
  <c r="BT41" i="2"/>
  <c r="BR41" i="2"/>
  <c r="BQ37" i="2"/>
  <c r="BQ42" i="2" s="1"/>
  <c r="BS41" i="2"/>
  <c r="BO42" i="2"/>
  <c r="Q56" i="2"/>
  <c r="J56" i="2"/>
  <c r="BR33" i="2"/>
  <c r="BU41" i="2"/>
  <c r="BP50" i="2"/>
  <c r="R42" i="2"/>
  <c r="M42" i="2"/>
  <c r="K42" i="2"/>
  <c r="L42" i="2"/>
  <c r="L56" i="2"/>
  <c r="P42" i="2"/>
  <c r="O42" i="2"/>
  <c r="N42" i="2"/>
  <c r="I47" i="2" l="1"/>
  <c r="I85" i="2"/>
  <c r="J47" i="2"/>
  <c r="J85" i="2"/>
  <c r="Y57" i="2"/>
  <c r="BQ56" i="2"/>
  <c r="AC46" i="2"/>
  <c r="AC47" i="2" s="1"/>
  <c r="AC58" i="2"/>
  <c r="BE121" i="2"/>
  <c r="BL58" i="2"/>
  <c r="BF47" i="2"/>
  <c r="BF121" i="2"/>
  <c r="AA58" i="2"/>
  <c r="AA46" i="2"/>
  <c r="G46" i="2"/>
  <c r="G58" i="2"/>
  <c r="BH121" i="2"/>
  <c r="X46" i="2"/>
  <c r="X85" i="2" s="1"/>
  <c r="BM58" i="2"/>
  <c r="BG121" i="2"/>
  <c r="U58" i="2"/>
  <c r="H46" i="2"/>
  <c r="H58" i="2"/>
  <c r="BP42" i="2"/>
  <c r="BP57" i="2" s="1"/>
  <c r="J58" i="2"/>
  <c r="BN44" i="2"/>
  <c r="BN57" i="2"/>
  <c r="BQ44" i="2"/>
  <c r="BQ58" i="2" s="1"/>
  <c r="BQ57" i="2"/>
  <c r="N44" i="2"/>
  <c r="N58" i="2" s="1"/>
  <c r="N57" i="2"/>
  <c r="T46" i="2"/>
  <c r="T47" i="2" s="1"/>
  <c r="R44" i="2"/>
  <c r="R46" i="2" s="1"/>
  <c r="R85" i="2" s="1"/>
  <c r="R57" i="2"/>
  <c r="V44" i="2"/>
  <c r="V57" i="2"/>
  <c r="Q46" i="2"/>
  <c r="Q47" i="2" s="1"/>
  <c r="O44" i="2"/>
  <c r="O46" i="2" s="1"/>
  <c r="O47" i="2" s="1"/>
  <c r="O57" i="2"/>
  <c r="BO44" i="2"/>
  <c r="BO46" i="2" s="1"/>
  <c r="BO47" i="2" s="1"/>
  <c r="BO57" i="2"/>
  <c r="L44" i="2"/>
  <c r="L58" i="2" s="1"/>
  <c r="L57" i="2"/>
  <c r="M44" i="2"/>
  <c r="M58" i="2" s="1"/>
  <c r="M57" i="2"/>
  <c r="BK46" i="2"/>
  <c r="BK47" i="2" s="1"/>
  <c r="BD47" i="2"/>
  <c r="BD121" i="2"/>
  <c r="BI47" i="2"/>
  <c r="BI121" i="2"/>
  <c r="K44" i="2"/>
  <c r="K46" i="2" s="1"/>
  <c r="K57" i="2"/>
  <c r="Z46" i="2"/>
  <c r="S44" i="2"/>
  <c r="S58" i="2" s="1"/>
  <c r="S57" i="2"/>
  <c r="BJ47" i="2"/>
  <c r="BJ121" i="2"/>
  <c r="P44" i="2"/>
  <c r="P58" i="2" s="1"/>
  <c r="P57" i="2"/>
  <c r="W46" i="2"/>
  <c r="W47" i="2" s="1"/>
  <c r="Y46" i="2"/>
  <c r="W85" i="2"/>
  <c r="BR37" i="2"/>
  <c r="BR50" i="2"/>
  <c r="BT59" i="2"/>
  <c r="BS60" i="2"/>
  <c r="U85" i="2"/>
  <c r="BS33" i="2"/>
  <c r="BS37" i="2" s="1"/>
  <c r="BV41" i="2"/>
  <c r="G47" i="2" l="1"/>
  <c r="G85" i="2"/>
  <c r="H47" i="2"/>
  <c r="H85" i="2"/>
  <c r="X47" i="2"/>
  <c r="AA47" i="2"/>
  <c r="AA85" i="2"/>
  <c r="BP44" i="2"/>
  <c r="BP58" i="2" s="1"/>
  <c r="Y47" i="2"/>
  <c r="Y85" i="2"/>
  <c r="Z47" i="2"/>
  <c r="Z85" i="2"/>
  <c r="K47" i="2"/>
  <c r="K85" i="2"/>
  <c r="S46" i="2"/>
  <c r="S47" i="2" s="1"/>
  <c r="N46" i="2"/>
  <c r="N47" i="2" s="1"/>
  <c r="K58" i="2"/>
  <c r="M46" i="2"/>
  <c r="M47" i="2" s="1"/>
  <c r="BP46" i="2"/>
  <c r="BP47" i="2" s="1"/>
  <c r="O58" i="2"/>
  <c r="R58" i="2"/>
  <c r="BQ46" i="2"/>
  <c r="BQ47" i="2" s="1"/>
  <c r="L46" i="2"/>
  <c r="S85" i="2"/>
  <c r="BK121" i="2"/>
  <c r="V58" i="2"/>
  <c r="V46" i="2"/>
  <c r="T85" i="2"/>
  <c r="P46" i="2"/>
  <c r="P47" i="2" s="1"/>
  <c r="Q85" i="2"/>
  <c r="BO58" i="2"/>
  <c r="BN58" i="2"/>
  <c r="BN46" i="2"/>
  <c r="BN47" i="2" s="1"/>
  <c r="BU34" i="2"/>
  <c r="BU59" i="2" s="1"/>
  <c r="BT60" i="2"/>
  <c r="O85" i="2"/>
  <c r="BS50" i="2"/>
  <c r="BR56" i="2"/>
  <c r="BR42" i="2"/>
  <c r="BT33" i="2"/>
  <c r="BT37" i="2" s="1"/>
  <c r="R47" i="2"/>
  <c r="BW41" i="2"/>
  <c r="M85" i="2" l="1"/>
  <c r="N85" i="2"/>
  <c r="L47" i="2"/>
  <c r="L85" i="2"/>
  <c r="BR44" i="2"/>
  <c r="BR58" i="2" s="1"/>
  <c r="BR57" i="2"/>
  <c r="V85" i="2"/>
  <c r="V47" i="2"/>
  <c r="P85" i="2"/>
  <c r="BW31" i="2"/>
  <c r="BV34" i="2"/>
  <c r="BV59" i="2" s="1"/>
  <c r="BU35" i="2"/>
  <c r="BU60" i="2" s="1"/>
  <c r="BT50" i="2"/>
  <c r="BS42" i="2"/>
  <c r="BS57" i="2" s="1"/>
  <c r="BS56" i="2"/>
  <c r="BU33" i="2"/>
  <c r="BU37" i="2" s="1"/>
  <c r="BY41" i="2"/>
  <c r="BX41" i="2"/>
  <c r="BX31" i="2" l="1"/>
  <c r="BW34" i="2"/>
  <c r="BW59" i="2" s="1"/>
  <c r="BV35" i="2"/>
  <c r="BV60" i="2" s="1"/>
  <c r="BR46" i="2"/>
  <c r="BU50" i="2"/>
  <c r="BV33" i="2"/>
  <c r="BV37" i="2" s="1"/>
  <c r="BT56" i="2"/>
  <c r="BT42" i="2"/>
  <c r="BT57" i="2" s="1"/>
  <c r="BY31" i="2" l="1"/>
  <c r="BX34" i="2"/>
  <c r="BX59" i="2" s="1"/>
  <c r="BW35" i="2"/>
  <c r="BW60" i="2" s="1"/>
  <c r="BR47" i="2"/>
  <c r="BV50" i="2"/>
  <c r="BX32" i="2"/>
  <c r="BW33" i="2"/>
  <c r="BW37" i="2" s="1"/>
  <c r="BU36" i="2"/>
  <c r="BU56" i="2"/>
  <c r="BU42" i="2"/>
  <c r="BU57" i="2" s="1"/>
  <c r="BS44" i="2" l="1"/>
  <c r="BY34" i="2"/>
  <c r="BY59" i="2" s="1"/>
  <c r="BX35" i="2"/>
  <c r="BX60" i="2" s="1"/>
  <c r="BW50" i="2"/>
  <c r="BV56" i="2"/>
  <c r="BV42" i="2"/>
  <c r="BV57" i="2" s="1"/>
  <c r="BV36" i="2"/>
  <c r="BY32" i="2"/>
  <c r="BX33" i="2"/>
  <c r="BX37" i="2" s="1"/>
  <c r="BS58" i="2" l="1"/>
  <c r="BY33" i="2"/>
  <c r="BY37" i="2" s="1"/>
  <c r="BY35" i="2"/>
  <c r="BY60" i="2" s="1"/>
  <c r="BX50" i="2"/>
  <c r="BW42" i="2"/>
  <c r="BW57" i="2" s="1"/>
  <c r="BW36" i="2"/>
  <c r="BW56" i="2"/>
  <c r="BY50" i="2" l="1"/>
  <c r="BY56" i="2"/>
  <c r="BY36" i="2"/>
  <c r="BY42" i="2"/>
  <c r="BY57" i="2" s="1"/>
  <c r="BX36" i="2"/>
  <c r="BX56" i="2"/>
  <c r="BX42" i="2"/>
  <c r="BX57" i="2" s="1"/>
  <c r="BS47" i="2" l="1"/>
  <c r="BT44" i="2"/>
  <c r="BT58" i="2" l="1"/>
  <c r="BT46" i="2" l="1"/>
  <c r="BU44" i="2" s="1"/>
  <c r="BU45" i="2" l="1"/>
  <c r="BU58" i="2" s="1"/>
  <c r="BT47" i="2"/>
  <c r="BU46" i="2" l="1"/>
  <c r="BV44" i="2" s="1"/>
  <c r="BV45" i="2" s="1"/>
  <c r="BU47" i="2"/>
  <c r="BV58" i="2"/>
  <c r="BV46" i="2" l="1"/>
  <c r="BV47" i="2" l="1"/>
  <c r="BW43" i="2"/>
  <c r="BW44" i="2" s="1"/>
  <c r="BW45" i="2" l="1"/>
  <c r="BW58" i="2" s="1"/>
  <c r="BW46" i="2" l="1"/>
  <c r="BW47" i="2" l="1"/>
  <c r="BX43" i="2"/>
  <c r="BX44" i="2" s="1"/>
  <c r="BX45" i="2" l="1"/>
  <c r="BX58" i="2" s="1"/>
  <c r="BX46" i="2" l="1"/>
  <c r="BX47" i="2" l="1"/>
  <c r="BY43" i="2"/>
  <c r="BY44" i="2" s="1"/>
  <c r="BY45" i="2" l="1"/>
  <c r="BY58" i="2" s="1"/>
  <c r="BY46" i="2" l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CD53" i="2" s="1"/>
  <c r="CD54" i="2" s="1"/>
  <c r="BY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tc={45914C44-F49C-40C1-8FA2-8D35344EDBC8}</author>
    <author>tc={B55371F0-CB77-4C6A-9D8C-E3315473E191}</author>
    <author>tc={F789ED05-9FB7-4BCF-817A-0CFB15783374}</author>
    <author>tc={5E475410-39BC-42A4-9301-A932004E0408}</author>
    <author>tc={AA2A695B-C64A-4308-88C9-24B29E7194A1}</author>
    <author>tc={697C9528-FEF7-484B-9B17-66B185E72BA4}</author>
    <author>tc={28831A9A-A8DE-41D2-94CB-5B0B9A35780D}</author>
    <author>tc={8797EF4E-4B24-4522-8936-AB8B6AF5E54F}</author>
    <author>tc={57F75795-AA65-41F8-B52D-D18320A11BA5}</author>
    <author>tc={038D2AC4-868A-4D41-8E5F-1D8392C5305E}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Martin Shkreli</author>
    <author>tc={D7F9B206-8C01-4F90-A64E-F20C90D4999F}</author>
    <author>tc={FEDF3CA1-4A41-4853-85BB-3BE7E56A7946}</author>
    <author>tc={A0430351-424E-4888-96FD-79404C358012}</author>
    <author>tc={7E9BCCA4-1A9A-4F06-8F56-AD948C1F9AEB}</author>
    <author>tc={4186E1B7-27BA-4064-8D1E-8ED4CB51C8F1}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tc={1CD8F411-765D-4154-9E6A-8137C38BB816}</author>
    <author>tc={BBA0104C-8A16-4A96-9E2C-AD8EE02A03E1}</author>
    <author>tc={2FD712AC-9525-47EF-B2E5-F90621F9547F}</author>
    <author>tc={06B3106E-8D95-4ED7-A96C-DF96D1DF1BC4}</author>
    <author>tc={575D0825-4C80-4173-A064-BC46798AA03A}</author>
    <author>tc={D794CECC-1BAE-4B21-8F7F-C698B1CC85A9}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tc={3513708C-C4BB-45CB-8048-7F460E607C81}</author>
    <author>tc={1BD8C4AA-87BE-4895-8BF4-FDA372A05357}</author>
    <author>tc={73C79220-E738-4AD3-8A1D-907731BF1F5A}</author>
    <author>tc={76D53B89-C9A8-4A1F-A500-58B63D0047E4}</author>
    <author>tc={48B23987-2CE7-423E-ACAE-6D661625B256}</author>
    <author>tc={6A8206A7-827A-4B9C-8CF5-46B679BA4558}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tc={4CE52B0D-7FB3-47B3-B571-475342092488}</author>
    <author>tc={E1D462E3-FE87-45D3-BF08-737DAD82C45D}</author>
    <author>tc={7492A336-ABB9-4529-8350-AF762E5855FF}</author>
    <author>tc={48518769-DF2C-4CE7-8344-8EDB6814ABC3}</author>
    <author>tc={0B1C80B2-A99F-49BC-9191-A0A5F60188E6}</author>
    <author>tc={885AFC63-6D78-4BB2-A861-4B904F8487BB}</author>
    <author>tc={5CB2A726-6A99-4883-BF78-BAC1241A440D}</author>
    <author>tc={207240C6-AA0E-47C1-A8DC-C70F3CF7F6CF}</author>
    <author>tc={615EEB63-0CBB-48DD-AEFA-DCC9511390CB}</author>
  </authors>
  <commentList>
    <comment ref="T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8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W9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X9" authorId="3" shapeId="0" xr:uid="{45914C44-F49C-40C1-8FA2-8D35344E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23953</t>
      </text>
    </comment>
    <comment ref="W10" authorId="4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X10" authorId="5" shapeId="0" xr:uid="{F789ED05-9FB7-4BCF-817A-0CFB1578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13,477</t>
      </text>
    </comment>
    <comment ref="Z10" authorId="6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W11" authorId="7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X11" authorId="8" shapeId="0" xr:uid="{697C9528-FEF7-484B-9B17-66B185E72B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5,262</t>
      </text>
    </comment>
    <comment ref="W14" authorId="9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X14" authorId="10" shapeId="0" xr:uid="{8797EF4E-4B24-4522-8936-AB8B6AF5E5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3220</t>
      </text>
    </comment>
    <comment ref="W16" authorId="11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X16" authorId="12" shapeId="0" xr:uid="{038D2AC4-868A-4D41-8E5F-1D8392C530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1,576</t>
      </text>
    </comment>
    <comment ref="V21" authorId="1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T22" authorId="1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V22" authorId="1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R22" authorId="1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V25" authorId="1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W25" authorId="1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T27" authorId="1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U27" authorId="2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V27" authorId="2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W27" authorId="2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X27" authorId="23" shapeId="0" xr:uid="{9CA0B325-FC8F-4201-9A7A-2B5B9DE9203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19,249</t>
        </r>
      </text>
    </comment>
    <comment ref="Y27" authorId="24" shapeId="0" xr:uid="{D7F9B206-8C01-4F90-A64E-F20C90D499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19570</t>
      </text>
    </comment>
    <comment ref="Z27" authorId="25" shapeId="0" xr:uid="{FEDF3CA1-4A41-4853-85BB-3BE7E56A79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20,317</t>
      </text>
    </comment>
    <comment ref="AA27" authorId="26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AB27" authorId="27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AC27" authorId="28" shapeId="0" xr:uid="{4186E1B7-27BA-4064-8D1E-8ED4CB51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29.4-29.7B</t>
      </text>
    </comment>
    <comment ref="BR27" authorId="29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O28" authorId="30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T28" authorId="31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U28" authorId="32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V28" authorId="33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W28" authorId="34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X28" authorId="35" shapeId="0" xr:uid="{1CD8F411-765D-4154-9E6A-8137C38B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25,880</t>
      </text>
    </comment>
    <comment ref="Y28" authorId="36" shapeId="0" xr:uid="{BBA0104C-8A16-4A96-9E2C-AD8EE02A03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26708</t>
      </text>
    </comment>
    <comment ref="Z28" authorId="37" shapeId="0" xr:uid="{2FD712AC-9525-47EF-B2E5-F90621F9547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28,515</t>
      </text>
    </comment>
    <comment ref="AA28" authorId="38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AB28" authorId="39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AC28" authorId="40" shapeId="0" xr:uid="{D794CECC-1BAE-4B21-8F7F-C698B1CC85A9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25.9-26.2B</t>
      </text>
    </comment>
    <comment ref="B29" authorId="41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O29" authorId="42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T29" authorId="43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U29" authorId="44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V29" authorId="45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W29" authorId="46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X29" authorId="47" shapeId="0" xr:uid="{3513708C-C4BB-45CB-8048-7F460E607C8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16,891</t>
      </text>
    </comment>
    <comment ref="Y29" authorId="48" shapeId="0" xr:uid="{1BD8C4AA-87BE-4895-8BF4-FDA372A05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15580</t>
      </text>
    </comment>
    <comment ref="Z29" authorId="49" shapeId="0" xr:uid="{73C79220-E738-4AD3-8A1D-907731BF1F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15,895</t>
      </text>
    </comment>
    <comment ref="AA29" authorId="50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B29" authorId="51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C29" authorId="52" shapeId="0" xr:uid="{6A8206A7-827A-4B9C-8CF5-46B679BA45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Q2 guidance:: 12.4B-12.8B </t>
      </text>
    </comment>
    <comment ref="AM29" authorId="53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N29" authorId="54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O29" authorId="55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T33" authorId="56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U33" authorId="57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V33" authorId="58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P33" authorId="59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W36" authorId="60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S38" authorId="61" shapeId="0" xr:uid="{4CE52B0D-7FB3-47B3-B571-475342092488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 on quantum -- WSJ</t>
      </text>
    </comment>
    <comment ref="AB41" authorId="62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S42" authorId="63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V47" authorId="64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BT47" authorId="65" shapeId="0" xr:uid="{0B1C80B2-A99F-49BC-9191-A0A5F60188E6}">
      <text>
        <t>[Threaded comment]
Your version of Excel allows you to read this threaded comment; however, any edits to it will get removed if the file is opened in a newer version of Excel. Learn more: https://go.microsoft.com/fwlink/?linkid=870924
Comment:
    13.39 7/7/25</t>
      </text>
    </comment>
    <comment ref="BU47" authorId="66" shapeId="0" xr:uid="{885AFC63-6D78-4BB2-A861-4B904F84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15.16 consensus 7-7-25</t>
      </text>
    </comment>
    <comment ref="BV47" authorId="67" shapeId="0" xr:uid="{5CB2A726-6A99-4883-BF78-BAC1241A440D}">
      <text>
        <t>[Threaded comment]
Your version of Excel allows you to read this threaded comment; however, any edits to it will get removed if the file is opened in a newer version of Excel. Learn more: https://go.microsoft.com/fwlink/?linkid=870924
Comment:
    17.74 consensus 7-7-25</t>
      </text>
    </comment>
    <comment ref="Z50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T51" authorId="68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V53" authorId="69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<sst xmlns="http://schemas.openxmlformats.org/spreadsheetml/2006/main" count="604" uniqueCount="483">
  <si>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</si>
  <si>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</si>
  <si>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</si>
  <si>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</si>
  <si>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</si>
  <si>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</si>
  <si>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</si>
  <si>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</si>
  <si>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</si>
  <si>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</si>
  <si>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</si>
  <si>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</si>
  <si>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</si>
  <si>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</si>
  <si>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</si>
  <si>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</si>
  <si>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</si>
  <si>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</si>
  <si>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</si>
  <si>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</si>
  <si>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</si>
  <si>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</si>
  <si>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</si>
  <si>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</si>
  <si>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</si>
  <si>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</si>
  <si>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</si>
  <si>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</si>
  <si>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</si>
  <si>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</si>
  <si>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</si>
  <si>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</si>
  <si>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</si>
  <si>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</si>
  <si>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</si>
  <si>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</si>
  <si>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</si>
  <si>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</si>
  <si>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</si>
  <si>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</si>
  <si>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</si>
  <si>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</si>
  <si>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</si>
  <si>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</si>
  <si>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</si>
  <si>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</si>
  <si>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</si>
  <si>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</si>
  <si>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</si>
  <si>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</si>
  <si>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</si>
  <si>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</si>
  <si>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</si>
  <si>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</si>
  <si>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</si>
  <si>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</si>
  <si>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</si>
  <si>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</si>
  <si>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</si>
  <si>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</si>
  <si>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</si>
  <si>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</si>
  <si>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</si>
  <si>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</si>
  <si>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</si>
  <si>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</si>
  <si>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</si>
  <si>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</si>
  <si>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</si>
  <si>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</si>
  <si>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</si>
  <si>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</si>
  <si>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</si>
  <si>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</si>
  <si>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</si>
  <si>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</si>
  <si>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</si>
  <si>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</si>
  <si>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</si>
  <si>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</si>
  <si>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</si>
  <si>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</si>
  <si>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</si>
  <si>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</si>
  <si>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</si>
  <si>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</si>
  <si>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</si>
  <si>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</si>
  <si>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</si>
  <si>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</si>
  <si>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</si>
  <si>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</si>
  <si>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</si>
  <si>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</si>
  <si>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</si>
  <si>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</si>
  <si>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</si>
  <si>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</si>
  <si>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</si>
  <si>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</si>
  <si>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</si>
  <si>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</si>
  <si>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</si>
  <si>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</si>
  <si>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</si>
  <si>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</si>
  <si>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</si>
  <si>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</si>
  <si>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</si>
  <si>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</si>
  <si>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</si>
  <si>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</si>
  <si>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</si>
  <si>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</si>
  <si>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</si>
  <si>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</si>
  <si>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</si>
  <si>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</si>
  <si>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</si>
  <si>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</si>
  <si>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</si>
  <si>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</si>
  <si>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</si>
  <si>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</si>
  <si>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</si>
  <si>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</si>
  <si>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</si>
  <si>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</si>
  <si>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</si>
  <si>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</si>
  <si>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</si>
  <si>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</si>
  <si>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</si>
  <si>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</si>
  <si>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</si>
  <si>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</si>
  <si>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</si>
  <si>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</si>
  <si>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</si>
  <si>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</si>
  <si>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</si>
  <si>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</si>
  <si>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</si>
  <si>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</si>
  <si>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</si>
  <si>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</si>
  <si>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</si>
  <si>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</si>
  <si>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</si>
  <si>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</si>
  <si>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</si>
  <si>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</si>
  <si>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</si>
  <si>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</si>
  <si>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</si>
  <si>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</si>
  <si>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</si>
  <si>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</si>
  <si>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</si>
  <si>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</si>
  <si>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</si>
  <si>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</si>
  <si>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</si>
  <si>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</si>
  <si>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</si>
  <si>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</si>
  <si>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</si>
  <si>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</si>
  <si>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</si>
  <si>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</si>
  <si>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</si>
  <si>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</si>
  <si>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</si>
  <si>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</si>
  <si>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</si>
  <si>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</si>
  <si>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</si>
  <si>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</si>
  <si>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</si>
  <si>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</si>
  <si>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</si>
  <si>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</si>
  <si>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</si>
  <si>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</si>
  <si>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</si>
  <si>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</si>
  <si>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</si>
  <si>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</si>
  <si>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</si>
  <si>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</si>
  <si>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</si>
  <si>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</si>
  <si>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</si>
  <si>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</si>
  <si>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</si>
  <si>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</si>
  <si>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</si>
  <si>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</si>
  <si>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</si>
  <si>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</si>
  <si>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</si>
  <si>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</si>
  <si>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</si>
  <si>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</si>
  <si>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</si>
  <si>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</si>
  <si>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</si>
  <si>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</si>
  <si>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</si>
  <si>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</si>
  <si>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</si>
  <si>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</si>
  <si>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</si>
  <si>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</si>
  <si>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</si>
  <si>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</si>
  <si>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</si>
  <si>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</si>
  <si>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</si>
  <si>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</si>
  <si>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</si>
  <si>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</si>
  <si>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</si>
  <si>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</si>
  <si>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</si>
  <si>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</si>
  <si>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</si>
  <si>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</si>
  <si>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</si>
  <si>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</si>
  <si>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</si>
  <si>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</si>
  <si>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</si>
  <si>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</si>
  <si>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</si>
  <si>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</si>
  <si>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</si>
  <si>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</si>
  <si>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</si>
  <si>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</si>
  <si>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</si>
  <si>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</si>
  <si>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</si>
  <si>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</si>
  <si>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</si>
  <si>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</si>
  <si>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</si>
  <si>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</si>
  <si>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</si>
  <si>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</si>
  <si>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</si>
  <si>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</si>
  <si>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</si>
  <si>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</si>
  <si>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</si>
  <si>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</si>
  <si>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</si>
  <si>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</si>
  <si>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</si>
  <si>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</si>
  <si>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</si>
  <si>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</si>
  <si>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</si>
  <si>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</si>
  <si>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</si>
  <si>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</si>
  <si>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</si>
  <si>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</si>
  <si>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</si>
  <si>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</si>
  <si>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</si>
  <si>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</si>
  <si>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</si>
  <si>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</si>
  <si>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</si>
  <si>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</si>
  <si>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</si>
  <si>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</si>
  <si>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</si>
  <si>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</si>
  <si>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</si>
  <si>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</si>
  <si>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</si>
  <si>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</si>
  <si>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</si>
  <si>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</si>
  <si>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</si>
  <si>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</si>
  <si>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</si>
  <si>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</si>
  <si>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</si>
  <si>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</si>
  <si>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</si>
  <si>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</si>
  <si>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</si>
  <si>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</si>
  <si>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</si>
  <si>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</si>
  <si>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</si>
  <si>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</si>
  <si>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</si>
  <si>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</si>
  <si>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</si>
  <si>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</si>
  <si>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</si>
  <si>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</si>
  <si>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</si>
  <si>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</si>
  <si>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</si>
  <si>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</si>
  <si>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</si>
  <si>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</si>
  <si>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</si>
  <si>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</si>
  <si>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</si>
  <si>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</si>
  <si>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</si>
  <si>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</si>
  <si>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</si>
  <si>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</si>
  <si>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</si>
  <si>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</si>
  <si>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</si>
  <si>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</si>
  <si>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</si>
  <si>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</si>
  <si>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</si>
  <si>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</si>
  <si>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</si>
  <si>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</si>
  <si>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</si>
  <si>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</si>
  <si>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</si>
  <si>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</si>
  <si>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</si>
  <si>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</si>
  <si>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</si>
  <si>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</si>
  <si>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</si>
  <si>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</si>
  <si>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</si>
  <si>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</si>
  <si>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</si>
  <si>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</si>
  <si>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</si>
  <si>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</si>
  <si>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</si>
  <si>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</si>
  <si>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</si>
  <si>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</si>
  <si>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</si>
  <si>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</si>
  <si>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</si>
  <si>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</si>
  <si>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</si>
  <si>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</si>
  <si>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</si>
  <si>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</si>
  <si>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</si>
  <si>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</si>
  <si>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</si>
  <si>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</si>
  <si>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</si>
  <si>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</si>
  <si>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</si>
  <si>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</si>
  <si>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</si>
  <si>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</si>
  <si>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</si>
  <si>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</si>
  <si>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</si>
  <si>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</si>
  <si>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</si>
  <si>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</si>
  <si>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</si>
  <si>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</si>
  <si>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</si>
  <si>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</si>
  <si>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</si>
  <si>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</si>
  <si>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</si>
  <si>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</si>
  <si>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</si>
  <si>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</si>
  <si>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</si>
  <si>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</si>
  <si>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</si>
  <si>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</si>
  <si>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</si>
  <si>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</si>
  <si>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</si>
  <si>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</si>
  <si>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</si>
  <si>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</si>
  <si>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</si>
  <si>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</si>
  <si>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</si>
  <si>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</si>
  <si>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</si>
  <si>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</si>
  <si>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</si>
  <si>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</si>
  <si>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</si>
  <si>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</si>
  <si>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</si>
  <si>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</si>
  <si>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</si>
  <si>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</si>
  <si>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</si>
  <si>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</si>
  <si>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</si>
  <si>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</si>
  <si>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</si>
  <si>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</si>
  <si>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</si>
  <si>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</si>
  <si>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</si>
  <si>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</si>
  <si>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</si>
  <si>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</si>
  <si>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</si>
  <si>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</si>
  <si>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</si>
  <si>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</si>
  <si>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</si>
  <si>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</si>
  <si>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</si>
  <si>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</si>
  <si>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</si>
  <si>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</si>
  <si>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</si>
  <si>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</si>
  <si>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</si>
  <si>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</si>
  <si>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</si>
  <si>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</si>
  <si>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</si>
  <si>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</si>
  <si>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</si>
  <si>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</si>
  <si>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</si>
  <si>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</si>
  <si>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</si>
  <si>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</si>
  <si>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</si>
  <si>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</si>
  <si>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</si>
  <si>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</si>
  <si>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</si>
  <si>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</si>
  <si>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</si>
  <si>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</si>
  <si>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</si>
  <si>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</si>
  <si>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</si>
  <si>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</si>
  <si>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</si>
  <si>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</si>
  <si>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</si>
  <si>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</si>
  <si>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</si>
  <si>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</si>
  <si>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</si>
  <si>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</si>
  <si>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</si>
  <si>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</si>
  <si>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</si>
  <si>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</si>
  <si>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</si>
  <si>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</si>
  <si>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</si>
  <si>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</si>
  <si>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</si>
  <si>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AI ARR</t>
  </si>
  <si>
    <t>FQ119</t>
  </si>
  <si>
    <t>FQ219</t>
  </si>
  <si>
    <t>FQ319</t>
  </si>
  <si>
    <t>FQ419</t>
  </si>
  <si>
    <t>FQ126</t>
  </si>
  <si>
    <t>FQ226</t>
  </si>
  <si>
    <t>FQ326</t>
  </si>
  <si>
    <t>FQ426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</si>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</sst>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62497</xdr:colOff>
      <xdr:row>0</xdr:row>
      <xdr:rowOff>8758</xdr:rowOff>
    </xdr:from>
    <xdr:to>
      <xdr:col>30</xdr:col>
      <xdr:colOff>62497</xdr:colOff>
      <xdr:row>121</xdr:row>
      <xdr:rowOff>37333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21148876" y="8758"/>
          <a:ext cx="0" cy="194201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6625</xdr:colOff>
      <xdr:row>0</xdr:row>
      <xdr:rowOff>35035</xdr:rowOff>
    </xdr:from>
    <xdr:to>
      <xdr:col>72</xdr:col>
      <xdr:colOff>6625</xdr:colOff>
      <xdr:row>121</xdr:row>
      <xdr:rowOff>63610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8406763" y="35035"/>
          <a:ext cx="0" cy="194201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4" dT="2023-04-25T17:34:54.10" personId="{2ADAC7E3-86EF-4E60-96A3-ED0BEE011F1E}" id="{C3B43970-9624-4440-A221-208CFA9224F4}">
    <text>45% NTM</text>
  </threadedComment>
  <threadedComment ref="B8" dT="2023-09-28T17:15:47.55" personId="{2ADAC7E3-86EF-4E60-96A3-ED0BEE011F1E}" id="{495E5562-8828-4FA8-84E7-259BB5495AC2}">
    <text>Azure, Office 365, LinkedIn, Dynamics 365</text>
  </threadedComment>
  <threadedComment ref="W9" dT="2024-12-24T04:04:49.84" personId="{2ADAC7E3-86EF-4E60-96A3-ED0BEE011F1E}" id="{E5A1E10B-F775-4661-B444-BF1B8C3EB80B}">
    <text>Was 22,308</text>
  </threadedComment>
  <threadedComment ref="X9" dT="2025-03-17T12:30:16.95" personId="{2ADAC7E3-86EF-4E60-96A3-ED0BEE011F1E}" id="{45914C44-F49C-40C1-8FA2-8D35344EDBC8}">
    <text>Restated from 23953</text>
  </threadedComment>
  <threadedComment ref="W10" dT="2024-12-24T04:04:12.60" personId="{2ADAC7E3-86EF-4E60-96A3-ED0BEE011F1E}" id="{B55371F0-CB77-4C6A-9D8C-E3315473E191}">
    <text>Was 13,140</text>
  </threadedComment>
  <threadedComment ref="X10" dT="2025-03-17T12:31:39.02" personId="{2ADAC7E3-86EF-4E60-96A3-ED0BEE011F1E}" id="{F789ED05-9FB7-4BCF-817A-0CFB15783374}">
    <text>Restated from 13,477</text>
  </threadedComment>
  <threadedComment ref="Z10" dT="2024-09-22T15:45:33.04" personId="{2ADAC7E3-86EF-4E60-96A3-ED0BEE011F1E}" id="{5E475410-39BC-42A4-9301-A932004E0408}">
    <text>GitHub ARR 2B</text>
  </threadedComment>
  <threadedComment ref="W11" dT="2024-12-24T04:03:40.02" personId="{2ADAC7E3-86EF-4E60-96A3-ED0BEE011F1E}" id="{AA2A695B-C64A-4308-88C9-24B29E7194A1}">
    <text>Was 5,567, and devices 1,125</text>
  </threadedComment>
  <threadedComment ref="X11" dT="2025-03-17T12:32:55.76" personId="{2ADAC7E3-86EF-4E60-96A3-ED0BEE011F1E}" id="{697C9528-FEF7-484B-9B17-66B185E72BA4}">
    <text>Restated from 5,262</text>
  </threadedComment>
  <threadedComment ref="W14" dT="2024-12-24T04:05:25.67" personId="{2ADAC7E3-86EF-4E60-96A3-ED0BEE011F1E}" id="{28831A9A-A8DE-41D2-94CB-5B0B9A35780D}">
    <text>Was 3053</text>
  </threadedComment>
  <threadedComment ref="X14" dT="2025-03-17T12:33:36.12" personId="{2ADAC7E3-86EF-4E60-96A3-ED0BEE011F1E}" id="{8797EF4E-4B24-4522-8936-AB8B6AF5E54F}">
    <text>Restated from 3220</text>
  </threadedComment>
  <threadedComment ref="W16" dT="2024-12-24T04:05:46.17" personId="{2ADAC7E3-86EF-4E60-96A3-ED0BEE011F1E}" id="{57F75795-AA65-41F8-B52D-D18320A11BA5}">
    <text>Was 1,540</text>
  </threadedComment>
  <threadedComment ref="X16" dT="2025-03-17T12:34:04.80" personId="{2ADAC7E3-86EF-4E60-96A3-ED0BEE011F1E}" id="{038D2AC4-868A-4D41-8E5F-1D8392C5305E}">
    <text>Restated from 1,576</text>
  </threadedComment>
  <threadedComment ref="V21" dT="2023-09-28T17:43:21.59" personId="{2ADAC7E3-86EF-4E60-96A3-ED0BEE011F1E}" id="{8AC866B7-A6C9-4AFE-88B5-A371DED6226E}">
    <text>+23% CC</text>
  </threadedComment>
  <threadedComment ref="T22" dT="2023-04-25T17:43:15.37" personId="{2ADAC7E3-86EF-4E60-96A3-ED0BEE011F1E}" id="{ECADAB22-36B1-41A2-AD23-FFF1F2EAB8AC}">
    <text>+14% CC</text>
  </threadedComment>
  <threadedComment ref="V22" dT="2023-09-28T17:37:24.54" personId="{2ADAC7E3-86EF-4E60-96A3-ED0BEE011F1E}" id="{1CA79B8E-9FD8-4E2D-9412-7A77DDB83F01}">
    <text>+7% LinkedIn revenue CC</text>
  </threadedComment>
  <threadedComment ref="BR22" dT="2023-09-28T17:49:57.89" personId="{2ADAC7E3-86EF-4E60-96A3-ED0BEE011F1E}" id="{96AC5426-8FEE-464D-8105-8764B3629F77}">
    <text>+27% CC</text>
  </threadedComment>
  <threadedComment ref="V25" dT="2023-09-28T17:33:29.03" personId="{2ADAC7E3-86EF-4E60-96A3-ED0BEE011F1E}" id="{3A6A4C0B-9CA9-4EA2-8610-4020B0DDB40E}">
    <text>XBOX hardware -13%
Content &amp; Services +6%</text>
  </threadedComment>
  <threadedComment ref="W25" dT="2023-09-28T18:52:34.02" personId="{2ADAC7E3-86EF-4E60-96A3-ED0BEE011F1E}" id="{6B1B9C92-FEE7-475D-B41A-E884CF55D05D}">
    <text>Expect +MSD</text>
  </threadedComment>
  <threadedComment ref="T27" dT="2023-04-25T17:42:46.88" personId="{2ADAC7E3-86EF-4E60-96A3-ED0BEE011F1E}" id="{2883B5CB-9CE6-4897-A415-6E91690048D2}">
    <text>Dynamics +20%</text>
  </threadedComment>
  <threadedComment ref="U27" dT="2023-04-25T17:51:08.94" personId="{2ADAC7E3-86EF-4E60-96A3-ED0BEE011F1E}" id="{6A5307CC-CCBA-4CAC-BF0C-55B40FBD45DC}">
    <text>+11-13%
16.9-17.2B</text>
  </threadedComment>
  <threadedComment ref="V27" dT="2023-04-25T22:13:26.39" personId="{2ADAC7E3-86EF-4E60-96A3-ED0BEE011F1E}" id="{8F896F81-6E53-40A7-B585-0CF468064875}">
    <text>Guidance: 17.9-18.2B</text>
  </threadedComment>
  <threadedComment ref="W27" dT="2023-09-28T18:50:05.48" personId="{2ADAC7E3-86EF-4E60-96A3-ED0BEE011F1E}" id="{1708469E-E4B0-42B4-A74A-7F2EA54BA260}">
    <text>18000-18300 guidance Q423
Recast from 18,592</text>
  </threadedComment>
  <threadedComment ref="Y27" dT="2025-04-30T20:34:20.77" personId="{2ADAC7E3-86EF-4E60-96A3-ED0BEE011F1E}" id="{D7F9B206-8C01-4F90-A64E-F20C90D4999F}">
    <text>Recast from 19570</text>
  </threadedComment>
  <threadedComment ref="Z27" dT="2025-08-27T14:18:30.42" personId="{2ADAC7E3-86EF-4E60-96A3-ED0BEE011F1E}" id="{FEDF3CA1-4A41-4853-85BB-3BE7E56A7946}">
    <text>Recast from 20,317</text>
  </threadedComment>
  <threadedComment ref="AA27" dT="2024-09-22T15:24:08.93" personId="{2ADAC7E3-86EF-4E60-96A3-ED0BEE011F1E}" id="{A0430351-424E-4888-96FD-79404C358012}">
    <text>Q4 guidance: 20.3-20.6</text>
  </threadedComment>
  <threadedComment ref="AB27" dT="2024-12-24T04:09:42.41" personId="{2ADAC7E3-86EF-4E60-96A3-ED0BEE011F1E}" id="{7E9BCCA4-1A9A-4F06-8F56-AD948C1F9AEB}">
    <text>Q1 guidance: 28.7-29.0B</text>
  </threadedComment>
  <threadedComment ref="AC27" dT="2025-03-17T12:35:18.93" personId="{2ADAC7E3-86EF-4E60-96A3-ED0BEE011F1E}" id="{4186E1B7-27BA-4064-8D1E-8ED4CB51C8F1}">
    <text>Q2 guidance: 29.4-29.7B</text>
  </threadedComment>
  <threadedComment ref="BR27" dT="2023-09-28T18:19:04.32" personId="{2ADAC7E3-86EF-4E60-96A3-ED0BEE011F1E}" id="{6C2A9AED-575A-4447-8CAD-2E4A869395ED}">
    <text>Dynamics $5B
LinkedIn $15B</text>
  </threadedComment>
  <threadedComment ref="O28" dT="2023-01-12T14:11:54.08" personId="{2ADAC7E3-86EF-4E60-96A3-ED0BEE011F1E}" id="{1194B53B-11DF-4936-8FD7-77F49319A1C9}">
    <text>16964 old</text>
  </threadedComment>
  <threadedComment ref="T28" dT="2023-04-25T17:30:58.20" personId="{2ADAC7E3-86EF-4E60-96A3-ED0BEE011F1E}" id="{B7D8227E-9C6A-4B9D-BCEB-E38F55E93FBB}">
    <text>Azure growth moderated
Grew from Nuance</text>
  </threadedComment>
  <threadedComment ref="U28" dT="2023-04-25T17:52:22.56" personId="{2ADAC7E3-86EF-4E60-96A3-ED0BEE011F1E}" id="{C7BC1CA5-759B-43A0-833B-88C4CD54B000}">
    <text>Q223 guidance: 21.7-22.0B</text>
  </threadedComment>
  <threadedComment ref="V28" dT="2023-04-25T22:13:34.93" personId="{2ADAC7E3-86EF-4E60-96A3-ED0BEE011F1E}" id="{21797C47-1950-4375-853A-A1712EF01174}">
    <text>Guidance: 23.6-23.9B</text>
  </threadedComment>
  <threadedComment ref="W28" dT="2023-09-28T18:50:34.89" personId="{2ADAC7E3-86EF-4E60-96A3-ED0BEE011F1E}" id="{AA439B2E-FC6E-4E0D-A042-CA20F999D88F}">
    <text>23.3-23.6B Q423
Recast from 24,259</text>
  </threadedComment>
  <threadedComment ref="X28" dT="2025-03-17T12:16:31.21" personId="{2ADAC7E3-86EF-4E60-96A3-ED0BEE011F1E}" id="{1CD8F411-765D-4154-9E6A-8137C38BB816}">
    <text>Was 25,880</text>
  </threadedComment>
  <threadedComment ref="Y28" dT="2025-04-30T20:33:43.84" personId="{2ADAC7E3-86EF-4E60-96A3-ED0BEE011F1E}" id="{BBA0104C-8A16-4A96-9E2C-AD8EE02A03E1}">
    <text>Recast from 26708</text>
  </threadedComment>
  <threadedComment ref="Z28" dT="2025-08-27T14:18:22.01" personId="{2ADAC7E3-86EF-4E60-96A3-ED0BEE011F1E}" id="{2FD712AC-9525-47EF-B2E5-F90621F9547F}">
    <text>Recast from 28,515</text>
  </threadedComment>
  <threadedComment ref="AA28" dT="2024-09-22T15:24:17.65" personId="{2ADAC7E3-86EF-4E60-96A3-ED0BEE011F1E}" id="{06B3106E-8D95-4ED7-A96C-DF96D1DF1BC4}">
    <text>Q4 guidance: 28.6-28.9</text>
  </threadedComment>
  <threadedComment ref="AB28" dT="2024-12-24T04:09:54.59" personId="{2ADAC7E3-86EF-4E60-96A3-ED0BEE011F1E}" id="{575D0825-4C80-4173-A064-BC46798AA03A}">
    <text>Q1 guidance: 25.50-25.85B</text>
  </threadedComment>
  <threadedComment ref="AC28" dT="2025-03-17T12:35:32.90" personId="{2ADAC7E3-86EF-4E60-96A3-ED0BEE011F1E}" id="{D794CECC-1BAE-4B21-8F7F-C698B1CC85A9}">
    <text>Q2 guidance: 25.9-26.2B</text>
  </threadedComment>
  <threadedComment ref="B29" dT="2023-09-28T17:34:02.74" personId="{2ADAC7E3-86EF-4E60-96A3-ED0BEE011F1E}" id="{EC9B7190-CE1A-4E78-A2EF-A3F3AADAB339}">
    <text>Windows, Gaming, Devices, Search and News Advertising</text>
  </threadedComment>
  <threadedComment ref="O29" dT="2023-01-12T14:11:37.67" personId="{2ADAC7E3-86EF-4E60-96A3-ED0BEE011F1E}" id="{F728FAC2-51F0-4023-AB40-41F83CEF5C89}">
    <text>13314 prior</text>
  </threadedComment>
  <threadedComment ref="T29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U29" dT="2023-04-25T17:53:27.39" personId="{2ADAC7E3-86EF-4E60-96A3-ED0BEE011F1E}" id="{246E0C01-DF1D-4F91-A337-4DE00EFEDDC8}">
    <text>FQ223 guidance: 11.9-12.3B</text>
  </threadedComment>
  <threadedComment ref="V29" dT="2023-04-25T22:13:46.70" personId="{2ADAC7E3-86EF-4E60-96A3-ED0BEE011F1E}" id="{730404D6-8355-478B-BCFF-9D938DC1FD29}">
    <text>Guidance: 13.35-13.75B
Xandr acquisition benefit</text>
  </threadedComment>
  <threadedComment ref="W29" dT="2023-09-28T18:51:01.20" personId="{2ADAC7E3-86EF-4E60-96A3-ED0BEE011F1E}" id="{DCFC0E54-F0B5-4901-BBC6-12237E7E3B9E}">
    <text>12.5-12.9B Q423
Was 13666, recast to 11278</text>
  </threadedComment>
  <threadedComment ref="X29" dT="2025-03-17T12:16:50.27" personId="{2ADAC7E3-86EF-4E60-96A3-ED0BEE011F1E}" id="{3513708C-C4BB-45CB-8048-7F460E607C81}">
    <text>Was 16,891</text>
  </threadedComment>
  <threadedComment ref="Y29" dT="2025-04-30T20:33:20.63" personId="{2ADAC7E3-86EF-4E60-96A3-ED0BEE011F1E}" id="{1BD8C4AA-87BE-4895-8BF4-FDA372A05357}">
    <text>Recast from 15580</text>
  </threadedComment>
  <threadedComment ref="Z29" dT="2025-08-27T14:18:17.17" personId="{2ADAC7E3-86EF-4E60-96A3-ED0BEE011F1E}" id="{73C79220-E738-4AD3-8A1D-907731BF1F5A}">
    <text>Recast from 15,895</text>
  </threadedComment>
  <threadedComment ref="AA29" dT="2024-09-22T15:24:28.39" personId="{2ADAC7E3-86EF-4E60-96A3-ED0BEE011F1E}" id="{76D53B89-C9A8-4A1F-A500-58B63D0047E4}">
    <text>Q4 guidance: 14.9-15.3</text>
  </threadedComment>
  <threadedComment ref="AB29" dT="2024-12-24T04:10:05.35" personId="{2ADAC7E3-86EF-4E60-96A3-ED0BEE011F1E}" id="{48B23987-2CE7-423E-ACAE-6D661625B256}">
    <text>Q1 guidance: 13.85B-14.25B</text>
  </threadedComment>
  <threadedComment ref="AC29" dT="2025-03-17T12:35:48.01" personId="{2ADAC7E3-86EF-4E60-96A3-ED0BEE011F1E}" id="{6A8206A7-827A-4B9C-8CF5-46B679BA4558}">
    <text xml:space="preserve">Q2 guidance:: 12.4B-12.8B </text>
  </threadedComment>
  <threadedComment ref="AM29" dT="2023-04-30T03:57:38.72" personId="{2ADAC7E3-86EF-4E60-96A3-ED0BEE011F1E}" id="{1C31850E-87A1-42A5-A544-D7C66ECB0D78}">
    <text>Hardware 254m</text>
  </threadedComment>
  <threadedComment ref="AN29" dT="2023-04-30T03:57:32.74" personId="{2ADAC7E3-86EF-4E60-96A3-ED0BEE011F1E}" id="{6CD6DA57-15E4-4617-9E8A-DE627D4291F4}">
    <text>Hardware 233m</text>
  </threadedComment>
  <threadedComment ref="AO29" dT="2023-04-30T03:57:25.69" personId="{2ADAC7E3-86EF-4E60-96A3-ED0BEE011F1E}" id="{530E3A34-4790-4FEE-B8A2-EEE361836B57}">
    <text>Hardware 203m</text>
  </threadedComment>
  <threadedComment ref="T33" dT="2023-04-25T17:28:33.19" personId="{2ADAC7E3-86EF-4E60-96A3-ED0BEE011F1E}" id="{6550F107-B2DD-468B-9840-A88B103B8C6E}">
    <text>Saw weakening in December
US weaker than expected</text>
  </threadedComment>
  <threadedComment ref="U33" dT="2023-04-25T17:53:49.93" personId="{2ADAC7E3-86EF-4E60-96A3-ED0BEE011F1E}" id="{B0B4B47A-77DB-4469-A3F3-BA8FF53995B8}">
    <text>4/25/23 Consensus: 51.02B
Q223 guidance: 50.5-51.5B</text>
  </threadedComment>
  <threadedComment ref="V33" dT="2023-04-25T17:54:04.57" personId="{2ADAC7E3-86EF-4E60-96A3-ED0BEE011F1E}" id="{672EF133-CF99-4F62-BC53-D74F59EFAF45}">
    <text>4/24/23: 54.84B consensus
FQ323 Guidance: 54.850-55.80B</text>
  </threadedComment>
  <threadedComment ref="BP33" dT="2024-09-28T03:46:02.83" personId="{2ADAC7E3-86EF-4E60-96A3-ED0BEE011F1E}" id="{5ABABD65-6006-454E-8377-B6AC9472B498}">
    <text>March 2022 - Nuance deal closes</text>
  </threadedComment>
  <threadedComment ref="W36" dT="2023-09-28T18:52:48.38" personId="{2ADAC7E3-86EF-4E60-96A3-ED0BEE011F1E}" id="{667BC7EE-5E86-47FC-B964-2C031A25E303}">
    <text>16.6-16.8B - Q423</text>
  </threadedComment>
  <threadedComment ref="BS38" dT="2025-07-07T14:01:55.66" personId="{2ADAC7E3-86EF-4E60-96A3-ED0BEE011F1E}" id="{4CE52B0D-7FB3-47B3-B571-475342092488}">
    <text>300m on quantum -- WSJ</text>
  </threadedComment>
  <threadedComment ref="AB41" dT="2024-12-24T04:09:21.92" personId="{2ADAC7E3-86EF-4E60-96A3-ED0BEE011F1E}" id="{E1D462E3-FE87-45D3-BF08-737DAD82C45D}">
    <text>Q1 guidance: 16.4-16.5B</text>
  </threadedComment>
  <threadedComment ref="BS42" dT="2023-09-28T18:49:03.40" personId="{2ADAC7E3-86EF-4E60-96A3-ED0BEE011F1E}" id="{7492A336-ABB9-4529-8350-AF762E5855FF}">
    <text>Expect flat OM% y/y</text>
  </threadedComment>
  <threadedComment ref="V47" dT="2023-09-28T18:39:40.83" personId="{2ADAC7E3-86EF-4E60-96A3-ED0BEE011F1E}" id="{48518769-DF2C-4CE7-8344-8EDB6814ABC3}">
    <text>2.69 +23% cc</text>
  </threadedComment>
  <threadedComment ref="BT47" dT="2025-07-07T14:16:09.59" personId="{2ADAC7E3-86EF-4E60-96A3-ED0BEE011F1E}" id="{0B1C80B2-A99F-49BC-9191-A0A5F60188E6}">
    <text>13.39 7/7/25</text>
  </threadedComment>
  <threadedComment ref="BU47" dT="2025-07-07T14:16:18.54" personId="{2ADAC7E3-86EF-4E60-96A3-ED0BEE011F1E}" id="{885AFC63-6D78-4BB2-A861-4B904F8487BB}">
    <text>15.16 consensus 7-7-25</text>
  </threadedComment>
  <threadedComment ref="BV47" dT="2025-07-07T14:16:32.03" personId="{2ADAC7E3-86EF-4E60-96A3-ED0BEE011F1E}" id="{5CB2A726-6A99-4883-BF78-BAC1241A440D}">
    <text>17.74 consensus 7-7-25</text>
  </threadedComment>
  <threadedComment ref="T51" dT="2023-04-25T17:32:36.53" personId="{2ADAC7E3-86EF-4E60-96A3-ED0BEE011F1E}" id="{207240C6-AA0E-47C1-A8DC-C70F3CF7F6CF}">
    <text>Bookings +4% y/y</text>
  </threadedComment>
  <threadedComment ref="V53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45" zoomScaleNormal="145" workbookViewId="0">
      <selection activeCell="L3" sqref="L3"/>
    </sheetView>
  </sheetViews>
  <sheetFormatPr defaultRowHeight="12.5"/>
  <cols>
    <col min="1" max="1" width="3.7265625" customWidth="1"/>
    <col min="11" max="11" width="11.54296875" customWidth="1"/>
    <col min="12" max="12" width="13.54296875" customWidth="1"/>
  </cols>
  <sheetData>
    <row r="2" spans="2:13" ht="13">
      <c r="B2" s="17" t="s">
        <v>130</v>
      </c>
      <c r="K2" t="s">
        <v>0</v>
      </c>
      <c r="L2" s="1">
        <v>501.33</v>
      </c>
    </row>
    <row r="3" spans="2:13">
      <c r="B3" t="s">
        <v>110</v>
      </c>
      <c r="C3" t="s">
        <v>113</v>
      </c>
      <c r="K3" t="s">
        <v>1</v>
      </c>
      <c r="L3" s="4">
        <v>7461</v>
      </c>
      <c r="M3" s="2" t="s">
        <v>482</v>
      </c>
    </row>
    <row r="4" spans="2:13">
      <c r="B4" t="s">
        <v>109</v>
      </c>
      <c r="C4" t="s">
        <v>114</v>
      </c>
      <c r="K4" t="s">
        <v>2</v>
      </c>
      <c r="L4" s="4">
        <f>L2*L3</f>
        <v>3740423.13</v>
      </c>
    </row>
    <row r="5" spans="2:13">
      <c r="B5" t="s">
        <v>116</v>
      </c>
      <c r="K5" t="s">
        <v>3</v>
      </c>
      <c r="L5" s="4">
        <v>109970</v>
      </c>
      <c r="M5" s="2" t="s">
        <v>482</v>
      </c>
    </row>
    <row r="6" spans="2:13">
      <c r="B6" t="s">
        <v>131</v>
      </c>
      <c r="K6" t="s">
        <v>4</v>
      </c>
      <c r="L6" s="4">
        <v>43151</v>
      </c>
      <c r="M6" s="2" t="s">
        <v>482</v>
      </c>
    </row>
    <row r="7" spans="2:13">
      <c r="K7" t="s">
        <v>5</v>
      </c>
      <c r="L7" s="4">
        <f>L4-L5+L6</f>
        <v>3673604.13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 ht="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EE126"/>
  <sheetViews>
    <sheetView tabSelected="1" zoomScale="145" zoomScaleNormal="145" workbookViewId="0">
      <pane xSplit="2" ySplit="3" topLeftCell="BK83" activePane="bottomRight" state="frozen"/>
      <selection pane="topRight" activeCell="C1" sqref="C1"/>
      <selection pane="bottomLeft" activeCell="A4" sqref="A4"/>
      <selection pane="bottomRight" activeCell="BU112" sqref="BU112"/>
    </sheetView>
  </sheetViews>
  <sheetFormatPr defaultRowHeight="12.5"/>
  <cols>
    <col min="1" max="1" width="5" bestFit="1" customWidth="1"/>
    <col min="2" max="2" width="19.7265625" customWidth="1"/>
    <col min="3" max="10" width="10" style="2" customWidth="1"/>
    <col min="11" max="18" width="9.81640625" style="2" customWidth="1"/>
    <col min="19" max="34" width="9.81640625" customWidth="1"/>
    <col min="41" max="63" width="9.54296875" customWidth="1"/>
    <col min="67" max="70" width="9.1796875" style="2"/>
    <col min="80" max="80" width="10.7265625" customWidth="1"/>
    <col min="82" max="82" width="10.26953125" customWidth="1"/>
  </cols>
  <sheetData>
    <row r="1" spans="1:77">
      <c r="A1" s="14" t="s">
        <v>6</v>
      </c>
    </row>
    <row r="2" spans="1:77" s="15" customFormat="1">
      <c r="C2" s="16">
        <v>43373</v>
      </c>
      <c r="D2" s="16">
        <v>43465</v>
      </c>
      <c r="E2" s="16">
        <v>46843</v>
      </c>
      <c r="F2" s="16">
        <v>46934</v>
      </c>
      <c r="G2" s="16">
        <v>43738</v>
      </c>
      <c r="H2" s="16">
        <v>43830</v>
      </c>
      <c r="I2" s="16">
        <v>43921</v>
      </c>
      <c r="J2" s="16">
        <v>44012</v>
      </c>
      <c r="K2" s="16">
        <v>44104</v>
      </c>
      <c r="L2" s="16">
        <v>44196</v>
      </c>
      <c r="M2" s="16">
        <v>44286</v>
      </c>
      <c r="N2" s="16">
        <v>44377</v>
      </c>
      <c r="O2" s="16">
        <v>44469</v>
      </c>
      <c r="P2" s="16">
        <v>44561</v>
      </c>
      <c r="Q2" s="16">
        <v>44651</v>
      </c>
      <c r="R2" s="16">
        <v>44742</v>
      </c>
      <c r="S2" s="15">
        <f t="shared" ref="S2:X2" si="0">+O2+365</f>
        <v>44834</v>
      </c>
      <c r="T2" s="15">
        <f t="shared" si="0"/>
        <v>44926</v>
      </c>
      <c r="U2" s="15">
        <f t="shared" si="0"/>
        <v>45016</v>
      </c>
      <c r="V2" s="15">
        <f t="shared" si="0"/>
        <v>45107</v>
      </c>
      <c r="W2" s="15">
        <f t="shared" si="0"/>
        <v>45199</v>
      </c>
      <c r="X2" s="15">
        <f t="shared" si="0"/>
        <v>45291</v>
      </c>
      <c r="Y2" s="15">
        <v>45382</v>
      </c>
      <c r="Z2" s="15">
        <v>45473</v>
      </c>
      <c r="AA2" s="15">
        <v>45565</v>
      </c>
      <c r="AB2" s="15">
        <v>45657</v>
      </c>
      <c r="AC2" s="15">
        <v>45747</v>
      </c>
      <c r="AD2" s="15">
        <v>45838</v>
      </c>
      <c r="AE2" s="15">
        <f>+AA2+365</f>
        <v>45930</v>
      </c>
      <c r="AF2" s="15">
        <f>+AB2+365</f>
        <v>46022</v>
      </c>
      <c r="AG2" s="15">
        <f>+AC2+365</f>
        <v>46112</v>
      </c>
      <c r="AH2" s="15">
        <f>+AD2+365</f>
        <v>46203</v>
      </c>
      <c r="AK2" s="15">
        <v>33054</v>
      </c>
      <c r="AL2" s="15">
        <v>33419</v>
      </c>
      <c r="AM2" s="15">
        <v>33785</v>
      </c>
      <c r="AN2" s="15">
        <v>34150</v>
      </c>
      <c r="AO2" s="15">
        <v>34515</v>
      </c>
      <c r="AP2" s="15">
        <v>34880</v>
      </c>
      <c r="AQ2" s="15">
        <v>35246</v>
      </c>
      <c r="AR2" s="15">
        <v>35611</v>
      </c>
      <c r="AS2" s="15">
        <v>35976</v>
      </c>
      <c r="AT2" s="15">
        <v>36341</v>
      </c>
      <c r="AU2" s="15">
        <v>36707</v>
      </c>
      <c r="AV2" s="15">
        <v>37072</v>
      </c>
      <c r="AW2" s="15">
        <v>37437</v>
      </c>
      <c r="AX2" s="15">
        <v>37802</v>
      </c>
      <c r="AY2" s="15">
        <v>38168</v>
      </c>
      <c r="AZ2" s="15">
        <v>38533</v>
      </c>
      <c r="BA2" s="15">
        <v>38898</v>
      </c>
      <c r="BB2" s="15">
        <v>39263</v>
      </c>
      <c r="BC2" s="15">
        <v>39629</v>
      </c>
      <c r="BD2" s="15">
        <v>39994</v>
      </c>
      <c r="BE2" s="15">
        <v>40359</v>
      </c>
      <c r="BF2" s="15">
        <v>40724</v>
      </c>
      <c r="BG2" s="15">
        <v>41090</v>
      </c>
      <c r="BH2" s="15">
        <v>41455</v>
      </c>
      <c r="BI2" s="15">
        <v>41820</v>
      </c>
      <c r="BJ2" s="15">
        <v>42185</v>
      </c>
      <c r="BK2" s="15">
        <v>42551</v>
      </c>
      <c r="BL2" s="15">
        <v>42916</v>
      </c>
      <c r="BM2" s="15">
        <v>43281</v>
      </c>
      <c r="BN2" s="15">
        <v>43646</v>
      </c>
      <c r="BO2" s="16">
        <v>44012</v>
      </c>
      <c r="BP2" s="16">
        <f>+N2</f>
        <v>44377</v>
      </c>
      <c r="BQ2" s="16">
        <f>+R2</f>
        <v>44742</v>
      </c>
      <c r="BR2" s="16">
        <v>45107</v>
      </c>
      <c r="BS2" s="15">
        <f>+BR2+366</f>
        <v>45473</v>
      </c>
      <c r="BT2" s="15">
        <f>+BS2+365</f>
        <v>45838</v>
      </c>
      <c r="BU2" s="15">
        <f>+BT2+365</f>
        <v>46203</v>
      </c>
      <c r="BV2" s="15">
        <f>+BU2+365</f>
        <v>46568</v>
      </c>
      <c r="BW2" s="15">
        <f>+BV2+366</f>
        <v>46934</v>
      </c>
      <c r="BX2" s="15">
        <f>+BW2+365</f>
        <v>47299</v>
      </c>
      <c r="BY2" s="15">
        <f>+BX2+365</f>
        <v>47664</v>
      </c>
    </row>
    <row r="3" spans="1:77">
      <c r="C3" s="2" t="s">
        <v>474</v>
      </c>
      <c r="D3" s="2" t="s">
        <v>475</v>
      </c>
      <c r="E3" s="2" t="s">
        <v>476</v>
      </c>
      <c r="F3" s="2" t="s">
        <v>477</v>
      </c>
      <c r="G3" s="2" t="s">
        <v>81</v>
      </c>
      <c r="H3" s="2" t="s">
        <v>80</v>
      </c>
      <c r="I3" s="2" t="s">
        <v>79</v>
      </c>
      <c r="J3" s="2" t="s">
        <v>78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83</v>
      </c>
      <c r="T3" s="2" t="s">
        <v>84</v>
      </c>
      <c r="U3" s="2" t="s">
        <v>85</v>
      </c>
      <c r="V3" s="2" t="s">
        <v>86</v>
      </c>
      <c r="W3" s="2" t="s">
        <v>146</v>
      </c>
      <c r="X3" s="2" t="s">
        <v>147</v>
      </c>
      <c r="Y3" s="2" t="s">
        <v>154</v>
      </c>
      <c r="Z3" s="2" t="s">
        <v>155</v>
      </c>
      <c r="AA3" s="2" t="s">
        <v>465</v>
      </c>
      <c r="AB3" s="2" t="s">
        <v>466</v>
      </c>
      <c r="AC3" s="2" t="s">
        <v>467</v>
      </c>
      <c r="AD3" s="2" t="s">
        <v>468</v>
      </c>
      <c r="AE3" s="2" t="s">
        <v>478</v>
      </c>
      <c r="AF3" s="2" t="s">
        <v>479</v>
      </c>
      <c r="AG3" s="2" t="s">
        <v>480</v>
      </c>
      <c r="AH3" s="2" t="s">
        <v>481</v>
      </c>
      <c r="AJ3" s="2"/>
      <c r="AK3" s="2" t="s">
        <v>219</v>
      </c>
      <c r="AL3" s="2" t="s">
        <v>220</v>
      </c>
      <c r="AM3" s="2" t="s">
        <v>221</v>
      </c>
      <c r="AN3" s="2" t="s">
        <v>222</v>
      </c>
      <c r="AO3" s="2" t="s">
        <v>183</v>
      </c>
      <c r="AP3" s="2" t="s">
        <v>184</v>
      </c>
      <c r="AQ3" s="2" t="s">
        <v>180</v>
      </c>
      <c r="AR3" s="2" t="s">
        <v>181</v>
      </c>
      <c r="AS3" s="2" t="s">
        <v>182</v>
      </c>
      <c r="AT3" s="2" t="s">
        <v>173</v>
      </c>
      <c r="AU3" s="2" t="s">
        <v>174</v>
      </c>
      <c r="AV3" s="2" t="s">
        <v>175</v>
      </c>
      <c r="AW3" s="2" t="s">
        <v>176</v>
      </c>
      <c r="AX3" s="2" t="s">
        <v>177</v>
      </c>
      <c r="AY3" s="2" t="s">
        <v>178</v>
      </c>
      <c r="AZ3" s="2" t="s">
        <v>179</v>
      </c>
      <c r="BA3" s="2" t="s">
        <v>169</v>
      </c>
      <c r="BB3" s="2" t="s">
        <v>170</v>
      </c>
      <c r="BC3" s="2" t="s">
        <v>171</v>
      </c>
      <c r="BD3" s="2" t="s">
        <v>172</v>
      </c>
      <c r="BE3" s="2" t="s">
        <v>163</v>
      </c>
      <c r="BF3" s="2" t="s">
        <v>164</v>
      </c>
      <c r="BG3" s="2" t="s">
        <v>165</v>
      </c>
      <c r="BH3" s="2" t="s">
        <v>166</v>
      </c>
      <c r="BI3" s="2" t="s">
        <v>167</v>
      </c>
      <c r="BJ3" s="2" t="s">
        <v>168</v>
      </c>
      <c r="BK3" s="2" t="s">
        <v>162</v>
      </c>
      <c r="BL3" s="2" t="s">
        <v>102</v>
      </c>
      <c r="BM3" s="2" t="s">
        <v>101</v>
      </c>
      <c r="BN3" s="2" t="s">
        <v>88</v>
      </c>
      <c r="BO3" s="2" t="s">
        <v>77</v>
      </c>
      <c r="BP3" s="2" t="s">
        <v>74</v>
      </c>
      <c r="BQ3" s="2" t="s">
        <v>75</v>
      </c>
      <c r="BR3" s="2" t="s">
        <v>76</v>
      </c>
      <c r="BS3" s="2" t="s">
        <v>90</v>
      </c>
      <c r="BT3" s="2" t="s">
        <v>91</v>
      </c>
      <c r="BU3" s="2" t="s">
        <v>92</v>
      </c>
      <c r="BV3" s="2" t="s">
        <v>93</v>
      </c>
      <c r="BW3" s="2" t="s">
        <v>94</v>
      </c>
      <c r="BX3" s="2" t="s">
        <v>95</v>
      </c>
      <c r="BY3" s="2" t="s">
        <v>96</v>
      </c>
    </row>
    <row r="4" spans="1:77">
      <c r="B4" t="s">
        <v>150</v>
      </c>
      <c r="P4" s="2">
        <v>147</v>
      </c>
      <c r="Q4" s="2">
        <v>155</v>
      </c>
      <c r="R4" s="2">
        <v>189</v>
      </c>
      <c r="S4" s="2">
        <v>180</v>
      </c>
      <c r="T4" s="2">
        <v>189</v>
      </c>
      <c r="U4" s="2">
        <v>196</v>
      </c>
      <c r="V4" s="2">
        <v>224</v>
      </c>
      <c r="W4" s="2">
        <v>212</v>
      </c>
      <c r="X4" s="2">
        <v>222</v>
      </c>
      <c r="Y4" s="2">
        <v>235</v>
      </c>
      <c r="Z4" s="2">
        <v>269</v>
      </c>
      <c r="AA4" s="2">
        <v>259</v>
      </c>
      <c r="AB4" s="2">
        <v>298</v>
      </c>
      <c r="AC4" s="2">
        <v>315</v>
      </c>
      <c r="AD4" s="2">
        <v>368</v>
      </c>
      <c r="AE4" s="2"/>
      <c r="AF4" s="2"/>
      <c r="AG4" s="2"/>
      <c r="AH4" s="2"/>
      <c r="BE4" s="2"/>
      <c r="BF4" s="2"/>
      <c r="BG4" s="2"/>
      <c r="BH4" s="2"/>
      <c r="BI4" s="2"/>
      <c r="BJ4" s="2"/>
      <c r="BK4" s="2"/>
      <c r="BL4" s="2"/>
      <c r="BM4" s="2"/>
      <c r="BN4" s="2"/>
      <c r="BQ4" s="2">
        <f>+R4</f>
        <v>189</v>
      </c>
      <c r="BR4" s="2">
        <f>+V4</f>
        <v>224</v>
      </c>
      <c r="BS4" s="2">
        <f>+Z4</f>
        <v>269</v>
      </c>
      <c r="BT4" s="2">
        <f>+AD4</f>
        <v>368</v>
      </c>
      <c r="BU4" s="2"/>
      <c r="BV4" s="2"/>
      <c r="BW4" s="2"/>
      <c r="BX4" s="2"/>
      <c r="BY4" s="2"/>
    </row>
    <row r="5" spans="1:77" s="19" customFormat="1" ht="13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>
        <v>0.37</v>
      </c>
      <c r="Q5" s="21">
        <v>0.35</v>
      </c>
      <c r="R5" s="21">
        <v>0.35</v>
      </c>
      <c r="S5" s="21">
        <v>0.16</v>
      </c>
      <c r="T5" s="21">
        <f t="shared" ref="T5:AD5" si="1">+T4/P4-1</f>
        <v>0.28571428571428581</v>
      </c>
      <c r="U5" s="21">
        <f t="shared" si="1"/>
        <v>0.26451612903225796</v>
      </c>
      <c r="V5" s="21">
        <f t="shared" si="1"/>
        <v>0.18518518518518512</v>
      </c>
      <c r="W5" s="21">
        <f t="shared" si="1"/>
        <v>0.17777777777777781</v>
      </c>
      <c r="X5" s="21">
        <f t="shared" si="1"/>
        <v>0.17460317460317465</v>
      </c>
      <c r="Y5" s="21">
        <f t="shared" si="1"/>
        <v>0.19897959183673475</v>
      </c>
      <c r="Z5" s="21">
        <f t="shared" si="1"/>
        <v>0.20089285714285721</v>
      </c>
      <c r="AA5" s="21">
        <f t="shared" si="1"/>
        <v>0.22169811320754707</v>
      </c>
      <c r="AB5" s="21">
        <f t="shared" si="1"/>
        <v>0.3423423423423424</v>
      </c>
      <c r="AC5" s="21">
        <f t="shared" si="1"/>
        <v>0.34042553191489366</v>
      </c>
      <c r="AD5" s="21">
        <f t="shared" si="1"/>
        <v>0.36802973977695164</v>
      </c>
      <c r="AE5" s="20"/>
      <c r="AF5" s="20"/>
      <c r="AG5" s="20"/>
      <c r="AH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1">
        <f>+BR4/BQ4-1</f>
        <v>0.18518518518518512</v>
      </c>
      <c r="BS5" s="21">
        <f>+BS4/BR4-1</f>
        <v>0.20089285714285721</v>
      </c>
      <c r="BT5" s="21">
        <f>+BT4/BS4-1</f>
        <v>0.36802973977695164</v>
      </c>
      <c r="BU5" s="20"/>
      <c r="BV5" s="20"/>
      <c r="BW5" s="20"/>
      <c r="BX5" s="20"/>
      <c r="BY5" s="20"/>
    </row>
    <row r="6" spans="1:77" s="19" customFormat="1" ht="13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</row>
    <row r="7" spans="1:77" ht="13">
      <c r="B7" t="s">
        <v>473</v>
      </c>
      <c r="P7" s="9"/>
      <c r="Q7" s="9"/>
      <c r="R7" s="9"/>
      <c r="S7" s="9"/>
      <c r="T7" s="9"/>
      <c r="U7" s="2"/>
      <c r="V7" s="2"/>
      <c r="W7" s="2"/>
      <c r="X7" s="2"/>
      <c r="Y7" s="2"/>
      <c r="Z7" s="2"/>
      <c r="AA7" s="2"/>
      <c r="AB7" s="7">
        <v>13000</v>
      </c>
      <c r="AC7" s="2"/>
      <c r="AD7" s="2"/>
      <c r="AE7" s="2"/>
      <c r="AF7" s="2"/>
      <c r="AG7" s="2"/>
      <c r="AH7" s="2"/>
      <c r="BE7" s="2"/>
      <c r="BF7" s="2"/>
      <c r="BG7" s="2"/>
      <c r="BH7" s="2"/>
      <c r="BI7" s="2"/>
      <c r="BJ7" s="2"/>
      <c r="BK7" s="2"/>
      <c r="BL7" s="2"/>
      <c r="BM7" s="2"/>
      <c r="BN7" s="2"/>
      <c r="BS7" s="2"/>
      <c r="BT7" s="2"/>
      <c r="BU7" s="2"/>
      <c r="BV7" s="2"/>
      <c r="BW7" s="2"/>
      <c r="BX7" s="2"/>
      <c r="BY7" s="2"/>
    </row>
    <row r="8" spans="1:77" s="19" customFormat="1" ht="13">
      <c r="B8" t="s">
        <v>152</v>
      </c>
      <c r="C8" s="7"/>
      <c r="D8" s="20"/>
      <c r="E8" s="20"/>
      <c r="F8" s="20"/>
      <c r="G8" s="7">
        <v>11600</v>
      </c>
      <c r="H8" s="20"/>
      <c r="I8" s="20"/>
      <c r="J8" s="20"/>
      <c r="K8" s="7">
        <v>15200</v>
      </c>
      <c r="L8" s="7">
        <v>16700</v>
      </c>
      <c r="M8" s="7">
        <v>17700</v>
      </c>
      <c r="N8" s="7">
        <f>69100-M8-L8-K8</f>
        <v>19500</v>
      </c>
      <c r="O8" s="7">
        <v>20700</v>
      </c>
      <c r="P8" s="7">
        <v>22100</v>
      </c>
      <c r="Q8" s="7">
        <v>23400</v>
      </c>
      <c r="R8" s="7">
        <v>25100</v>
      </c>
      <c r="S8" s="7">
        <v>25700</v>
      </c>
      <c r="T8" s="7">
        <v>27100</v>
      </c>
      <c r="U8" s="7">
        <v>28500</v>
      </c>
      <c r="V8" s="7">
        <v>30300</v>
      </c>
      <c r="W8" s="7">
        <v>31800</v>
      </c>
      <c r="X8" s="7">
        <v>33700</v>
      </c>
      <c r="Y8" s="7">
        <v>35100</v>
      </c>
      <c r="Z8" s="7">
        <v>36800</v>
      </c>
      <c r="AA8" s="7">
        <v>38900</v>
      </c>
      <c r="AB8" s="7">
        <v>40900</v>
      </c>
      <c r="AC8" s="7">
        <v>42400</v>
      </c>
      <c r="AD8" s="7">
        <v>46700</v>
      </c>
      <c r="AE8" s="7">
        <f>+AA8*1.2</f>
        <v>46680</v>
      </c>
      <c r="AF8" s="7">
        <f>+AB8*1.2</f>
        <v>49080</v>
      </c>
      <c r="AG8" s="7">
        <f>+AC8*1.2</f>
        <v>50880</v>
      </c>
      <c r="AH8" s="7">
        <f>+AD8*1.2</f>
        <v>56040</v>
      </c>
      <c r="BE8" s="20"/>
      <c r="BF8" s="20"/>
      <c r="BG8" s="20"/>
      <c r="BH8" s="38"/>
      <c r="BI8" s="38"/>
      <c r="BJ8" s="38"/>
      <c r="BK8" s="7">
        <v>9500</v>
      </c>
      <c r="BL8" s="7">
        <v>16200</v>
      </c>
      <c r="BM8" s="7">
        <v>26600</v>
      </c>
      <c r="BN8" s="7">
        <v>38100</v>
      </c>
      <c r="BO8" s="7">
        <v>51700</v>
      </c>
      <c r="BP8" s="7">
        <v>69100</v>
      </c>
      <c r="BQ8" s="7">
        <f>SUM(O8:R8)</f>
        <v>91300</v>
      </c>
      <c r="BR8" s="7">
        <f>SUM(S8:V8)</f>
        <v>111600</v>
      </c>
      <c r="BS8" s="7">
        <f>SUM(W8:Z8)</f>
        <v>137400</v>
      </c>
      <c r="BT8" s="7">
        <f>SUM(AA8:AD8)</f>
        <v>168900</v>
      </c>
      <c r="BU8" s="2"/>
      <c r="BV8" s="20"/>
      <c r="BW8" s="20"/>
      <c r="BX8" s="20"/>
      <c r="BY8" s="20"/>
    </row>
    <row r="9" spans="1:77" s="19" customFormat="1" ht="13">
      <c r="B9" t="s">
        <v>462</v>
      </c>
      <c r="C9" s="5"/>
      <c r="D9" s="5"/>
      <c r="E9" s="5"/>
      <c r="F9" s="5"/>
      <c r="G9" s="5">
        <v>9192</v>
      </c>
      <c r="H9" s="5">
        <v>10119</v>
      </c>
      <c r="I9" s="5">
        <v>10490</v>
      </c>
      <c r="J9" s="5">
        <f>+BO9-I9-H9-G9</f>
        <v>11578</v>
      </c>
      <c r="K9" s="5">
        <v>11195</v>
      </c>
      <c r="L9" s="5">
        <v>12729</v>
      </c>
      <c r="M9" s="5">
        <v>13204</v>
      </c>
      <c r="N9" s="5">
        <f>+BP9-M9-L9-K9</f>
        <v>15461</v>
      </c>
      <c r="O9" s="5">
        <v>15070</v>
      </c>
      <c r="P9" s="5">
        <v>16375</v>
      </c>
      <c r="Q9" s="5">
        <v>17046</v>
      </c>
      <c r="R9" s="5">
        <f>+BQ9-Q9-P9-O9</f>
        <v>18859</v>
      </c>
      <c r="S9" s="5">
        <v>18388</v>
      </c>
      <c r="T9" s="5">
        <v>19594</v>
      </c>
      <c r="U9" s="5">
        <v>20025</v>
      </c>
      <c r="V9" s="5">
        <f>+BR9-U9-T9-S9</f>
        <v>21963</v>
      </c>
      <c r="W9" s="5">
        <v>18062</v>
      </c>
      <c r="X9" s="5">
        <v>19597</v>
      </c>
      <c r="Y9" s="5">
        <v>24832</v>
      </c>
      <c r="Z9" s="5">
        <f>97726-Y9-X9-W9</f>
        <v>35235</v>
      </c>
      <c r="AA9" s="5">
        <v>22155</v>
      </c>
      <c r="AB9" s="5">
        <v>23641</v>
      </c>
      <c r="AC9" s="5">
        <f>+Y9*1.1</f>
        <v>27315.200000000001</v>
      </c>
      <c r="AD9" s="5">
        <f t="shared" ref="AD9:AD19" si="2">+Z9*1.1</f>
        <v>38758.5</v>
      </c>
      <c r="AE9" s="5"/>
      <c r="AF9" s="5"/>
      <c r="AG9" s="5"/>
      <c r="AH9" s="5"/>
      <c r="BE9" s="20"/>
      <c r="BF9" s="20"/>
      <c r="BG9" s="20"/>
      <c r="BH9" s="5">
        <v>15408</v>
      </c>
      <c r="BI9" s="5">
        <v>17055</v>
      </c>
      <c r="BJ9" s="5">
        <v>18612</v>
      </c>
      <c r="BK9" s="5">
        <v>19062</v>
      </c>
      <c r="BL9" s="5">
        <v>21649</v>
      </c>
      <c r="BM9" s="5">
        <v>26129</v>
      </c>
      <c r="BN9" s="5">
        <v>32622</v>
      </c>
      <c r="BO9" s="5">
        <v>41379</v>
      </c>
      <c r="BP9" s="5">
        <v>52589</v>
      </c>
      <c r="BQ9" s="5">
        <v>67350</v>
      </c>
      <c r="BR9" s="5">
        <v>79970</v>
      </c>
      <c r="BS9" s="5">
        <v>97726</v>
      </c>
      <c r="BT9" s="5">
        <f>SUM(AA9:AD9)</f>
        <v>111869.7</v>
      </c>
      <c r="BU9" s="20"/>
      <c r="BV9" s="20"/>
      <c r="BW9" s="20"/>
      <c r="BX9" s="20"/>
      <c r="BY9" s="20"/>
    </row>
    <row r="10" spans="1:77" s="19" customFormat="1" ht="13">
      <c r="B10" t="s">
        <v>471</v>
      </c>
      <c r="C10" s="5"/>
      <c r="D10" s="5"/>
      <c r="E10" s="5"/>
      <c r="F10" s="5"/>
      <c r="G10" s="5">
        <v>8466</v>
      </c>
      <c r="H10" s="5">
        <v>8983</v>
      </c>
      <c r="I10" s="5">
        <v>8920</v>
      </c>
      <c r="J10" s="5">
        <f t="shared" ref="J10:J19" si="3">+BO10-I10-H10-G10</f>
        <v>8947</v>
      </c>
      <c r="K10" s="5">
        <v>9278</v>
      </c>
      <c r="L10" s="5">
        <v>9881</v>
      </c>
      <c r="M10" s="5">
        <v>10016</v>
      </c>
      <c r="N10" s="5">
        <f t="shared" ref="N10:N19" si="4">+BP10-M10-L10-K10</f>
        <v>10697</v>
      </c>
      <c r="O10" s="5">
        <v>10808</v>
      </c>
      <c r="P10" s="5">
        <v>11251</v>
      </c>
      <c r="Q10" s="5">
        <v>11164</v>
      </c>
      <c r="R10" s="5">
        <f t="shared" ref="R10:R19" si="5">+BQ10-Q10-P10-O10</f>
        <v>11639</v>
      </c>
      <c r="S10" s="5">
        <v>11577</v>
      </c>
      <c r="T10" s="5">
        <v>11867</v>
      </c>
      <c r="U10" s="5">
        <v>12468</v>
      </c>
      <c r="V10" s="5">
        <f t="shared" ref="V10:V19" si="6">+BR10-U10-T10-S10</f>
        <v>12816</v>
      </c>
      <c r="W10" s="5">
        <v>18044</v>
      </c>
      <c r="X10" s="5">
        <v>18321</v>
      </c>
      <c r="Y10" s="5">
        <v>13911</v>
      </c>
      <c r="Z10" s="5">
        <f>54875-Y10-X10-W10</f>
        <v>4599</v>
      </c>
      <c r="AA10" s="5">
        <v>20449</v>
      </c>
      <c r="AB10" s="5">
        <v>21117</v>
      </c>
      <c r="AC10" s="5">
        <f t="shared" ref="AC10:AC19" si="7">+Y10*1.1</f>
        <v>15302.1</v>
      </c>
      <c r="AD10" s="5">
        <f t="shared" si="2"/>
        <v>5058.9000000000005</v>
      </c>
      <c r="AE10" s="5"/>
      <c r="AF10" s="5"/>
      <c r="AG10" s="5"/>
      <c r="AH10" s="5"/>
      <c r="BE10" s="20"/>
      <c r="BF10" s="20"/>
      <c r="BG10" s="20"/>
      <c r="BH10" s="5">
        <v>22995</v>
      </c>
      <c r="BI10" s="5">
        <v>24323</v>
      </c>
      <c r="BJ10" s="5">
        <v>23538</v>
      </c>
      <c r="BK10" s="5">
        <v>23868</v>
      </c>
      <c r="BL10" s="5">
        <v>25573</v>
      </c>
      <c r="BM10" s="5">
        <v>28316</v>
      </c>
      <c r="BN10" s="5">
        <v>31769</v>
      </c>
      <c r="BO10" s="5">
        <v>35316</v>
      </c>
      <c r="BP10" s="5">
        <v>39872</v>
      </c>
      <c r="BQ10" s="5">
        <v>44862</v>
      </c>
      <c r="BR10" s="5">
        <v>48728</v>
      </c>
      <c r="BS10" s="5">
        <v>54875</v>
      </c>
      <c r="BT10" s="5">
        <f t="shared" ref="BT10:BT19" si="8">SUM(AA10:AD10)</f>
        <v>61927</v>
      </c>
      <c r="BU10" s="20"/>
      <c r="BV10" s="20"/>
      <c r="BW10" s="20"/>
      <c r="BX10" s="20"/>
      <c r="BY10" s="20"/>
    </row>
    <row r="11" spans="1:77" s="19" customFormat="1" ht="13">
      <c r="B11" t="s">
        <v>110</v>
      </c>
      <c r="C11" s="5"/>
      <c r="D11" s="5"/>
      <c r="E11" s="5"/>
      <c r="F11" s="5"/>
      <c r="G11" s="5">
        <v>5353</v>
      </c>
      <c r="H11" s="5">
        <v>5593</v>
      </c>
      <c r="I11" s="5">
        <v>5220</v>
      </c>
      <c r="J11" s="5">
        <f t="shared" si="3"/>
        <v>6128</v>
      </c>
      <c r="K11" s="5">
        <v>5151</v>
      </c>
      <c r="L11" s="5">
        <v>5514</v>
      </c>
      <c r="M11" s="5">
        <v>5463</v>
      </c>
      <c r="N11" s="5">
        <f t="shared" si="4"/>
        <v>6360</v>
      </c>
      <c r="O11" s="5">
        <v>5674</v>
      </c>
      <c r="P11" s="5">
        <v>6600</v>
      </c>
      <c r="Q11" s="5">
        <v>6069</v>
      </c>
      <c r="R11" s="5">
        <f t="shared" si="5"/>
        <v>6389</v>
      </c>
      <c r="S11" s="5">
        <v>5313</v>
      </c>
      <c r="T11" s="5">
        <v>4808</v>
      </c>
      <c r="U11" s="5">
        <v>5328</v>
      </c>
      <c r="V11" s="5">
        <f t="shared" si="6"/>
        <v>6058</v>
      </c>
      <c r="W11" s="5">
        <v>4340</v>
      </c>
      <c r="X11" s="5">
        <v>4363</v>
      </c>
      <c r="Y11" s="5">
        <v>5929</v>
      </c>
      <c r="Z11" s="5">
        <f>23244-Y11-X11-W11</f>
        <v>8612</v>
      </c>
      <c r="AA11" s="5">
        <v>4329</v>
      </c>
      <c r="AB11" s="5">
        <v>4512</v>
      </c>
      <c r="AC11" s="5">
        <f t="shared" si="7"/>
        <v>6521.9000000000005</v>
      </c>
      <c r="AD11" s="5">
        <f t="shared" si="2"/>
        <v>9473.2000000000007</v>
      </c>
      <c r="AE11" s="5"/>
      <c r="AF11" s="5"/>
      <c r="AG11" s="5"/>
      <c r="AH11" s="5"/>
      <c r="BE11" s="20"/>
      <c r="BF11" s="20"/>
      <c r="BG11" s="20"/>
      <c r="BH11" s="5">
        <v>17259</v>
      </c>
      <c r="BI11" s="5">
        <v>16856</v>
      </c>
      <c r="BJ11" s="5">
        <v>14826</v>
      </c>
      <c r="BK11" s="5">
        <v>17548</v>
      </c>
      <c r="BL11" s="5">
        <v>18593</v>
      </c>
      <c r="BM11" s="5">
        <v>19518</v>
      </c>
      <c r="BN11" s="5">
        <v>20395</v>
      </c>
      <c r="BO11" s="5">
        <v>22294</v>
      </c>
      <c r="BP11" s="5">
        <v>22488</v>
      </c>
      <c r="BQ11" s="5">
        <v>24732</v>
      </c>
      <c r="BR11" s="5">
        <v>21507</v>
      </c>
      <c r="BS11" s="5">
        <v>23244</v>
      </c>
      <c r="BT11" s="5">
        <f t="shared" si="8"/>
        <v>24836.100000000002</v>
      </c>
      <c r="BU11" s="20"/>
      <c r="BV11" s="20"/>
      <c r="BW11" s="20"/>
      <c r="BX11" s="20"/>
      <c r="BY11" s="20"/>
    </row>
    <row r="12" spans="1:77" s="19" customFormat="1" ht="13">
      <c r="B12" t="s">
        <v>412</v>
      </c>
      <c r="C12" s="5"/>
      <c r="D12" s="5"/>
      <c r="E12" s="5"/>
      <c r="F12" s="5"/>
      <c r="G12" s="5">
        <v>2542</v>
      </c>
      <c r="H12" s="5">
        <v>3327</v>
      </c>
      <c r="I12" s="5">
        <v>2349</v>
      </c>
      <c r="J12" s="5">
        <f t="shared" si="3"/>
        <v>3357</v>
      </c>
      <c r="K12" s="5">
        <v>3092</v>
      </c>
      <c r="L12" s="5">
        <v>5031</v>
      </c>
      <c r="M12" s="5">
        <v>3533</v>
      </c>
      <c r="N12" s="5">
        <f t="shared" si="4"/>
        <v>3714</v>
      </c>
      <c r="O12" s="5">
        <v>3593</v>
      </c>
      <c r="P12" s="5">
        <v>5442</v>
      </c>
      <c r="Q12" s="5">
        <v>3740</v>
      </c>
      <c r="R12" s="5">
        <f t="shared" si="5"/>
        <v>3455</v>
      </c>
      <c r="S12" s="5">
        <v>3610</v>
      </c>
      <c r="T12" s="5">
        <v>4758</v>
      </c>
      <c r="U12" s="5">
        <v>3607</v>
      </c>
      <c r="V12" s="5">
        <f t="shared" si="6"/>
        <v>3491</v>
      </c>
      <c r="W12" s="5">
        <v>3919</v>
      </c>
      <c r="X12" s="5">
        <v>7111</v>
      </c>
      <c r="Y12" s="5">
        <v>5451</v>
      </c>
      <c r="Z12" s="5">
        <f>21503-Y12-X12-W12</f>
        <v>5022</v>
      </c>
      <c r="AA12" s="5">
        <v>5621</v>
      </c>
      <c r="AB12" s="5">
        <v>6581</v>
      </c>
      <c r="AC12" s="5">
        <f t="shared" si="7"/>
        <v>5996.1</v>
      </c>
      <c r="AD12" s="5">
        <f t="shared" si="2"/>
        <v>5524.2000000000007</v>
      </c>
      <c r="AE12" s="5"/>
      <c r="AF12" s="5"/>
      <c r="AG12" s="5"/>
      <c r="AH12" s="5"/>
      <c r="BE12" s="20"/>
      <c r="BF12" s="20"/>
      <c r="BG12" s="20"/>
      <c r="BH12" s="5">
        <v>6149</v>
      </c>
      <c r="BI12" s="5">
        <v>9093</v>
      </c>
      <c r="BJ12" s="5">
        <v>10183</v>
      </c>
      <c r="BK12" s="5">
        <v>9202</v>
      </c>
      <c r="BL12" s="5">
        <v>9051</v>
      </c>
      <c r="BM12" s="5">
        <v>10353</v>
      </c>
      <c r="BN12" s="5">
        <v>11386</v>
      </c>
      <c r="BO12" s="5">
        <v>11575</v>
      </c>
      <c r="BP12" s="5">
        <v>15370</v>
      </c>
      <c r="BQ12" s="5">
        <v>16230</v>
      </c>
      <c r="BR12" s="5">
        <v>15466</v>
      </c>
      <c r="BS12" s="5">
        <v>21503</v>
      </c>
      <c r="BT12" s="5">
        <f t="shared" si="8"/>
        <v>23722.3</v>
      </c>
      <c r="BU12" s="20"/>
      <c r="BV12" s="20"/>
      <c r="BW12" s="20"/>
      <c r="BX12" s="20"/>
      <c r="BY12" s="20"/>
    </row>
    <row r="13" spans="1:77" s="19" customFormat="1" ht="13">
      <c r="B13" t="s">
        <v>87</v>
      </c>
      <c r="C13" s="5"/>
      <c r="D13" s="5"/>
      <c r="E13" s="5"/>
      <c r="F13" s="5"/>
      <c r="G13" s="5">
        <v>1909</v>
      </c>
      <c r="H13" s="5">
        <v>2102</v>
      </c>
      <c r="I13" s="5">
        <v>2050</v>
      </c>
      <c r="J13" s="5">
        <f t="shared" si="3"/>
        <v>2016</v>
      </c>
      <c r="K13" s="5">
        <v>2206</v>
      </c>
      <c r="L13" s="5">
        <v>2577</v>
      </c>
      <c r="M13" s="5">
        <v>2562</v>
      </c>
      <c r="N13" s="5">
        <f t="shared" si="4"/>
        <v>2944</v>
      </c>
      <c r="O13" s="5">
        <v>3136</v>
      </c>
      <c r="P13" s="5">
        <v>3531</v>
      </c>
      <c r="Q13" s="5">
        <v>3437</v>
      </c>
      <c r="R13" s="5">
        <f t="shared" si="5"/>
        <v>3712</v>
      </c>
      <c r="S13" s="5">
        <v>3628</v>
      </c>
      <c r="T13" s="5">
        <v>3833</v>
      </c>
      <c r="U13" s="5">
        <v>3659</v>
      </c>
      <c r="V13" s="5">
        <f t="shared" si="6"/>
        <v>4025</v>
      </c>
      <c r="W13" s="5">
        <v>3913</v>
      </c>
      <c r="X13" s="5">
        <v>4195</v>
      </c>
      <c r="Y13" s="5">
        <v>4013</v>
      </c>
      <c r="Z13" s="5">
        <f>16372-Y13-X13-W13</f>
        <v>4251</v>
      </c>
      <c r="AA13" s="5">
        <v>4292</v>
      </c>
      <c r="AB13" s="5">
        <v>4587</v>
      </c>
      <c r="AC13" s="5">
        <f t="shared" si="7"/>
        <v>4414.3</v>
      </c>
      <c r="AD13" s="5">
        <f t="shared" si="2"/>
        <v>4676.1000000000004</v>
      </c>
      <c r="AE13" s="5"/>
      <c r="AF13" s="5"/>
      <c r="AG13" s="5"/>
      <c r="AH13" s="5"/>
      <c r="BE13" s="20"/>
      <c r="BF13" s="20"/>
      <c r="BG13" s="20"/>
      <c r="BH13" s="5">
        <v>0</v>
      </c>
      <c r="BI13" s="5">
        <v>0</v>
      </c>
      <c r="BJ13" s="5">
        <v>0</v>
      </c>
      <c r="BK13" s="5">
        <v>0</v>
      </c>
      <c r="BL13" s="5">
        <v>2271</v>
      </c>
      <c r="BM13" s="5">
        <v>5259</v>
      </c>
      <c r="BN13" s="5">
        <v>6754</v>
      </c>
      <c r="BO13" s="5">
        <v>8077</v>
      </c>
      <c r="BP13" s="5">
        <v>10289</v>
      </c>
      <c r="BQ13" s="5">
        <v>13816</v>
      </c>
      <c r="BR13" s="5">
        <v>15145</v>
      </c>
      <c r="BS13" s="5">
        <v>16372</v>
      </c>
      <c r="BT13" s="5">
        <f t="shared" si="8"/>
        <v>17969.400000000001</v>
      </c>
      <c r="BU13" s="20"/>
      <c r="BV13" s="20"/>
      <c r="BW13" s="20"/>
      <c r="BX13" s="20"/>
      <c r="BY13" s="20"/>
    </row>
    <row r="14" spans="1:77" s="19" customFormat="1" ht="13">
      <c r="B14" t="s">
        <v>457</v>
      </c>
      <c r="C14" s="5"/>
      <c r="D14" s="5"/>
      <c r="E14" s="5"/>
      <c r="F14" s="5"/>
      <c r="G14" s="5">
        <v>1991</v>
      </c>
      <c r="H14" s="5">
        <v>2163</v>
      </c>
      <c r="I14" s="5">
        <v>1986</v>
      </c>
      <c r="J14" s="5">
        <f t="shared" si="3"/>
        <v>1600</v>
      </c>
      <c r="K14" s="5">
        <v>1943</v>
      </c>
      <c r="L14" s="5">
        <v>2386</v>
      </c>
      <c r="M14" s="5">
        <v>2401</v>
      </c>
      <c r="N14" s="5">
        <f t="shared" si="4"/>
        <v>2537</v>
      </c>
      <c r="O14" s="5">
        <v>2656</v>
      </c>
      <c r="P14" s="5">
        <v>3064</v>
      </c>
      <c r="Q14" s="5">
        <v>2945</v>
      </c>
      <c r="R14" s="5">
        <f t="shared" si="5"/>
        <v>2926</v>
      </c>
      <c r="S14" s="5">
        <v>2913</v>
      </c>
      <c r="T14" s="5">
        <v>3209</v>
      </c>
      <c r="U14" s="5">
        <v>3036</v>
      </c>
      <c r="V14" s="5">
        <f t="shared" si="6"/>
        <v>3050</v>
      </c>
      <c r="W14" s="5">
        <v>3018</v>
      </c>
      <c r="X14" s="5">
        <v>3168</v>
      </c>
      <c r="Y14" s="5">
        <v>3134</v>
      </c>
      <c r="Z14" s="5">
        <f>12576-Y14-X14-W14</f>
        <v>3256</v>
      </c>
      <c r="AA14" s="5">
        <v>3225</v>
      </c>
      <c r="AB14" s="5">
        <v>3558</v>
      </c>
      <c r="AC14" s="5">
        <f t="shared" si="7"/>
        <v>3447.4</v>
      </c>
      <c r="AD14" s="5">
        <f t="shared" si="2"/>
        <v>3581.6000000000004</v>
      </c>
      <c r="AE14" s="5"/>
      <c r="AF14" s="5"/>
      <c r="AG14" s="5"/>
      <c r="AH14" s="5"/>
      <c r="BE14" s="20"/>
      <c r="BF14" s="20"/>
      <c r="BG14" s="20"/>
      <c r="BH14" s="5">
        <v>3387</v>
      </c>
      <c r="BI14" s="38"/>
      <c r="BJ14" s="38"/>
      <c r="BK14" s="5">
        <v>5428</v>
      </c>
      <c r="BL14" s="5">
        <v>6219</v>
      </c>
      <c r="BM14" s="5">
        <v>7012</v>
      </c>
      <c r="BN14" s="5">
        <v>7628</v>
      </c>
      <c r="BO14" s="5">
        <v>7740</v>
      </c>
      <c r="BP14" s="5">
        <v>9267</v>
      </c>
      <c r="BQ14" s="5">
        <v>11591</v>
      </c>
      <c r="BR14" s="5">
        <v>12208</v>
      </c>
      <c r="BS14" s="5">
        <v>12576</v>
      </c>
      <c r="BT14" s="5">
        <f t="shared" si="8"/>
        <v>13812</v>
      </c>
      <c r="BU14" s="20"/>
      <c r="BV14" s="20"/>
      <c r="BW14" s="20"/>
      <c r="BX14" s="20"/>
      <c r="BY14" s="20"/>
    </row>
    <row r="15" spans="1:77" s="19" customFormat="1" ht="13">
      <c r="B15" t="s">
        <v>458</v>
      </c>
      <c r="C15" s="5"/>
      <c r="D15" s="5"/>
      <c r="E15" s="5"/>
      <c r="F15" s="5"/>
      <c r="G15" s="5">
        <v>1545</v>
      </c>
      <c r="H15" s="5">
        <v>1612</v>
      </c>
      <c r="I15" s="5">
        <v>1633</v>
      </c>
      <c r="J15" s="5">
        <f t="shared" si="3"/>
        <v>1619</v>
      </c>
      <c r="K15" s="5">
        <v>1637</v>
      </c>
      <c r="L15" s="5">
        <v>1695</v>
      </c>
      <c r="M15" s="5">
        <v>1803</v>
      </c>
      <c r="N15" s="5">
        <f t="shared" si="4"/>
        <v>1808</v>
      </c>
      <c r="O15" s="5">
        <v>1791</v>
      </c>
      <c r="P15" s="5">
        <v>1823</v>
      </c>
      <c r="Q15" s="5">
        <v>1891</v>
      </c>
      <c r="R15" s="5">
        <f t="shared" si="5"/>
        <v>1902</v>
      </c>
      <c r="S15" s="5">
        <v>1929</v>
      </c>
      <c r="T15" s="5">
        <v>1907</v>
      </c>
      <c r="U15" s="5">
        <v>2047</v>
      </c>
      <c r="V15" s="5">
        <f t="shared" si="6"/>
        <v>1839</v>
      </c>
      <c r="W15" s="5">
        <v>1944</v>
      </c>
      <c r="X15" s="5">
        <v>1917</v>
      </c>
      <c r="Y15" s="5">
        <v>1861</v>
      </c>
      <c r="Z15" s="5">
        <f>7594-Y15-X15-W15</f>
        <v>1872</v>
      </c>
      <c r="AA15" s="5">
        <v>1928</v>
      </c>
      <c r="AB15" s="5">
        <v>1892</v>
      </c>
      <c r="AC15" s="5">
        <f t="shared" si="7"/>
        <v>2047.1000000000001</v>
      </c>
      <c r="AD15" s="5">
        <f t="shared" si="2"/>
        <v>2059.2000000000003</v>
      </c>
      <c r="AE15" s="5"/>
      <c r="AF15" s="5"/>
      <c r="AG15" s="5"/>
      <c r="AH15" s="5"/>
      <c r="BE15" s="20"/>
      <c r="BF15" s="20"/>
      <c r="BG15" s="20"/>
      <c r="BH15" s="38"/>
      <c r="BI15" s="38"/>
      <c r="BJ15" s="38"/>
      <c r="BK15" s="5">
        <v>5659</v>
      </c>
      <c r="BL15" s="5">
        <v>5542</v>
      </c>
      <c r="BM15" s="5">
        <v>5846</v>
      </c>
      <c r="BN15" s="5">
        <v>6124</v>
      </c>
      <c r="BO15" s="5">
        <v>6409</v>
      </c>
      <c r="BP15" s="5">
        <v>6943</v>
      </c>
      <c r="BQ15" s="5">
        <v>7407</v>
      </c>
      <c r="BR15" s="5">
        <v>7722</v>
      </c>
      <c r="BS15" s="5">
        <v>7594</v>
      </c>
      <c r="BT15" s="5">
        <f t="shared" si="8"/>
        <v>7926.3000000000011</v>
      </c>
      <c r="BU15" s="20"/>
      <c r="BV15" s="20"/>
      <c r="BW15" s="20"/>
      <c r="BX15" s="20"/>
      <c r="BY15" s="20"/>
    </row>
    <row r="16" spans="1:77" s="19" customFormat="1" ht="13">
      <c r="B16" t="s">
        <v>111</v>
      </c>
      <c r="C16" s="5"/>
      <c r="D16" s="5"/>
      <c r="E16" s="5"/>
      <c r="F16" s="5"/>
      <c r="G16" s="5">
        <v>855</v>
      </c>
      <c r="H16" s="5">
        <v>959</v>
      </c>
      <c r="I16" s="5">
        <v>961</v>
      </c>
      <c r="J16" s="5">
        <f t="shared" si="3"/>
        <v>993</v>
      </c>
      <c r="K16" s="5">
        <v>1032</v>
      </c>
      <c r="L16" s="5">
        <v>1143</v>
      </c>
      <c r="M16" s="5">
        <v>1125</v>
      </c>
      <c r="N16" s="5">
        <f t="shared" si="4"/>
        <v>3843</v>
      </c>
      <c r="O16" s="5">
        <v>1175</v>
      </c>
      <c r="P16" s="5">
        <v>1357</v>
      </c>
      <c r="Q16" s="5">
        <v>1233</v>
      </c>
      <c r="R16" s="5">
        <f t="shared" si="5"/>
        <v>3541</v>
      </c>
      <c r="S16" s="5">
        <v>1260</v>
      </c>
      <c r="T16" s="5">
        <v>1302</v>
      </c>
      <c r="U16" s="5">
        <v>1389</v>
      </c>
      <c r="V16" s="5">
        <f t="shared" si="6"/>
        <v>1570</v>
      </c>
      <c r="W16" s="5">
        <v>1626</v>
      </c>
      <c r="X16" s="5">
        <v>1659</v>
      </c>
      <c r="Y16" s="5">
        <v>1646</v>
      </c>
      <c r="Z16" s="5">
        <f>6481-Y16-X16-W16</f>
        <v>1550</v>
      </c>
      <c r="AA16" s="5">
        <v>1849</v>
      </c>
      <c r="AB16" s="5">
        <v>1913</v>
      </c>
      <c r="AC16" s="5">
        <f t="shared" si="7"/>
        <v>1810.6000000000001</v>
      </c>
      <c r="AD16" s="5">
        <f t="shared" si="2"/>
        <v>1705.0000000000002</v>
      </c>
      <c r="AE16" s="5"/>
      <c r="AF16" s="5"/>
      <c r="AG16" s="5"/>
      <c r="AH16" s="5"/>
      <c r="BE16" s="20"/>
      <c r="BF16" s="20"/>
      <c r="BG16" s="20"/>
      <c r="BH16" s="38"/>
      <c r="BI16" s="38"/>
      <c r="BJ16" s="38"/>
      <c r="BK16" s="38"/>
      <c r="BL16" s="38"/>
      <c r="BM16" s="38"/>
      <c r="BN16" s="5">
        <v>3070</v>
      </c>
      <c r="BO16" s="5">
        <v>3768</v>
      </c>
      <c r="BP16" s="5">
        <v>7143</v>
      </c>
      <c r="BQ16" s="5">
        <v>7306</v>
      </c>
      <c r="BR16" s="5">
        <v>5521</v>
      </c>
      <c r="BS16" s="5">
        <v>6481</v>
      </c>
      <c r="BT16" s="5">
        <f t="shared" si="8"/>
        <v>7277.6</v>
      </c>
      <c r="BU16" s="20"/>
      <c r="BV16" s="20"/>
      <c r="BW16" s="20"/>
      <c r="BX16" s="20"/>
      <c r="BY16" s="20"/>
    </row>
    <row r="17" spans="2:77" s="19" customFormat="1" ht="13">
      <c r="B17" t="s">
        <v>459</v>
      </c>
      <c r="C17" s="5"/>
      <c r="D17" s="5"/>
      <c r="E17" s="5"/>
      <c r="F17" s="5"/>
      <c r="G17" s="5">
        <v>1202</v>
      </c>
      <c r="H17" s="5">
        <v>2048</v>
      </c>
      <c r="I17" s="5">
        <v>1412</v>
      </c>
      <c r="J17" s="5">
        <f t="shared" si="3"/>
        <v>1795</v>
      </c>
      <c r="K17" s="5">
        <v>1620</v>
      </c>
      <c r="L17" s="5">
        <v>2120</v>
      </c>
      <c r="M17" s="5">
        <v>1599</v>
      </c>
      <c r="N17" s="5">
        <f t="shared" si="4"/>
        <v>-1585</v>
      </c>
      <c r="O17" s="5">
        <v>1414</v>
      </c>
      <c r="P17" s="5">
        <v>2285</v>
      </c>
      <c r="Q17" s="5">
        <v>1835</v>
      </c>
      <c r="R17" s="5">
        <f>+BQ17-Q17-P17-O17</f>
        <v>-847</v>
      </c>
      <c r="S17" s="5">
        <v>1448</v>
      </c>
      <c r="T17" s="5">
        <v>1430</v>
      </c>
      <c r="U17" s="5">
        <v>1282</v>
      </c>
      <c r="V17" s="5">
        <f t="shared" si="6"/>
        <v>1277</v>
      </c>
      <c r="W17" s="5" t="s">
        <v>470</v>
      </c>
      <c r="X17" s="5">
        <v>1298</v>
      </c>
      <c r="Y17" s="5">
        <v>1067</v>
      </c>
      <c r="Z17" s="5">
        <f>4706-Y17-X17</f>
        <v>2341</v>
      </c>
      <c r="AA17" s="20" t="s">
        <v>470</v>
      </c>
      <c r="AB17" s="20"/>
      <c r="AC17" s="5">
        <f t="shared" si="7"/>
        <v>1173.7</v>
      </c>
      <c r="AD17" s="5">
        <f t="shared" si="2"/>
        <v>2575.1000000000004</v>
      </c>
      <c r="AE17" s="5"/>
      <c r="AF17" s="5"/>
      <c r="AG17" s="5"/>
      <c r="AH17" s="5"/>
      <c r="BE17" s="20"/>
      <c r="BF17" s="20"/>
      <c r="BG17" s="20"/>
      <c r="BH17" s="5">
        <v>0</v>
      </c>
      <c r="BI17" s="5">
        <v>1982</v>
      </c>
      <c r="BJ17" s="5">
        <v>7524</v>
      </c>
      <c r="BK17" s="5">
        <v>7888</v>
      </c>
      <c r="BL17" s="5">
        <v>5062</v>
      </c>
      <c r="BM17" s="5">
        <v>5134</v>
      </c>
      <c r="BN17" s="5">
        <v>6095</v>
      </c>
      <c r="BO17" s="5">
        <v>6457</v>
      </c>
      <c r="BP17" s="5">
        <v>3754</v>
      </c>
      <c r="BQ17" s="5">
        <v>4687</v>
      </c>
      <c r="BR17" s="5">
        <v>5437</v>
      </c>
      <c r="BS17" s="5">
        <v>4706</v>
      </c>
      <c r="BT17" s="5">
        <f t="shared" si="8"/>
        <v>3748.8</v>
      </c>
      <c r="BU17" s="20"/>
      <c r="BV17" s="20"/>
      <c r="BW17" s="20"/>
      <c r="BX17" s="20"/>
      <c r="BY17" s="20"/>
    </row>
    <row r="18" spans="2:77" s="19" customFormat="1" ht="13">
      <c r="B18" t="s">
        <v>472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1643</v>
      </c>
      <c r="X18" s="5">
        <v>1679</v>
      </c>
      <c r="Y18" s="20"/>
      <c r="Z18" s="20"/>
      <c r="AA18" s="5">
        <v>1727</v>
      </c>
      <c r="AB18" s="5">
        <v>1821</v>
      </c>
      <c r="AC18" s="5">
        <f t="shared" si="7"/>
        <v>0</v>
      </c>
      <c r="AD18" s="5">
        <f t="shared" si="2"/>
        <v>0</v>
      </c>
      <c r="AE18" s="5"/>
      <c r="AF18" s="5"/>
      <c r="AG18" s="5"/>
      <c r="AH18" s="5"/>
      <c r="BE18" s="20"/>
      <c r="BF18" s="20"/>
      <c r="BG18" s="20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20"/>
      <c r="BT18" s="5">
        <f t="shared" si="8"/>
        <v>3548</v>
      </c>
      <c r="BU18" s="20"/>
      <c r="BV18" s="20"/>
      <c r="BW18" s="20"/>
      <c r="BX18" s="20"/>
      <c r="BY18" s="20"/>
    </row>
    <row r="19" spans="2:77" s="19" customFormat="1" ht="13">
      <c r="B19" t="s">
        <v>28</v>
      </c>
      <c r="C19" s="5"/>
      <c r="D19" s="5"/>
      <c r="E19" s="5"/>
      <c r="F19" s="5"/>
      <c r="G19" s="5">
        <v>0</v>
      </c>
      <c r="H19" s="5">
        <v>0</v>
      </c>
      <c r="I19" s="5">
        <v>0</v>
      </c>
      <c r="J19" s="5">
        <f t="shared" si="3"/>
        <v>0</v>
      </c>
      <c r="K19" s="5">
        <v>0</v>
      </c>
      <c r="L19" s="5">
        <v>0</v>
      </c>
      <c r="M19" s="5">
        <v>0</v>
      </c>
      <c r="N19" s="5">
        <f t="shared" si="4"/>
        <v>373</v>
      </c>
      <c r="O19" s="5">
        <v>0</v>
      </c>
      <c r="P19" s="5">
        <v>0</v>
      </c>
      <c r="Q19" s="5">
        <v>0</v>
      </c>
      <c r="R19" s="5">
        <f t="shared" si="5"/>
        <v>289</v>
      </c>
      <c r="S19" s="5">
        <v>56</v>
      </c>
      <c r="T19" s="5">
        <v>39</v>
      </c>
      <c r="U19" s="5">
        <v>16</v>
      </c>
      <c r="V19" s="5">
        <f t="shared" si="6"/>
        <v>100</v>
      </c>
      <c r="W19" s="5">
        <v>8</v>
      </c>
      <c r="X19" s="5">
        <v>10</v>
      </c>
      <c r="Y19" s="5">
        <v>14</v>
      </c>
      <c r="Z19" s="5">
        <f>45-Y19-X19-W19</f>
        <v>13</v>
      </c>
      <c r="AA19" s="5">
        <v>10</v>
      </c>
      <c r="AB19" s="5">
        <v>10</v>
      </c>
      <c r="AC19" s="5">
        <f t="shared" si="7"/>
        <v>15.400000000000002</v>
      </c>
      <c r="AD19" s="5">
        <f t="shared" si="2"/>
        <v>14.3</v>
      </c>
      <c r="AE19" s="5"/>
      <c r="AF19" s="5"/>
      <c r="AG19" s="5"/>
      <c r="AH19" s="5"/>
      <c r="BE19" s="20"/>
      <c r="BF19" s="20"/>
      <c r="BG19" s="20"/>
      <c r="BH19" s="38"/>
      <c r="BI19" s="38"/>
      <c r="BJ19" s="38"/>
      <c r="BK19" s="38"/>
      <c r="BL19" s="38"/>
      <c r="BM19" s="38"/>
      <c r="BN19" s="5">
        <v>0</v>
      </c>
      <c r="BO19" s="5">
        <v>0</v>
      </c>
      <c r="BP19" s="5">
        <v>373</v>
      </c>
      <c r="BQ19" s="5">
        <v>289</v>
      </c>
      <c r="BR19" s="5">
        <v>211</v>
      </c>
      <c r="BS19" s="5">
        <v>45</v>
      </c>
      <c r="BT19" s="5">
        <f t="shared" si="8"/>
        <v>49.7</v>
      </c>
      <c r="BU19" s="20"/>
      <c r="BV19" s="20"/>
      <c r="BW19" s="20"/>
      <c r="BX19" s="20"/>
      <c r="BY19" s="20"/>
    </row>
    <row r="20" spans="2:77" s="19" customFormat="1" ht="13">
      <c r="B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  <c r="Q20" s="21"/>
      <c r="R20" s="21"/>
      <c r="S20" s="5"/>
      <c r="T20" s="5"/>
      <c r="U20" s="5"/>
      <c r="V20" s="21"/>
      <c r="W20" s="5"/>
      <c r="X20" s="5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BE20" s="20"/>
      <c r="BF20" s="20"/>
      <c r="BG20" s="20"/>
      <c r="BH20" s="38"/>
      <c r="BI20" s="38"/>
      <c r="BJ20" s="38"/>
      <c r="BK20" s="38"/>
      <c r="BL20" s="38"/>
      <c r="BM20" s="38"/>
      <c r="BN20" s="38"/>
      <c r="BO20" s="38"/>
      <c r="BP20" s="5"/>
      <c r="BQ20" s="5"/>
      <c r="BR20" s="5"/>
      <c r="BS20" s="20"/>
      <c r="BT20" s="20"/>
      <c r="BU20" s="20"/>
      <c r="BV20" s="20"/>
      <c r="BW20" s="20"/>
      <c r="BX20" s="20"/>
      <c r="BY20" s="20"/>
    </row>
    <row r="21" spans="2:77" s="19" customFormat="1" ht="13">
      <c r="B21" t="s">
        <v>469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>
        <f t="shared" ref="T21:AD21" si="9">T8/P8-1</f>
        <v>0.2262443438914028</v>
      </c>
      <c r="U21" s="21">
        <f t="shared" si="9"/>
        <v>0.21794871794871784</v>
      </c>
      <c r="V21" s="21">
        <f t="shared" si="9"/>
        <v>0.20717131474103589</v>
      </c>
      <c r="W21" s="21">
        <f t="shared" si="9"/>
        <v>0.23735408560311289</v>
      </c>
      <c r="X21" s="21">
        <f t="shared" si="9"/>
        <v>0.24354243542435428</v>
      </c>
      <c r="Y21" s="21">
        <f t="shared" si="9"/>
        <v>0.23157894736842111</v>
      </c>
      <c r="Z21" s="21">
        <f t="shared" si="9"/>
        <v>0.21452145214521456</v>
      </c>
      <c r="AA21" s="21">
        <f t="shared" si="9"/>
        <v>0.22327044025157239</v>
      </c>
      <c r="AB21" s="21">
        <f t="shared" si="9"/>
        <v>0.21364985163204753</v>
      </c>
      <c r="AC21" s="21">
        <f t="shared" si="9"/>
        <v>0.20797720797720798</v>
      </c>
      <c r="AD21" s="21">
        <f t="shared" si="9"/>
        <v>0.26902173913043481</v>
      </c>
      <c r="AE21" s="20"/>
      <c r="AF21" s="20"/>
      <c r="AG21" s="20"/>
      <c r="AH21" s="20"/>
      <c r="BE21" s="20"/>
      <c r="BF21" s="20"/>
      <c r="BG21" s="20"/>
      <c r="BH21" s="38"/>
      <c r="BI21" s="38"/>
      <c r="BJ21" s="38"/>
      <c r="BK21" s="38"/>
      <c r="BL21" s="21">
        <f t="shared" ref="BL21:BR21" si="10">BL8/BK8-1</f>
        <v>0.70526315789473681</v>
      </c>
      <c r="BM21" s="21">
        <f t="shared" si="10"/>
        <v>0.64197530864197527</v>
      </c>
      <c r="BN21" s="21">
        <f t="shared" si="10"/>
        <v>0.43233082706766912</v>
      </c>
      <c r="BO21" s="21">
        <f t="shared" si="10"/>
        <v>0.35695538057742793</v>
      </c>
      <c r="BP21" s="21">
        <f t="shared" si="10"/>
        <v>0.33655705996131524</v>
      </c>
      <c r="BQ21" s="21">
        <f t="shared" si="10"/>
        <v>0.32127351664254711</v>
      </c>
      <c r="BR21" s="21">
        <f t="shared" si="10"/>
        <v>0.22234392113910184</v>
      </c>
      <c r="BS21" s="21">
        <f>BS8/BR8-1</f>
        <v>0.23118279569892475</v>
      </c>
      <c r="BT21" s="21">
        <f>BT8/BS8-1</f>
        <v>0.22925764192139741</v>
      </c>
      <c r="BU21" s="20"/>
      <c r="BV21" s="20"/>
      <c r="BW21" s="20"/>
      <c r="BX21" s="20"/>
      <c r="BY21" s="20"/>
    </row>
    <row r="22" spans="2:77" ht="13">
      <c r="B22" t="s">
        <v>87</v>
      </c>
      <c r="R22" s="2">
        <f>+N22+768</f>
        <v>768</v>
      </c>
      <c r="S22" s="2"/>
      <c r="T22" s="2"/>
      <c r="U22" s="2"/>
      <c r="V22" s="2">
        <v>950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BR22" s="21">
        <v>0.27</v>
      </c>
    </row>
    <row r="23" spans="2:77" ht="13">
      <c r="B23" s="19" t="s">
        <v>153</v>
      </c>
      <c r="K23" s="2">
        <v>45.3</v>
      </c>
      <c r="L23" s="2">
        <v>47.5</v>
      </c>
      <c r="M23" s="2">
        <v>50.2</v>
      </c>
      <c r="N23" s="2">
        <v>51.9</v>
      </c>
      <c r="O23" s="37">
        <v>54.1</v>
      </c>
      <c r="P23" s="37">
        <v>56.4</v>
      </c>
      <c r="Q23" s="37">
        <v>58.4</v>
      </c>
      <c r="R23" s="37">
        <v>59.7</v>
      </c>
      <c r="S23" s="37">
        <v>61.3</v>
      </c>
      <c r="T23" s="37">
        <v>63.2</v>
      </c>
      <c r="U23" s="37">
        <v>65.400000000000006</v>
      </c>
      <c r="V23" s="37">
        <v>67</v>
      </c>
      <c r="W23" s="37">
        <v>76.7</v>
      </c>
      <c r="X23" s="37">
        <v>78.400000000000006</v>
      </c>
      <c r="Y23" s="2">
        <v>80.8</v>
      </c>
      <c r="Z23" s="2">
        <v>82.5</v>
      </c>
      <c r="AA23" s="2">
        <v>84.4</v>
      </c>
      <c r="AB23" s="2">
        <v>86.3</v>
      </c>
      <c r="AC23" s="2">
        <v>87.7</v>
      </c>
      <c r="AD23" s="37">
        <v>89</v>
      </c>
      <c r="AE23" s="2"/>
      <c r="AF23" s="2"/>
      <c r="AG23" s="2"/>
      <c r="AH23" s="2"/>
    </row>
    <row r="24" spans="2:77"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77" ht="13">
      <c r="B25" s="19" t="s">
        <v>412</v>
      </c>
      <c r="S25" s="2"/>
      <c r="T25" s="2"/>
      <c r="U25" s="2"/>
      <c r="V25" s="9">
        <v>0.02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77"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2:77" s="4" customFormat="1">
      <c r="B27" s="4" t="s">
        <v>69</v>
      </c>
      <c r="C27" s="5"/>
      <c r="D27" s="5"/>
      <c r="E27" s="5"/>
      <c r="F27" s="5"/>
      <c r="G27" s="5">
        <v>11077</v>
      </c>
      <c r="H27" s="5">
        <v>11826</v>
      </c>
      <c r="I27" s="5">
        <v>11743</v>
      </c>
      <c r="J27" s="5">
        <v>11752</v>
      </c>
      <c r="K27" s="5">
        <v>12319</v>
      </c>
      <c r="L27" s="5">
        <v>13353</v>
      </c>
      <c r="M27" s="5">
        <v>13552</v>
      </c>
      <c r="N27" s="5">
        <v>14691</v>
      </c>
      <c r="O27" s="5">
        <v>15039</v>
      </c>
      <c r="P27" s="5">
        <v>15936</v>
      </c>
      <c r="Q27" s="5">
        <v>15789</v>
      </c>
      <c r="R27" s="5">
        <v>16600</v>
      </c>
      <c r="S27" s="4">
        <v>16465</v>
      </c>
      <c r="T27" s="4">
        <v>17002</v>
      </c>
      <c r="U27" s="4">
        <v>17516</v>
      </c>
      <c r="V27" s="4">
        <v>18291</v>
      </c>
      <c r="W27" s="4">
        <v>25226</v>
      </c>
      <c r="X27" s="4">
        <v>25854</v>
      </c>
      <c r="Y27" s="4">
        <v>27113</v>
      </c>
      <c r="Z27" s="4">
        <v>28627</v>
      </c>
      <c r="AA27" s="4">
        <v>28317</v>
      </c>
      <c r="AB27" s="4">
        <v>29437</v>
      </c>
      <c r="AC27" s="4">
        <v>29944</v>
      </c>
      <c r="AD27" s="4">
        <f>120810-AC27-AB27-AA27</f>
        <v>33112</v>
      </c>
      <c r="AM27" s="4">
        <v>1401</v>
      </c>
      <c r="AN27" s="4">
        <v>2253</v>
      </c>
      <c r="AO27" s="4">
        <v>2927</v>
      </c>
      <c r="BO27" s="5"/>
      <c r="BP27" s="5">
        <f>SUM(K27:N27)</f>
        <v>53915</v>
      </c>
      <c r="BQ27" s="5">
        <f>SUM(O27:R27)</f>
        <v>63364</v>
      </c>
      <c r="BR27" s="5">
        <f>SUM(S27:V27)</f>
        <v>69274</v>
      </c>
      <c r="BS27" s="4">
        <f>SUM(W27:Z27)</f>
        <v>106820</v>
      </c>
      <c r="BT27" s="4">
        <f>SUM(AA27:AD27)</f>
        <v>120810</v>
      </c>
    </row>
    <row r="28" spans="2:77" s="4" customFormat="1">
      <c r="B28" s="4" t="s">
        <v>68</v>
      </c>
      <c r="C28" s="5"/>
      <c r="D28" s="5"/>
      <c r="E28" s="5"/>
      <c r="F28" s="5"/>
      <c r="G28" s="5">
        <v>10845</v>
      </c>
      <c r="H28" s="5">
        <v>11869</v>
      </c>
      <c r="I28" s="5">
        <v>12281</v>
      </c>
      <c r="J28" s="5">
        <v>13371</v>
      </c>
      <c r="K28" s="5">
        <v>12986</v>
      </c>
      <c r="L28" s="5">
        <v>14601</v>
      </c>
      <c r="M28" s="5">
        <v>15118</v>
      </c>
      <c r="N28" s="5">
        <v>17375</v>
      </c>
      <c r="O28" s="5">
        <v>16912</v>
      </c>
      <c r="P28" s="5">
        <v>18327</v>
      </c>
      <c r="Q28" s="5">
        <v>18987</v>
      </c>
      <c r="R28" s="5">
        <v>20804</v>
      </c>
      <c r="S28" s="4">
        <v>20325</v>
      </c>
      <c r="T28" s="4">
        <v>21508</v>
      </c>
      <c r="U28" s="4">
        <v>22081</v>
      </c>
      <c r="V28" s="4">
        <v>23993</v>
      </c>
      <c r="W28" s="4">
        <v>20013</v>
      </c>
      <c r="X28" s="4">
        <v>21525</v>
      </c>
      <c r="Y28" s="4">
        <v>22141</v>
      </c>
      <c r="Z28" s="4">
        <v>23785</v>
      </c>
      <c r="AA28" s="4">
        <v>24092</v>
      </c>
      <c r="AB28" s="4">
        <v>25544</v>
      </c>
      <c r="AC28" s="4">
        <v>26751</v>
      </c>
      <c r="AD28" s="4">
        <v>29878</v>
      </c>
      <c r="BO28" s="5"/>
      <c r="BP28" s="5">
        <f>SUM(K28:N28)</f>
        <v>60080</v>
      </c>
      <c r="BQ28" s="5">
        <f t="shared" ref="BQ28:BQ35" si="11">SUM(O28:R28)</f>
        <v>75030</v>
      </c>
      <c r="BR28" s="5">
        <f>SUM(S28:V28)</f>
        <v>87907</v>
      </c>
      <c r="BS28" s="4">
        <f>SUM(W28:Z28)</f>
        <v>87464</v>
      </c>
      <c r="BT28" s="4">
        <f>SUM(AA28:AD28)</f>
        <v>106265</v>
      </c>
    </row>
    <row r="29" spans="2:77" s="4" customFormat="1">
      <c r="B29" s="4" t="s">
        <v>70</v>
      </c>
      <c r="C29" s="5"/>
      <c r="D29" s="5"/>
      <c r="E29" s="5"/>
      <c r="F29" s="5"/>
      <c r="G29" s="5">
        <v>11133</v>
      </c>
      <c r="H29" s="5">
        <v>13211</v>
      </c>
      <c r="I29" s="5">
        <v>10997</v>
      </c>
      <c r="J29" s="5">
        <v>12910</v>
      </c>
      <c r="K29" s="5">
        <v>11849</v>
      </c>
      <c r="L29" s="5">
        <v>15122</v>
      </c>
      <c r="M29" s="5">
        <v>13036</v>
      </c>
      <c r="N29" s="5">
        <v>14086</v>
      </c>
      <c r="O29" s="5">
        <v>13366</v>
      </c>
      <c r="P29" s="5">
        <v>17465</v>
      </c>
      <c r="Q29" s="5">
        <v>14584</v>
      </c>
      <c r="R29" s="5">
        <v>14461</v>
      </c>
      <c r="S29" s="4">
        <v>13332</v>
      </c>
      <c r="T29" s="4">
        <v>14237</v>
      </c>
      <c r="U29" s="4">
        <v>13260</v>
      </c>
      <c r="V29" s="4">
        <v>13905</v>
      </c>
      <c r="W29" s="4">
        <v>11278</v>
      </c>
      <c r="X29" s="4">
        <v>14641</v>
      </c>
      <c r="Y29" s="4">
        <v>12604</v>
      </c>
      <c r="Z29" s="4">
        <v>12315</v>
      </c>
      <c r="AA29" s="4">
        <v>13176</v>
      </c>
      <c r="AB29" s="4">
        <v>14651</v>
      </c>
      <c r="AC29" s="4">
        <v>13371</v>
      </c>
      <c r="AD29" s="4">
        <v>13451</v>
      </c>
      <c r="AM29" s="4">
        <v>1104</v>
      </c>
      <c r="AN29" s="4">
        <v>1267</v>
      </c>
      <c r="AO29" s="4">
        <v>1519</v>
      </c>
      <c r="BO29" s="5"/>
      <c r="BP29" s="5">
        <f>SUM(K29:N29)</f>
        <v>54093</v>
      </c>
      <c r="BQ29" s="5">
        <f t="shared" si="11"/>
        <v>59876</v>
      </c>
      <c r="BR29" s="5">
        <f>SUM(S29:V29)</f>
        <v>54734</v>
      </c>
      <c r="BS29" s="4">
        <f>SUM(W29:Z29)</f>
        <v>50838</v>
      </c>
      <c r="BT29" s="4">
        <f>SUM(AA29:AD29)</f>
        <v>54649</v>
      </c>
    </row>
    <row r="31" spans="2:77" s="4" customFormat="1">
      <c r="B31" s="4" t="s">
        <v>17</v>
      </c>
      <c r="C31" s="5">
        <v>17299</v>
      </c>
      <c r="D31" s="5">
        <v>16219</v>
      </c>
      <c r="E31" s="5">
        <v>15448</v>
      </c>
      <c r="F31" s="5">
        <v>17103</v>
      </c>
      <c r="G31" s="5">
        <v>15768</v>
      </c>
      <c r="H31" s="5">
        <v>18255</v>
      </c>
      <c r="I31" s="5">
        <v>15871</v>
      </c>
      <c r="J31" s="5">
        <v>18147</v>
      </c>
      <c r="K31" s="5">
        <v>15803</v>
      </c>
      <c r="L31" s="5">
        <v>19460</v>
      </c>
      <c r="M31" s="5">
        <v>16873</v>
      </c>
      <c r="N31" s="5">
        <v>18938</v>
      </c>
      <c r="O31" s="5">
        <v>16631</v>
      </c>
      <c r="P31" s="5">
        <v>20779</v>
      </c>
      <c r="Q31" s="5">
        <v>17366</v>
      </c>
      <c r="R31" s="5">
        <v>17956</v>
      </c>
      <c r="S31" s="4">
        <v>15741</v>
      </c>
      <c r="T31" s="4">
        <v>16517</v>
      </c>
      <c r="U31" s="4">
        <v>15588</v>
      </c>
      <c r="V31" s="4">
        <v>16853</v>
      </c>
      <c r="W31" s="4">
        <v>15535</v>
      </c>
      <c r="X31" s="4">
        <v>18941</v>
      </c>
      <c r="Y31" s="4">
        <v>17080</v>
      </c>
      <c r="Z31" s="4">
        <v>13217</v>
      </c>
      <c r="AA31" s="4">
        <v>15272</v>
      </c>
      <c r="AB31" s="4">
        <v>16219</v>
      </c>
      <c r="AC31" s="4">
        <v>15319</v>
      </c>
      <c r="AD31" s="4">
        <v>17136</v>
      </c>
      <c r="AE31" s="4">
        <f t="shared" ref="AE31:AH32" si="12">+AA31*1.1</f>
        <v>16799.2</v>
      </c>
      <c r="AF31" s="4">
        <f t="shared" si="12"/>
        <v>17840.900000000001</v>
      </c>
      <c r="AG31" s="4">
        <f t="shared" si="12"/>
        <v>16850.900000000001</v>
      </c>
      <c r="AH31" s="4">
        <f t="shared" si="12"/>
        <v>18849.600000000002</v>
      </c>
      <c r="BK31" s="4">
        <v>61502</v>
      </c>
      <c r="BL31" s="4">
        <v>63811</v>
      </c>
      <c r="BM31" s="4">
        <v>64497</v>
      </c>
      <c r="BN31" s="4">
        <v>66069</v>
      </c>
      <c r="BO31" s="5">
        <v>68041</v>
      </c>
      <c r="BP31" s="5">
        <f>SUM(K31:N31)</f>
        <v>71074</v>
      </c>
      <c r="BQ31" s="5">
        <f t="shared" si="11"/>
        <v>72732</v>
      </c>
      <c r="BR31" s="5">
        <f>SUM(S31:V31)</f>
        <v>64699</v>
      </c>
      <c r="BS31" s="5">
        <f>SUM(W31:Z31)</f>
        <v>64773</v>
      </c>
      <c r="BT31" s="5">
        <f>SUM(AA31:AD31)</f>
        <v>63946</v>
      </c>
      <c r="BU31" s="5">
        <f>+BT31*1.07</f>
        <v>68422.22</v>
      </c>
      <c r="BV31" s="5">
        <f>+BU31*1.07</f>
        <v>73211.775399999999</v>
      </c>
      <c r="BW31" s="5">
        <f t="shared" ref="BW31:BY31" si="13">+BV31*1.03</f>
        <v>75408.128662000003</v>
      </c>
      <c r="BX31" s="5">
        <f t="shared" si="13"/>
        <v>77670.372521860001</v>
      </c>
      <c r="BY31" s="5">
        <f t="shared" si="13"/>
        <v>80000.48369751581</v>
      </c>
    </row>
    <row r="32" spans="2:77" s="4" customFormat="1">
      <c r="B32" s="4" t="s">
        <v>18</v>
      </c>
      <c r="C32" s="5">
        <v>11785</v>
      </c>
      <c r="D32" s="5">
        <v>16252</v>
      </c>
      <c r="E32" s="5">
        <v>15123</v>
      </c>
      <c r="F32" s="5">
        <v>16614</v>
      </c>
      <c r="G32" s="5">
        <v>17287</v>
      </c>
      <c r="H32" s="5">
        <v>18651</v>
      </c>
      <c r="I32" s="5">
        <v>19150</v>
      </c>
      <c r="J32" s="5">
        <v>19886</v>
      </c>
      <c r="K32" s="5">
        <v>21351</v>
      </c>
      <c r="L32" s="5">
        <v>23616</v>
      </c>
      <c r="M32" s="5">
        <v>24833</v>
      </c>
      <c r="N32" s="5">
        <v>27214</v>
      </c>
      <c r="O32" s="5">
        <v>28686</v>
      </c>
      <c r="P32" s="5">
        <v>30949</v>
      </c>
      <c r="Q32" s="5">
        <v>31994</v>
      </c>
      <c r="R32" s="5">
        <v>33909</v>
      </c>
      <c r="S32" s="4">
        <v>34381</v>
      </c>
      <c r="T32" s="4">
        <v>36230</v>
      </c>
      <c r="U32" s="4">
        <v>37269</v>
      </c>
      <c r="V32" s="4">
        <v>39336</v>
      </c>
      <c r="W32" s="4">
        <v>40982</v>
      </c>
      <c r="X32" s="4">
        <v>43079</v>
      </c>
      <c r="Y32" s="4">
        <v>44778</v>
      </c>
      <c r="Z32" s="4">
        <v>51510</v>
      </c>
      <c r="AA32" s="4">
        <v>50313</v>
      </c>
      <c r="AB32" s="4">
        <v>53413</v>
      </c>
      <c r="AC32" s="4">
        <v>54747</v>
      </c>
      <c r="AD32" s="4">
        <v>59305</v>
      </c>
      <c r="AE32" s="4">
        <f t="shared" si="12"/>
        <v>55344.3</v>
      </c>
      <c r="AF32" s="4">
        <f t="shared" si="12"/>
        <v>58754.3</v>
      </c>
      <c r="AG32" s="4">
        <f t="shared" si="12"/>
        <v>60221.700000000004</v>
      </c>
      <c r="AH32" s="4">
        <f t="shared" si="12"/>
        <v>65235.500000000007</v>
      </c>
      <c r="BK32" s="4">
        <v>23818</v>
      </c>
      <c r="BL32" s="4">
        <v>32760</v>
      </c>
      <c r="BM32" s="4">
        <v>45863</v>
      </c>
      <c r="BN32" s="4">
        <v>59774</v>
      </c>
      <c r="BO32" s="5">
        <v>74974</v>
      </c>
      <c r="BP32" s="5">
        <f>SUM(K32:N32)</f>
        <v>97014</v>
      </c>
      <c r="BQ32" s="5">
        <f t="shared" si="11"/>
        <v>125538</v>
      </c>
      <c r="BR32" s="5">
        <f>SUM(S32:V32)</f>
        <v>147216</v>
      </c>
      <c r="BS32" s="5">
        <f>SUM(W32:Z32)</f>
        <v>180349</v>
      </c>
      <c r="BT32" s="5">
        <f>SUM(AA32:AD32)</f>
        <v>217778</v>
      </c>
      <c r="BU32" s="5">
        <f>+BT32*1.2</f>
        <v>261333.59999999998</v>
      </c>
      <c r="BV32" s="5">
        <f>+BU32*1.2</f>
        <v>313600.31999999995</v>
      </c>
      <c r="BW32" s="5">
        <f>+BV32*1.15</f>
        <v>360640.3679999999</v>
      </c>
      <c r="BX32" s="5">
        <f t="shared" ref="BX32:BY32" si="14">+BW32*1.1</f>
        <v>396704.4047999999</v>
      </c>
      <c r="BY32" s="5">
        <f t="shared" si="14"/>
        <v>436374.84527999995</v>
      </c>
    </row>
    <row r="33" spans="2:135" s="6" customFormat="1" ht="13">
      <c r="B33" s="6" t="s">
        <v>8</v>
      </c>
      <c r="C33" s="7">
        <f t="shared" ref="C33:D33" si="15">C31+C32</f>
        <v>29084</v>
      </c>
      <c r="D33" s="7">
        <f t="shared" si="15"/>
        <v>32471</v>
      </c>
      <c r="E33" s="7">
        <f t="shared" ref="E33:F33" si="16">E31+E32</f>
        <v>30571</v>
      </c>
      <c r="F33" s="7">
        <f t="shared" si="16"/>
        <v>33717</v>
      </c>
      <c r="G33" s="7">
        <f t="shared" ref="G33:H33" si="17">G31+G32</f>
        <v>33055</v>
      </c>
      <c r="H33" s="7">
        <f t="shared" si="17"/>
        <v>36906</v>
      </c>
      <c r="I33" s="7">
        <f t="shared" ref="I33" si="18">I31+I32</f>
        <v>35021</v>
      </c>
      <c r="J33" s="7">
        <f t="shared" ref="J33:K33" si="19">J31+J32</f>
        <v>38033</v>
      </c>
      <c r="K33" s="7">
        <f t="shared" si="19"/>
        <v>37154</v>
      </c>
      <c r="L33" s="7">
        <f t="shared" ref="L33:P33" si="20">L31+L32</f>
        <v>43076</v>
      </c>
      <c r="M33" s="7">
        <f t="shared" si="20"/>
        <v>41706</v>
      </c>
      <c r="N33" s="7">
        <f t="shared" si="20"/>
        <v>46152</v>
      </c>
      <c r="O33" s="7">
        <f t="shared" si="20"/>
        <v>45317</v>
      </c>
      <c r="P33" s="7">
        <f t="shared" si="20"/>
        <v>51728</v>
      </c>
      <c r="Q33" s="7">
        <f>Q31+Q32</f>
        <v>49360</v>
      </c>
      <c r="R33" s="7">
        <f t="shared" ref="R33:AH33" si="21">R31+R32</f>
        <v>51865</v>
      </c>
      <c r="S33" s="7">
        <f t="shared" si="21"/>
        <v>50122</v>
      </c>
      <c r="T33" s="7">
        <f>T31+T32</f>
        <v>52747</v>
      </c>
      <c r="U33" s="7">
        <f>U31+U32</f>
        <v>52857</v>
      </c>
      <c r="V33" s="7">
        <f t="shared" si="21"/>
        <v>56189</v>
      </c>
      <c r="W33" s="7">
        <f t="shared" si="21"/>
        <v>56517</v>
      </c>
      <c r="X33" s="7">
        <f>X31+X32</f>
        <v>62020</v>
      </c>
      <c r="Y33" s="7">
        <f t="shared" si="21"/>
        <v>61858</v>
      </c>
      <c r="Z33" s="7">
        <f t="shared" si="21"/>
        <v>64727</v>
      </c>
      <c r="AA33" s="7">
        <f t="shared" si="21"/>
        <v>65585</v>
      </c>
      <c r="AB33" s="7">
        <f t="shared" si="21"/>
        <v>69632</v>
      </c>
      <c r="AC33" s="7">
        <f t="shared" si="21"/>
        <v>70066</v>
      </c>
      <c r="AD33" s="7">
        <f t="shared" si="21"/>
        <v>76441</v>
      </c>
      <c r="AE33" s="7">
        <f t="shared" si="21"/>
        <v>72143.5</v>
      </c>
      <c r="AF33" s="7">
        <f t="shared" si="21"/>
        <v>76595.200000000012</v>
      </c>
      <c r="AG33" s="7">
        <f t="shared" si="21"/>
        <v>77072.600000000006</v>
      </c>
      <c r="AH33" s="7">
        <f t="shared" si="21"/>
        <v>84085.1</v>
      </c>
      <c r="AK33" s="6">
        <v>1183</v>
      </c>
      <c r="AL33" s="6">
        <v>1843</v>
      </c>
      <c r="AM33" s="6">
        <v>2759</v>
      </c>
      <c r="AN33" s="6">
        <v>3753</v>
      </c>
      <c r="AO33" s="6">
        <v>4649</v>
      </c>
      <c r="AP33" s="6">
        <v>5937</v>
      </c>
      <c r="AQ33" s="6">
        <v>8671</v>
      </c>
      <c r="AR33" s="6">
        <v>11358</v>
      </c>
      <c r="AS33" s="6">
        <v>14484</v>
      </c>
      <c r="AT33" s="6">
        <v>19747</v>
      </c>
      <c r="AU33" s="6">
        <v>22956</v>
      </c>
      <c r="AV33" s="6">
        <v>25296</v>
      </c>
      <c r="AW33" s="6">
        <v>28365</v>
      </c>
      <c r="AX33" s="6">
        <v>32187</v>
      </c>
      <c r="AY33" s="6">
        <v>36835</v>
      </c>
      <c r="AZ33" s="6">
        <v>39788</v>
      </c>
      <c r="BA33" s="6">
        <v>44282</v>
      </c>
      <c r="BB33" s="6">
        <v>51122</v>
      </c>
      <c r="BC33" s="6">
        <v>60420</v>
      </c>
      <c r="BD33" s="6">
        <v>58437</v>
      </c>
      <c r="BE33" s="7">
        <v>62484</v>
      </c>
      <c r="BF33" s="7">
        <v>69943</v>
      </c>
      <c r="BG33" s="7">
        <v>73723</v>
      </c>
      <c r="BH33" s="7">
        <v>77849</v>
      </c>
      <c r="BI33" s="7">
        <v>86833</v>
      </c>
      <c r="BJ33" s="7">
        <v>93580</v>
      </c>
      <c r="BK33" s="7">
        <f>BK31+BK32</f>
        <v>85320</v>
      </c>
      <c r="BL33" s="7">
        <f t="shared" ref="BL33:BR33" si="22">+BL32+BL31</f>
        <v>96571</v>
      </c>
      <c r="BM33" s="7">
        <f t="shared" si="22"/>
        <v>110360</v>
      </c>
      <c r="BN33" s="7">
        <f t="shared" si="22"/>
        <v>125843</v>
      </c>
      <c r="BO33" s="7">
        <f t="shared" si="22"/>
        <v>143015</v>
      </c>
      <c r="BP33" s="7">
        <f t="shared" si="22"/>
        <v>168088</v>
      </c>
      <c r="BQ33" s="7">
        <f t="shared" si="22"/>
        <v>198270</v>
      </c>
      <c r="BR33" s="7">
        <f t="shared" si="22"/>
        <v>211915</v>
      </c>
      <c r="BS33" s="7">
        <f t="shared" ref="BS33:BY33" si="23">+BS32+BS31</f>
        <v>245122</v>
      </c>
      <c r="BT33" s="7">
        <f t="shared" si="23"/>
        <v>281724</v>
      </c>
      <c r="BU33" s="7">
        <f t="shared" si="23"/>
        <v>329755.81999999995</v>
      </c>
      <c r="BV33" s="7">
        <f t="shared" si="23"/>
        <v>386812.09539999993</v>
      </c>
      <c r="BW33" s="7">
        <f t="shared" si="23"/>
        <v>436048.4966619999</v>
      </c>
      <c r="BX33" s="7">
        <f t="shared" si="23"/>
        <v>474374.7773218599</v>
      </c>
      <c r="BY33" s="7">
        <f t="shared" si="23"/>
        <v>516375.32897751575</v>
      </c>
    </row>
    <row r="34" spans="2:135" s="4" customFormat="1">
      <c r="B34" s="4" t="s">
        <v>19</v>
      </c>
      <c r="C34" s="5">
        <v>3649</v>
      </c>
      <c r="D34" s="5">
        <v>5885</v>
      </c>
      <c r="E34" s="5">
        <v>3441</v>
      </c>
      <c r="F34" s="5">
        <v>3298</v>
      </c>
      <c r="G34" s="5">
        <v>3305</v>
      </c>
      <c r="H34" s="5">
        <v>4966</v>
      </c>
      <c r="I34" s="5">
        <v>3376</v>
      </c>
      <c r="J34" s="5">
        <v>4370</v>
      </c>
      <c r="K34" s="5">
        <v>3597</v>
      </c>
      <c r="L34" s="5">
        <v>6058</v>
      </c>
      <c r="M34" s="5">
        <v>4277</v>
      </c>
      <c r="N34" s="5">
        <v>4287</v>
      </c>
      <c r="O34" s="5">
        <v>3792</v>
      </c>
      <c r="P34" s="5">
        <v>6331</v>
      </c>
      <c r="Q34" s="5">
        <v>4584</v>
      </c>
      <c r="R34" s="5">
        <v>4357</v>
      </c>
      <c r="S34" s="4">
        <v>4302</v>
      </c>
      <c r="T34" s="4">
        <v>5690</v>
      </c>
      <c r="U34" s="4">
        <v>3941</v>
      </c>
      <c r="V34" s="4">
        <v>3871</v>
      </c>
      <c r="W34" s="4">
        <v>3531</v>
      </c>
      <c r="X34" s="4">
        <v>5964</v>
      </c>
      <c r="Y34" s="4">
        <v>4339</v>
      </c>
      <c r="Z34" s="39">
        <v>1438</v>
      </c>
      <c r="AA34" s="4">
        <v>3294</v>
      </c>
      <c r="AB34" s="4">
        <v>3856</v>
      </c>
      <c r="AC34" s="4">
        <v>3037</v>
      </c>
      <c r="AD34" s="4">
        <v>3314</v>
      </c>
      <c r="BK34" s="4">
        <v>17880</v>
      </c>
      <c r="BL34" s="4">
        <v>15175</v>
      </c>
      <c r="BM34" s="4">
        <v>15420</v>
      </c>
      <c r="BN34" s="4">
        <v>16273</v>
      </c>
      <c r="BO34" s="5">
        <v>16017</v>
      </c>
      <c r="BP34" s="5">
        <f>SUM(K34:N34)</f>
        <v>18219</v>
      </c>
      <c r="BQ34" s="5">
        <f t="shared" si="11"/>
        <v>19064</v>
      </c>
      <c r="BR34" s="5">
        <f>SUM(S34:V34)</f>
        <v>17804</v>
      </c>
      <c r="BS34" s="5">
        <f>SUM(W34:Z34)</f>
        <v>15272</v>
      </c>
      <c r="BT34" s="5">
        <f>SUM(AA34:AD34)</f>
        <v>13501</v>
      </c>
      <c r="BU34" s="5">
        <f t="shared" ref="BU34:BY34" si="24">BU31*0.25</f>
        <v>17105.555</v>
      </c>
      <c r="BV34" s="5">
        <f t="shared" si="24"/>
        <v>18302.94385</v>
      </c>
      <c r="BW34" s="5">
        <f t="shared" si="24"/>
        <v>18852.032165500001</v>
      </c>
      <c r="BX34" s="5">
        <f t="shared" si="24"/>
        <v>19417.593130465</v>
      </c>
      <c r="BY34" s="5">
        <f t="shared" si="24"/>
        <v>20000.120924378953</v>
      </c>
    </row>
    <row r="35" spans="2:135" s="4" customFormat="1">
      <c r="B35" s="4" t="s">
        <v>20</v>
      </c>
      <c r="C35" s="5">
        <v>6256</v>
      </c>
      <c r="D35" s="5">
        <v>6538</v>
      </c>
      <c r="E35" s="5">
        <v>6729</v>
      </c>
      <c r="F35" s="5">
        <v>7114</v>
      </c>
      <c r="G35" s="5">
        <v>7101</v>
      </c>
      <c r="H35" s="5">
        <v>7392</v>
      </c>
      <c r="I35" s="5">
        <v>7599</v>
      </c>
      <c r="J35" s="5">
        <v>7969</v>
      </c>
      <c r="K35" s="5">
        <v>7405</v>
      </c>
      <c r="L35" s="5">
        <v>8136</v>
      </c>
      <c r="M35" s="5">
        <v>8768</v>
      </c>
      <c r="N35" s="5">
        <v>9704</v>
      </c>
      <c r="O35" s="5">
        <v>9854</v>
      </c>
      <c r="P35" s="5">
        <v>10629</v>
      </c>
      <c r="Q35" s="5">
        <v>11031</v>
      </c>
      <c r="R35" s="5">
        <v>12072</v>
      </c>
      <c r="S35" s="4">
        <v>11150</v>
      </c>
      <c r="T35" s="4">
        <v>11798</v>
      </c>
      <c r="U35" s="4">
        <v>12187</v>
      </c>
      <c r="V35" s="4">
        <v>12924</v>
      </c>
      <c r="W35" s="4">
        <v>12771</v>
      </c>
      <c r="X35" s="4">
        <v>13659</v>
      </c>
      <c r="Y35" s="4">
        <v>14166</v>
      </c>
      <c r="Z35" s="4">
        <v>18246</v>
      </c>
      <c r="AA35" s="4">
        <v>16805</v>
      </c>
      <c r="AB35" s="4">
        <v>17943</v>
      </c>
      <c r="AC35" s="4">
        <v>18882</v>
      </c>
      <c r="AD35" s="4">
        <v>20700</v>
      </c>
      <c r="BK35" s="4">
        <v>14900</v>
      </c>
      <c r="BL35" s="4">
        <v>19086</v>
      </c>
      <c r="BM35" s="4">
        <v>22933</v>
      </c>
      <c r="BN35" s="4">
        <v>26637</v>
      </c>
      <c r="BO35" s="5">
        <v>30061</v>
      </c>
      <c r="BP35" s="5">
        <f>SUM(K35:N35)</f>
        <v>34013</v>
      </c>
      <c r="BQ35" s="5">
        <f t="shared" si="11"/>
        <v>43586</v>
      </c>
      <c r="BR35" s="5">
        <f>SUM(S35:V35)</f>
        <v>48059</v>
      </c>
      <c r="BS35" s="5">
        <f>SUM(W35:Z35)</f>
        <v>58842</v>
      </c>
      <c r="BT35" s="5">
        <f>SUM(AA35:AD35)</f>
        <v>74330</v>
      </c>
      <c r="BU35" s="5">
        <f t="shared" ref="BU35:BY35" si="25">BU32*0.35</f>
        <v>91466.75999999998</v>
      </c>
      <c r="BV35" s="5">
        <f t="shared" si="25"/>
        <v>109760.11199999998</v>
      </c>
      <c r="BW35" s="5">
        <f t="shared" si="25"/>
        <v>126224.12879999996</v>
      </c>
      <c r="BX35" s="5">
        <f t="shared" si="25"/>
        <v>138846.54167999997</v>
      </c>
      <c r="BY35" s="5">
        <f t="shared" si="25"/>
        <v>152731.19584799997</v>
      </c>
    </row>
    <row r="36" spans="2:135" s="4" customFormat="1">
      <c r="B36" s="4" t="s">
        <v>21</v>
      </c>
      <c r="C36" s="5">
        <f t="shared" ref="C36:I36" si="26">+C34+C35</f>
        <v>9905</v>
      </c>
      <c r="D36" s="5">
        <f t="shared" si="26"/>
        <v>12423</v>
      </c>
      <c r="E36" s="5">
        <f t="shared" si="26"/>
        <v>10170</v>
      </c>
      <c r="F36" s="5">
        <f t="shared" si="26"/>
        <v>10412</v>
      </c>
      <c r="G36" s="5">
        <f t="shared" si="26"/>
        <v>10406</v>
      </c>
      <c r="H36" s="5">
        <f t="shared" si="26"/>
        <v>12358</v>
      </c>
      <c r="I36" s="5">
        <f t="shared" si="26"/>
        <v>10975</v>
      </c>
      <c r="J36" s="5">
        <f t="shared" ref="J36" si="27">J34+J35</f>
        <v>12339</v>
      </c>
      <c r="K36" s="5">
        <f t="shared" ref="K36:L36" si="28">K34+K35</f>
        <v>11002</v>
      </c>
      <c r="L36" s="5">
        <f t="shared" si="28"/>
        <v>14194</v>
      </c>
      <c r="M36" s="5">
        <f>M34+M35</f>
        <v>13045</v>
      </c>
      <c r="N36" s="5">
        <f t="shared" ref="N36:Q36" si="29">N34+N35</f>
        <v>13991</v>
      </c>
      <c r="O36" s="5">
        <f t="shared" si="29"/>
        <v>13646</v>
      </c>
      <c r="P36" s="5">
        <f t="shared" si="29"/>
        <v>16960</v>
      </c>
      <c r="Q36" s="5">
        <f t="shared" si="29"/>
        <v>15615</v>
      </c>
      <c r="R36" s="5">
        <f t="shared" ref="R36" si="30">R34+R35</f>
        <v>16429</v>
      </c>
      <c r="S36" s="5">
        <f>S34+S35</f>
        <v>15452</v>
      </c>
      <c r="T36" s="5">
        <f>T34+T35</f>
        <v>17488</v>
      </c>
      <c r="U36" s="5">
        <f>U34+U35</f>
        <v>16128</v>
      </c>
      <c r="V36" s="5">
        <f>V34+V35</f>
        <v>16795</v>
      </c>
      <c r="W36" s="4">
        <f>+W35+W34</f>
        <v>16302</v>
      </c>
      <c r="X36" s="4">
        <f t="shared" ref="X36:AD36" si="31">+X34+X35</f>
        <v>19623</v>
      </c>
      <c r="Y36" s="4">
        <f t="shared" si="31"/>
        <v>18505</v>
      </c>
      <c r="Z36" s="4">
        <f t="shared" si="31"/>
        <v>19684</v>
      </c>
      <c r="AA36" s="4">
        <f t="shared" si="31"/>
        <v>20099</v>
      </c>
      <c r="AB36" s="4">
        <f t="shared" si="31"/>
        <v>21799</v>
      </c>
      <c r="AC36" s="4">
        <f t="shared" si="31"/>
        <v>21919</v>
      </c>
      <c r="AD36" s="4">
        <f t="shared" si="31"/>
        <v>24014</v>
      </c>
      <c r="AK36" s="4">
        <v>253</v>
      </c>
      <c r="AL36" s="4">
        <v>362</v>
      </c>
      <c r="AM36" s="4">
        <v>467</v>
      </c>
      <c r="AN36" s="4">
        <v>633</v>
      </c>
      <c r="AO36" s="4">
        <v>763</v>
      </c>
      <c r="AP36" s="4">
        <v>877</v>
      </c>
      <c r="AQ36" s="4">
        <v>1188</v>
      </c>
      <c r="AR36" s="4">
        <v>1085</v>
      </c>
      <c r="AS36" s="4">
        <v>1197</v>
      </c>
      <c r="AT36" s="4">
        <v>2814</v>
      </c>
      <c r="AU36" s="4">
        <v>3002</v>
      </c>
      <c r="AV36" s="4">
        <v>3455</v>
      </c>
      <c r="AW36" s="4">
        <v>5191</v>
      </c>
      <c r="AX36" s="4">
        <v>5686</v>
      </c>
      <c r="AY36" s="4">
        <v>6716</v>
      </c>
      <c r="AZ36" s="4">
        <v>6200</v>
      </c>
      <c r="BA36" s="4">
        <v>7650</v>
      </c>
      <c r="BB36" s="4">
        <v>10693</v>
      </c>
      <c r="BC36" s="4">
        <v>11598</v>
      </c>
      <c r="BD36" s="4">
        <v>12155</v>
      </c>
      <c r="BE36" s="5">
        <v>12395</v>
      </c>
      <c r="BF36" s="5">
        <v>15577</v>
      </c>
      <c r="BG36" s="5">
        <v>17530</v>
      </c>
      <c r="BH36" s="5">
        <v>20249</v>
      </c>
      <c r="BI36" s="5">
        <v>26934</v>
      </c>
      <c r="BJ36" s="5">
        <v>33038</v>
      </c>
      <c r="BK36" s="5">
        <f t="shared" ref="BK36" si="32">BK34+BK35</f>
        <v>32780</v>
      </c>
      <c r="BL36" s="5">
        <f t="shared" ref="BL36:BM36" si="33">BL34+BL35</f>
        <v>34261</v>
      </c>
      <c r="BM36" s="5">
        <f t="shared" si="33"/>
        <v>38353</v>
      </c>
      <c r="BN36" s="5">
        <f t="shared" ref="BN36:BO36" si="34">BN34+BN35</f>
        <v>42910</v>
      </c>
      <c r="BO36" s="5">
        <f t="shared" si="34"/>
        <v>46078</v>
      </c>
      <c r="BP36" s="5">
        <f t="shared" ref="BP36:BQ36" si="35">BP34+BP35</f>
        <v>52232</v>
      </c>
      <c r="BQ36" s="5">
        <f t="shared" si="35"/>
        <v>62650</v>
      </c>
      <c r="BR36" s="5">
        <f>BR34+BR35</f>
        <v>65863</v>
      </c>
      <c r="BS36" s="5">
        <f>BS34+BS35</f>
        <v>74114</v>
      </c>
      <c r="BT36" s="5">
        <f>BT34+BT35</f>
        <v>87831</v>
      </c>
      <c r="BU36" s="5">
        <f t="shared" ref="BU36:BY36" si="36">+BU33-BU37</f>
        <v>108819.42059999998</v>
      </c>
      <c r="BV36" s="5">
        <f t="shared" si="36"/>
        <v>127647.99148199995</v>
      </c>
      <c r="BW36" s="5">
        <f t="shared" si="36"/>
        <v>143896.00389845995</v>
      </c>
      <c r="BX36" s="5">
        <f t="shared" si="36"/>
        <v>156543.67651621375</v>
      </c>
      <c r="BY36" s="5">
        <f t="shared" si="36"/>
        <v>170403.85856258019</v>
      </c>
    </row>
    <row r="37" spans="2:135" s="4" customFormat="1">
      <c r="B37" s="4" t="s">
        <v>22</v>
      </c>
      <c r="C37" s="5">
        <f t="shared" ref="C37:I37" si="37">+C33-C36</f>
        <v>19179</v>
      </c>
      <c r="D37" s="5">
        <f t="shared" si="37"/>
        <v>20048</v>
      </c>
      <c r="E37" s="5">
        <f t="shared" si="37"/>
        <v>20401</v>
      </c>
      <c r="F37" s="5">
        <f t="shared" si="37"/>
        <v>23305</v>
      </c>
      <c r="G37" s="5">
        <f t="shared" si="37"/>
        <v>22649</v>
      </c>
      <c r="H37" s="5">
        <f t="shared" si="37"/>
        <v>24548</v>
      </c>
      <c r="I37" s="5">
        <f t="shared" si="37"/>
        <v>24046</v>
      </c>
      <c r="J37" s="5">
        <f t="shared" ref="J37" si="38">J33-J36</f>
        <v>25694</v>
      </c>
      <c r="K37" s="5">
        <f t="shared" ref="K37:L37" si="39">K33-K36</f>
        <v>26152</v>
      </c>
      <c r="L37" s="5">
        <f t="shared" si="39"/>
        <v>28882</v>
      </c>
      <c r="M37" s="5">
        <f>M33-M36</f>
        <v>28661</v>
      </c>
      <c r="N37" s="5">
        <f t="shared" ref="N37:Q37" si="40">N33-N36</f>
        <v>32161</v>
      </c>
      <c r="O37" s="5">
        <f t="shared" si="40"/>
        <v>31671</v>
      </c>
      <c r="P37" s="5">
        <f t="shared" si="40"/>
        <v>34768</v>
      </c>
      <c r="Q37" s="5">
        <f t="shared" si="40"/>
        <v>33745</v>
      </c>
      <c r="R37" s="5">
        <f t="shared" ref="R37" si="41">R33-R36</f>
        <v>35436</v>
      </c>
      <c r="S37" s="5">
        <f>S33-S36</f>
        <v>34670</v>
      </c>
      <c r="T37" s="5">
        <f>T33-T36</f>
        <v>35259</v>
      </c>
      <c r="U37" s="5">
        <f>U33-U36</f>
        <v>36729</v>
      </c>
      <c r="V37" s="5">
        <f>V33-V36</f>
        <v>39394</v>
      </c>
      <c r="W37" s="4">
        <f t="shared" ref="W37:AD37" si="42">+W33-W36</f>
        <v>40215</v>
      </c>
      <c r="X37" s="4">
        <f t="shared" si="42"/>
        <v>42397</v>
      </c>
      <c r="Y37" s="4">
        <f t="shared" si="42"/>
        <v>43353</v>
      </c>
      <c r="Z37" s="4">
        <f t="shared" si="42"/>
        <v>45043</v>
      </c>
      <c r="AA37" s="4">
        <f t="shared" si="42"/>
        <v>45486</v>
      </c>
      <c r="AB37" s="4">
        <f t="shared" si="42"/>
        <v>47833</v>
      </c>
      <c r="AC37" s="4">
        <f t="shared" si="42"/>
        <v>48147</v>
      </c>
      <c r="AD37" s="4">
        <f t="shared" si="42"/>
        <v>52427</v>
      </c>
      <c r="AE37" s="4">
        <f>+AE33*0.7</f>
        <v>50500.45</v>
      </c>
      <c r="AF37" s="4">
        <f>+AF33*0.7</f>
        <v>53616.640000000007</v>
      </c>
      <c r="AG37" s="4">
        <f>+AG33*0.7</f>
        <v>53950.82</v>
      </c>
      <c r="AH37" s="4">
        <f>+AH33*0.7</f>
        <v>58859.57</v>
      </c>
      <c r="AK37" s="4">
        <f t="shared" ref="AK37:AQ37" si="43">AK33-AK36</f>
        <v>930</v>
      </c>
      <c r="AL37" s="4">
        <f t="shared" si="43"/>
        <v>1481</v>
      </c>
      <c r="AM37" s="4">
        <f t="shared" si="43"/>
        <v>2292</v>
      </c>
      <c r="AN37" s="4">
        <f t="shared" si="43"/>
        <v>3120</v>
      </c>
      <c r="AO37" s="4">
        <f t="shared" si="43"/>
        <v>3886</v>
      </c>
      <c r="AP37" s="4">
        <f t="shared" si="43"/>
        <v>5060</v>
      </c>
      <c r="AQ37" s="4">
        <f t="shared" si="43"/>
        <v>7483</v>
      </c>
      <c r="AR37" s="4">
        <f t="shared" ref="AR37" si="44">AR33-AR36</f>
        <v>10273</v>
      </c>
      <c r="AS37" s="4">
        <f t="shared" ref="AS37:BJ37" si="45">AS33-AS36</f>
        <v>13287</v>
      </c>
      <c r="AT37" s="4">
        <f t="shared" si="45"/>
        <v>16933</v>
      </c>
      <c r="AU37" s="4">
        <f t="shared" si="45"/>
        <v>19954</v>
      </c>
      <c r="AV37" s="4">
        <f t="shared" si="45"/>
        <v>21841</v>
      </c>
      <c r="AW37" s="4">
        <f t="shared" si="45"/>
        <v>23174</v>
      </c>
      <c r="AX37" s="4">
        <f t="shared" si="45"/>
        <v>26501</v>
      </c>
      <c r="AY37" s="4">
        <f t="shared" si="45"/>
        <v>30119</v>
      </c>
      <c r="AZ37" s="4">
        <f t="shared" si="45"/>
        <v>33588</v>
      </c>
      <c r="BA37" s="4">
        <f t="shared" si="45"/>
        <v>36632</v>
      </c>
      <c r="BB37" s="4">
        <f t="shared" si="45"/>
        <v>40429</v>
      </c>
      <c r="BC37" s="4">
        <f t="shared" si="45"/>
        <v>48822</v>
      </c>
      <c r="BD37" s="4">
        <f t="shared" si="45"/>
        <v>46282</v>
      </c>
      <c r="BE37" s="4">
        <f t="shared" si="45"/>
        <v>50089</v>
      </c>
      <c r="BF37" s="4">
        <f t="shared" si="45"/>
        <v>54366</v>
      </c>
      <c r="BG37" s="4">
        <f t="shared" si="45"/>
        <v>56193</v>
      </c>
      <c r="BH37" s="4">
        <f t="shared" si="45"/>
        <v>57600</v>
      </c>
      <c r="BI37" s="4">
        <f t="shared" si="45"/>
        <v>59899</v>
      </c>
      <c r="BJ37" s="4">
        <f t="shared" si="45"/>
        <v>60542</v>
      </c>
      <c r="BK37" s="5">
        <f t="shared" ref="BK37" si="46">BK33-BK36</f>
        <v>52540</v>
      </c>
      <c r="BL37" s="5">
        <f t="shared" ref="BL37:BM37" si="47">BL33-BL36</f>
        <v>62310</v>
      </c>
      <c r="BM37" s="5">
        <f t="shared" si="47"/>
        <v>72007</v>
      </c>
      <c r="BN37" s="5">
        <f t="shared" ref="BN37:BO37" si="48">BN33-BN36</f>
        <v>82933</v>
      </c>
      <c r="BO37" s="5">
        <f t="shared" si="48"/>
        <v>96937</v>
      </c>
      <c r="BP37" s="5">
        <f t="shared" ref="BP37:BQ37" si="49">BP33-BP36</f>
        <v>115856</v>
      </c>
      <c r="BQ37" s="5">
        <f t="shared" si="49"/>
        <v>135620</v>
      </c>
      <c r="BR37" s="5">
        <f>BR33-BR36</f>
        <v>146052</v>
      </c>
      <c r="BS37" s="5">
        <f>BS33-BS36</f>
        <v>171008</v>
      </c>
      <c r="BT37" s="5">
        <f>BT33-BT36</f>
        <v>193893</v>
      </c>
      <c r="BU37" s="5">
        <f t="shared" ref="BU37:BY37" si="50">+BU33*0.67</f>
        <v>220936.39939999997</v>
      </c>
      <c r="BV37" s="5">
        <f t="shared" si="50"/>
        <v>259164.10391799998</v>
      </c>
      <c r="BW37" s="5">
        <f t="shared" si="50"/>
        <v>292152.49276353995</v>
      </c>
      <c r="BX37" s="5">
        <f t="shared" si="50"/>
        <v>317831.10080564616</v>
      </c>
      <c r="BY37" s="5">
        <f t="shared" si="50"/>
        <v>345971.47041493555</v>
      </c>
    </row>
    <row r="38" spans="2:135" s="4" customFormat="1">
      <c r="B38" s="4" t="s">
        <v>25</v>
      </c>
      <c r="C38" s="5">
        <v>3977</v>
      </c>
      <c r="D38" s="5">
        <v>4070</v>
      </c>
      <c r="E38" s="5">
        <v>4316</v>
      </c>
      <c r="F38" s="5">
        <v>4513</v>
      </c>
      <c r="G38" s="5">
        <v>4565</v>
      </c>
      <c r="H38" s="5">
        <v>4603</v>
      </c>
      <c r="I38" s="5">
        <v>4887</v>
      </c>
      <c r="J38" s="5">
        <v>5214</v>
      </c>
      <c r="K38" s="5">
        <v>4926</v>
      </c>
      <c r="L38" s="5">
        <v>4899</v>
      </c>
      <c r="M38" s="5">
        <v>5204</v>
      </c>
      <c r="N38" s="5">
        <v>5687</v>
      </c>
      <c r="O38" s="5">
        <v>5599</v>
      </c>
      <c r="P38" s="5">
        <v>5758</v>
      </c>
      <c r="Q38" s="5">
        <v>6306</v>
      </c>
      <c r="R38" s="5">
        <v>6849</v>
      </c>
      <c r="S38" s="4">
        <v>6628</v>
      </c>
      <c r="T38" s="4">
        <v>6844</v>
      </c>
      <c r="U38" s="4">
        <v>6984</v>
      </c>
      <c r="V38" s="4">
        <v>6739</v>
      </c>
      <c r="W38" s="4">
        <v>6659</v>
      </c>
      <c r="X38" s="4">
        <v>7142</v>
      </c>
      <c r="Y38" s="4">
        <v>7653</v>
      </c>
      <c r="Z38" s="4">
        <v>8056</v>
      </c>
      <c r="AA38" s="4">
        <v>7544</v>
      </c>
      <c r="AB38" s="4">
        <v>7917</v>
      </c>
      <c r="AC38" s="4">
        <v>8198</v>
      </c>
      <c r="AD38" s="4">
        <v>8829</v>
      </c>
      <c r="AK38" s="4">
        <v>181</v>
      </c>
      <c r="AL38" s="4">
        <v>235</v>
      </c>
      <c r="AM38" s="4">
        <v>352</v>
      </c>
      <c r="AN38" s="4">
        <v>470</v>
      </c>
      <c r="AO38" s="4">
        <v>610</v>
      </c>
      <c r="AP38" s="4">
        <v>860</v>
      </c>
      <c r="AQ38" s="4">
        <v>1432</v>
      </c>
      <c r="AR38" s="4">
        <v>1925</v>
      </c>
      <c r="AS38" s="4">
        <v>2502</v>
      </c>
      <c r="AT38" s="4">
        <v>2970</v>
      </c>
      <c r="AU38" s="4">
        <v>3775</v>
      </c>
      <c r="AV38" s="4">
        <v>4379</v>
      </c>
      <c r="AW38" s="4">
        <v>4307</v>
      </c>
      <c r="AX38" s="4">
        <v>4659</v>
      </c>
      <c r="AY38" s="4">
        <v>7779</v>
      </c>
      <c r="AZ38" s="4">
        <v>6184</v>
      </c>
      <c r="BA38" s="4">
        <v>6584</v>
      </c>
      <c r="BB38" s="4">
        <v>7121</v>
      </c>
      <c r="BC38" s="4">
        <v>8164</v>
      </c>
      <c r="BD38" s="4">
        <v>9010</v>
      </c>
      <c r="BE38" s="4">
        <v>8714</v>
      </c>
      <c r="BF38" s="4">
        <v>9043</v>
      </c>
      <c r="BG38" s="4">
        <v>9811</v>
      </c>
      <c r="BH38" s="4">
        <v>10411</v>
      </c>
      <c r="BI38" s="4">
        <v>11381</v>
      </c>
      <c r="BJ38" s="4">
        <v>12046</v>
      </c>
      <c r="BK38" s="4">
        <v>11988</v>
      </c>
      <c r="BL38" s="4">
        <v>13037</v>
      </c>
      <c r="BM38" s="4">
        <v>14726</v>
      </c>
      <c r="BN38" s="4">
        <v>16876</v>
      </c>
      <c r="BO38" s="5">
        <v>19269</v>
      </c>
      <c r="BP38" s="5">
        <f>SUM(K38:N38)</f>
        <v>20716</v>
      </c>
      <c r="BQ38" s="5">
        <f t="shared" ref="BQ38:BQ40" si="51">SUM(O38:R38)</f>
        <v>24512</v>
      </c>
      <c r="BR38" s="5">
        <f t="shared" ref="BR38:BR40" si="52">SUM(S38:V38)</f>
        <v>27195</v>
      </c>
      <c r="BS38" s="5">
        <f>SUM(W38:Z38)</f>
        <v>29510</v>
      </c>
      <c r="BT38" s="5">
        <f>SUM(AA38:AD38)</f>
        <v>32488</v>
      </c>
      <c r="BU38" s="5">
        <f t="shared" ref="BU38:BY38" si="53">+BT38*1.03</f>
        <v>33462.639999999999</v>
      </c>
      <c r="BV38" s="5">
        <f t="shared" si="53"/>
        <v>34466.519200000002</v>
      </c>
      <c r="BW38" s="5">
        <f t="shared" si="53"/>
        <v>35500.514776000004</v>
      </c>
      <c r="BX38" s="5">
        <f t="shared" si="53"/>
        <v>36565.530219280008</v>
      </c>
      <c r="BY38" s="5">
        <f t="shared" si="53"/>
        <v>37662.496125858408</v>
      </c>
    </row>
    <row r="39" spans="2:135" s="4" customFormat="1">
      <c r="B39" s="4" t="s">
        <v>26</v>
      </c>
      <c r="C39" s="5">
        <v>4098</v>
      </c>
      <c r="D39" s="5">
        <v>4588</v>
      </c>
      <c r="E39" s="5">
        <v>4565</v>
      </c>
      <c r="F39" s="5">
        <v>4962</v>
      </c>
      <c r="G39" s="5">
        <v>4337</v>
      </c>
      <c r="H39" s="5">
        <v>4933</v>
      </c>
      <c r="I39" s="5">
        <v>4911</v>
      </c>
      <c r="J39" s="5">
        <v>5417</v>
      </c>
      <c r="K39" s="5">
        <v>4231</v>
      </c>
      <c r="L39" s="5">
        <v>4947</v>
      </c>
      <c r="M39" s="5">
        <v>5082</v>
      </c>
      <c r="N39" s="5">
        <v>5857</v>
      </c>
      <c r="O39" s="5">
        <v>4547</v>
      </c>
      <c r="P39" s="5">
        <v>5379</v>
      </c>
      <c r="Q39" s="5">
        <v>5595</v>
      </c>
      <c r="R39" s="5">
        <v>6304</v>
      </c>
      <c r="S39" s="4">
        <v>5126</v>
      </c>
      <c r="T39" s="4">
        <v>5679</v>
      </c>
      <c r="U39" s="4">
        <v>5750</v>
      </c>
      <c r="V39" s="4">
        <v>6204</v>
      </c>
      <c r="W39" s="4">
        <v>5187</v>
      </c>
      <c r="X39" s="4">
        <v>6246</v>
      </c>
      <c r="Y39" s="4">
        <v>6207</v>
      </c>
      <c r="Z39" s="4">
        <v>6816</v>
      </c>
      <c r="AA39" s="4">
        <v>5717</v>
      </c>
      <c r="AB39" s="4">
        <v>6440</v>
      </c>
      <c r="AC39" s="4">
        <v>6212</v>
      </c>
      <c r="AD39" s="4">
        <v>7285</v>
      </c>
      <c r="AK39" s="4">
        <v>317</v>
      </c>
      <c r="AL39" s="4">
        <v>534</v>
      </c>
      <c r="AM39" s="4">
        <v>854</v>
      </c>
      <c r="AN39" s="4">
        <v>1205</v>
      </c>
      <c r="AO39" s="4">
        <v>1384</v>
      </c>
      <c r="AP39" s="4">
        <v>1895</v>
      </c>
      <c r="AQ39" s="4">
        <v>2657</v>
      </c>
      <c r="AR39" s="4">
        <v>2856</v>
      </c>
      <c r="AS39" s="4">
        <v>3412</v>
      </c>
      <c r="AT39" s="4">
        <v>3231</v>
      </c>
      <c r="AU39" s="4">
        <v>4141</v>
      </c>
      <c r="AV39" s="4">
        <v>4885</v>
      </c>
      <c r="AW39" s="4">
        <v>5407</v>
      </c>
      <c r="AX39" s="4">
        <v>6521</v>
      </c>
      <c r="AY39" s="4">
        <v>8309</v>
      </c>
      <c r="AZ39" s="4">
        <v>8677</v>
      </c>
      <c r="BA39" s="4">
        <v>9818</v>
      </c>
      <c r="BB39" s="4">
        <v>11455</v>
      </c>
      <c r="BC39" s="4">
        <v>13039</v>
      </c>
      <c r="BD39" s="4">
        <v>12879</v>
      </c>
      <c r="BE39" s="4">
        <v>13214</v>
      </c>
      <c r="BF39" s="4">
        <v>13940</v>
      </c>
      <c r="BG39" s="4">
        <v>13857</v>
      </c>
      <c r="BH39" s="4">
        <v>15276</v>
      </c>
      <c r="BI39" s="4">
        <v>15811</v>
      </c>
      <c r="BJ39" s="4">
        <v>15713</v>
      </c>
      <c r="BK39" s="4">
        <v>14697</v>
      </c>
      <c r="BL39" s="4">
        <v>15461</v>
      </c>
      <c r="BM39" s="4">
        <v>17469</v>
      </c>
      <c r="BN39" s="4">
        <v>18213</v>
      </c>
      <c r="BO39" s="5">
        <v>19598</v>
      </c>
      <c r="BP39" s="5">
        <f>SUM(K39:N39)</f>
        <v>20117</v>
      </c>
      <c r="BQ39" s="5">
        <f t="shared" si="51"/>
        <v>21825</v>
      </c>
      <c r="BR39" s="5">
        <f t="shared" si="52"/>
        <v>22759</v>
      </c>
      <c r="BS39" s="5">
        <f>SUM(W39:Z39)</f>
        <v>24456</v>
      </c>
      <c r="BT39" s="5">
        <f>SUM(AA39:AD39)</f>
        <v>25654</v>
      </c>
      <c r="BU39" s="5">
        <f t="shared" ref="BU39:BY39" si="54">+BT39*1.03</f>
        <v>26423.62</v>
      </c>
      <c r="BV39" s="5">
        <f t="shared" si="54"/>
        <v>27216.328600000001</v>
      </c>
      <c r="BW39" s="5">
        <f t="shared" si="54"/>
        <v>28032.818458000002</v>
      </c>
      <c r="BX39" s="5">
        <f t="shared" si="54"/>
        <v>28873.803011740001</v>
      </c>
      <c r="BY39" s="5">
        <f t="shared" si="54"/>
        <v>29740.017102092203</v>
      </c>
    </row>
    <row r="40" spans="2:135" s="4" customFormat="1">
      <c r="B40" s="4" t="s">
        <v>27</v>
      </c>
      <c r="C40" s="5">
        <v>1149</v>
      </c>
      <c r="D40" s="5">
        <v>1132</v>
      </c>
      <c r="E40" s="5">
        <v>1179</v>
      </c>
      <c r="F40" s="5">
        <v>1425</v>
      </c>
      <c r="G40" s="5">
        <v>1061</v>
      </c>
      <c r="H40" s="5">
        <v>1121</v>
      </c>
      <c r="I40" s="5">
        <v>1273</v>
      </c>
      <c r="J40" s="5">
        <v>1656</v>
      </c>
      <c r="K40" s="5">
        <v>1119</v>
      </c>
      <c r="L40" s="5">
        <v>1139</v>
      </c>
      <c r="M40" s="5">
        <v>1327</v>
      </c>
      <c r="N40" s="5">
        <v>1522</v>
      </c>
      <c r="O40" s="5">
        <v>1287</v>
      </c>
      <c r="P40" s="5">
        <v>1384</v>
      </c>
      <c r="Q40" s="5">
        <v>1480</v>
      </c>
      <c r="R40" s="5">
        <v>1749</v>
      </c>
      <c r="S40" s="4">
        <v>1398</v>
      </c>
      <c r="T40" s="4">
        <v>2337</v>
      </c>
      <c r="U40" s="4">
        <v>1643</v>
      </c>
      <c r="V40" s="4">
        <v>2197</v>
      </c>
      <c r="W40" s="4">
        <v>1474</v>
      </c>
      <c r="X40" s="4">
        <v>1977</v>
      </c>
      <c r="Y40" s="4">
        <v>1912</v>
      </c>
      <c r="Z40" s="4">
        <v>2246</v>
      </c>
      <c r="AA40" s="4">
        <v>1673</v>
      </c>
      <c r="AB40" s="4">
        <v>1823</v>
      </c>
      <c r="AC40" s="4">
        <v>1737</v>
      </c>
      <c r="AD40" s="4">
        <v>1990</v>
      </c>
      <c r="AK40" s="4">
        <v>39</v>
      </c>
      <c r="AL40" s="4">
        <v>62</v>
      </c>
      <c r="AM40" s="4">
        <v>90</v>
      </c>
      <c r="AN40" s="4">
        <v>119</v>
      </c>
      <c r="AO40" s="4">
        <v>166</v>
      </c>
      <c r="AP40" s="4">
        <v>267</v>
      </c>
      <c r="AQ40" s="4">
        <v>316</v>
      </c>
      <c r="AR40" s="4">
        <v>362</v>
      </c>
      <c r="AS40" s="4">
        <v>433</v>
      </c>
      <c r="AT40" s="4">
        <v>689</v>
      </c>
      <c r="AU40" s="4">
        <v>1009</v>
      </c>
      <c r="AV40" s="4">
        <v>857</v>
      </c>
      <c r="AW40" s="4">
        <v>1550</v>
      </c>
      <c r="AX40" s="4">
        <v>2104</v>
      </c>
      <c r="AY40" s="4">
        <v>4997</v>
      </c>
      <c r="AZ40" s="4">
        <v>4166</v>
      </c>
      <c r="BA40" s="4">
        <v>3758</v>
      </c>
      <c r="BB40" s="4">
        <v>3329</v>
      </c>
      <c r="BC40" s="4">
        <v>5127</v>
      </c>
      <c r="BD40" s="4">
        <v>3700</v>
      </c>
      <c r="BE40" s="4">
        <v>4004</v>
      </c>
      <c r="BF40" s="4">
        <v>4222</v>
      </c>
      <c r="BG40" s="4">
        <v>4569</v>
      </c>
      <c r="BH40" s="4">
        <v>5149</v>
      </c>
      <c r="BI40" s="4">
        <v>4821</v>
      </c>
      <c r="BJ40" s="4">
        <v>4611</v>
      </c>
      <c r="BK40" s="4">
        <v>4563</v>
      </c>
      <c r="BL40" s="4">
        <v>4481</v>
      </c>
      <c r="BM40" s="4">
        <v>4754</v>
      </c>
      <c r="BN40" s="4">
        <v>4885</v>
      </c>
      <c r="BO40" s="5">
        <v>5111</v>
      </c>
      <c r="BP40" s="5">
        <f>SUM(K40:N40)</f>
        <v>5107</v>
      </c>
      <c r="BQ40" s="5">
        <f t="shared" si="51"/>
        <v>5900</v>
      </c>
      <c r="BR40" s="5">
        <f t="shared" si="52"/>
        <v>7575</v>
      </c>
      <c r="BS40" s="5">
        <f>SUM(W40:Z40)</f>
        <v>7609</v>
      </c>
      <c r="BT40" s="5">
        <f>SUM(AA40:AD40)</f>
        <v>7223</v>
      </c>
      <c r="BU40" s="5">
        <f t="shared" ref="BU40:BY40" si="55">+BT40*1.03</f>
        <v>7439.6900000000005</v>
      </c>
      <c r="BV40" s="5">
        <f t="shared" si="55"/>
        <v>7662.8807000000006</v>
      </c>
      <c r="BW40" s="5">
        <f t="shared" si="55"/>
        <v>7892.7671210000008</v>
      </c>
      <c r="BX40" s="5">
        <f t="shared" si="55"/>
        <v>8129.5501346300007</v>
      </c>
      <c r="BY40" s="5">
        <f t="shared" si="55"/>
        <v>8373.4366386689017</v>
      </c>
    </row>
    <row r="41" spans="2:135" s="4" customFormat="1">
      <c r="B41" s="4" t="s">
        <v>23</v>
      </c>
      <c r="C41" s="5">
        <f t="shared" ref="C41:D41" si="56">SUM(C38:C40)</f>
        <v>9224</v>
      </c>
      <c r="D41" s="5">
        <f t="shared" si="56"/>
        <v>9790</v>
      </c>
      <c r="E41" s="5">
        <f t="shared" ref="E41:F41" si="57">SUM(E38:E40)</f>
        <v>10060</v>
      </c>
      <c r="F41" s="5">
        <f t="shared" si="57"/>
        <v>10900</v>
      </c>
      <c r="G41" s="5">
        <f t="shared" ref="G41:H41" si="58">SUM(G38:G40)</f>
        <v>9963</v>
      </c>
      <c r="H41" s="5">
        <f t="shared" si="58"/>
        <v>10657</v>
      </c>
      <c r="I41" s="5">
        <f t="shared" ref="I41:J41" si="59">SUM(I38:I40)</f>
        <v>11071</v>
      </c>
      <c r="J41" s="5">
        <f t="shared" si="59"/>
        <v>12287</v>
      </c>
      <c r="K41" s="5">
        <f t="shared" ref="K41:P41" si="60">SUM(K38:K40)</f>
        <v>10276</v>
      </c>
      <c r="L41" s="5">
        <f t="shared" si="60"/>
        <v>10985</v>
      </c>
      <c r="M41" s="5">
        <f t="shared" si="60"/>
        <v>11613</v>
      </c>
      <c r="N41" s="5">
        <f t="shared" si="60"/>
        <v>13066</v>
      </c>
      <c r="O41" s="5">
        <f t="shared" si="60"/>
        <v>11433</v>
      </c>
      <c r="P41" s="5">
        <f t="shared" si="60"/>
        <v>12521</v>
      </c>
      <c r="Q41" s="5">
        <f>SUM(Q38:Q40)</f>
        <v>13381</v>
      </c>
      <c r="R41" s="5">
        <f t="shared" ref="R41:S41" si="61">SUM(R38:R40)</f>
        <v>14902</v>
      </c>
      <c r="S41" s="5">
        <f t="shared" si="61"/>
        <v>13152</v>
      </c>
      <c r="T41" s="5">
        <f>SUM(T38:T40)</f>
        <v>14860</v>
      </c>
      <c r="U41" s="5">
        <f t="shared" ref="U41:V41" si="62">SUM(U38:U40)</f>
        <v>14377</v>
      </c>
      <c r="V41" s="5">
        <f t="shared" si="62"/>
        <v>15140</v>
      </c>
      <c r="W41" s="5">
        <f t="shared" ref="W41:Y41" si="63">SUM(W38:W40)</f>
        <v>13320</v>
      </c>
      <c r="X41" s="5">
        <f t="shared" si="63"/>
        <v>15365</v>
      </c>
      <c r="Y41" s="5">
        <f t="shared" si="63"/>
        <v>15772</v>
      </c>
      <c r="Z41" s="5">
        <f t="shared" ref="Z41:AE41" si="64">SUM(Z38:Z40)</f>
        <v>17118</v>
      </c>
      <c r="AA41" s="5">
        <f t="shared" si="64"/>
        <v>14934</v>
      </c>
      <c r="AB41" s="5">
        <f t="shared" si="64"/>
        <v>16180</v>
      </c>
      <c r="AC41" s="5">
        <f t="shared" si="64"/>
        <v>16147</v>
      </c>
      <c r="AD41" s="5">
        <f t="shared" si="64"/>
        <v>18104</v>
      </c>
      <c r="AE41" s="5">
        <f t="shared" si="64"/>
        <v>0</v>
      </c>
      <c r="AF41" s="5">
        <f t="shared" ref="AF41:AH41" si="65">SUM(AF38:AF40)</f>
        <v>0</v>
      </c>
      <c r="AG41" s="5">
        <f t="shared" si="65"/>
        <v>0</v>
      </c>
      <c r="AH41" s="5">
        <f t="shared" si="65"/>
        <v>0</v>
      </c>
      <c r="AI41" s="5"/>
      <c r="AJ41" s="5"/>
      <c r="AK41" s="5">
        <f t="shared" ref="AK41:AL41" si="66">AK38+AK39+AK40</f>
        <v>537</v>
      </c>
      <c r="AL41" s="5">
        <f t="shared" si="66"/>
        <v>831</v>
      </c>
      <c r="AM41" s="5">
        <f>AM38+AM39+AM40</f>
        <v>1296</v>
      </c>
      <c r="AN41" s="5">
        <f>AN38+AN39+AN40</f>
        <v>1794</v>
      </c>
      <c r="AO41" s="5">
        <f>AO38+AO39+AO40</f>
        <v>2160</v>
      </c>
      <c r="AP41" s="5">
        <f>AP38+AP39+AP40</f>
        <v>3022</v>
      </c>
      <c r="AQ41" s="5">
        <f>AQ38+AQ39+AQ40</f>
        <v>4405</v>
      </c>
      <c r="AR41" s="5">
        <f t="shared" ref="AR41" si="67">AR38+AR39+AR40</f>
        <v>5143</v>
      </c>
      <c r="AS41" s="5">
        <f t="shared" ref="AS41:BJ41" si="68">AS38+AS39+AS40</f>
        <v>6347</v>
      </c>
      <c r="AT41" s="5">
        <f t="shared" si="68"/>
        <v>6890</v>
      </c>
      <c r="AU41" s="5">
        <f t="shared" si="68"/>
        <v>8925</v>
      </c>
      <c r="AV41" s="5">
        <f t="shared" si="68"/>
        <v>10121</v>
      </c>
      <c r="AW41" s="5">
        <f t="shared" si="68"/>
        <v>11264</v>
      </c>
      <c r="AX41" s="5">
        <f t="shared" si="68"/>
        <v>13284</v>
      </c>
      <c r="AY41" s="5">
        <f t="shared" si="68"/>
        <v>21085</v>
      </c>
      <c r="AZ41" s="5">
        <f t="shared" si="68"/>
        <v>19027</v>
      </c>
      <c r="BA41" s="5">
        <f t="shared" si="68"/>
        <v>20160</v>
      </c>
      <c r="BB41" s="5">
        <f t="shared" si="68"/>
        <v>21905</v>
      </c>
      <c r="BC41" s="5">
        <f t="shared" si="68"/>
        <v>26330</v>
      </c>
      <c r="BD41" s="5">
        <f t="shared" si="68"/>
        <v>25589</v>
      </c>
      <c r="BE41" s="5">
        <f t="shared" si="68"/>
        <v>25932</v>
      </c>
      <c r="BF41" s="5">
        <f t="shared" si="68"/>
        <v>27205</v>
      </c>
      <c r="BG41" s="5">
        <f t="shared" si="68"/>
        <v>28237</v>
      </c>
      <c r="BH41" s="5">
        <f t="shared" si="68"/>
        <v>30836</v>
      </c>
      <c r="BI41" s="5">
        <f t="shared" si="68"/>
        <v>32013</v>
      </c>
      <c r="BJ41" s="5">
        <f t="shared" si="68"/>
        <v>32370</v>
      </c>
      <c r="BK41" s="5">
        <f t="shared" ref="BK41:BL41" si="69">SUM(BK38:BK40)</f>
        <v>31248</v>
      </c>
      <c r="BL41" s="5">
        <f t="shared" si="69"/>
        <v>32979</v>
      </c>
      <c r="BM41" s="5">
        <f t="shared" ref="BM41:BN41" si="70">SUM(BM38:BM40)</f>
        <v>36949</v>
      </c>
      <c r="BN41" s="5">
        <f t="shared" si="70"/>
        <v>39974</v>
      </c>
      <c r="BO41" s="5">
        <f t="shared" ref="BO41" si="71">SUM(BO38:BO40)</f>
        <v>43978</v>
      </c>
      <c r="BP41" s="5">
        <f t="shared" ref="BP41:BR41" si="72">SUM(BP38:BP40)</f>
        <v>45940</v>
      </c>
      <c r="BQ41" s="5">
        <f t="shared" si="72"/>
        <v>52237</v>
      </c>
      <c r="BR41" s="5">
        <f t="shared" si="72"/>
        <v>57529</v>
      </c>
      <c r="BS41" s="5">
        <f t="shared" ref="BS41" si="73">SUM(BS38:BS40)</f>
        <v>61575</v>
      </c>
      <c r="BT41" s="5">
        <f t="shared" ref="BT41" si="74">SUM(BT38:BT40)</f>
        <v>65365</v>
      </c>
      <c r="BU41" s="5">
        <f t="shared" ref="BU41" si="75">SUM(BU38:BU40)</f>
        <v>67325.95</v>
      </c>
      <c r="BV41" s="5">
        <f t="shared" ref="BV41" si="76">SUM(BV38:BV40)</f>
        <v>69345.728499999997</v>
      </c>
      <c r="BW41" s="5">
        <f t="shared" ref="BW41" si="77">SUM(BW38:BW40)</f>
        <v>71426.100355000002</v>
      </c>
      <c r="BX41" s="5">
        <f t="shared" ref="BX41" si="78">SUM(BX38:BX40)</f>
        <v>73568.883365650006</v>
      </c>
      <c r="BY41" s="5">
        <f t="shared" ref="BY41" si="79">SUM(BY38:BY40)</f>
        <v>75775.949866619514</v>
      </c>
    </row>
    <row r="42" spans="2:135" s="4" customFormat="1">
      <c r="B42" s="4" t="s">
        <v>24</v>
      </c>
      <c r="C42" s="5">
        <f t="shared" ref="C42:D42" si="80">C37-C41</f>
        <v>9955</v>
      </c>
      <c r="D42" s="5">
        <f t="shared" si="80"/>
        <v>10258</v>
      </c>
      <c r="E42" s="5">
        <f t="shared" ref="E42:F42" si="81">E37-E41</f>
        <v>10341</v>
      </c>
      <c r="F42" s="5">
        <f t="shared" si="81"/>
        <v>12405</v>
      </c>
      <c r="G42" s="5">
        <f t="shared" ref="G42:H42" si="82">G37-G41</f>
        <v>12686</v>
      </c>
      <c r="H42" s="5">
        <f t="shared" si="82"/>
        <v>13891</v>
      </c>
      <c r="I42" s="5">
        <f t="shared" ref="I42:J42" si="83">I37-I41</f>
        <v>12975</v>
      </c>
      <c r="J42" s="5">
        <f t="shared" si="83"/>
        <v>13407</v>
      </c>
      <c r="K42" s="5">
        <f t="shared" ref="K42:P42" si="84">K37-K41</f>
        <v>15876</v>
      </c>
      <c r="L42" s="5">
        <f t="shared" si="84"/>
        <v>17897</v>
      </c>
      <c r="M42" s="5">
        <f t="shared" si="84"/>
        <v>17048</v>
      </c>
      <c r="N42" s="5">
        <f t="shared" si="84"/>
        <v>19095</v>
      </c>
      <c r="O42" s="5">
        <f t="shared" si="84"/>
        <v>20238</v>
      </c>
      <c r="P42" s="5">
        <f t="shared" si="84"/>
        <v>22247</v>
      </c>
      <c r="Q42" s="5">
        <f>Q37-Q41</f>
        <v>20364</v>
      </c>
      <c r="R42" s="5">
        <f t="shared" ref="R42:S42" si="85">R37-R41</f>
        <v>20534</v>
      </c>
      <c r="S42" s="5">
        <f t="shared" si="85"/>
        <v>21518</v>
      </c>
      <c r="T42" s="5">
        <f>T37-T41</f>
        <v>20399</v>
      </c>
      <c r="U42" s="5">
        <f>U37-U41</f>
        <v>22352</v>
      </c>
      <c r="V42" s="5">
        <f t="shared" ref="V42:Y42" si="86">V37-V41</f>
        <v>24254</v>
      </c>
      <c r="W42" s="5">
        <f t="shared" si="86"/>
        <v>26895</v>
      </c>
      <c r="X42" s="5">
        <f t="shared" si="86"/>
        <v>27032</v>
      </c>
      <c r="Y42" s="5">
        <f t="shared" si="86"/>
        <v>27581</v>
      </c>
      <c r="Z42" s="5">
        <f t="shared" ref="Z42:AE42" si="87">Z37-Z41</f>
        <v>27925</v>
      </c>
      <c r="AA42" s="5">
        <f t="shared" si="87"/>
        <v>30552</v>
      </c>
      <c r="AB42" s="5">
        <f t="shared" si="87"/>
        <v>31653</v>
      </c>
      <c r="AC42" s="5">
        <f t="shared" si="87"/>
        <v>32000</v>
      </c>
      <c r="AD42" s="5">
        <f t="shared" si="87"/>
        <v>34323</v>
      </c>
      <c r="AE42" s="5">
        <f t="shared" si="87"/>
        <v>50500.45</v>
      </c>
      <c r="AF42" s="5">
        <f t="shared" ref="AF42:AH42" si="88">AF37-AF41</f>
        <v>53616.640000000007</v>
      </c>
      <c r="AG42" s="5">
        <f t="shared" si="88"/>
        <v>53950.82</v>
      </c>
      <c r="AH42" s="5">
        <f t="shared" si="88"/>
        <v>58859.57</v>
      </c>
      <c r="AI42" s="5"/>
      <c r="AJ42" s="5"/>
      <c r="AK42" s="5">
        <f t="shared" ref="AK42:AL42" si="89">AK37-AK41</f>
        <v>393</v>
      </c>
      <c r="AL42" s="5">
        <f t="shared" si="89"/>
        <v>650</v>
      </c>
      <c r="AM42" s="5">
        <f>AM37-AM41</f>
        <v>996</v>
      </c>
      <c r="AN42" s="5">
        <f>AN37-AN41</f>
        <v>1326</v>
      </c>
      <c r="AO42" s="5">
        <f>AO37-AO41</f>
        <v>1726</v>
      </c>
      <c r="AP42" s="5">
        <f>AP37-AP41</f>
        <v>2038</v>
      </c>
      <c r="AQ42" s="5">
        <f>AQ37-AQ41</f>
        <v>3078</v>
      </c>
      <c r="AR42" s="5">
        <f t="shared" ref="AR42" si="90">AR37-AR41</f>
        <v>5130</v>
      </c>
      <c r="AS42" s="5">
        <f t="shared" ref="AS42:BJ42" si="91">AS37-AS41</f>
        <v>6940</v>
      </c>
      <c r="AT42" s="5">
        <f t="shared" si="91"/>
        <v>10043</v>
      </c>
      <c r="AU42" s="5">
        <f t="shared" si="91"/>
        <v>11029</v>
      </c>
      <c r="AV42" s="5">
        <f t="shared" si="91"/>
        <v>11720</v>
      </c>
      <c r="AW42" s="5">
        <f t="shared" si="91"/>
        <v>11910</v>
      </c>
      <c r="AX42" s="5">
        <f t="shared" si="91"/>
        <v>13217</v>
      </c>
      <c r="AY42" s="5">
        <f t="shared" si="91"/>
        <v>9034</v>
      </c>
      <c r="AZ42" s="5">
        <f t="shared" si="91"/>
        <v>14561</v>
      </c>
      <c r="BA42" s="5">
        <f t="shared" si="91"/>
        <v>16472</v>
      </c>
      <c r="BB42" s="5">
        <f t="shared" si="91"/>
        <v>18524</v>
      </c>
      <c r="BC42" s="5">
        <f t="shared" si="91"/>
        <v>22492</v>
      </c>
      <c r="BD42" s="5">
        <f t="shared" si="91"/>
        <v>20693</v>
      </c>
      <c r="BE42" s="5">
        <f t="shared" si="91"/>
        <v>24157</v>
      </c>
      <c r="BF42" s="5">
        <f t="shared" si="91"/>
        <v>27161</v>
      </c>
      <c r="BG42" s="5">
        <f t="shared" si="91"/>
        <v>27956</v>
      </c>
      <c r="BH42" s="5">
        <f t="shared" si="91"/>
        <v>26764</v>
      </c>
      <c r="BI42" s="5">
        <f t="shared" si="91"/>
        <v>27886</v>
      </c>
      <c r="BJ42" s="5">
        <f t="shared" si="91"/>
        <v>28172</v>
      </c>
      <c r="BK42" s="5">
        <f t="shared" ref="BK42:BL42" si="92">BK37-BK41</f>
        <v>21292</v>
      </c>
      <c r="BL42" s="5">
        <f t="shared" si="92"/>
        <v>29331</v>
      </c>
      <c r="BM42" s="5">
        <f t="shared" ref="BM42:BN42" si="93">BM37-BM41</f>
        <v>35058</v>
      </c>
      <c r="BN42" s="5">
        <f t="shared" si="93"/>
        <v>42959</v>
      </c>
      <c r="BO42" s="5">
        <f t="shared" ref="BO42" si="94">BO37-BO41</f>
        <v>52959</v>
      </c>
      <c r="BP42" s="5">
        <f t="shared" ref="BP42:BR42" si="95">BP37-BP41</f>
        <v>69916</v>
      </c>
      <c r="BQ42" s="5">
        <f t="shared" si="95"/>
        <v>83383</v>
      </c>
      <c r="BR42" s="5">
        <f t="shared" si="95"/>
        <v>88523</v>
      </c>
      <c r="BS42" s="5">
        <f t="shared" ref="BS42" si="96">BS37-BS41</f>
        <v>109433</v>
      </c>
      <c r="BT42" s="5">
        <f t="shared" ref="BT42" si="97">BT37-BT41</f>
        <v>128528</v>
      </c>
      <c r="BU42" s="5">
        <f t="shared" ref="BU42" si="98">BU37-BU41</f>
        <v>153610.44939999998</v>
      </c>
      <c r="BV42" s="5">
        <f t="shared" ref="BV42" si="99">BV37-BV41</f>
        <v>189818.37541799998</v>
      </c>
      <c r="BW42" s="5">
        <f t="shared" ref="BW42" si="100">BW37-BW41</f>
        <v>220726.39240853995</v>
      </c>
      <c r="BX42" s="5">
        <f t="shared" ref="BX42" si="101">BX37-BX41</f>
        <v>244262.21743999614</v>
      </c>
      <c r="BY42" s="5">
        <f t="shared" ref="BY42" si="102">BY37-BY41</f>
        <v>270195.52054831607</v>
      </c>
    </row>
    <row r="43" spans="2:135">
      <c r="B43" s="4" t="s">
        <v>28</v>
      </c>
      <c r="C43" s="2">
        <v>266</v>
      </c>
      <c r="D43" s="2">
        <v>127</v>
      </c>
      <c r="E43" s="2">
        <v>145</v>
      </c>
      <c r="F43" s="2">
        <v>191</v>
      </c>
      <c r="G43" s="2">
        <v>0</v>
      </c>
      <c r="H43" s="2">
        <v>194</v>
      </c>
      <c r="I43" s="2">
        <v>-132</v>
      </c>
      <c r="J43" s="2">
        <v>15</v>
      </c>
      <c r="K43" s="2">
        <v>248</v>
      </c>
      <c r="L43" s="2">
        <v>440</v>
      </c>
      <c r="M43" s="2">
        <v>188</v>
      </c>
      <c r="N43" s="2">
        <v>310</v>
      </c>
      <c r="O43" s="2">
        <v>286</v>
      </c>
      <c r="P43" s="2">
        <v>268</v>
      </c>
      <c r="Q43" s="2">
        <v>-174</v>
      </c>
      <c r="R43" s="2">
        <v>-47</v>
      </c>
      <c r="S43" s="4">
        <v>54</v>
      </c>
      <c r="T43" s="4">
        <v>-60</v>
      </c>
      <c r="U43" s="4">
        <v>321</v>
      </c>
      <c r="V43" s="4">
        <v>473</v>
      </c>
      <c r="W43" s="4">
        <v>389</v>
      </c>
      <c r="X43" s="4">
        <v>-506</v>
      </c>
      <c r="Y43" s="4">
        <v>-854</v>
      </c>
      <c r="Z43" s="4">
        <v>-675</v>
      </c>
      <c r="AA43" s="4">
        <v>-283</v>
      </c>
      <c r="AB43" s="4">
        <v>-2288</v>
      </c>
      <c r="AC43" s="4">
        <v>-623</v>
      </c>
      <c r="AD43" s="4">
        <v>-1707</v>
      </c>
      <c r="AE43" s="4"/>
      <c r="AF43" s="4"/>
      <c r="AG43" s="4"/>
      <c r="AH43" s="4"/>
      <c r="AK43">
        <f>31-14</f>
        <v>17</v>
      </c>
      <c r="AL43">
        <f>37-16</f>
        <v>21</v>
      </c>
      <c r="AM43">
        <f>56-11</f>
        <v>45</v>
      </c>
      <c r="AN43">
        <f>82-7</f>
        <v>75</v>
      </c>
      <c r="AO43">
        <f>102-16</f>
        <v>86</v>
      </c>
      <c r="AP43">
        <f>191-16</f>
        <v>175</v>
      </c>
      <c r="AQ43">
        <f>320-19</f>
        <v>301</v>
      </c>
      <c r="AR43">
        <f>443-259</f>
        <v>184</v>
      </c>
      <c r="AS43">
        <f>703-230</f>
        <v>473</v>
      </c>
      <c r="AT43" s="4">
        <f>1803-115</f>
        <v>1688</v>
      </c>
      <c r="AU43" s="4">
        <f>3182-92</f>
        <v>3090</v>
      </c>
      <c r="AV43" s="4">
        <v>-36</v>
      </c>
      <c r="AW43" s="4">
        <v>-305</v>
      </c>
      <c r="AX43" s="4">
        <v>1577</v>
      </c>
      <c r="AY43" s="4">
        <v>3187</v>
      </c>
      <c r="AZ43" s="4">
        <v>2067</v>
      </c>
      <c r="BA43" s="4">
        <v>1790</v>
      </c>
      <c r="BB43" s="4">
        <v>1577</v>
      </c>
      <c r="BC43" s="4">
        <v>1322</v>
      </c>
      <c r="BD43" s="4">
        <v>-542</v>
      </c>
      <c r="BE43" s="4">
        <v>915</v>
      </c>
      <c r="BF43" s="4">
        <v>910</v>
      </c>
      <c r="BG43" s="4">
        <v>504</v>
      </c>
      <c r="BH43" s="4">
        <v>288</v>
      </c>
      <c r="BI43" s="4">
        <v>61</v>
      </c>
      <c r="BJ43" s="4">
        <v>346</v>
      </c>
      <c r="BK43" s="4">
        <v>-431</v>
      </c>
      <c r="BL43" s="4">
        <v>876</v>
      </c>
      <c r="BM43" s="4">
        <v>1416</v>
      </c>
      <c r="BN43" s="4">
        <v>729</v>
      </c>
      <c r="BO43" s="2">
        <v>77</v>
      </c>
      <c r="BP43" s="5">
        <f>SUM(K43:N43)</f>
        <v>1186</v>
      </c>
      <c r="BQ43" s="5">
        <f t="shared" ref="BQ43" si="103">SUM(O43:R43)</f>
        <v>333</v>
      </c>
      <c r="BR43" s="5">
        <f t="shared" ref="BR43" si="104">SUM(S43:V43)</f>
        <v>788</v>
      </c>
      <c r="BS43" s="5">
        <f>SUM(W43:Z43)</f>
        <v>-1646</v>
      </c>
      <c r="BT43" s="5">
        <f>SUM(AA43:AD43)</f>
        <v>-4901</v>
      </c>
      <c r="BU43" s="5">
        <f>+BT43</f>
        <v>-4901</v>
      </c>
      <c r="BV43" s="5">
        <f>+BU43</f>
        <v>-4901</v>
      </c>
      <c r="BW43" s="5">
        <f>+BV63*$CD$52</f>
        <v>0</v>
      </c>
      <c r="BX43" s="5">
        <f>+BW63*$CD$52</f>
        <v>0</v>
      </c>
      <c r="BY43" s="5">
        <f>+BX63*$CD$52</f>
        <v>0</v>
      </c>
    </row>
    <row r="44" spans="2:135">
      <c r="B44" s="4" t="s">
        <v>29</v>
      </c>
      <c r="C44" s="5">
        <f t="shared" ref="C44:D44" si="105">C42+C43</f>
        <v>10221</v>
      </c>
      <c r="D44" s="5">
        <f t="shared" si="105"/>
        <v>10385</v>
      </c>
      <c r="E44" s="5">
        <f t="shared" ref="E44:F44" si="106">E42+E43</f>
        <v>10486</v>
      </c>
      <c r="F44" s="5">
        <f t="shared" si="106"/>
        <v>12596</v>
      </c>
      <c r="G44" s="5">
        <f t="shared" ref="G44:H44" si="107">G42+G43</f>
        <v>12686</v>
      </c>
      <c r="H44" s="5">
        <f t="shared" si="107"/>
        <v>14085</v>
      </c>
      <c r="I44" s="5">
        <f t="shared" ref="I44:J44" si="108">I42+I43</f>
        <v>12843</v>
      </c>
      <c r="J44" s="5">
        <f t="shared" si="108"/>
        <v>13422</v>
      </c>
      <c r="K44" s="5">
        <f>K42+K43</f>
        <v>16124</v>
      </c>
      <c r="L44" s="5">
        <f t="shared" ref="L44:AH44" si="109">L42+L43</f>
        <v>18337</v>
      </c>
      <c r="M44" s="5">
        <f t="shared" si="109"/>
        <v>17236</v>
      </c>
      <c r="N44" s="5">
        <f t="shared" si="109"/>
        <v>19405</v>
      </c>
      <c r="O44" s="5">
        <f t="shared" si="109"/>
        <v>20524</v>
      </c>
      <c r="P44" s="5">
        <f t="shared" si="109"/>
        <v>22515</v>
      </c>
      <c r="Q44" s="5">
        <f t="shared" si="109"/>
        <v>20190</v>
      </c>
      <c r="R44" s="5">
        <f t="shared" si="109"/>
        <v>20487</v>
      </c>
      <c r="S44" s="5">
        <f t="shared" si="109"/>
        <v>21572</v>
      </c>
      <c r="T44" s="5">
        <f t="shared" si="109"/>
        <v>20339</v>
      </c>
      <c r="U44" s="5">
        <f t="shared" si="109"/>
        <v>22673</v>
      </c>
      <c r="V44" s="5">
        <f t="shared" si="109"/>
        <v>24727</v>
      </c>
      <c r="W44" s="5">
        <f t="shared" si="109"/>
        <v>27284</v>
      </c>
      <c r="X44" s="5">
        <f t="shared" si="109"/>
        <v>26526</v>
      </c>
      <c r="Y44" s="5">
        <f t="shared" si="109"/>
        <v>26727</v>
      </c>
      <c r="Z44" s="5">
        <f t="shared" si="109"/>
        <v>27250</v>
      </c>
      <c r="AA44" s="5">
        <f t="shared" si="109"/>
        <v>30269</v>
      </c>
      <c r="AB44" s="5">
        <f t="shared" si="109"/>
        <v>29365</v>
      </c>
      <c r="AC44" s="5">
        <f t="shared" si="109"/>
        <v>31377</v>
      </c>
      <c r="AD44" s="5">
        <f t="shared" si="109"/>
        <v>32616</v>
      </c>
      <c r="AE44" s="5">
        <f t="shared" si="109"/>
        <v>50500.45</v>
      </c>
      <c r="AF44" s="5">
        <f t="shared" si="109"/>
        <v>53616.640000000007</v>
      </c>
      <c r="AG44" s="5">
        <f t="shared" si="109"/>
        <v>53950.82</v>
      </c>
      <c r="AH44" s="5">
        <f t="shared" si="109"/>
        <v>58859.57</v>
      </c>
      <c r="AK44" s="4">
        <f t="shared" ref="AK44:AL44" si="110">AK43+AK42</f>
        <v>410</v>
      </c>
      <c r="AL44" s="4">
        <f t="shared" si="110"/>
        <v>671</v>
      </c>
      <c r="AM44" s="4">
        <f>AM43+AM42</f>
        <v>1041</v>
      </c>
      <c r="AN44" s="4">
        <f>AN43+AN42</f>
        <v>1401</v>
      </c>
      <c r="AO44" s="4">
        <f>AO43+AO42</f>
        <v>1812</v>
      </c>
      <c r="AP44" s="4">
        <f>AP43+AP42</f>
        <v>2213</v>
      </c>
      <c r="AQ44" s="4">
        <f>AQ43+AQ42</f>
        <v>3379</v>
      </c>
      <c r="AR44" s="4">
        <f t="shared" ref="AR44" si="111">AR43+AR42</f>
        <v>5314</v>
      </c>
      <c r="AS44" s="4">
        <f t="shared" ref="AS44:BJ44" si="112">AS43+AS42</f>
        <v>7413</v>
      </c>
      <c r="AT44" s="4">
        <f t="shared" si="112"/>
        <v>11731</v>
      </c>
      <c r="AU44" s="4">
        <f t="shared" si="112"/>
        <v>14119</v>
      </c>
      <c r="AV44" s="4">
        <f t="shared" si="112"/>
        <v>11684</v>
      </c>
      <c r="AW44" s="4">
        <f t="shared" si="112"/>
        <v>11605</v>
      </c>
      <c r="AX44" s="4">
        <f t="shared" si="112"/>
        <v>14794</v>
      </c>
      <c r="AY44" s="4">
        <f t="shared" si="112"/>
        <v>12221</v>
      </c>
      <c r="AZ44" s="4">
        <f t="shared" si="112"/>
        <v>16628</v>
      </c>
      <c r="BA44" s="4">
        <f t="shared" si="112"/>
        <v>18262</v>
      </c>
      <c r="BB44" s="4">
        <f t="shared" si="112"/>
        <v>20101</v>
      </c>
      <c r="BC44" s="4">
        <f t="shared" si="112"/>
        <v>23814</v>
      </c>
      <c r="BD44" s="4">
        <f t="shared" si="112"/>
        <v>20151</v>
      </c>
      <c r="BE44" s="4">
        <f t="shared" si="112"/>
        <v>25072</v>
      </c>
      <c r="BF44" s="4">
        <f t="shared" si="112"/>
        <v>28071</v>
      </c>
      <c r="BG44" s="4">
        <f t="shared" si="112"/>
        <v>28460</v>
      </c>
      <c r="BH44" s="4">
        <f t="shared" si="112"/>
        <v>27052</v>
      </c>
      <c r="BI44" s="4">
        <f t="shared" si="112"/>
        <v>27947</v>
      </c>
      <c r="BJ44" s="4">
        <f t="shared" si="112"/>
        <v>28518</v>
      </c>
      <c r="BK44" s="4">
        <f>+BK42+BK43</f>
        <v>20861</v>
      </c>
      <c r="BL44" s="4">
        <f>+BL42+BL43</f>
        <v>30207</v>
      </c>
      <c r="BM44" s="4">
        <f>+BM42+BM43</f>
        <v>36474</v>
      </c>
      <c r="BN44" s="4">
        <f>+BN42+BN43</f>
        <v>43688</v>
      </c>
      <c r="BO44" s="5">
        <f>+BO42+BO43</f>
        <v>53036</v>
      </c>
      <c r="BP44" s="5">
        <f t="shared" ref="BP44:BR44" si="113">+BP42+BP43</f>
        <v>71102</v>
      </c>
      <c r="BQ44" s="5">
        <f t="shared" si="113"/>
        <v>83716</v>
      </c>
      <c r="BR44" s="5">
        <f t="shared" si="113"/>
        <v>89311</v>
      </c>
      <c r="BS44" s="5">
        <f t="shared" ref="BS44" si="114">+BS42+BS43</f>
        <v>107787</v>
      </c>
      <c r="BT44" s="5">
        <f t="shared" ref="BT44" si="115">+BT42+BT43</f>
        <v>123627</v>
      </c>
      <c r="BU44" s="5">
        <f t="shared" ref="BU44" si="116">+BU42+BU43</f>
        <v>148709.44939999998</v>
      </c>
      <c r="BV44" s="5">
        <f t="shared" ref="BV44" si="117">+BV42+BV43</f>
        <v>184917.37541799998</v>
      </c>
      <c r="BW44" s="5">
        <f t="shared" ref="BW44" si="118">+BW42+BW43</f>
        <v>220726.39240853995</v>
      </c>
      <c r="BX44" s="5">
        <f t="shared" ref="BX44" si="119">+BX42+BX43</f>
        <v>244262.21743999614</v>
      </c>
      <c r="BY44" s="5">
        <f t="shared" ref="BY44" si="120">+BY42+BY43</f>
        <v>270195.52054831607</v>
      </c>
    </row>
    <row r="45" spans="2:135" s="4" customFormat="1">
      <c r="B45" s="4" t="s">
        <v>30</v>
      </c>
      <c r="C45" s="5">
        <v>1397</v>
      </c>
      <c r="D45" s="5">
        <v>1965</v>
      </c>
      <c r="E45" s="5">
        <v>1677</v>
      </c>
      <c r="F45" s="5">
        <v>-591</v>
      </c>
      <c r="G45" s="5">
        <v>2008</v>
      </c>
      <c r="H45" s="5">
        <v>2436</v>
      </c>
      <c r="I45" s="5">
        <v>2091</v>
      </c>
      <c r="J45" s="5">
        <v>2220</v>
      </c>
      <c r="K45" s="5">
        <v>2231</v>
      </c>
      <c r="L45" s="5">
        <v>2874</v>
      </c>
      <c r="M45" s="5">
        <v>1779</v>
      </c>
      <c r="N45" s="5">
        <v>2947</v>
      </c>
      <c r="O45" s="5">
        <v>19</v>
      </c>
      <c r="P45" s="5">
        <v>3750</v>
      </c>
      <c r="Q45" s="5">
        <v>3462</v>
      </c>
      <c r="R45" s="5">
        <v>3747</v>
      </c>
      <c r="S45" s="4">
        <v>4016</v>
      </c>
      <c r="T45" s="4">
        <v>3914</v>
      </c>
      <c r="U45" s="4">
        <v>4374</v>
      </c>
      <c r="V45" s="4">
        <v>4646</v>
      </c>
      <c r="W45" s="4">
        <v>4993</v>
      </c>
      <c r="X45" s="4">
        <v>4656</v>
      </c>
      <c r="Y45" s="4">
        <v>4788</v>
      </c>
      <c r="Z45" s="4">
        <v>5214</v>
      </c>
      <c r="AA45" s="4">
        <v>5602</v>
      </c>
      <c r="AB45" s="4">
        <v>5257</v>
      </c>
      <c r="AC45" s="4">
        <v>5553</v>
      </c>
      <c r="AD45" s="4">
        <v>5383</v>
      </c>
      <c r="AK45" s="4">
        <v>131</v>
      </c>
      <c r="AL45" s="4">
        <v>208</v>
      </c>
      <c r="AM45" s="4">
        <v>333</v>
      </c>
      <c r="AN45" s="4">
        <v>448</v>
      </c>
      <c r="AO45" s="4">
        <v>576</v>
      </c>
      <c r="AP45" s="4">
        <v>714</v>
      </c>
      <c r="AQ45" s="4">
        <v>1184</v>
      </c>
      <c r="AR45" s="4">
        <v>1860</v>
      </c>
      <c r="AS45" s="4">
        <f>2627+28</f>
        <v>2655</v>
      </c>
      <c r="AT45" s="4">
        <v>4106</v>
      </c>
      <c r="AU45" s="4">
        <v>4854</v>
      </c>
      <c r="AV45" s="4">
        <v>3804</v>
      </c>
      <c r="AW45" s="4">
        <v>3684</v>
      </c>
      <c r="AX45" s="4">
        <v>4733</v>
      </c>
      <c r="AY45" s="4">
        <v>4028</v>
      </c>
      <c r="AZ45" s="4">
        <v>4374</v>
      </c>
      <c r="BA45" s="4">
        <v>5663</v>
      </c>
      <c r="BB45" s="4">
        <v>6036</v>
      </c>
      <c r="BC45" s="4">
        <v>6133</v>
      </c>
      <c r="BD45" s="4">
        <v>5252</v>
      </c>
      <c r="BE45" s="4">
        <v>6253</v>
      </c>
      <c r="BF45" s="4">
        <v>4921</v>
      </c>
      <c r="BG45" s="4">
        <v>5289</v>
      </c>
      <c r="BH45" s="4">
        <v>5189</v>
      </c>
      <c r="BI45" s="4">
        <v>5746</v>
      </c>
      <c r="BJ45" s="4">
        <v>6314</v>
      </c>
      <c r="BK45" s="4">
        <v>2953</v>
      </c>
      <c r="BL45" s="4">
        <v>4412</v>
      </c>
      <c r="BM45" s="4">
        <v>19903</v>
      </c>
      <c r="BN45" s="4">
        <v>4448</v>
      </c>
      <c r="BO45" s="5">
        <v>8755</v>
      </c>
      <c r="BP45" s="5">
        <f>SUM(K45:N45)</f>
        <v>9831</v>
      </c>
      <c r="BQ45" s="5">
        <f t="shared" ref="BQ45" si="121">SUM(O45:R45)</f>
        <v>10978</v>
      </c>
      <c r="BR45" s="5">
        <f t="shared" ref="BR45" si="122">SUM(S45:V45)</f>
        <v>16950</v>
      </c>
      <c r="BS45" s="5">
        <f>SUM(W45:Z45)</f>
        <v>19651</v>
      </c>
      <c r="BT45" s="5">
        <f>SUM(AA45:AD45)</f>
        <v>21795</v>
      </c>
      <c r="BU45" s="5">
        <f>+BU44*0.18</f>
        <v>26767.700891999997</v>
      </c>
      <c r="BV45" s="5">
        <f>+BV44*0.18</f>
        <v>33285.127575239996</v>
      </c>
      <c r="BW45" s="5">
        <f t="shared" ref="BW45:BY45" si="123">+BW44*0.15</f>
        <v>33108.958861280989</v>
      </c>
      <c r="BX45" s="5">
        <f t="shared" si="123"/>
        <v>36639.332615999418</v>
      </c>
      <c r="BY45" s="5">
        <f t="shared" si="123"/>
        <v>40529.328082247412</v>
      </c>
    </row>
    <row r="46" spans="2:135" s="4" customFormat="1">
      <c r="B46" s="4" t="s">
        <v>31</v>
      </c>
      <c r="C46" s="5">
        <f t="shared" ref="C46:D46" si="124">C44-C45</f>
        <v>8824</v>
      </c>
      <c r="D46" s="5">
        <f t="shared" si="124"/>
        <v>8420</v>
      </c>
      <c r="E46" s="5">
        <f t="shared" ref="E46:F46" si="125">E44-E45</f>
        <v>8809</v>
      </c>
      <c r="F46" s="5">
        <f t="shared" si="125"/>
        <v>13187</v>
      </c>
      <c r="G46" s="5">
        <f t="shared" ref="G46:H46" si="126">G44-G45</f>
        <v>10678</v>
      </c>
      <c r="H46" s="5">
        <f t="shared" si="126"/>
        <v>11649</v>
      </c>
      <c r="I46" s="5">
        <f t="shared" ref="I46:J46" si="127">I44-I45</f>
        <v>10752</v>
      </c>
      <c r="J46" s="5">
        <f t="shared" si="127"/>
        <v>11202</v>
      </c>
      <c r="K46" s="5">
        <f>K44-K45</f>
        <v>13893</v>
      </c>
      <c r="L46" s="5">
        <f t="shared" ref="L46:AH46" si="128">L44-L45</f>
        <v>15463</v>
      </c>
      <c r="M46" s="5">
        <f t="shared" si="128"/>
        <v>15457</v>
      </c>
      <c r="N46" s="5">
        <f t="shared" si="128"/>
        <v>16458</v>
      </c>
      <c r="O46" s="5">
        <f t="shared" si="128"/>
        <v>20505</v>
      </c>
      <c r="P46" s="5">
        <f t="shared" si="128"/>
        <v>18765</v>
      </c>
      <c r="Q46" s="5">
        <f t="shared" si="128"/>
        <v>16728</v>
      </c>
      <c r="R46" s="5">
        <f t="shared" si="128"/>
        <v>16740</v>
      </c>
      <c r="S46" s="5">
        <f t="shared" si="128"/>
        <v>17556</v>
      </c>
      <c r="T46" s="5">
        <f t="shared" si="128"/>
        <v>16425</v>
      </c>
      <c r="U46" s="5">
        <f>U44-U45</f>
        <v>18299</v>
      </c>
      <c r="V46" s="5">
        <f t="shared" si="128"/>
        <v>20081</v>
      </c>
      <c r="W46" s="5">
        <f t="shared" si="128"/>
        <v>22291</v>
      </c>
      <c r="X46" s="5">
        <f t="shared" si="128"/>
        <v>21870</v>
      </c>
      <c r="Y46" s="5">
        <f t="shared" si="128"/>
        <v>21939</v>
      </c>
      <c r="Z46" s="5">
        <f t="shared" si="128"/>
        <v>22036</v>
      </c>
      <c r="AA46" s="5">
        <f t="shared" si="128"/>
        <v>24667</v>
      </c>
      <c r="AB46" s="5">
        <f t="shared" si="128"/>
        <v>24108</v>
      </c>
      <c r="AC46" s="5">
        <f t="shared" si="128"/>
        <v>25824</v>
      </c>
      <c r="AD46" s="5">
        <f t="shared" si="128"/>
        <v>27233</v>
      </c>
      <c r="AE46" s="5">
        <f t="shared" si="128"/>
        <v>50500.45</v>
      </c>
      <c r="AF46" s="5">
        <f t="shared" si="128"/>
        <v>53616.640000000007</v>
      </c>
      <c r="AG46" s="5">
        <f t="shared" si="128"/>
        <v>53950.82</v>
      </c>
      <c r="AH46" s="5">
        <f t="shared" si="128"/>
        <v>58859.57</v>
      </c>
      <c r="AK46" s="4">
        <f t="shared" ref="AK46:AL46" si="129">AK44-AK45</f>
        <v>279</v>
      </c>
      <c r="AL46" s="4">
        <f t="shared" si="129"/>
        <v>463</v>
      </c>
      <c r="AM46" s="4">
        <f>AM44-AM45</f>
        <v>708</v>
      </c>
      <c r="AN46" s="4">
        <f>AN44-AN45</f>
        <v>953</v>
      </c>
      <c r="AO46" s="4">
        <f>AO44-AO45</f>
        <v>1236</v>
      </c>
      <c r="AP46" s="4">
        <f>AP44-AP45</f>
        <v>1499</v>
      </c>
      <c r="AQ46" s="4">
        <f>AQ44-AQ45</f>
        <v>2195</v>
      </c>
      <c r="AR46" s="4">
        <f t="shared" ref="AR46" si="130">AR44-AR45</f>
        <v>3454</v>
      </c>
      <c r="AS46" s="4">
        <f t="shared" ref="AS46:BJ46" si="131">AS44-AS45</f>
        <v>4758</v>
      </c>
      <c r="AT46" s="4">
        <f t="shared" si="131"/>
        <v>7625</v>
      </c>
      <c r="AU46" s="4">
        <f t="shared" si="131"/>
        <v>9265</v>
      </c>
      <c r="AV46" s="4">
        <f t="shared" si="131"/>
        <v>7880</v>
      </c>
      <c r="AW46" s="4">
        <f t="shared" si="131"/>
        <v>7921</v>
      </c>
      <c r="AX46" s="4">
        <f t="shared" si="131"/>
        <v>10061</v>
      </c>
      <c r="AY46" s="4">
        <f t="shared" si="131"/>
        <v>8193</v>
      </c>
      <c r="AZ46" s="4">
        <f t="shared" si="131"/>
        <v>12254</v>
      </c>
      <c r="BA46" s="4">
        <f t="shared" si="131"/>
        <v>12599</v>
      </c>
      <c r="BB46" s="4">
        <f t="shared" si="131"/>
        <v>14065</v>
      </c>
      <c r="BC46" s="4">
        <f t="shared" si="131"/>
        <v>17681</v>
      </c>
      <c r="BD46" s="4">
        <f t="shared" si="131"/>
        <v>14899</v>
      </c>
      <c r="BE46" s="4">
        <f t="shared" si="131"/>
        <v>18819</v>
      </c>
      <c r="BF46" s="4">
        <f t="shared" si="131"/>
        <v>23150</v>
      </c>
      <c r="BG46" s="4">
        <f t="shared" si="131"/>
        <v>23171</v>
      </c>
      <c r="BH46" s="4">
        <f t="shared" si="131"/>
        <v>21863</v>
      </c>
      <c r="BI46" s="4">
        <f t="shared" si="131"/>
        <v>22201</v>
      </c>
      <c r="BJ46" s="4">
        <f t="shared" si="131"/>
        <v>22204</v>
      </c>
      <c r="BK46" s="4">
        <f>+BK44-BK45</f>
        <v>17908</v>
      </c>
      <c r="BL46" s="4">
        <f>+BL44-BL45</f>
        <v>25795</v>
      </c>
      <c r="BM46" s="4">
        <f>+BM44-BM45</f>
        <v>16571</v>
      </c>
      <c r="BN46" s="4">
        <f>+BN44-BN45</f>
        <v>39240</v>
      </c>
      <c r="BO46" s="4">
        <f>+BO44-BO45</f>
        <v>44281</v>
      </c>
      <c r="BP46" s="4">
        <f t="shared" ref="BP46:BR46" si="132">+BP44-BP45</f>
        <v>61271</v>
      </c>
      <c r="BQ46" s="4">
        <f t="shared" si="132"/>
        <v>72738</v>
      </c>
      <c r="BR46" s="4">
        <f t="shared" si="132"/>
        <v>72361</v>
      </c>
      <c r="BS46" s="4">
        <f t="shared" ref="BS46" si="133">+BS44-BS45</f>
        <v>88136</v>
      </c>
      <c r="BT46" s="4">
        <f t="shared" ref="BT46" si="134">+BT44-BT45</f>
        <v>101832</v>
      </c>
      <c r="BU46" s="4">
        <f t="shared" ref="BU46" si="135">+BU44-BU45</f>
        <v>121941.74850799999</v>
      </c>
      <c r="BV46" s="4">
        <f t="shared" ref="BV46" si="136">+BV44-BV45</f>
        <v>151632.24784276</v>
      </c>
      <c r="BW46" s="4">
        <f t="shared" ref="BW46" si="137">+BW44-BW45</f>
        <v>187617.43354725896</v>
      </c>
      <c r="BX46" s="4">
        <f t="shared" ref="BX46" si="138">+BX44-BX45</f>
        <v>207622.88482399672</v>
      </c>
      <c r="BY46" s="4">
        <f t="shared" ref="BY46" si="139">+BY44-BY45</f>
        <v>229666.19246606866</v>
      </c>
      <c r="BZ46" s="4">
        <f t="shared" ref="BZ46:DE46" si="140">+BY46*(1+$CD$50)</f>
        <v>234259.51631539004</v>
      </c>
      <c r="CA46" s="4">
        <f t="shared" si="140"/>
        <v>238944.70664169785</v>
      </c>
      <c r="CB46" s="4">
        <f t="shared" si="140"/>
        <v>243723.60077453181</v>
      </c>
      <c r="CC46" s="4">
        <f t="shared" si="140"/>
        <v>248598.07279002244</v>
      </c>
      <c r="CD46" s="4">
        <f t="shared" si="140"/>
        <v>253570.0342458229</v>
      </c>
      <c r="CE46" s="4">
        <f t="shared" si="140"/>
        <v>258641.43493073937</v>
      </c>
      <c r="CF46" s="4">
        <f t="shared" si="140"/>
        <v>263814.26362935419</v>
      </c>
      <c r="CG46" s="4">
        <f t="shared" si="140"/>
        <v>269090.54890194128</v>
      </c>
      <c r="CH46" s="4">
        <f t="shared" si="140"/>
        <v>274472.3598799801</v>
      </c>
      <c r="CI46" s="4">
        <f t="shared" si="140"/>
        <v>279961.80707757972</v>
      </c>
      <c r="CJ46" s="4">
        <f t="shared" si="140"/>
        <v>285561.0432191313</v>
      </c>
      <c r="CK46" s="4">
        <f t="shared" si="140"/>
        <v>291272.26408351393</v>
      </c>
      <c r="CL46" s="4">
        <f t="shared" si="140"/>
        <v>297097.70936518424</v>
      </c>
      <c r="CM46" s="4">
        <f t="shared" si="140"/>
        <v>303039.66355248791</v>
      </c>
      <c r="CN46" s="4">
        <f t="shared" si="140"/>
        <v>309100.45682353765</v>
      </c>
      <c r="CO46" s="4">
        <f t="shared" si="140"/>
        <v>315282.46596000838</v>
      </c>
      <c r="CP46" s="4">
        <f t="shared" si="140"/>
        <v>321588.11527920858</v>
      </c>
      <c r="CQ46" s="4">
        <f t="shared" si="140"/>
        <v>328019.87758479273</v>
      </c>
      <c r="CR46" s="4">
        <f t="shared" si="140"/>
        <v>334580.27513648861</v>
      </c>
      <c r="CS46" s="4">
        <f t="shared" si="140"/>
        <v>341271.88063921838</v>
      </c>
      <c r="CT46" s="4">
        <f t="shared" si="140"/>
        <v>348097.31825200276</v>
      </c>
      <c r="CU46" s="4">
        <f t="shared" si="140"/>
        <v>355059.26461704285</v>
      </c>
      <c r="CV46" s="4">
        <f t="shared" si="140"/>
        <v>362160.44990938372</v>
      </c>
      <c r="CW46" s="4">
        <f t="shared" si="140"/>
        <v>369403.6589075714</v>
      </c>
      <c r="CX46" s="4">
        <f t="shared" si="140"/>
        <v>376791.73208572285</v>
      </c>
      <c r="CY46" s="4">
        <f t="shared" si="140"/>
        <v>384327.56672743731</v>
      </c>
      <c r="CZ46" s="4">
        <f t="shared" si="140"/>
        <v>392014.11806198605</v>
      </c>
      <c r="DA46" s="4">
        <f t="shared" si="140"/>
        <v>399854.40042322577</v>
      </c>
      <c r="DB46" s="4">
        <f t="shared" si="140"/>
        <v>407851.48843169032</v>
      </c>
      <c r="DC46" s="4">
        <f t="shared" si="140"/>
        <v>416008.51820032415</v>
      </c>
      <c r="DD46" s="4">
        <f t="shared" si="140"/>
        <v>424328.68856433063</v>
      </c>
      <c r="DE46" s="4">
        <f t="shared" si="140"/>
        <v>432815.26233561727</v>
      </c>
      <c r="DF46" s="4">
        <f t="shared" ref="DF46:EE46" si="141">+DE46*(1+$CD$50)</f>
        <v>441471.56758232962</v>
      </c>
      <c r="DG46" s="4">
        <f t="shared" si="141"/>
        <v>450300.99893397623</v>
      </c>
      <c r="DH46" s="4">
        <f t="shared" si="141"/>
        <v>459307.01891265577</v>
      </c>
      <c r="DI46" s="4">
        <f t="shared" si="141"/>
        <v>468493.15929090889</v>
      </c>
      <c r="DJ46" s="4">
        <f t="shared" si="141"/>
        <v>477863.02247672708</v>
      </c>
      <c r="DK46" s="4">
        <f t="shared" si="141"/>
        <v>487420.28292626166</v>
      </c>
      <c r="DL46" s="4">
        <f t="shared" si="141"/>
        <v>497168.6885847869</v>
      </c>
      <c r="DM46" s="4">
        <f t="shared" si="141"/>
        <v>507112.06235648267</v>
      </c>
      <c r="DN46" s="4">
        <f t="shared" si="141"/>
        <v>517254.30360361235</v>
      </c>
      <c r="DO46" s="4">
        <f t="shared" si="141"/>
        <v>527599.38967568462</v>
      </c>
      <c r="DP46" s="4">
        <f t="shared" si="141"/>
        <v>538151.37746919831</v>
      </c>
      <c r="DQ46" s="4">
        <f t="shared" si="141"/>
        <v>548914.40501858224</v>
      </c>
      <c r="DR46" s="4">
        <f t="shared" si="141"/>
        <v>559892.69311895384</v>
      </c>
      <c r="DS46" s="4">
        <f t="shared" si="141"/>
        <v>571090.54698133294</v>
      </c>
      <c r="DT46" s="4">
        <f t="shared" si="141"/>
        <v>582512.35792095959</v>
      </c>
      <c r="DU46" s="4">
        <f t="shared" si="141"/>
        <v>594162.60507937882</v>
      </c>
      <c r="DV46" s="4">
        <f t="shared" si="141"/>
        <v>606045.85718096641</v>
      </c>
      <c r="DW46" s="4">
        <f t="shared" si="141"/>
        <v>618166.7743245858</v>
      </c>
      <c r="DX46" s="4">
        <f t="shared" si="141"/>
        <v>630530.10981107748</v>
      </c>
      <c r="DY46" s="4">
        <f t="shared" si="141"/>
        <v>643140.71200729907</v>
      </c>
      <c r="DZ46" s="4">
        <f t="shared" si="141"/>
        <v>656003.52624744503</v>
      </c>
      <c r="EA46" s="4">
        <f t="shared" si="141"/>
        <v>669123.59677239391</v>
      </c>
      <c r="EB46" s="4">
        <f t="shared" si="141"/>
        <v>682506.0687078418</v>
      </c>
      <c r="EC46" s="4">
        <f t="shared" si="141"/>
        <v>696156.19008199859</v>
      </c>
      <c r="ED46" s="4">
        <f t="shared" si="141"/>
        <v>710079.31388363859</v>
      </c>
      <c r="EE46" s="4">
        <f t="shared" si="141"/>
        <v>724280.90016131138</v>
      </c>
    </row>
    <row r="47" spans="2:135" s="3" customFormat="1" ht="13">
      <c r="B47" s="6" t="s">
        <v>33</v>
      </c>
      <c r="C47" s="8">
        <f t="shared" ref="C47:D47" si="142">C46/C48</f>
        <v>1.1362348699459182</v>
      </c>
      <c r="D47" s="8">
        <f t="shared" si="142"/>
        <v>1.0839340885684861</v>
      </c>
      <c r="E47" s="8">
        <f t="shared" ref="E47:F47" si="143">E46/E48</f>
        <v>1.1375258264462811</v>
      </c>
      <c r="F47" s="8">
        <f t="shared" si="143"/>
        <v>1.7059508408796895</v>
      </c>
      <c r="G47" s="8">
        <f t="shared" ref="G47:H47" si="144">G46/G48</f>
        <v>1.3849546044098573</v>
      </c>
      <c r="H47" s="8">
        <f t="shared" si="144"/>
        <v>1.5146274866727343</v>
      </c>
      <c r="I47" s="8">
        <f t="shared" ref="I47:J47" si="145">I46/I48</f>
        <v>1.4009120521172638</v>
      </c>
      <c r="J47" s="8">
        <f t="shared" si="145"/>
        <v>1.4643137254901961</v>
      </c>
      <c r="K47" s="8">
        <f t="shared" ref="K47:P47" si="146">K46/K48</f>
        <v>1.8191698310855047</v>
      </c>
      <c r="L47" s="8">
        <f t="shared" si="146"/>
        <v>2.0303308823529411</v>
      </c>
      <c r="M47" s="8">
        <f t="shared" si="146"/>
        <v>2.0346189285244174</v>
      </c>
      <c r="N47" s="8">
        <f t="shared" si="146"/>
        <v>2.1709537000395724</v>
      </c>
      <c r="O47" s="8">
        <f t="shared" si="146"/>
        <v>2.7097925201532971</v>
      </c>
      <c r="P47" s="8">
        <f t="shared" si="146"/>
        <v>2.4837855724685638</v>
      </c>
      <c r="Q47" s="8">
        <f>Q46/Q48</f>
        <v>2.2203344836740113</v>
      </c>
      <c r="R47" s="8">
        <f>R46/R48</f>
        <v>2.2302158273381294</v>
      </c>
      <c r="S47" s="8">
        <f>S46/S48</f>
        <v>2.3454909819639278</v>
      </c>
      <c r="T47" s="8">
        <f t="shared" ref="T47:AH47" si="147">T46/T48</f>
        <v>2.1979124849458049</v>
      </c>
      <c r="U47" s="8">
        <f>U46/U48</f>
        <v>2.4516345123258305</v>
      </c>
      <c r="V47" s="8">
        <f t="shared" si="147"/>
        <v>2.6892995848399623</v>
      </c>
      <c r="W47" s="8">
        <f t="shared" si="147"/>
        <v>2.9872688287322435</v>
      </c>
      <c r="X47" s="8">
        <f t="shared" si="147"/>
        <v>2.9284949116229244</v>
      </c>
      <c r="Y47" s="8">
        <f t="shared" si="147"/>
        <v>2.936161670235546</v>
      </c>
      <c r="Z47" s="8">
        <f t="shared" si="147"/>
        <v>2.9503280224929709</v>
      </c>
      <c r="AA47" s="8">
        <f t="shared" si="147"/>
        <v>3.3021419009370816</v>
      </c>
      <c r="AB47" s="8">
        <f t="shared" si="147"/>
        <v>3.2281735404392071</v>
      </c>
      <c r="AC47" s="8">
        <f t="shared" si="147"/>
        <v>3.4611982308001608</v>
      </c>
      <c r="AD47" s="8">
        <f t="shared" si="147"/>
        <v>3.6500469106017959</v>
      </c>
      <c r="AE47" s="8">
        <f t="shared" si="147"/>
        <v>6.7685900013403026</v>
      </c>
      <c r="AF47" s="8">
        <f t="shared" si="147"/>
        <v>7.1862538533708626</v>
      </c>
      <c r="AG47" s="8">
        <f t="shared" si="147"/>
        <v>7.2310440959656885</v>
      </c>
      <c r="AH47" s="8">
        <f t="shared" si="147"/>
        <v>7.8889652861546713</v>
      </c>
      <c r="AK47" s="11">
        <f t="shared" ref="AK47:AL47" si="148">AK46/AK48</f>
        <v>0.51955307262569828</v>
      </c>
      <c r="AL47" s="11">
        <f t="shared" si="148"/>
        <v>0.82238010657193605</v>
      </c>
      <c r="AM47" s="11">
        <f>AM46/AM48</f>
        <v>1.2040816326530612</v>
      </c>
      <c r="AN47" s="11">
        <f>AN46/AN48</f>
        <v>1.5726072607260726</v>
      </c>
      <c r="AO47" s="11">
        <f>AO46/AO48</f>
        <v>2.0262295081967214</v>
      </c>
      <c r="AP47" s="11">
        <f>AP46/AP48</f>
        <v>2.3907496012759171</v>
      </c>
      <c r="AQ47" s="11">
        <f>AQ46/AQ48</f>
        <v>3.4296875</v>
      </c>
      <c r="AR47" s="11">
        <f t="shared" ref="AR47" si="149">AR46/AR48</f>
        <v>2.6326219512195124</v>
      </c>
      <c r="AS47" s="11">
        <f t="shared" ref="AS47:BJ47" si="150">AS46/AS48</f>
        <v>1.7747109287579261</v>
      </c>
      <c r="AT47" s="11">
        <f t="shared" si="150"/>
        <v>1.4924642787238207</v>
      </c>
      <c r="AU47" s="11">
        <f t="shared" si="150"/>
        <v>1.7537384062085937</v>
      </c>
      <c r="AV47" s="11">
        <f t="shared" si="150"/>
        <v>1.4137064944384643</v>
      </c>
      <c r="AW47" s="11">
        <f t="shared" si="150"/>
        <v>1.4264361606338916</v>
      </c>
      <c r="AX47" s="11">
        <f t="shared" si="150"/>
        <v>0.92455430986950926</v>
      </c>
      <c r="AY47" s="11">
        <f t="shared" si="150"/>
        <v>0.75206535707729028</v>
      </c>
      <c r="AZ47" s="11">
        <f t="shared" si="150"/>
        <v>1.123601687144691</v>
      </c>
      <c r="BA47" s="11">
        <f t="shared" si="150"/>
        <v>1.1963726141866868</v>
      </c>
      <c r="BB47" s="11">
        <f t="shared" si="150"/>
        <v>1.4227189965607931</v>
      </c>
      <c r="BC47" s="11">
        <f t="shared" si="150"/>
        <v>1.867053854276663</v>
      </c>
      <c r="BD47" s="11">
        <f t="shared" si="150"/>
        <v>1.6561805246776344</v>
      </c>
      <c r="BE47" s="11">
        <f t="shared" si="150"/>
        <v>2.1080990254284755</v>
      </c>
      <c r="BF47" s="11">
        <f t="shared" si="150"/>
        <v>2.6940532991970207</v>
      </c>
      <c r="BG47" s="11">
        <f t="shared" si="150"/>
        <v>2.724077122031507</v>
      </c>
      <c r="BH47" s="11">
        <f t="shared" si="150"/>
        <v>2.581227863046045</v>
      </c>
      <c r="BI47" s="11">
        <f t="shared" si="150"/>
        <v>2.6432908679604714</v>
      </c>
      <c r="BJ47" s="11">
        <f t="shared" si="150"/>
        <v>2.6900896535013326</v>
      </c>
      <c r="BK47" s="11">
        <f>+BK46/BK48</f>
        <v>2.2348683389492074</v>
      </c>
      <c r="BL47" s="11">
        <f>+BL46/BL48</f>
        <v>3.2935393258426968</v>
      </c>
      <c r="BM47" s="11">
        <f>+BM46/BM48</f>
        <v>2.126122658455222</v>
      </c>
      <c r="BN47" s="11">
        <f>+BN46/BN48</f>
        <v>5.0612666064749128</v>
      </c>
      <c r="BO47" s="11">
        <f>+BO46/BO48</f>
        <v>5.7635038396459715</v>
      </c>
      <c r="BP47" s="11">
        <f t="shared" ref="BP47:BR47" si="151">+BP46/BP48</f>
        <v>8.0537609674345241</v>
      </c>
      <c r="BQ47" s="11">
        <f t="shared" si="151"/>
        <v>9.6463099263974534</v>
      </c>
      <c r="BR47" s="11">
        <f t="shared" si="151"/>
        <v>9.6839640001338285</v>
      </c>
      <c r="BS47" s="11">
        <f t="shared" ref="BS47" si="152">+BS46/BS48</f>
        <v>11.802216196310804</v>
      </c>
      <c r="BT47" s="11">
        <f t="shared" ref="BT47" si="153">+BT46/BT48</f>
        <v>13.64125920964501</v>
      </c>
      <c r="BU47" s="11">
        <f t="shared" ref="BU47" si="154">+BU46/BU48</f>
        <v>16.335130409645007</v>
      </c>
      <c r="BV47" s="11">
        <f t="shared" ref="BV47" si="155">+BV46/BV48</f>
        <v>20.312424359378433</v>
      </c>
      <c r="BW47" s="11">
        <f t="shared" ref="BW47" si="156">+BW46/BW48</f>
        <v>25.132944882419149</v>
      </c>
      <c r="BX47" s="11">
        <f t="shared" ref="BX47" si="157">+BX46/BX48</f>
        <v>27.812844584594338</v>
      </c>
      <c r="BY47" s="11">
        <f t="shared" ref="BY47" si="158">+BY46/BY48</f>
        <v>30.765732413405047</v>
      </c>
    </row>
    <row r="48" spans="2:135" s="4" customFormat="1">
      <c r="B48" s="4" t="s">
        <v>32</v>
      </c>
      <c r="C48" s="5">
        <v>7766</v>
      </c>
      <c r="D48" s="5">
        <v>7768</v>
      </c>
      <c r="E48" s="5">
        <v>7744</v>
      </c>
      <c r="F48" s="5">
        <v>7730</v>
      </c>
      <c r="G48" s="5">
        <v>7710</v>
      </c>
      <c r="H48" s="5">
        <v>7691</v>
      </c>
      <c r="I48" s="5">
        <v>7675</v>
      </c>
      <c r="J48" s="5">
        <v>7650</v>
      </c>
      <c r="K48" s="5">
        <v>7637</v>
      </c>
      <c r="L48" s="5">
        <v>7616</v>
      </c>
      <c r="M48" s="5">
        <v>7597</v>
      </c>
      <c r="N48" s="5">
        <v>7581</v>
      </c>
      <c r="O48" s="5">
        <v>7567</v>
      </c>
      <c r="P48" s="5">
        <v>7555</v>
      </c>
      <c r="Q48" s="5">
        <v>7534</v>
      </c>
      <c r="R48" s="5">
        <v>7506</v>
      </c>
      <c r="S48" s="4">
        <v>7485</v>
      </c>
      <c r="T48" s="4">
        <v>7473</v>
      </c>
      <c r="U48" s="4">
        <v>7464</v>
      </c>
      <c r="V48" s="4">
        <v>7467</v>
      </c>
      <c r="W48" s="4">
        <v>7462</v>
      </c>
      <c r="X48" s="4">
        <v>7468</v>
      </c>
      <c r="Y48" s="4">
        <v>7472</v>
      </c>
      <c r="Z48" s="4">
        <v>7469</v>
      </c>
      <c r="AA48" s="4">
        <v>7470</v>
      </c>
      <c r="AB48" s="4">
        <v>7468</v>
      </c>
      <c r="AC48" s="4">
        <v>7461</v>
      </c>
      <c r="AD48" s="4">
        <v>7461</v>
      </c>
      <c r="AE48" s="4">
        <f>+AD48</f>
        <v>7461</v>
      </c>
      <c r="AF48" s="4">
        <f>+AE48</f>
        <v>7461</v>
      </c>
      <c r="AG48" s="4">
        <f>+AF48</f>
        <v>7461</v>
      </c>
      <c r="AH48" s="4">
        <f>+AG48</f>
        <v>7461</v>
      </c>
      <c r="AK48" s="4">
        <v>537</v>
      </c>
      <c r="AL48" s="4">
        <v>563</v>
      </c>
      <c r="AM48" s="4">
        <v>588</v>
      </c>
      <c r="AN48" s="4">
        <v>606</v>
      </c>
      <c r="AO48" s="4">
        <v>610</v>
      </c>
      <c r="AP48" s="4">
        <v>627</v>
      </c>
      <c r="AQ48" s="4">
        <v>640</v>
      </c>
      <c r="AR48" s="4">
        <v>1312</v>
      </c>
      <c r="AS48" s="4">
        <v>2681</v>
      </c>
      <c r="AT48" s="4">
        <v>5109</v>
      </c>
      <c r="AU48" s="4">
        <v>5283</v>
      </c>
      <c r="AV48" s="4">
        <v>5574</v>
      </c>
      <c r="AW48" s="4">
        <v>5553</v>
      </c>
      <c r="AX48" s="4">
        <v>10882</v>
      </c>
      <c r="AY48" s="4">
        <v>10894</v>
      </c>
      <c r="AZ48" s="4">
        <v>10906</v>
      </c>
      <c r="BA48" s="4">
        <v>10531</v>
      </c>
      <c r="BB48" s="4">
        <v>9886</v>
      </c>
      <c r="BC48" s="4">
        <v>9470</v>
      </c>
      <c r="BD48" s="4">
        <v>8996</v>
      </c>
      <c r="BE48" s="4">
        <v>8927</v>
      </c>
      <c r="BF48" s="4">
        <v>8593</v>
      </c>
      <c r="BG48" s="4">
        <v>8506</v>
      </c>
      <c r="BH48" s="4">
        <v>8470</v>
      </c>
      <c r="BI48" s="4">
        <v>8399</v>
      </c>
      <c r="BJ48" s="4">
        <v>8254</v>
      </c>
      <c r="BK48" s="4">
        <v>8013</v>
      </c>
      <c r="BL48" s="4">
        <v>7832</v>
      </c>
      <c r="BM48" s="4">
        <v>7794</v>
      </c>
      <c r="BN48" s="4">
        <v>7753</v>
      </c>
      <c r="BO48" s="5">
        <v>7683</v>
      </c>
      <c r="BP48" s="5">
        <f>AVERAGE(K48:N48)</f>
        <v>7607.75</v>
      </c>
      <c r="BQ48" s="5">
        <f>AVERAGE(O48:R48)</f>
        <v>7540.5</v>
      </c>
      <c r="BR48" s="5">
        <f>AVERAGE(S48:V48)</f>
        <v>7472.25</v>
      </c>
      <c r="BS48" s="5">
        <f>AVERAGE(W48:Z48)</f>
        <v>7467.75</v>
      </c>
      <c r="BT48" s="5">
        <f>AVERAGE(AA48:AD48)</f>
        <v>7465</v>
      </c>
      <c r="BU48" s="5">
        <f t="shared" ref="BU48:BY48" si="159">+BT48</f>
        <v>7465</v>
      </c>
      <c r="BV48" s="5">
        <f t="shared" si="159"/>
        <v>7465</v>
      </c>
      <c r="BW48" s="5">
        <f t="shared" si="159"/>
        <v>7465</v>
      </c>
      <c r="BX48" s="5">
        <f t="shared" si="159"/>
        <v>7465</v>
      </c>
      <c r="BY48" s="5">
        <f t="shared" si="159"/>
        <v>7465</v>
      </c>
    </row>
    <row r="49" spans="2:82">
      <c r="S49" s="2"/>
      <c r="BS49" s="2"/>
      <c r="BT49" s="2"/>
      <c r="BU49" s="2"/>
      <c r="BV49" s="2"/>
      <c r="BW49" s="2"/>
      <c r="BX49" s="2"/>
      <c r="BY49" s="2"/>
    </row>
    <row r="50" spans="2:82" s="3" customFormat="1" ht="13">
      <c r="B50" s="6" t="s">
        <v>34</v>
      </c>
      <c r="C50" s="10"/>
      <c r="D50" s="10"/>
      <c r="E50" s="10"/>
      <c r="F50" s="10"/>
      <c r="G50" s="10">
        <f t="shared" ref="G50:J50" si="160">G33/C33-1</f>
        <v>0.13653555219364599</v>
      </c>
      <c r="H50" s="10">
        <f t="shared" si="160"/>
        <v>0.13658341289150311</v>
      </c>
      <c r="I50" s="10">
        <f t="shared" si="160"/>
        <v>0.14556278826338698</v>
      </c>
      <c r="J50" s="10">
        <f t="shared" si="160"/>
        <v>0.12800664353293589</v>
      </c>
      <c r="K50" s="10">
        <f t="shared" ref="K50:O50" si="161">K33/G33-1</f>
        <v>0.12400544546967174</v>
      </c>
      <c r="L50" s="10">
        <f t="shared" si="161"/>
        <v>0.16718148810491518</v>
      </c>
      <c r="M50" s="10">
        <f t="shared" si="161"/>
        <v>0.19088546871876866</v>
      </c>
      <c r="N50" s="10">
        <f t="shared" si="161"/>
        <v>0.21347251071437956</v>
      </c>
      <c r="O50" s="10">
        <f t="shared" si="161"/>
        <v>0.21970716477364483</v>
      </c>
      <c r="P50" s="10">
        <f t="shared" ref="P50" si="162">P33/L33-1</f>
        <v>0.2008543040208004</v>
      </c>
      <c r="Q50" s="10">
        <f>Q33/M33-1</f>
        <v>0.18352275451973332</v>
      </c>
      <c r="R50" s="10">
        <f t="shared" ref="R50:S50" si="163">R33/N33-1</f>
        <v>0.12378661813139202</v>
      </c>
      <c r="S50" s="10">
        <f t="shared" si="163"/>
        <v>0.1060308493501334</v>
      </c>
      <c r="T50" s="10">
        <f t="shared" ref="T50" si="164">T33/P33-1</f>
        <v>1.9699195793380753E-2</v>
      </c>
      <c r="U50" s="10">
        <f>U33/Q33-1</f>
        <v>7.0846839546191198E-2</v>
      </c>
      <c r="V50" s="10">
        <f>V33/R33-1</f>
        <v>8.3370288248336921E-2</v>
      </c>
      <c r="W50" s="10">
        <f t="shared" ref="W50:AB50" si="165">W33/S33-1</f>
        <v>0.12758868361198683</v>
      </c>
      <c r="X50" s="10">
        <f t="shared" si="165"/>
        <v>0.17580146738203117</v>
      </c>
      <c r="Y50" s="10">
        <f t="shared" si="165"/>
        <v>0.17028964943148495</v>
      </c>
      <c r="Z50" s="10">
        <f t="shared" si="165"/>
        <v>0.15195144957198026</v>
      </c>
      <c r="AA50" s="10">
        <f t="shared" si="165"/>
        <v>0.16044729904276589</v>
      </c>
      <c r="AB50" s="10">
        <f t="shared" si="165"/>
        <v>0.12273460174137374</v>
      </c>
      <c r="AC50" s="10">
        <f t="shared" ref="AC50:AH50" si="166">AC33/Y33-1</f>
        <v>0.13269100197225914</v>
      </c>
      <c r="AD50" s="10">
        <f t="shared" si="166"/>
        <v>0.18097548163826538</v>
      </c>
      <c r="AE50" s="10">
        <f t="shared" si="166"/>
        <v>0.10000000000000009</v>
      </c>
      <c r="AF50" s="10">
        <f t="shared" si="166"/>
        <v>0.10000000000000009</v>
      </c>
      <c r="AG50" s="10">
        <f t="shared" si="166"/>
        <v>0.10000000000000009</v>
      </c>
      <c r="AH50" s="10">
        <f t="shared" si="166"/>
        <v>0.10000000000000009</v>
      </c>
      <c r="AL50" s="18">
        <f t="shared" ref="AL50:BL50" si="167">AL33/AK33-1</f>
        <v>0.55790363482671168</v>
      </c>
      <c r="AM50" s="18">
        <f t="shared" si="167"/>
        <v>0.49701573521432452</v>
      </c>
      <c r="AN50" s="18">
        <f t="shared" si="167"/>
        <v>0.36027546212395789</v>
      </c>
      <c r="AO50" s="18">
        <f t="shared" si="167"/>
        <v>0.23874233946176382</v>
      </c>
      <c r="AP50" s="18">
        <f t="shared" si="167"/>
        <v>0.27704882770488282</v>
      </c>
      <c r="AQ50" s="18">
        <f t="shared" si="167"/>
        <v>0.46050193700522146</v>
      </c>
      <c r="AR50" s="18">
        <f t="shared" si="167"/>
        <v>0.30988351977857231</v>
      </c>
      <c r="AS50" s="18">
        <f t="shared" si="167"/>
        <v>0.27522451135763348</v>
      </c>
      <c r="AT50" s="18">
        <f t="shared" si="167"/>
        <v>0.36336647334990335</v>
      </c>
      <c r="AU50" s="18">
        <f t="shared" si="167"/>
        <v>0.16250569706790907</v>
      </c>
      <c r="AV50" s="18">
        <f t="shared" si="167"/>
        <v>0.10193413486670155</v>
      </c>
      <c r="AW50" s="18">
        <f t="shared" si="167"/>
        <v>0.12132352941176472</v>
      </c>
      <c r="AX50" s="18">
        <f t="shared" si="167"/>
        <v>0.13474352194606021</v>
      </c>
      <c r="AY50" s="18">
        <f t="shared" si="167"/>
        <v>0.14440612669711372</v>
      </c>
      <c r="AZ50" s="18">
        <f t="shared" si="167"/>
        <v>8.0168318175648068E-2</v>
      </c>
      <c r="BA50" s="18">
        <f t="shared" si="167"/>
        <v>0.11294862772695291</v>
      </c>
      <c r="BB50" s="18">
        <f t="shared" si="167"/>
        <v>0.15446456799602548</v>
      </c>
      <c r="BC50" s="18">
        <f t="shared" si="167"/>
        <v>0.18187864324556946</v>
      </c>
      <c r="BD50" s="18">
        <f t="shared" si="167"/>
        <v>-3.2820258192651441E-2</v>
      </c>
      <c r="BE50" s="18">
        <f t="shared" si="167"/>
        <v>6.9254068484008391E-2</v>
      </c>
      <c r="BF50" s="18">
        <f t="shared" si="167"/>
        <v>0.11937455988733126</v>
      </c>
      <c r="BG50" s="18">
        <f t="shared" si="167"/>
        <v>5.4044007263057026E-2</v>
      </c>
      <c r="BH50" s="18">
        <f t="shared" si="167"/>
        <v>5.5966252051598442E-2</v>
      </c>
      <c r="BI50" s="18">
        <f t="shared" si="167"/>
        <v>0.11540289534868786</v>
      </c>
      <c r="BJ50" s="18">
        <f t="shared" si="167"/>
        <v>7.7700874091647165E-2</v>
      </c>
      <c r="BK50" s="18">
        <f t="shared" si="167"/>
        <v>-8.8266723658901425E-2</v>
      </c>
      <c r="BL50" s="18">
        <f t="shared" si="167"/>
        <v>0.1318682606657291</v>
      </c>
      <c r="BM50" s="10">
        <f t="shared" ref="BM50:BP50" si="168">+BM33/BL33-1</f>
        <v>0.14278613662486661</v>
      </c>
      <c r="BN50" s="10">
        <f t="shared" si="168"/>
        <v>0.14029539688292858</v>
      </c>
      <c r="BO50" s="10">
        <f t="shared" si="168"/>
        <v>0.13645574247276371</v>
      </c>
      <c r="BP50" s="10">
        <f t="shared" si="168"/>
        <v>0.17531727441177503</v>
      </c>
      <c r="BQ50" s="10">
        <f>+BQ33/BP33-1</f>
        <v>0.17956070629670173</v>
      </c>
      <c r="BR50" s="10">
        <f>+BR33/BQ33-1</f>
        <v>6.8820295556564215E-2</v>
      </c>
      <c r="BS50" s="10">
        <f t="shared" ref="BS50:BY50" si="169">+BS33/BR33-1</f>
        <v>0.1566996201307127</v>
      </c>
      <c r="BT50" s="10">
        <f t="shared" si="169"/>
        <v>0.14932156232406713</v>
      </c>
      <c r="BU50" s="10">
        <f t="shared" si="169"/>
        <v>0.17049246780536964</v>
      </c>
      <c r="BV50" s="10">
        <f t="shared" si="169"/>
        <v>0.17302583287233553</v>
      </c>
      <c r="BW50" s="10">
        <f t="shared" si="169"/>
        <v>0.12728764650206958</v>
      </c>
      <c r="BX50" s="10">
        <f t="shared" si="169"/>
        <v>8.7894536853703187E-2</v>
      </c>
      <c r="BY50" s="10">
        <f t="shared" si="169"/>
        <v>8.8538753878895093E-2</v>
      </c>
      <c r="CC50" t="s">
        <v>98</v>
      </c>
      <c r="CD50" s="12">
        <v>0.02</v>
      </c>
    </row>
    <row r="51" spans="2:82" s="3" customFormat="1" ht="13">
      <c r="B51" s="6" t="s">
        <v>104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>
        <v>0.16</v>
      </c>
      <c r="T51" s="18">
        <v>7.0000000000000007E-2</v>
      </c>
      <c r="U51" s="18">
        <v>0.1</v>
      </c>
      <c r="V51" s="18">
        <v>0.1</v>
      </c>
      <c r="Y51" s="10">
        <v>0.17</v>
      </c>
      <c r="Z51" s="10">
        <v>0.16</v>
      </c>
      <c r="AA51" s="10">
        <v>0.16</v>
      </c>
      <c r="AB51" s="18">
        <v>0.12</v>
      </c>
      <c r="AC51" s="10">
        <v>0.15</v>
      </c>
      <c r="AD51" s="10">
        <v>0.17</v>
      </c>
      <c r="BM51" s="10"/>
      <c r="BN51" s="10"/>
      <c r="BO51" s="10"/>
      <c r="BP51" s="10"/>
      <c r="BQ51" s="10">
        <v>0.19</v>
      </c>
      <c r="BR51" s="10">
        <v>0.11</v>
      </c>
      <c r="BS51" s="10">
        <v>0.15</v>
      </c>
      <c r="BT51" s="10"/>
      <c r="BU51" s="10"/>
      <c r="BV51" s="10"/>
      <c r="BW51" s="10"/>
      <c r="BX51" s="10"/>
      <c r="BY51" s="10"/>
      <c r="CC51" s="3" t="s">
        <v>97</v>
      </c>
      <c r="CD51" s="13">
        <v>7.0000000000000007E-2</v>
      </c>
    </row>
    <row r="52" spans="2:82" s="3" customFormat="1" ht="13">
      <c r="B52" s="6" t="s">
        <v>158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8"/>
      <c r="O52" s="18"/>
      <c r="P52" s="18"/>
      <c r="Q52" s="18">
        <f t="shared" ref="Q52" si="170">Q78/M78-1</f>
        <v>0.12477838234395056</v>
      </c>
      <c r="R52" s="18">
        <f t="shared" ref="R52" si="171">R78/N78-1</f>
        <v>9.666749733807567E-2</v>
      </c>
      <c r="S52" s="18">
        <f t="shared" ref="S52:T52" si="172">S78/O78-1</f>
        <v>7.5508960136535519E-2</v>
      </c>
      <c r="T52" s="18">
        <f t="shared" si="172"/>
        <v>7.7701324485300205E-2</v>
      </c>
      <c r="U52" s="18">
        <f t="shared" ref="U52:AD52" si="173">U78/Q78-1</f>
        <v>7.6231112077399743E-2</v>
      </c>
      <c r="V52" s="18">
        <f t="shared" si="173"/>
        <v>0.11165509833085441</v>
      </c>
      <c r="W52" s="18">
        <f t="shared" si="173"/>
        <v>0.11507072905331883</v>
      </c>
      <c r="X52" s="18">
        <f t="shared" si="173"/>
        <v>0.16171200726795543</v>
      </c>
      <c r="Y52" s="18">
        <f t="shared" si="173"/>
        <v>0.13211787581121692</v>
      </c>
      <c r="Z52" s="18">
        <f t="shared" si="173"/>
        <v>0.11839146674595358</v>
      </c>
      <c r="AA52" s="18">
        <f t="shared" si="173"/>
        <v>0.13216638204440101</v>
      </c>
      <c r="AB52" s="18">
        <f t="shared" si="173"/>
        <v>4.368510231567968E-2</v>
      </c>
      <c r="AC52" s="18">
        <f t="shared" si="173"/>
        <v>5.8952111168112831E-2</v>
      </c>
      <c r="AD52" s="18">
        <f t="shared" si="173"/>
        <v>0.11765585537684431</v>
      </c>
      <c r="BM52" s="10"/>
      <c r="BN52" s="10"/>
      <c r="BO52" s="10"/>
      <c r="BP52" s="10"/>
      <c r="BQ52" s="10"/>
      <c r="BR52" s="10">
        <f>+BR78/BQ78-1</f>
        <v>0.11165509833085441</v>
      </c>
      <c r="BS52" s="10">
        <f>+BS78/BR78-1</f>
        <v>-0.1071859959489343</v>
      </c>
      <c r="BT52" s="10"/>
      <c r="BU52" s="10"/>
      <c r="BV52" s="10"/>
      <c r="BW52" s="10"/>
      <c r="BX52" s="10"/>
      <c r="BY52" s="10"/>
      <c r="CC52" t="s">
        <v>99</v>
      </c>
      <c r="CD52" s="12">
        <v>0.01</v>
      </c>
    </row>
    <row r="53" spans="2:82" s="3" customFormat="1" ht="13">
      <c r="B53" s="6" t="s">
        <v>415</v>
      </c>
      <c r="C53" s="10"/>
      <c r="D53" s="10"/>
      <c r="E53" s="10"/>
      <c r="F53" s="10"/>
      <c r="G53" s="10"/>
      <c r="H53" s="10"/>
      <c r="I53" s="10"/>
      <c r="J53" s="10"/>
      <c r="K53" s="12">
        <f t="shared" ref="K53:N54" si="174">K27/G27-1</f>
        <v>0.11212422135957389</v>
      </c>
      <c r="L53" s="12">
        <f t="shared" si="174"/>
        <v>0.12912227295788936</v>
      </c>
      <c r="M53" s="12">
        <f t="shared" si="174"/>
        <v>0.15404922081239891</v>
      </c>
      <c r="N53" s="12">
        <f t="shared" si="174"/>
        <v>0.25008509189925121</v>
      </c>
      <c r="O53" s="12">
        <f t="shared" ref="O53:O54" si="175">O27/K27-1</f>
        <v>0.22079714262521311</v>
      </c>
      <c r="P53" s="12">
        <f t="shared" ref="P53:P54" si="176">P27/L27-1</f>
        <v>0.19343967647719618</v>
      </c>
      <c r="Q53" s="12">
        <f t="shared" ref="Q53:Q54" si="177">Q27/M27-1</f>
        <v>0.16506788665879579</v>
      </c>
      <c r="R53" s="12">
        <f t="shared" ref="R53" si="178">R27/N27-1</f>
        <v>0.12994350282485878</v>
      </c>
      <c r="S53" s="12">
        <f t="shared" ref="S53" si="179">S27/O27-1</f>
        <v>9.4820134317441296E-2</v>
      </c>
      <c r="T53" s="12">
        <f t="shared" ref="T53" si="180">T27/P27-1</f>
        <v>6.6892570281124497E-2</v>
      </c>
      <c r="U53" s="12">
        <f t="shared" ref="U53:Z53" si="181">U27/Q27-1</f>
        <v>0.10937994806510853</v>
      </c>
      <c r="V53" s="12">
        <f t="shared" si="181"/>
        <v>0.10186746987951811</v>
      </c>
      <c r="W53" s="12">
        <f t="shared" si="181"/>
        <v>0.5320983905253569</v>
      </c>
      <c r="X53" s="12">
        <f t="shared" si="181"/>
        <v>0.52064463004352435</v>
      </c>
      <c r="Y53" s="12">
        <f t="shared" si="181"/>
        <v>0.54789906371317643</v>
      </c>
      <c r="Z53" s="12">
        <f t="shared" si="181"/>
        <v>0.56508665463889352</v>
      </c>
      <c r="AA53" s="12">
        <f t="shared" ref="AA53:AB55" si="182">AA27/W27-1</f>
        <v>0.12253230793625614</v>
      </c>
      <c r="AB53" s="12">
        <f t="shared" si="182"/>
        <v>0.13858590546917315</v>
      </c>
      <c r="AC53" s="12">
        <f t="shared" ref="AC53:AD53" si="183">AC27/Y27-1</f>
        <v>0.10441485634197623</v>
      </c>
      <c r="AD53" s="12">
        <f t="shared" si="183"/>
        <v>0.15667027631257202</v>
      </c>
      <c r="AE53" s="12"/>
      <c r="AF53" s="12"/>
      <c r="AG53" s="12"/>
      <c r="AH53" s="12"/>
      <c r="BM53" s="10"/>
      <c r="BN53" s="10"/>
      <c r="BO53" s="10"/>
      <c r="BP53" s="10"/>
      <c r="BQ53" s="10">
        <f t="shared" ref="BQ53:BR53" si="184">BQ27/BP27-1</f>
        <v>0.17525734953167027</v>
      </c>
      <c r="BR53" s="10">
        <f t="shared" si="184"/>
        <v>9.3270626854365268E-2</v>
      </c>
      <c r="BS53" s="10">
        <f>BS27/BR27-1</f>
        <v>0.54199266680139746</v>
      </c>
      <c r="BT53" s="10"/>
      <c r="BU53" s="10"/>
      <c r="BV53" s="10"/>
      <c r="BW53" s="10"/>
      <c r="BX53" s="10"/>
      <c r="BY53" s="10"/>
      <c r="CC53" t="s">
        <v>100</v>
      </c>
      <c r="CD53" s="4">
        <f>NPV(CD51,BR46:EE46)+Main!L5-Main!L6</f>
        <v>3440593.304222832</v>
      </c>
    </row>
    <row r="54" spans="2:82" s="3" customFormat="1" ht="13">
      <c r="B54" s="6" t="s">
        <v>413</v>
      </c>
      <c r="C54" s="10"/>
      <c r="D54" s="10"/>
      <c r="E54" s="10"/>
      <c r="F54" s="10"/>
      <c r="G54" s="10"/>
      <c r="H54" s="10"/>
      <c r="I54" s="10"/>
      <c r="J54" s="10"/>
      <c r="K54" s="12">
        <f t="shared" si="174"/>
        <v>0.19741816505301979</v>
      </c>
      <c r="L54" s="12">
        <f t="shared" si="174"/>
        <v>0.23017945909512183</v>
      </c>
      <c r="M54" s="12">
        <f t="shared" si="174"/>
        <v>0.23100724696685937</v>
      </c>
      <c r="N54" s="12">
        <f t="shared" si="174"/>
        <v>0.29945404233041661</v>
      </c>
      <c r="O54" s="12">
        <f t="shared" si="175"/>
        <v>0.30232558139534893</v>
      </c>
      <c r="P54" s="12">
        <f t="shared" si="176"/>
        <v>0.25518800082186144</v>
      </c>
      <c r="Q54" s="12">
        <f t="shared" si="177"/>
        <v>0.25592009525069459</v>
      </c>
      <c r="R54" s="12">
        <f t="shared" ref="R54:U54" si="185">R28/N28-1</f>
        <v>0.19735251798561149</v>
      </c>
      <c r="S54" s="12">
        <f t="shared" si="185"/>
        <v>0.20180936613055822</v>
      </c>
      <c r="T54" s="12">
        <f t="shared" si="185"/>
        <v>0.17356905112675292</v>
      </c>
      <c r="U54" s="12">
        <f t="shared" si="185"/>
        <v>0.16295359983146374</v>
      </c>
      <c r="V54" s="12">
        <f t="shared" ref="V54:Z54" si="186">V28/R28-1</f>
        <v>0.15328782926360307</v>
      </c>
      <c r="W54" s="12">
        <f t="shared" si="186"/>
        <v>-1.5350553505535047E-2</v>
      </c>
      <c r="X54" s="12">
        <f t="shared" si="186"/>
        <v>7.904035707644308E-4</v>
      </c>
      <c r="Y54" s="12">
        <f t="shared" si="186"/>
        <v>2.7172682396630066E-3</v>
      </c>
      <c r="Z54" s="12">
        <f t="shared" si="186"/>
        <v>-8.6691951819281021E-3</v>
      </c>
      <c r="AA54" s="12">
        <f t="shared" si="182"/>
        <v>0.20381751861290165</v>
      </c>
      <c r="AB54" s="12">
        <f t="shared" si="182"/>
        <v>0.18671312427409981</v>
      </c>
      <c r="AC54" s="12">
        <f t="shared" ref="AC54:AD54" si="187">AC28/Y28-1</f>
        <v>0.20821101124610442</v>
      </c>
      <c r="AD54" s="12">
        <f t="shared" si="187"/>
        <v>0.25616985495059907</v>
      </c>
      <c r="AE54" s="12"/>
      <c r="AF54" s="12"/>
      <c r="AG54" s="12"/>
      <c r="AH54" s="12"/>
      <c r="BM54" s="10"/>
      <c r="BN54" s="10"/>
      <c r="BO54" s="10"/>
      <c r="BP54" s="10"/>
      <c r="BQ54" s="10">
        <f t="shared" ref="BQ54:BR54" si="188">BQ28/BP28-1</f>
        <v>0.24883488681757648</v>
      </c>
      <c r="BR54" s="10">
        <f t="shared" si="188"/>
        <v>0.1716246834599493</v>
      </c>
      <c r="BS54" s="10">
        <f>BS28/BR28-1</f>
        <v>-5.0394166562389708E-3</v>
      </c>
      <c r="BT54" s="10"/>
      <c r="BU54" s="10"/>
      <c r="BV54" s="10"/>
      <c r="BW54" s="10"/>
      <c r="BX54" s="10"/>
      <c r="BY54" s="10"/>
      <c r="CA54"/>
      <c r="CB54" s="12"/>
      <c r="CC54" t="s">
        <v>105</v>
      </c>
      <c r="CD54" s="1">
        <f>+CD53/Main!L3</f>
        <v>461.14372124686128</v>
      </c>
    </row>
    <row r="55" spans="2:82" s="3" customFormat="1" ht="13">
      <c r="B55" s="6" t="s">
        <v>414</v>
      </c>
      <c r="C55" s="10"/>
      <c r="D55" s="10"/>
      <c r="E55" s="10"/>
      <c r="F55" s="10"/>
      <c r="G55" s="10"/>
      <c r="H55" s="10"/>
      <c r="I55" s="10"/>
      <c r="J55" s="10"/>
      <c r="K55" s="12">
        <f t="shared" ref="K55:Z55" si="189">K29/G29-1</f>
        <v>6.4313302793496785E-2</v>
      </c>
      <c r="L55" s="12">
        <f t="shared" si="189"/>
        <v>0.14465218378623868</v>
      </c>
      <c r="M55" s="12">
        <f t="shared" si="189"/>
        <v>0.18541420387378382</v>
      </c>
      <c r="N55" s="12">
        <f t="shared" si="189"/>
        <v>9.1092176607281194E-2</v>
      </c>
      <c r="O55" s="12">
        <f t="shared" si="189"/>
        <v>0.12802768166089962</v>
      </c>
      <c r="P55" s="12">
        <f t="shared" si="189"/>
        <v>0.15493982277476515</v>
      </c>
      <c r="Q55" s="12">
        <f t="shared" si="189"/>
        <v>0.11874808223381406</v>
      </c>
      <c r="R55" s="12">
        <f t="shared" si="189"/>
        <v>2.6622178049126699E-2</v>
      </c>
      <c r="S55" s="12">
        <f t="shared" si="189"/>
        <v>-2.5437677689660321E-3</v>
      </c>
      <c r="T55" s="12">
        <f t="shared" si="189"/>
        <v>-0.18482679645004296</v>
      </c>
      <c r="U55" s="12">
        <f t="shared" si="189"/>
        <v>-9.0784421283598427E-2</v>
      </c>
      <c r="V55" s="12">
        <f t="shared" si="189"/>
        <v>-3.8448240094046016E-2</v>
      </c>
      <c r="W55" s="12">
        <f t="shared" si="189"/>
        <v>-0.15406540654065404</v>
      </c>
      <c r="X55" s="12">
        <f t="shared" si="189"/>
        <v>2.8376764767858331E-2</v>
      </c>
      <c r="Y55" s="12">
        <f t="shared" si="189"/>
        <v>-4.9472096530920107E-2</v>
      </c>
      <c r="Z55" s="12">
        <f t="shared" si="189"/>
        <v>-0.11434735706580368</v>
      </c>
      <c r="AA55" s="12">
        <f t="shared" si="182"/>
        <v>0.16829225039900697</v>
      </c>
      <c r="AB55" s="12">
        <f t="shared" si="182"/>
        <v>6.8301345536503355E-4</v>
      </c>
      <c r="AC55" s="12">
        <f t="shared" ref="AC55:AD55" si="190">AC29/Y29-1</f>
        <v>6.0853697238971716E-2</v>
      </c>
      <c r="AD55" s="12">
        <f t="shared" si="190"/>
        <v>9.2245229395046646E-2</v>
      </c>
      <c r="AE55" s="12"/>
      <c r="AF55" s="12"/>
      <c r="AG55" s="12"/>
      <c r="AH55" s="12"/>
      <c r="BM55" s="10"/>
      <c r="BN55" s="10"/>
      <c r="BO55" s="10"/>
      <c r="BP55" s="10"/>
      <c r="BQ55" s="10">
        <f t="shared" ref="BQ55:BR55" si="191">BQ29/BP29-1</f>
        <v>0.10690847244560286</v>
      </c>
      <c r="BR55" s="10">
        <f t="shared" si="191"/>
        <v>-8.5877480125592931E-2</v>
      </c>
      <c r="BS55" s="10">
        <f>BS29/BR29-1</f>
        <v>-7.1180618993678557E-2</v>
      </c>
      <c r="BT55" s="10"/>
      <c r="BU55" s="10"/>
      <c r="BV55" s="10"/>
      <c r="BW55" s="10"/>
      <c r="BX55" s="10"/>
      <c r="BY55" s="10"/>
      <c r="CA55"/>
      <c r="CB55" s="12"/>
    </row>
    <row r="56" spans="2:82">
      <c r="B56" s="4" t="s">
        <v>22</v>
      </c>
      <c r="C56" s="9">
        <f t="shared" ref="C56:D56" si="192">C37/C33</f>
        <v>0.65943474075092834</v>
      </c>
      <c r="D56" s="9">
        <f t="shared" si="192"/>
        <v>0.61741246034923469</v>
      </c>
      <c r="E56" s="9">
        <f t="shared" ref="E56" si="193">E37/E33</f>
        <v>0.66733178502502366</v>
      </c>
      <c r="F56" s="9"/>
      <c r="G56" s="9">
        <f t="shared" ref="G56:AH56" si="194">G37/G33</f>
        <v>0.6851913477537438</v>
      </c>
      <c r="H56" s="9">
        <f t="shared" si="194"/>
        <v>0.66514929821709212</v>
      </c>
      <c r="I56" s="9">
        <f t="shared" si="194"/>
        <v>0.68661660146769077</v>
      </c>
      <c r="J56" s="9">
        <f t="shared" si="194"/>
        <v>0.67557121447164303</v>
      </c>
      <c r="K56" s="9">
        <f t="shared" si="194"/>
        <v>0.70388114334930285</v>
      </c>
      <c r="L56" s="9">
        <f t="shared" si="194"/>
        <v>0.67048936762930633</v>
      </c>
      <c r="M56" s="9">
        <f t="shared" si="194"/>
        <v>0.68721526878626582</v>
      </c>
      <c r="N56" s="9">
        <f t="shared" si="194"/>
        <v>0.69684954064829263</v>
      </c>
      <c r="O56" s="9">
        <f t="shared" si="194"/>
        <v>0.6988768012004325</v>
      </c>
      <c r="P56" s="9">
        <f t="shared" si="194"/>
        <v>0.67213114754098358</v>
      </c>
      <c r="Q56" s="9">
        <f t="shared" si="194"/>
        <v>0.68365072933549431</v>
      </c>
      <c r="R56" s="9">
        <f t="shared" si="194"/>
        <v>0.68323532247180174</v>
      </c>
      <c r="S56" s="9">
        <f t="shared" si="194"/>
        <v>0.69171222217788597</v>
      </c>
      <c r="T56" s="9">
        <f t="shared" si="194"/>
        <v>0.66845507801391546</v>
      </c>
      <c r="U56" s="9">
        <f t="shared" si="194"/>
        <v>0.69487485101311086</v>
      </c>
      <c r="V56" s="9">
        <f t="shared" si="194"/>
        <v>0.70109807969531401</v>
      </c>
      <c r="W56" s="9">
        <f t="shared" si="194"/>
        <v>0.71155581506449384</v>
      </c>
      <c r="X56" s="9">
        <f t="shared" si="194"/>
        <v>0.68360206385037081</v>
      </c>
      <c r="Y56" s="9">
        <f t="shared" si="194"/>
        <v>0.70084710142584628</v>
      </c>
      <c r="Z56" s="9">
        <f t="shared" si="194"/>
        <v>0.69589197707293715</v>
      </c>
      <c r="AA56" s="9">
        <f t="shared" si="194"/>
        <v>0.69354273080734929</v>
      </c>
      <c r="AB56" s="9">
        <f t="shared" si="194"/>
        <v>0.68693991268382348</v>
      </c>
      <c r="AC56" s="9">
        <f t="shared" si="194"/>
        <v>0.6871663859789342</v>
      </c>
      <c r="AD56" s="9">
        <f t="shared" si="194"/>
        <v>0.68584921704320978</v>
      </c>
      <c r="AE56" s="9">
        <f t="shared" si="194"/>
        <v>0.7</v>
      </c>
      <c r="AF56" s="9">
        <f t="shared" si="194"/>
        <v>0.7</v>
      </c>
      <c r="AG56" s="9">
        <f t="shared" si="194"/>
        <v>0.7</v>
      </c>
      <c r="AH56" s="9">
        <f t="shared" si="194"/>
        <v>0.7</v>
      </c>
      <c r="AI56" s="9"/>
      <c r="AJ56" s="9"/>
      <c r="AK56" s="9">
        <f t="shared" ref="AK56:BY56" si="195">AK37/AK33</f>
        <v>0.78613693998309386</v>
      </c>
      <c r="AL56" s="9">
        <f t="shared" si="195"/>
        <v>0.8035811177428106</v>
      </c>
      <c r="AM56" s="9">
        <f t="shared" si="195"/>
        <v>0.8307357738310982</v>
      </c>
      <c r="AN56" s="9">
        <f t="shared" si="195"/>
        <v>0.83133493205435649</v>
      </c>
      <c r="AO56" s="9">
        <f t="shared" si="195"/>
        <v>0.83587868358786832</v>
      </c>
      <c r="AP56" s="9">
        <f t="shared" si="195"/>
        <v>0.85228229745662798</v>
      </c>
      <c r="AQ56" s="9">
        <f t="shared" si="195"/>
        <v>0.86299158113251062</v>
      </c>
      <c r="AR56" s="9">
        <f t="shared" si="195"/>
        <v>0.90447261841873572</v>
      </c>
      <c r="AS56" s="9">
        <f t="shared" si="195"/>
        <v>0.91735708367854185</v>
      </c>
      <c r="AT56" s="9">
        <f t="shared" si="195"/>
        <v>0.85749734136830913</v>
      </c>
      <c r="AU56" s="9">
        <f t="shared" si="195"/>
        <v>0.86922808851716327</v>
      </c>
      <c r="AV56" s="9">
        <f t="shared" si="195"/>
        <v>0.86341714104996836</v>
      </c>
      <c r="AW56" s="9">
        <f t="shared" si="195"/>
        <v>0.8169927727833598</v>
      </c>
      <c r="AX56" s="9">
        <f t="shared" si="195"/>
        <v>0.82334482865753256</v>
      </c>
      <c r="AY56" s="9">
        <f t="shared" si="195"/>
        <v>0.81767340844305691</v>
      </c>
      <c r="AZ56" s="9">
        <f t="shared" si="195"/>
        <v>0.84417412285111093</v>
      </c>
      <c r="BA56" s="9">
        <f t="shared" si="195"/>
        <v>0.82724357526760306</v>
      </c>
      <c r="BB56" s="9">
        <f t="shared" si="195"/>
        <v>0.79083369195258402</v>
      </c>
      <c r="BC56" s="9">
        <f t="shared" si="195"/>
        <v>0.80804369414101296</v>
      </c>
      <c r="BD56" s="9">
        <f t="shared" si="195"/>
        <v>0.79199822030562828</v>
      </c>
      <c r="BE56" s="9">
        <f t="shared" si="195"/>
        <v>0.80162921707957235</v>
      </c>
      <c r="BF56" s="9">
        <f t="shared" si="195"/>
        <v>0.77729007906438097</v>
      </c>
      <c r="BG56" s="9">
        <f t="shared" si="195"/>
        <v>0.76221803236439101</v>
      </c>
      <c r="BH56" s="9">
        <f t="shared" si="195"/>
        <v>0.7398938971598864</v>
      </c>
      <c r="BI56" s="9">
        <f t="shared" si="195"/>
        <v>0.68981838701876019</v>
      </c>
      <c r="BJ56" s="9">
        <f t="shared" si="195"/>
        <v>0.64695447745244705</v>
      </c>
      <c r="BK56" s="9">
        <f t="shared" si="195"/>
        <v>0.61579934364744493</v>
      </c>
      <c r="BL56" s="9">
        <f t="shared" si="195"/>
        <v>0.64522475691460168</v>
      </c>
      <c r="BM56" s="9">
        <f t="shared" si="195"/>
        <v>0.65247372236317502</v>
      </c>
      <c r="BN56" s="9">
        <f t="shared" si="195"/>
        <v>0.65901957200638894</v>
      </c>
      <c r="BO56" s="9">
        <f t="shared" si="195"/>
        <v>0.67781001992797962</v>
      </c>
      <c r="BP56" s="9">
        <f t="shared" si="195"/>
        <v>0.68925800771024703</v>
      </c>
      <c r="BQ56" s="9">
        <f t="shared" si="195"/>
        <v>0.68401674484289099</v>
      </c>
      <c r="BR56" s="9">
        <f t="shared" si="195"/>
        <v>0.68920085883491022</v>
      </c>
      <c r="BS56" s="9">
        <f t="shared" si="195"/>
        <v>0.69764443827971379</v>
      </c>
      <c r="BT56" s="9">
        <f t="shared" si="195"/>
        <v>0.68823742386165188</v>
      </c>
      <c r="BU56" s="9">
        <f t="shared" si="195"/>
        <v>0.67</v>
      </c>
      <c r="BV56" s="9">
        <f t="shared" si="195"/>
        <v>0.67</v>
      </c>
      <c r="BW56" s="9">
        <f t="shared" si="195"/>
        <v>0.67</v>
      </c>
      <c r="BX56" s="9">
        <f t="shared" si="195"/>
        <v>0.67</v>
      </c>
      <c r="BY56" s="9">
        <f t="shared" si="195"/>
        <v>0.67</v>
      </c>
    </row>
    <row r="57" spans="2:82">
      <c r="B57" s="4" t="s">
        <v>455</v>
      </c>
      <c r="C57" s="9">
        <f t="shared" ref="C57:D57" si="196">+C42/C33</f>
        <v>0.34228441754916794</v>
      </c>
      <c r="D57" s="9">
        <f t="shared" si="196"/>
        <v>0.3159126605278556</v>
      </c>
      <c r="E57" s="9">
        <f t="shared" ref="E57" si="197">+E42/E33</f>
        <v>0.3382617513329626</v>
      </c>
      <c r="F57" s="9"/>
      <c r="G57" s="9">
        <f t="shared" ref="G57:AB57" si="198">+G42/G33</f>
        <v>0.38378460142187265</v>
      </c>
      <c r="H57" s="9">
        <f t="shared" si="198"/>
        <v>0.37638866309001245</v>
      </c>
      <c r="I57" s="9">
        <f t="shared" si="198"/>
        <v>0.37049199051997372</v>
      </c>
      <c r="J57" s="9">
        <f t="shared" si="198"/>
        <v>0.35250966266137301</v>
      </c>
      <c r="K57" s="9">
        <f t="shared" si="198"/>
        <v>0.42730257845723207</v>
      </c>
      <c r="L57" s="9">
        <f t="shared" si="198"/>
        <v>0.41547497446373849</v>
      </c>
      <c r="M57" s="9">
        <f t="shared" si="198"/>
        <v>0.40876612477820939</v>
      </c>
      <c r="N57" s="9">
        <f t="shared" si="198"/>
        <v>0.41374154966198645</v>
      </c>
      <c r="O57" s="9">
        <f t="shared" si="198"/>
        <v>0.44658737339188381</v>
      </c>
      <c r="P57" s="9">
        <f t="shared" si="198"/>
        <v>0.43007655428394681</v>
      </c>
      <c r="Q57" s="9">
        <f t="shared" si="198"/>
        <v>0.41256077795786061</v>
      </c>
      <c r="R57" s="9">
        <f t="shared" si="198"/>
        <v>0.3959124650535043</v>
      </c>
      <c r="S57" s="9">
        <f t="shared" si="198"/>
        <v>0.42931247755476637</v>
      </c>
      <c r="T57" s="9">
        <f t="shared" si="198"/>
        <v>0.3867328947617874</v>
      </c>
      <c r="U57" s="9">
        <f t="shared" si="198"/>
        <v>0.42287681858599618</v>
      </c>
      <c r="V57" s="9">
        <f t="shared" si="198"/>
        <v>0.4316503230169606</v>
      </c>
      <c r="W57" s="9">
        <f t="shared" si="198"/>
        <v>0.47587451563246458</v>
      </c>
      <c r="X57" s="9">
        <f t="shared" si="198"/>
        <v>0.43585940019348596</v>
      </c>
      <c r="Y57" s="9">
        <f t="shared" si="198"/>
        <v>0.44587603866921011</v>
      </c>
      <c r="Z57" s="9">
        <f t="shared" si="198"/>
        <v>0.43142737960974553</v>
      </c>
      <c r="AA57" s="9">
        <f t="shared" si="198"/>
        <v>0.46583822520393381</v>
      </c>
      <c r="AB57" s="9">
        <f t="shared" si="198"/>
        <v>0.45457548253676472</v>
      </c>
      <c r="AC57" s="9">
        <f t="shared" ref="AC57:AH57" si="199">+AC42/AC33</f>
        <v>0.45671224274255701</v>
      </c>
      <c r="AD57" s="9">
        <f t="shared" si="199"/>
        <v>0.44901296424693554</v>
      </c>
      <c r="AE57" s="9">
        <f t="shared" si="199"/>
        <v>0.7</v>
      </c>
      <c r="AF57" s="9">
        <f t="shared" si="199"/>
        <v>0.7</v>
      </c>
      <c r="AG57" s="9">
        <f t="shared" si="199"/>
        <v>0.7</v>
      </c>
      <c r="AH57" s="9">
        <f t="shared" si="199"/>
        <v>0.7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>
        <f t="shared" ref="BD57:BY57" si="200">BD42/BD33</f>
        <v>0.35410784263394768</v>
      </c>
      <c r="BE57" s="9">
        <f t="shared" si="200"/>
        <v>0.38661097240893672</v>
      </c>
      <c r="BF57" s="9">
        <f t="shared" si="200"/>
        <v>0.38833049769097694</v>
      </c>
      <c r="BG57" s="9">
        <f t="shared" si="200"/>
        <v>0.37920323372624554</v>
      </c>
      <c r="BH57" s="9">
        <f t="shared" si="200"/>
        <v>0.34379375457616668</v>
      </c>
      <c r="BI57" s="9">
        <f t="shared" si="200"/>
        <v>0.32114518673776099</v>
      </c>
      <c r="BJ57" s="9">
        <f t="shared" si="200"/>
        <v>0.30104723231459712</v>
      </c>
      <c r="BK57" s="9">
        <f t="shared" si="200"/>
        <v>0.24955461790904829</v>
      </c>
      <c r="BL57" s="9">
        <f t="shared" si="200"/>
        <v>0.30372472067183731</v>
      </c>
      <c r="BM57" s="9">
        <f t="shared" si="200"/>
        <v>0.31766944545125048</v>
      </c>
      <c r="BN57" s="9">
        <f t="shared" si="200"/>
        <v>0.3413698020549415</v>
      </c>
      <c r="BO57" s="9">
        <f t="shared" si="200"/>
        <v>0.37030381428521486</v>
      </c>
      <c r="BP57" s="9">
        <f t="shared" si="200"/>
        <v>0.41594878872971303</v>
      </c>
      <c r="BQ57" s="9">
        <f t="shared" si="200"/>
        <v>0.4205527815604983</v>
      </c>
      <c r="BR57" s="9">
        <f t="shared" si="200"/>
        <v>0.41772880636104098</v>
      </c>
      <c r="BS57" s="9">
        <f t="shared" si="200"/>
        <v>0.44644299573273716</v>
      </c>
      <c r="BT57" s="9">
        <f t="shared" si="200"/>
        <v>0.45621956240859851</v>
      </c>
      <c r="BU57" s="9">
        <f t="shared" si="200"/>
        <v>0.46583089693458635</v>
      </c>
      <c r="BV57" s="9">
        <f t="shared" si="200"/>
        <v>0.49072502560115139</v>
      </c>
      <c r="BW57" s="9">
        <f t="shared" si="200"/>
        <v>0.50619688887411651</v>
      </c>
      <c r="BX57" s="9">
        <f t="shared" si="200"/>
        <v>0.51491400706211232</v>
      </c>
      <c r="BY57" s="9">
        <f t="shared" si="200"/>
        <v>0.52325412424976847</v>
      </c>
    </row>
    <row r="58" spans="2:82">
      <c r="B58" s="4" t="s">
        <v>89</v>
      </c>
      <c r="C58" s="9">
        <f t="shared" ref="C58:D58" si="201">+C45/C44</f>
        <v>0.13667938557871051</v>
      </c>
      <c r="D58" s="9">
        <f t="shared" si="201"/>
        <v>0.18921521425132404</v>
      </c>
      <c r="E58" s="9">
        <f t="shared" ref="E58" si="202">+E45/E44</f>
        <v>0.15992752241083349</v>
      </c>
      <c r="F58" s="9"/>
      <c r="G58" s="9">
        <f t="shared" ref="G58:AB58" si="203">+G45/G44</f>
        <v>0.15828472331704241</v>
      </c>
      <c r="H58" s="9">
        <f t="shared" si="203"/>
        <v>0.17294994675186368</v>
      </c>
      <c r="I58" s="9">
        <f t="shared" si="203"/>
        <v>0.16281242700303666</v>
      </c>
      <c r="J58" s="9">
        <f t="shared" si="203"/>
        <v>0.16540008940545373</v>
      </c>
      <c r="K58" s="9">
        <f t="shared" si="203"/>
        <v>0.13836516993301909</v>
      </c>
      <c r="L58" s="9">
        <f t="shared" si="203"/>
        <v>0.15673228990565524</v>
      </c>
      <c r="M58" s="9">
        <f t="shared" si="203"/>
        <v>0.10321420283128337</v>
      </c>
      <c r="N58" s="9">
        <f t="shared" si="203"/>
        <v>0.15186807523834064</v>
      </c>
      <c r="O58" s="9">
        <f t="shared" si="203"/>
        <v>9.2574546871954783E-4</v>
      </c>
      <c r="P58" s="9">
        <f t="shared" si="203"/>
        <v>0.16655562958027981</v>
      </c>
      <c r="Q58" s="9">
        <f t="shared" si="203"/>
        <v>0.17147102526002972</v>
      </c>
      <c r="R58" s="9">
        <f t="shared" si="203"/>
        <v>0.18289647093278666</v>
      </c>
      <c r="S58" s="9">
        <f t="shared" si="203"/>
        <v>0.18616725384758021</v>
      </c>
      <c r="T58" s="9">
        <f t="shared" si="203"/>
        <v>0.19243817296818919</v>
      </c>
      <c r="U58" s="9">
        <f t="shared" si="203"/>
        <v>0.19291668504388479</v>
      </c>
      <c r="V58" s="9">
        <f t="shared" si="203"/>
        <v>0.18789177821814212</v>
      </c>
      <c r="W58" s="9">
        <f t="shared" si="203"/>
        <v>0.18300102624248643</v>
      </c>
      <c r="X58" s="9">
        <f t="shared" si="203"/>
        <v>0.17552589911784663</v>
      </c>
      <c r="Y58" s="9">
        <f t="shared" si="203"/>
        <v>0.17914468514984846</v>
      </c>
      <c r="Z58" s="9">
        <f t="shared" si="203"/>
        <v>0.1913394495412844</v>
      </c>
      <c r="AA58" s="9">
        <f t="shared" si="203"/>
        <v>0.18507383791998414</v>
      </c>
      <c r="AB58" s="9">
        <f t="shared" si="203"/>
        <v>0.17902264600715137</v>
      </c>
      <c r="AC58" s="9">
        <f t="shared" ref="AC58:AH58" si="204">+AC45/AC44</f>
        <v>0.17697676642126398</v>
      </c>
      <c r="AD58" s="9">
        <f t="shared" si="204"/>
        <v>0.16504169732646554</v>
      </c>
      <c r="AE58" s="9">
        <f t="shared" si="204"/>
        <v>0</v>
      </c>
      <c r="AF58" s="9">
        <f t="shared" si="204"/>
        <v>0</v>
      </c>
      <c r="AG58" s="9">
        <f t="shared" si="204"/>
        <v>0</v>
      </c>
      <c r="AH58" s="9">
        <f t="shared" si="204"/>
        <v>0</v>
      </c>
      <c r="AI58" s="9"/>
      <c r="AJ58" s="9"/>
      <c r="AK58" s="9">
        <f t="shared" ref="AK58:BY58" si="205">+AK45/AK44</f>
        <v>0.31951219512195123</v>
      </c>
      <c r="AL58" s="9">
        <f t="shared" si="205"/>
        <v>0.30998509687034276</v>
      </c>
      <c r="AM58" s="9">
        <f t="shared" si="205"/>
        <v>0.31988472622478387</v>
      </c>
      <c r="AN58" s="9">
        <f t="shared" si="205"/>
        <v>0.31977159172019987</v>
      </c>
      <c r="AO58" s="9">
        <f t="shared" si="205"/>
        <v>0.31788079470198677</v>
      </c>
      <c r="AP58" s="9">
        <f t="shared" si="205"/>
        <v>0.32263895164934481</v>
      </c>
      <c r="AQ58" s="9">
        <f t="shared" si="205"/>
        <v>0.35039952648712636</v>
      </c>
      <c r="AR58" s="9">
        <f t="shared" si="205"/>
        <v>0.35001881821603315</v>
      </c>
      <c r="AS58" s="9">
        <f t="shared" si="205"/>
        <v>0.35815459328207205</v>
      </c>
      <c r="AT58" s="9">
        <f t="shared" si="205"/>
        <v>0.35001278663370555</v>
      </c>
      <c r="AU58" s="9">
        <f t="shared" si="205"/>
        <v>0.34379205326156242</v>
      </c>
      <c r="AV58" s="9">
        <f t="shared" si="205"/>
        <v>0.32557343375556319</v>
      </c>
      <c r="AW58" s="9">
        <f t="shared" si="205"/>
        <v>0.31744937526928046</v>
      </c>
      <c r="AX58" s="9">
        <f t="shared" si="205"/>
        <v>0.31992699743139108</v>
      </c>
      <c r="AY58" s="9">
        <f t="shared" si="205"/>
        <v>0.32959659602323871</v>
      </c>
      <c r="AZ58" s="9">
        <f t="shared" si="205"/>
        <v>0.26305027664180902</v>
      </c>
      <c r="BA58" s="9">
        <f t="shared" si="205"/>
        <v>0.31009747015660938</v>
      </c>
      <c r="BB58" s="9">
        <f t="shared" si="205"/>
        <v>0.30028356798169248</v>
      </c>
      <c r="BC58" s="9">
        <f t="shared" si="205"/>
        <v>0.25753758293440832</v>
      </c>
      <c r="BD58" s="9">
        <f t="shared" si="205"/>
        <v>0.26063222668850183</v>
      </c>
      <c r="BE58" s="9">
        <f t="shared" si="205"/>
        <v>0.24940172303765157</v>
      </c>
      <c r="BF58" s="9">
        <f t="shared" si="205"/>
        <v>0.17530547540166008</v>
      </c>
      <c r="BG58" s="9">
        <f t="shared" si="205"/>
        <v>0.18583977512297961</v>
      </c>
      <c r="BH58" s="9">
        <f t="shared" si="205"/>
        <v>0.19181576223569421</v>
      </c>
      <c r="BI58" s="9">
        <f t="shared" si="205"/>
        <v>0.20560346369914481</v>
      </c>
      <c r="BJ58" s="9">
        <f t="shared" si="205"/>
        <v>0.22140402552773686</v>
      </c>
      <c r="BK58" s="9">
        <f t="shared" si="205"/>
        <v>0.1415560136139207</v>
      </c>
      <c r="BL58" s="9">
        <f t="shared" si="205"/>
        <v>0.14605886052901645</v>
      </c>
      <c r="BM58" s="9">
        <f t="shared" si="205"/>
        <v>0.5456763722103416</v>
      </c>
      <c r="BN58" s="9">
        <f t="shared" si="205"/>
        <v>0.10181285478850027</v>
      </c>
      <c r="BO58" s="9">
        <f t="shared" si="205"/>
        <v>0.16507655177615205</v>
      </c>
      <c r="BP58" s="9">
        <f t="shared" si="205"/>
        <v>0.13826615285083402</v>
      </c>
      <c r="BQ58" s="9">
        <f t="shared" si="205"/>
        <v>0.13113383343685794</v>
      </c>
      <c r="BR58" s="9">
        <f t="shared" si="205"/>
        <v>0.18978625253328257</v>
      </c>
      <c r="BS58" s="9">
        <f t="shared" si="205"/>
        <v>0.18231326597827197</v>
      </c>
      <c r="BT58" s="9">
        <f t="shared" si="205"/>
        <v>0.17629644009803683</v>
      </c>
      <c r="BU58" s="9">
        <f t="shared" si="205"/>
        <v>0.18</v>
      </c>
      <c r="BV58" s="9">
        <f t="shared" si="205"/>
        <v>0.18</v>
      </c>
      <c r="BW58" s="9">
        <f t="shared" si="205"/>
        <v>0.15</v>
      </c>
      <c r="BX58" s="9">
        <f t="shared" si="205"/>
        <v>0.15</v>
      </c>
      <c r="BY58" s="9">
        <f t="shared" si="205"/>
        <v>0.15</v>
      </c>
    </row>
    <row r="59" spans="2:82">
      <c r="B59" s="4" t="s">
        <v>156</v>
      </c>
      <c r="C59" s="9">
        <f t="shared" ref="C59:D59" si="206">(C31-C34)/C31</f>
        <v>0.78906295161570028</v>
      </c>
      <c r="D59" s="9">
        <f t="shared" si="206"/>
        <v>0.63715395523768414</v>
      </c>
      <c r="E59" s="9">
        <f t="shared" ref="E59" si="207">(E31-E34)/E31</f>
        <v>0.77725271879854996</v>
      </c>
      <c r="F59" s="9"/>
      <c r="G59" s="9">
        <f t="shared" ref="G59:AB59" si="208">(G31-G34)/G31</f>
        <v>0.79039827498731607</v>
      </c>
      <c r="H59" s="9">
        <f t="shared" si="208"/>
        <v>0.72796494111202414</v>
      </c>
      <c r="I59" s="9">
        <f t="shared" si="208"/>
        <v>0.78728498519311951</v>
      </c>
      <c r="J59" s="9">
        <f t="shared" si="208"/>
        <v>0.75918884664131814</v>
      </c>
      <c r="K59" s="9">
        <f t="shared" si="208"/>
        <v>0.77238499019173579</v>
      </c>
      <c r="L59" s="9">
        <f t="shared" si="208"/>
        <v>0.68869475847893113</v>
      </c>
      <c r="M59" s="9">
        <f t="shared" si="208"/>
        <v>0.74651810584958223</v>
      </c>
      <c r="N59" s="9">
        <f t="shared" si="208"/>
        <v>0.7736297391488014</v>
      </c>
      <c r="O59" s="9">
        <f t="shared" si="208"/>
        <v>0.77199206301485179</v>
      </c>
      <c r="P59" s="9">
        <f t="shared" si="208"/>
        <v>0.69531738774724483</v>
      </c>
      <c r="Q59" s="9">
        <f t="shared" si="208"/>
        <v>0.73603593228146957</v>
      </c>
      <c r="R59" s="9">
        <f t="shared" si="208"/>
        <v>0.75735130318556476</v>
      </c>
      <c r="S59" s="9">
        <f t="shared" si="208"/>
        <v>0.72670097198399086</v>
      </c>
      <c r="T59" s="9">
        <f t="shared" si="208"/>
        <v>0.65550644790216139</v>
      </c>
      <c r="U59" s="9">
        <f t="shared" si="208"/>
        <v>0.74717731588401337</v>
      </c>
      <c r="V59" s="9">
        <f t="shared" si="208"/>
        <v>0.77030795704028954</v>
      </c>
      <c r="W59" s="9">
        <f t="shared" si="208"/>
        <v>0.77270679111683294</v>
      </c>
      <c r="X59" s="9">
        <f t="shared" si="208"/>
        <v>0.68512750118789922</v>
      </c>
      <c r="Y59" s="9">
        <f t="shared" si="208"/>
        <v>0.74596018735363001</v>
      </c>
      <c r="Z59" s="9">
        <f t="shared" si="208"/>
        <v>0.89120072633729286</v>
      </c>
      <c r="AA59" s="9">
        <f t="shared" si="208"/>
        <v>0.78431115767417492</v>
      </c>
      <c r="AB59" s="9">
        <f t="shared" si="208"/>
        <v>0.76225414637153954</v>
      </c>
      <c r="AC59" s="9">
        <f t="shared" ref="AC59:AH59" si="209">(AC31-AC34)/AC31</f>
        <v>0.80174946145309745</v>
      </c>
      <c r="AD59" s="9">
        <f t="shared" si="209"/>
        <v>0.8066059757236228</v>
      </c>
      <c r="AE59" s="9">
        <f t="shared" si="209"/>
        <v>1</v>
      </c>
      <c r="AF59" s="9">
        <f t="shared" si="209"/>
        <v>1</v>
      </c>
      <c r="AG59" s="9">
        <f t="shared" si="209"/>
        <v>1</v>
      </c>
      <c r="AH59" s="9">
        <f t="shared" si="209"/>
        <v>1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>
        <f t="shared" ref="BK59:BY59" si="210">(BK31-BK34)/BK31</f>
        <v>0.70927774706513613</v>
      </c>
      <c r="BL59" s="9">
        <f t="shared" si="210"/>
        <v>0.76218833743398473</v>
      </c>
      <c r="BM59" s="9">
        <f t="shared" si="210"/>
        <v>0.76091911251686128</v>
      </c>
      <c r="BN59" s="9">
        <f t="shared" si="210"/>
        <v>0.75369689264254036</v>
      </c>
      <c r="BO59" s="9">
        <f t="shared" si="210"/>
        <v>0.76459781602269217</v>
      </c>
      <c r="BP59" s="9">
        <f t="shared" si="210"/>
        <v>0.74366153586402906</v>
      </c>
      <c r="BQ59" s="9">
        <f t="shared" si="210"/>
        <v>0.73788703734257277</v>
      </c>
      <c r="BR59" s="9">
        <f t="shared" si="210"/>
        <v>0.72481800336944935</v>
      </c>
      <c r="BS59" s="9">
        <f t="shared" si="210"/>
        <v>0.76422274713229277</v>
      </c>
      <c r="BT59" s="9">
        <f t="shared" si="210"/>
        <v>0.78886873299346327</v>
      </c>
      <c r="BU59" s="9">
        <f t="shared" si="210"/>
        <v>0.75</v>
      </c>
      <c r="BV59" s="9">
        <f t="shared" si="210"/>
        <v>0.75</v>
      </c>
      <c r="BW59" s="9">
        <f t="shared" si="210"/>
        <v>0.75</v>
      </c>
      <c r="BX59" s="9">
        <f t="shared" si="210"/>
        <v>0.75</v>
      </c>
      <c r="BY59" s="9">
        <f t="shared" si="210"/>
        <v>0.75</v>
      </c>
      <c r="CB59" s="1"/>
    </row>
    <row r="60" spans="2:82">
      <c r="B60" s="4" t="s">
        <v>157</v>
      </c>
      <c r="C60" s="9">
        <f t="shared" ref="C60:D60" si="211">(C32-C35)/C32</f>
        <v>0.46915570640644888</v>
      </c>
      <c r="D60" s="9">
        <f t="shared" si="211"/>
        <v>0.59771105094757571</v>
      </c>
      <c r="E60" s="9">
        <f t="shared" ref="E60" si="212">(E32-E35)/E32</f>
        <v>0.55504860146796275</v>
      </c>
      <c r="F60" s="9"/>
      <c r="G60" s="9">
        <f t="shared" ref="G60:AB60" si="213">(G32-G35)/G32</f>
        <v>0.58922890032972752</v>
      </c>
      <c r="H60" s="9">
        <f t="shared" si="213"/>
        <v>0.60366736368023166</v>
      </c>
      <c r="I60" s="9">
        <f t="shared" si="213"/>
        <v>0.60318537859007837</v>
      </c>
      <c r="J60" s="9">
        <f t="shared" si="213"/>
        <v>0.59926581514633415</v>
      </c>
      <c r="K60" s="9">
        <f t="shared" si="213"/>
        <v>0.65317783710364852</v>
      </c>
      <c r="L60" s="9">
        <f t="shared" si="213"/>
        <v>0.65548780487804881</v>
      </c>
      <c r="M60" s="9">
        <f t="shared" si="213"/>
        <v>0.64692143518704948</v>
      </c>
      <c r="N60" s="9">
        <f t="shared" si="213"/>
        <v>0.64341882854413168</v>
      </c>
      <c r="O60" s="9">
        <f t="shared" si="213"/>
        <v>0.65648748518441047</v>
      </c>
      <c r="P60" s="9">
        <f t="shared" si="213"/>
        <v>0.65656402468577335</v>
      </c>
      <c r="Q60" s="9">
        <f t="shared" si="213"/>
        <v>0.65521660311308372</v>
      </c>
      <c r="R60" s="9">
        <f t="shared" si="213"/>
        <v>0.64398832168450859</v>
      </c>
      <c r="S60" s="9">
        <f t="shared" si="213"/>
        <v>0.67569296995433525</v>
      </c>
      <c r="T60" s="9">
        <f t="shared" si="213"/>
        <v>0.67435826662986476</v>
      </c>
      <c r="U60" s="9">
        <f t="shared" si="213"/>
        <v>0.67299900721779493</v>
      </c>
      <c r="V60" s="9">
        <f t="shared" si="213"/>
        <v>0.67144600366076879</v>
      </c>
      <c r="W60" s="9">
        <f t="shared" si="213"/>
        <v>0.68837538431506518</v>
      </c>
      <c r="X60" s="9">
        <f t="shared" si="213"/>
        <v>0.68293135866663568</v>
      </c>
      <c r="Y60" s="9">
        <f t="shared" si="213"/>
        <v>0.68363928714993971</v>
      </c>
      <c r="Z60" s="9">
        <f t="shared" si="213"/>
        <v>0.64577751892836344</v>
      </c>
      <c r="AA60" s="9">
        <f t="shared" si="213"/>
        <v>0.66599089698487468</v>
      </c>
      <c r="AB60" s="9">
        <f t="shared" si="213"/>
        <v>0.66407054462396797</v>
      </c>
      <c r="AC60" s="9">
        <f t="shared" ref="AC60:AH60" si="214">(AC32-AC35)/AC32</f>
        <v>0.65510438928160453</v>
      </c>
      <c r="AD60" s="9">
        <f t="shared" si="214"/>
        <v>0.65095691762920493</v>
      </c>
      <c r="AE60" s="9">
        <f t="shared" si="214"/>
        <v>1</v>
      </c>
      <c r="AF60" s="9">
        <f t="shared" si="214"/>
        <v>1</v>
      </c>
      <c r="AG60" s="9">
        <f t="shared" si="214"/>
        <v>1</v>
      </c>
      <c r="AH60" s="9">
        <f t="shared" si="214"/>
        <v>1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>
        <f t="shared" ref="BK60:BY60" si="215">(BK32-BK35)/BK32</f>
        <v>0.37442270551683599</v>
      </c>
      <c r="BL60" s="9">
        <f t="shared" si="215"/>
        <v>0.41739926739926742</v>
      </c>
      <c r="BM60" s="9">
        <f t="shared" si="215"/>
        <v>0.4999672938970412</v>
      </c>
      <c r="BN60" s="9">
        <f t="shared" si="215"/>
        <v>0.55437146585471941</v>
      </c>
      <c r="BO60" s="9">
        <f t="shared" si="215"/>
        <v>0.59904766985888447</v>
      </c>
      <c r="BP60" s="9">
        <f t="shared" si="215"/>
        <v>0.64940111736450412</v>
      </c>
      <c r="BQ60" s="9">
        <f t="shared" si="215"/>
        <v>0.65280632159186858</v>
      </c>
      <c r="BR60" s="9">
        <f t="shared" si="215"/>
        <v>0.67354771220519505</v>
      </c>
      <c r="BS60" s="9">
        <f t="shared" si="215"/>
        <v>0.67373259624394921</v>
      </c>
      <c r="BT60" s="9">
        <f t="shared" si="215"/>
        <v>0.65868912378660838</v>
      </c>
      <c r="BU60" s="9">
        <f t="shared" si="215"/>
        <v>0.65</v>
      </c>
      <c r="BV60" s="9">
        <f t="shared" si="215"/>
        <v>0.65</v>
      </c>
      <c r="BW60" s="9">
        <f t="shared" si="215"/>
        <v>0.65</v>
      </c>
      <c r="BX60" s="9">
        <f t="shared" si="215"/>
        <v>0.65</v>
      </c>
      <c r="BY60" s="9">
        <f t="shared" si="215"/>
        <v>0.65000000000000013</v>
      </c>
      <c r="CB60" s="1"/>
    </row>
    <row r="61" spans="2:82">
      <c r="B61" s="4" t="s">
        <v>411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>
        <v>0.35</v>
      </c>
      <c r="S61" s="9">
        <v>0.16</v>
      </c>
      <c r="T61" s="9">
        <v>0.04</v>
      </c>
      <c r="U61" s="9">
        <v>0.12</v>
      </c>
      <c r="V61" s="9">
        <v>-0.01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CB61" s="1"/>
    </row>
    <row r="63" spans="2:82">
      <c r="B63" t="s">
        <v>82</v>
      </c>
      <c r="G63" s="5">
        <f t="shared" ref="G63:H63" si="216">+G64-G75</f>
        <v>69825</v>
      </c>
      <c r="H63" s="5">
        <f t="shared" si="216"/>
        <v>64290</v>
      </c>
      <c r="I63" s="5">
        <f t="shared" ref="I63:J63" si="217">+I64-I75</f>
        <v>73676</v>
      </c>
      <c r="J63" s="5">
        <f t="shared" si="217"/>
        <v>76165</v>
      </c>
      <c r="K63" s="5">
        <f t="shared" ref="K63:L63" si="218">+K64-K75</f>
        <v>77528</v>
      </c>
      <c r="L63" s="5">
        <f t="shared" si="218"/>
        <v>75239</v>
      </c>
      <c r="M63" s="5">
        <f t="shared" ref="M63:Y63" si="219">+M64-M75</f>
        <v>72744</v>
      </c>
      <c r="N63" s="5">
        <f t="shared" si="219"/>
        <v>78172</v>
      </c>
      <c r="O63" s="5">
        <f t="shared" si="219"/>
        <v>83720</v>
      </c>
      <c r="P63" s="5">
        <f t="shared" si="219"/>
        <v>79105</v>
      </c>
      <c r="Q63" s="5">
        <f t="shared" si="219"/>
        <v>61674</v>
      </c>
      <c r="R63" s="5">
        <f t="shared" si="219"/>
        <v>61867</v>
      </c>
      <c r="S63" s="5">
        <f t="shared" si="219"/>
        <v>65479</v>
      </c>
      <c r="T63" s="5">
        <f t="shared" si="219"/>
        <v>58489</v>
      </c>
      <c r="U63" s="5">
        <f t="shared" si="219"/>
        <v>65632</v>
      </c>
      <c r="V63" s="5">
        <f t="shared" si="219"/>
        <v>73904</v>
      </c>
      <c r="W63" s="5">
        <f t="shared" si="219"/>
        <v>83872</v>
      </c>
      <c r="X63" s="5">
        <f t="shared" si="219"/>
        <v>20165</v>
      </c>
      <c r="Y63" s="5">
        <f t="shared" si="219"/>
        <v>29386</v>
      </c>
      <c r="Z63" s="5">
        <f>+Z64-Z75</f>
        <v>38513</v>
      </c>
      <c r="AA63" s="5">
        <f>+AA64-AA75</f>
        <v>49089</v>
      </c>
      <c r="AB63" s="5">
        <f>+AB64-AB75</f>
        <v>42166</v>
      </c>
      <c r="AC63" s="5">
        <f>+AC64-AC75</f>
        <v>52772</v>
      </c>
      <c r="AD63" s="5">
        <f>+AD64-AD75</f>
        <v>66819</v>
      </c>
      <c r="AE63" s="5"/>
      <c r="AF63" s="5"/>
      <c r="AG63" s="5"/>
      <c r="AH63" s="5"/>
      <c r="AO63" s="4">
        <f t="shared" ref="AO63:BC63" si="220">AO64</f>
        <v>3614</v>
      </c>
      <c r="AP63" s="4">
        <f t="shared" si="220"/>
        <v>4750</v>
      </c>
      <c r="AQ63" s="4">
        <f t="shared" si="220"/>
        <v>6940</v>
      </c>
      <c r="AR63" s="4">
        <f t="shared" si="220"/>
        <v>11312</v>
      </c>
      <c r="AS63" s="4">
        <f t="shared" si="220"/>
        <v>18630</v>
      </c>
      <c r="AT63" s="4">
        <f t="shared" si="220"/>
        <v>31608</v>
      </c>
      <c r="AU63" s="4">
        <f t="shared" si="220"/>
        <v>41524</v>
      </c>
      <c r="AV63" s="4">
        <f t="shared" si="220"/>
        <v>45741</v>
      </c>
      <c r="AW63" s="4">
        <f t="shared" si="220"/>
        <v>52843</v>
      </c>
      <c r="AX63" s="4">
        <f t="shared" si="220"/>
        <v>62740</v>
      </c>
      <c r="AY63" s="4">
        <f t="shared" si="220"/>
        <v>72802</v>
      </c>
      <c r="AZ63" s="4">
        <f t="shared" si="220"/>
        <v>48755</v>
      </c>
      <c r="BA63" s="4">
        <f t="shared" si="220"/>
        <v>43393</v>
      </c>
      <c r="BB63" s="4">
        <f t="shared" si="220"/>
        <v>33528</v>
      </c>
      <c r="BC63" s="4">
        <f t="shared" si="220"/>
        <v>30250</v>
      </c>
      <c r="BD63" s="4">
        <f t="shared" ref="BD63:BI63" si="221">BD64-BD75</f>
        <v>30634</v>
      </c>
      <c r="BE63" s="4">
        <f t="shared" si="221"/>
        <v>38603</v>
      </c>
      <c r="BF63" s="4">
        <f t="shared" si="221"/>
        <v>51716</v>
      </c>
      <c r="BG63" s="4">
        <f t="shared" si="221"/>
        <v>60872</v>
      </c>
      <c r="BH63" s="4">
        <f t="shared" si="221"/>
        <v>72266</v>
      </c>
      <c r="BI63" s="4">
        <f t="shared" si="221"/>
        <v>77661</v>
      </c>
      <c r="BQ63" s="5">
        <f t="shared" ref="BQ63" si="222">+BQ64-BQ75</f>
        <v>61867</v>
      </c>
      <c r="BR63" s="5">
        <f t="shared" ref="BR63" si="223">+BR64-BR75</f>
        <v>73904</v>
      </c>
      <c r="BS63" s="5">
        <f>+BS64-BS75</f>
        <v>42166</v>
      </c>
      <c r="BT63" s="5"/>
      <c r="BU63" s="5"/>
      <c r="BV63" s="5"/>
      <c r="BW63" s="5"/>
      <c r="BX63" s="5"/>
      <c r="BY63" s="5"/>
    </row>
    <row r="64" spans="2:82" s="4" customFormat="1">
      <c r="B64" s="4" t="s">
        <v>3</v>
      </c>
      <c r="C64" s="5"/>
      <c r="D64" s="5"/>
      <c r="E64" s="5"/>
      <c r="F64" s="5"/>
      <c r="G64" s="5">
        <f>136636+2684</f>
        <v>139320</v>
      </c>
      <c r="H64" s="5">
        <f>133819+2649</f>
        <v>136468</v>
      </c>
      <c r="I64" s="5">
        <f>137626+2660</f>
        <v>140286</v>
      </c>
      <c r="J64" s="5">
        <f>136527+2965</f>
        <v>139492</v>
      </c>
      <c r="K64" s="5">
        <f>137977+3103</f>
        <v>141080</v>
      </c>
      <c r="L64" s="5">
        <f>131968+3794</f>
        <v>135762</v>
      </c>
      <c r="M64" s="5">
        <f>125407+5395</f>
        <v>130802</v>
      </c>
      <c r="N64" s="5">
        <f>130334+5984</f>
        <v>136318</v>
      </c>
      <c r="O64" s="5">
        <f>130615+6393</f>
        <v>137008</v>
      </c>
      <c r="P64" s="5">
        <f>125369+6994</f>
        <v>132363</v>
      </c>
      <c r="Q64" s="5">
        <f>104693+6907</f>
        <v>111600</v>
      </c>
      <c r="R64" s="5">
        <f>104757+6891</f>
        <v>111648</v>
      </c>
      <c r="S64" s="4">
        <f>107262+6839</f>
        <v>114101</v>
      </c>
      <c r="T64" s="4">
        <f>99508+7097</f>
        <v>106605</v>
      </c>
      <c r="U64" s="4">
        <f>104427+9415</f>
        <v>113842</v>
      </c>
      <c r="V64" s="4">
        <f>111262+9879</f>
        <v>121141</v>
      </c>
      <c r="W64" s="4">
        <f>143951+11423</f>
        <v>155374</v>
      </c>
      <c r="X64" s="4">
        <f>81017+13367</f>
        <v>94384</v>
      </c>
      <c r="Y64" s="4">
        <f>80021+14807</f>
        <v>94828</v>
      </c>
      <c r="Z64" s="4">
        <f>75543+14600</f>
        <v>90143</v>
      </c>
      <c r="AA64" s="4">
        <f>78428+15778</f>
        <v>94206</v>
      </c>
      <c r="AB64" s="4">
        <f>71555+15581</f>
        <v>87136</v>
      </c>
      <c r="AC64" s="5">
        <f>28828+50790+16035</f>
        <v>95653</v>
      </c>
      <c r="AD64" s="5">
        <f>94565+15405</f>
        <v>109970</v>
      </c>
      <c r="AO64" s="4">
        <f>3614</f>
        <v>3614</v>
      </c>
      <c r="AP64" s="4">
        <v>4750</v>
      </c>
      <c r="AQ64" s="4">
        <v>6940</v>
      </c>
      <c r="AR64" s="4">
        <f>8966+2346</f>
        <v>11312</v>
      </c>
      <c r="AS64" s="4">
        <f>13927+4703</f>
        <v>18630</v>
      </c>
      <c r="AT64" s="4">
        <f>17236+14372</f>
        <v>31608</v>
      </c>
      <c r="AU64" s="4">
        <f>4846+18952+17726</f>
        <v>41524</v>
      </c>
      <c r="AV64" s="4">
        <f>3922+27678+14141</f>
        <v>45741</v>
      </c>
      <c r="AW64" s="4">
        <f>3016+35636+14191</f>
        <v>52843</v>
      </c>
      <c r="AX64" s="4">
        <f>6438+42610+13692</f>
        <v>62740</v>
      </c>
      <c r="AY64" s="4">
        <f>60592+12210</f>
        <v>72802</v>
      </c>
      <c r="AZ64" s="4">
        <f>4851+32900+11004</f>
        <v>48755</v>
      </c>
      <c r="BA64" s="4">
        <f>34161+9232</f>
        <v>43393</v>
      </c>
      <c r="BB64" s="4">
        <f>23411+10117</f>
        <v>33528</v>
      </c>
      <c r="BC64" s="4">
        <f>23662+6588</f>
        <v>30250</v>
      </c>
      <c r="BD64" s="4">
        <f>31447+4933</f>
        <v>36380</v>
      </c>
      <c r="BE64" s="4">
        <f>36788+7754</f>
        <v>44542</v>
      </c>
      <c r="BF64" s="4">
        <f>52772+10865</f>
        <v>63637</v>
      </c>
      <c r="BG64" s="4">
        <f>63040+9776</f>
        <v>72816</v>
      </c>
      <c r="BH64" s="4">
        <f>77022+10844</f>
        <v>87866</v>
      </c>
      <c r="BI64" s="4">
        <f>85709+14597</f>
        <v>100306</v>
      </c>
      <c r="BO64" s="5"/>
      <c r="BP64" s="5"/>
      <c r="BQ64" s="5">
        <f>+R64</f>
        <v>111648</v>
      </c>
      <c r="BR64" s="5">
        <f>+V64</f>
        <v>121141</v>
      </c>
      <c r="BS64" s="4">
        <f>+AB64</f>
        <v>87136</v>
      </c>
    </row>
    <row r="65" spans="2:71" s="4" customFormat="1">
      <c r="B65" s="4" t="s">
        <v>35</v>
      </c>
      <c r="C65" s="5"/>
      <c r="D65" s="5"/>
      <c r="E65" s="5"/>
      <c r="F65" s="5"/>
      <c r="G65" s="5">
        <v>19087</v>
      </c>
      <c r="H65" s="5">
        <v>29524</v>
      </c>
      <c r="I65" s="5">
        <v>22699</v>
      </c>
      <c r="J65" s="5">
        <v>32011</v>
      </c>
      <c r="K65" s="5">
        <v>22851</v>
      </c>
      <c r="L65" s="5">
        <v>27312</v>
      </c>
      <c r="M65" s="5">
        <v>26322</v>
      </c>
      <c r="N65" s="5">
        <v>38043</v>
      </c>
      <c r="O65" s="5">
        <v>27349</v>
      </c>
      <c r="P65" s="5">
        <v>33520</v>
      </c>
      <c r="Q65" s="5">
        <v>32613</v>
      </c>
      <c r="R65" s="5">
        <v>44261</v>
      </c>
      <c r="S65" s="4">
        <v>31279</v>
      </c>
      <c r="T65" s="4">
        <v>35833</v>
      </c>
      <c r="U65" s="4">
        <v>37420</v>
      </c>
      <c r="V65" s="4">
        <v>48688</v>
      </c>
      <c r="W65" s="4">
        <v>36953</v>
      </c>
      <c r="X65" s="4">
        <v>42831</v>
      </c>
      <c r="Y65" s="4">
        <v>44029</v>
      </c>
      <c r="Z65" s="4">
        <v>56924</v>
      </c>
      <c r="AA65" s="4">
        <v>44148</v>
      </c>
      <c r="AB65" s="4">
        <v>48188</v>
      </c>
      <c r="AC65" s="4">
        <v>51700</v>
      </c>
      <c r="AD65" s="4">
        <v>69905</v>
      </c>
      <c r="AO65" s="4">
        <v>475</v>
      </c>
      <c r="AP65" s="4">
        <v>581</v>
      </c>
      <c r="AQ65" s="4">
        <v>639</v>
      </c>
      <c r="AR65" s="4">
        <v>980</v>
      </c>
      <c r="AS65" s="4">
        <v>1460</v>
      </c>
      <c r="AT65" s="4">
        <v>2245</v>
      </c>
      <c r="AU65" s="4">
        <v>3250</v>
      </c>
      <c r="AV65" s="4">
        <v>3671</v>
      </c>
      <c r="AW65" s="4">
        <v>5129</v>
      </c>
      <c r="AX65" s="4">
        <v>5196</v>
      </c>
      <c r="AY65" s="4">
        <v>5890</v>
      </c>
      <c r="AZ65" s="4">
        <v>7180</v>
      </c>
      <c r="BA65" s="4">
        <v>9316</v>
      </c>
      <c r="BB65" s="4">
        <v>11338</v>
      </c>
      <c r="BC65" s="4">
        <v>13589</v>
      </c>
      <c r="BD65" s="4">
        <v>11192</v>
      </c>
      <c r="BE65" s="4">
        <v>13014</v>
      </c>
      <c r="BF65" s="4">
        <v>14987</v>
      </c>
      <c r="BG65" s="4">
        <v>15780</v>
      </c>
      <c r="BH65" s="4">
        <v>17486</v>
      </c>
      <c r="BI65" s="4">
        <v>19544</v>
      </c>
      <c r="BO65" s="5"/>
      <c r="BP65" s="5"/>
      <c r="BQ65" s="5">
        <f t="shared" ref="BQ65:BQ71" si="224">+R65</f>
        <v>44261</v>
      </c>
      <c r="BR65" s="5">
        <f t="shared" ref="BR65:BR71" si="225">+V65</f>
        <v>48688</v>
      </c>
      <c r="BS65" s="4">
        <f t="shared" ref="BS65:BS71" si="226">+AB65</f>
        <v>48188</v>
      </c>
    </row>
    <row r="66" spans="2:71" s="4" customFormat="1">
      <c r="B66" s="4" t="s">
        <v>36</v>
      </c>
      <c r="C66" s="5"/>
      <c r="D66" s="5"/>
      <c r="E66" s="5"/>
      <c r="F66" s="5"/>
      <c r="G66" s="5">
        <v>2622</v>
      </c>
      <c r="H66" s="5">
        <v>2063</v>
      </c>
      <c r="I66" s="5">
        <v>1644</v>
      </c>
      <c r="J66" s="5">
        <v>1895</v>
      </c>
      <c r="K66" s="5">
        <v>2705</v>
      </c>
      <c r="L66" s="5">
        <v>1924</v>
      </c>
      <c r="M66" s="5">
        <v>2245</v>
      </c>
      <c r="N66" s="5">
        <v>2636</v>
      </c>
      <c r="O66" s="5">
        <v>3411</v>
      </c>
      <c r="P66" s="5">
        <v>3019</v>
      </c>
      <c r="Q66" s="5">
        <v>3296</v>
      </c>
      <c r="R66" s="5">
        <v>3742</v>
      </c>
      <c r="S66" s="4">
        <v>4268</v>
      </c>
      <c r="T66" s="4">
        <v>2980</v>
      </c>
      <c r="U66" s="4">
        <v>2877</v>
      </c>
      <c r="V66" s="4">
        <v>2500</v>
      </c>
      <c r="W66" s="4">
        <v>3000</v>
      </c>
      <c r="X66" s="4">
        <v>1615</v>
      </c>
      <c r="Y66" s="4">
        <v>1304</v>
      </c>
      <c r="Z66" s="4">
        <v>1246</v>
      </c>
      <c r="AA66" s="4">
        <v>1626</v>
      </c>
      <c r="AB66" s="4">
        <v>909</v>
      </c>
      <c r="AC66" s="4">
        <v>848</v>
      </c>
      <c r="AD66" s="4">
        <v>938</v>
      </c>
      <c r="AO66" s="4">
        <v>102</v>
      </c>
      <c r="AP66" s="4">
        <v>88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673</v>
      </c>
      <c r="AX66" s="4">
        <v>640</v>
      </c>
      <c r="AY66" s="4">
        <v>421</v>
      </c>
      <c r="AZ66" s="4">
        <v>491</v>
      </c>
      <c r="BA66" s="4">
        <v>1478</v>
      </c>
      <c r="BB66" s="4">
        <v>1127</v>
      </c>
      <c r="BC66" s="4">
        <v>985</v>
      </c>
      <c r="BD66" s="4">
        <v>717</v>
      </c>
      <c r="BE66" s="4">
        <v>740</v>
      </c>
      <c r="BF66" s="4">
        <v>1372</v>
      </c>
      <c r="BG66" s="4">
        <v>1137</v>
      </c>
      <c r="BH66" s="4">
        <v>1938</v>
      </c>
      <c r="BI66" s="4">
        <v>2660</v>
      </c>
      <c r="BO66" s="5"/>
      <c r="BP66" s="5"/>
      <c r="BQ66" s="5">
        <f t="shared" si="224"/>
        <v>3742</v>
      </c>
      <c r="BR66" s="5">
        <f t="shared" si="225"/>
        <v>2500</v>
      </c>
      <c r="BS66" s="4">
        <f t="shared" si="226"/>
        <v>909</v>
      </c>
    </row>
    <row r="67" spans="2:71" s="4" customFormat="1">
      <c r="B67" s="4" t="s">
        <v>37</v>
      </c>
      <c r="C67" s="5"/>
      <c r="D67" s="5"/>
      <c r="E67" s="5"/>
      <c r="F67" s="5"/>
      <c r="G67" s="5">
        <v>7551</v>
      </c>
      <c r="H67" s="5">
        <v>10146</v>
      </c>
      <c r="I67" s="5">
        <v>8536</v>
      </c>
      <c r="J67" s="5">
        <v>11482</v>
      </c>
      <c r="K67" s="5">
        <v>13544</v>
      </c>
      <c r="L67" s="5">
        <v>12769</v>
      </c>
      <c r="M67" s="5">
        <v>11640</v>
      </c>
      <c r="N67" s="5">
        <v>13393</v>
      </c>
      <c r="O67" s="5">
        <v>12951</v>
      </c>
      <c r="P67" s="5">
        <v>12280</v>
      </c>
      <c r="Q67" s="5">
        <v>13320</v>
      </c>
      <c r="R67" s="5">
        <v>16924</v>
      </c>
      <c r="S67" s="4">
        <v>18003</v>
      </c>
      <c r="T67" s="4">
        <v>19502</v>
      </c>
      <c r="U67" s="4">
        <v>19165</v>
      </c>
      <c r="V67" s="4">
        <v>21807</v>
      </c>
      <c r="W67" s="4">
        <v>23682</v>
      </c>
      <c r="X67" s="4">
        <v>21930</v>
      </c>
      <c r="Y67" s="4">
        <v>21826</v>
      </c>
      <c r="Z67" s="4">
        <v>26021</v>
      </c>
      <c r="AA67" s="4">
        <v>25724</v>
      </c>
      <c r="AB67" s="4">
        <v>26428</v>
      </c>
      <c r="AC67" s="4">
        <v>24478</v>
      </c>
      <c r="AD67" s="4">
        <v>25723</v>
      </c>
      <c r="AO67" s="4">
        <v>121</v>
      </c>
      <c r="AP67" s="4">
        <v>201</v>
      </c>
      <c r="AQ67" s="4">
        <v>260</v>
      </c>
      <c r="AR67" s="4">
        <v>427</v>
      </c>
      <c r="AS67" s="4">
        <v>502</v>
      </c>
      <c r="AT67" s="4">
        <v>752</v>
      </c>
      <c r="AU67" s="4">
        <f>1552+1708</f>
        <v>3260</v>
      </c>
      <c r="AV67" s="4">
        <f>1949+2417</f>
        <v>4366</v>
      </c>
      <c r="AW67" s="4">
        <f>2112+2010</f>
        <v>4122</v>
      </c>
      <c r="AX67" s="4">
        <f>2506+1583</f>
        <v>4089</v>
      </c>
      <c r="AY67" s="4">
        <f>2097+1566</f>
        <v>3663</v>
      </c>
      <c r="AZ67" s="4">
        <f>1701+1614</f>
        <v>3315</v>
      </c>
      <c r="BA67" s="4">
        <f>1940+2115</f>
        <v>4055</v>
      </c>
      <c r="BB67" s="4">
        <f>1899+2393</f>
        <v>4292</v>
      </c>
      <c r="BC67" s="4">
        <f>2017+2989</f>
        <v>5006</v>
      </c>
      <c r="BD67" s="4">
        <f>2213+3711</f>
        <v>5924</v>
      </c>
      <c r="BE67" s="4">
        <f>2184+2950</f>
        <v>5134</v>
      </c>
      <c r="BF67" s="4">
        <f>2467+3320</f>
        <v>5787</v>
      </c>
      <c r="BG67" s="4">
        <f>2035+3092</f>
        <v>5127</v>
      </c>
      <c r="BH67" s="4">
        <f>1632+3388</f>
        <v>5020</v>
      </c>
      <c r="BI67" s="4">
        <f>1941+4392</f>
        <v>6333</v>
      </c>
      <c r="BO67" s="5"/>
      <c r="BP67" s="5"/>
      <c r="BQ67" s="5">
        <f t="shared" si="224"/>
        <v>16924</v>
      </c>
      <c r="BR67" s="5">
        <f t="shared" si="225"/>
        <v>21807</v>
      </c>
      <c r="BS67" s="4">
        <f t="shared" si="226"/>
        <v>26428</v>
      </c>
    </row>
    <row r="68" spans="2:71" s="4" customFormat="1">
      <c r="B68" s="4" t="s">
        <v>38</v>
      </c>
      <c r="C68" s="5"/>
      <c r="D68" s="5"/>
      <c r="E68" s="5"/>
      <c r="F68" s="5"/>
      <c r="G68" s="5">
        <v>38409</v>
      </c>
      <c r="H68" s="5">
        <v>36477</v>
      </c>
      <c r="I68" s="5">
        <v>41221</v>
      </c>
      <c r="J68" s="5">
        <v>44151</v>
      </c>
      <c r="K68" s="5">
        <v>47927</v>
      </c>
      <c r="L68" s="5">
        <v>51737</v>
      </c>
      <c r="M68" s="5">
        <v>54945</v>
      </c>
      <c r="N68" s="5">
        <v>59715</v>
      </c>
      <c r="O68" s="5">
        <v>63772</v>
      </c>
      <c r="P68" s="5">
        <v>67214</v>
      </c>
      <c r="Q68" s="5">
        <v>70298</v>
      </c>
      <c r="R68" s="5">
        <v>74398</v>
      </c>
      <c r="S68" s="4">
        <v>77037</v>
      </c>
      <c r="T68" s="4">
        <v>82755</v>
      </c>
      <c r="U68" s="4">
        <v>88132</v>
      </c>
      <c r="V68" s="4">
        <v>95641</v>
      </c>
      <c r="W68" s="4">
        <v>102502</v>
      </c>
      <c r="X68" s="4">
        <v>112308</v>
      </c>
      <c r="Y68" s="4">
        <v>121375</v>
      </c>
      <c r="Z68" s="4">
        <v>135591</v>
      </c>
      <c r="AA68" s="4">
        <v>152863</v>
      </c>
      <c r="AB68" s="4">
        <v>166902</v>
      </c>
      <c r="AC68" s="4">
        <v>183939</v>
      </c>
      <c r="AD68" s="4">
        <v>204966</v>
      </c>
      <c r="AO68" s="4">
        <v>930</v>
      </c>
      <c r="AP68" s="4">
        <v>1192</v>
      </c>
      <c r="AQ68" s="4">
        <v>1326</v>
      </c>
      <c r="AR68" s="4">
        <v>1465</v>
      </c>
      <c r="AS68" s="4">
        <v>1505</v>
      </c>
      <c r="AT68" s="4">
        <v>1611</v>
      </c>
      <c r="AU68" s="4">
        <v>1903</v>
      </c>
      <c r="AV68" s="4">
        <v>2309</v>
      </c>
      <c r="AW68" s="4">
        <v>2268</v>
      </c>
      <c r="AX68" s="4">
        <v>2223</v>
      </c>
      <c r="AY68" s="4">
        <v>2326</v>
      </c>
      <c r="AZ68" s="4">
        <v>2346</v>
      </c>
      <c r="BA68" s="4">
        <v>3044</v>
      </c>
      <c r="BB68" s="4">
        <v>4350</v>
      </c>
      <c r="BC68" s="4">
        <v>6242</v>
      </c>
      <c r="BD68" s="4">
        <v>7535</v>
      </c>
      <c r="BE68" s="4">
        <v>7630</v>
      </c>
      <c r="BF68" s="4">
        <v>8162</v>
      </c>
      <c r="BG68" s="4">
        <v>8269</v>
      </c>
      <c r="BH68" s="4">
        <v>9991</v>
      </c>
      <c r="BI68" s="4">
        <v>13011</v>
      </c>
      <c r="BO68" s="5"/>
      <c r="BP68" s="5"/>
      <c r="BQ68" s="5">
        <f t="shared" si="224"/>
        <v>74398</v>
      </c>
      <c r="BR68" s="5">
        <f t="shared" si="225"/>
        <v>95641</v>
      </c>
      <c r="BS68" s="4">
        <f t="shared" si="226"/>
        <v>166902</v>
      </c>
    </row>
    <row r="69" spans="2:71" s="4" customFormat="1">
      <c r="B69" s="4" t="s">
        <v>39</v>
      </c>
      <c r="C69" s="5"/>
      <c r="D69" s="5"/>
      <c r="E69" s="5"/>
      <c r="F69" s="5"/>
      <c r="G69" s="5">
        <v>7890</v>
      </c>
      <c r="H69" s="5">
        <v>7379</v>
      </c>
      <c r="I69" s="5">
        <v>8448</v>
      </c>
      <c r="J69" s="5">
        <v>8753</v>
      </c>
      <c r="K69" s="5">
        <v>9047</v>
      </c>
      <c r="L69" s="5">
        <v>10298</v>
      </c>
      <c r="M69" s="5">
        <v>10673</v>
      </c>
      <c r="N69" s="5">
        <v>11088</v>
      </c>
      <c r="O69" s="5">
        <v>11575</v>
      </c>
      <c r="P69" s="5">
        <v>12354</v>
      </c>
      <c r="Q69" s="5">
        <v>12916</v>
      </c>
      <c r="R69" s="5">
        <v>13148</v>
      </c>
      <c r="S69" s="4">
        <v>13347</v>
      </c>
      <c r="T69" s="4">
        <v>13624</v>
      </c>
      <c r="U69" s="4">
        <v>13879</v>
      </c>
      <c r="V69" s="4">
        <v>14346</v>
      </c>
      <c r="W69" s="4">
        <v>15435</v>
      </c>
      <c r="X69" s="4">
        <v>16398</v>
      </c>
      <c r="Y69" s="4">
        <v>17371</v>
      </c>
      <c r="Z69" s="4">
        <v>18961</v>
      </c>
      <c r="AA69" s="4">
        <v>20528</v>
      </c>
      <c r="AB69" s="4">
        <v>22816</v>
      </c>
      <c r="AC69" s="4">
        <v>24475</v>
      </c>
      <c r="AD69" s="4">
        <v>24823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O69" s="5"/>
      <c r="BP69" s="5"/>
      <c r="BQ69" s="5">
        <f t="shared" si="224"/>
        <v>13148</v>
      </c>
      <c r="BR69" s="5">
        <f t="shared" si="225"/>
        <v>14346</v>
      </c>
      <c r="BS69" s="4">
        <f t="shared" si="226"/>
        <v>22816</v>
      </c>
    </row>
    <row r="70" spans="2:71" s="4" customFormat="1">
      <c r="B70" s="4" t="s">
        <v>40</v>
      </c>
      <c r="C70" s="5"/>
      <c r="D70" s="5"/>
      <c r="E70" s="5"/>
      <c r="F70" s="5"/>
      <c r="G70" s="5">
        <f>42113+7508</f>
        <v>49621</v>
      </c>
      <c r="H70" s="5">
        <f>42026+7750</f>
        <v>49776</v>
      </c>
      <c r="I70" s="5">
        <f>42064+6855</f>
        <v>48919</v>
      </c>
      <c r="J70" s="5">
        <f>43351+7038</f>
        <v>50389</v>
      </c>
      <c r="K70" s="5">
        <f>43890+6923</f>
        <v>50813</v>
      </c>
      <c r="L70" s="5">
        <f>44219+6555</f>
        <v>50774</v>
      </c>
      <c r="M70" s="5">
        <f>49698+8127</f>
        <v>57825</v>
      </c>
      <c r="N70" s="5">
        <f>49711+7800</f>
        <v>57511</v>
      </c>
      <c r="O70" s="5">
        <f>50455+7794</f>
        <v>58249</v>
      </c>
      <c r="P70" s="5">
        <f>50921+7462</f>
        <v>58383</v>
      </c>
      <c r="Q70" s="5">
        <f>67371+11348</f>
        <v>78719</v>
      </c>
      <c r="R70" s="5">
        <f>67524+11298</f>
        <v>78822</v>
      </c>
      <c r="S70" s="4">
        <f>67459+10808</f>
        <v>78267</v>
      </c>
      <c r="T70" s="4">
        <f>67905+10354</f>
        <v>78259</v>
      </c>
      <c r="U70" s="4">
        <f>67940+9879</f>
        <v>77819</v>
      </c>
      <c r="V70" s="4">
        <f>67886+9366</f>
        <v>77252</v>
      </c>
      <c r="W70" s="4">
        <f>67790+8895</f>
        <v>76685</v>
      </c>
      <c r="X70" s="4">
        <f>118931+29896</f>
        <v>148827</v>
      </c>
      <c r="Y70" s="4">
        <f>119163+28828</f>
        <v>147991</v>
      </c>
      <c r="Z70" s="4">
        <f>119220+27597</f>
        <v>146817</v>
      </c>
      <c r="AA70" s="4">
        <f>119374+26751</f>
        <v>146125</v>
      </c>
      <c r="AB70" s="4">
        <f>119191+25385</f>
        <v>144576</v>
      </c>
      <c r="AC70" s="4">
        <f>119329+23968</f>
        <v>143297</v>
      </c>
      <c r="AD70" s="4">
        <f>119509+22604</f>
        <v>142113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f>1426+243</f>
        <v>1669</v>
      </c>
      <c r="AX70" s="4">
        <f>3128+384</f>
        <v>3512</v>
      </c>
      <c r="AY70" s="4">
        <f>3115+569</f>
        <v>3684</v>
      </c>
      <c r="AZ70" s="4">
        <f>3309+499</f>
        <v>3808</v>
      </c>
      <c r="BA70" s="4">
        <f>3866+539</f>
        <v>4405</v>
      </c>
      <c r="BB70" s="4">
        <f>4760+878</f>
        <v>5638</v>
      </c>
      <c r="BC70" s="4">
        <f>12108+1973</f>
        <v>14081</v>
      </c>
      <c r="BD70" s="4">
        <f>12503+1759</f>
        <v>14262</v>
      </c>
      <c r="BE70" s="4">
        <f>12394+1158</f>
        <v>13552</v>
      </c>
      <c r="BF70" s="4">
        <f>12581+744</f>
        <v>13325</v>
      </c>
      <c r="BG70" s="4">
        <f>13452+3170</f>
        <v>16622</v>
      </c>
      <c r="BH70" s="4">
        <f>14655+3083</f>
        <v>17738</v>
      </c>
      <c r="BI70" s="4">
        <f>20127+6981</f>
        <v>27108</v>
      </c>
      <c r="BO70" s="5"/>
      <c r="BP70" s="5"/>
      <c r="BQ70" s="5">
        <f t="shared" si="224"/>
        <v>78822</v>
      </c>
      <c r="BR70" s="5">
        <f t="shared" si="225"/>
        <v>77252</v>
      </c>
      <c r="BS70" s="4">
        <f t="shared" si="226"/>
        <v>144576</v>
      </c>
    </row>
    <row r="71" spans="2:71" s="4" customFormat="1">
      <c r="B71" s="4" t="s">
        <v>42</v>
      </c>
      <c r="C71" s="5"/>
      <c r="D71" s="5"/>
      <c r="E71" s="5"/>
      <c r="F71" s="5"/>
      <c r="G71" s="5">
        <v>14455</v>
      </c>
      <c r="H71" s="5">
        <v>14723</v>
      </c>
      <c r="I71" s="5">
        <v>13696</v>
      </c>
      <c r="J71" s="5">
        <v>13138</v>
      </c>
      <c r="K71" s="5">
        <v>13034</v>
      </c>
      <c r="L71" s="5">
        <v>13561</v>
      </c>
      <c r="M71" s="5">
        <v>14427</v>
      </c>
      <c r="N71" s="5">
        <v>15075</v>
      </c>
      <c r="O71" s="5">
        <v>21103</v>
      </c>
      <c r="P71" s="5">
        <v>21256</v>
      </c>
      <c r="Q71" s="5">
        <v>21845</v>
      </c>
      <c r="R71" s="5">
        <v>21897</v>
      </c>
      <c r="S71" s="4">
        <v>23482</v>
      </c>
      <c r="T71" s="4">
        <v>24994</v>
      </c>
      <c r="U71" s="4">
        <v>26954</v>
      </c>
      <c r="V71" s="4">
        <v>30601</v>
      </c>
      <c r="W71" s="4">
        <v>32154</v>
      </c>
      <c r="X71" s="4">
        <v>32265</v>
      </c>
      <c r="Y71" s="4">
        <v>35551</v>
      </c>
      <c r="Z71" s="4">
        <v>36460</v>
      </c>
      <c r="AA71" s="4">
        <v>37793</v>
      </c>
      <c r="AB71" s="4">
        <v>36943</v>
      </c>
      <c r="AC71" s="4">
        <v>38234</v>
      </c>
      <c r="AD71" s="4">
        <v>40565</v>
      </c>
      <c r="AO71" s="4">
        <v>121</v>
      </c>
      <c r="AP71" s="4">
        <v>398</v>
      </c>
      <c r="AQ71" s="4">
        <v>928</v>
      </c>
      <c r="AR71" s="4">
        <v>203</v>
      </c>
      <c r="AS71" s="4">
        <v>260</v>
      </c>
      <c r="AT71" s="4">
        <v>940</v>
      </c>
      <c r="AU71" s="4">
        <v>2213</v>
      </c>
      <c r="AV71" s="4">
        <v>3170</v>
      </c>
      <c r="AW71" s="4">
        <v>942</v>
      </c>
      <c r="AX71" s="4">
        <v>1171</v>
      </c>
      <c r="AY71" s="4">
        <f>1829+1774</f>
        <v>3603</v>
      </c>
      <c r="AZ71" s="4">
        <f>3621+1299</f>
        <v>4920</v>
      </c>
      <c r="BA71" s="4">
        <f>2611+1295</f>
        <v>3906</v>
      </c>
      <c r="BB71" s="4">
        <f>1389+1509</f>
        <v>2898</v>
      </c>
      <c r="BC71" s="4">
        <f>949+1691</f>
        <v>2640</v>
      </c>
      <c r="BD71" s="4">
        <f>279+1599</f>
        <v>1878</v>
      </c>
      <c r="BE71" s="4">
        <v>1501</v>
      </c>
      <c r="BF71" s="4">
        <f>1434</f>
        <v>1434</v>
      </c>
      <c r="BG71" s="4">
        <v>1520</v>
      </c>
      <c r="BH71" s="4">
        <v>2392</v>
      </c>
      <c r="BI71" s="4">
        <v>3422</v>
      </c>
      <c r="BO71" s="5"/>
      <c r="BP71" s="5"/>
      <c r="BQ71" s="5">
        <f t="shared" si="224"/>
        <v>21897</v>
      </c>
      <c r="BR71" s="5">
        <f t="shared" si="225"/>
        <v>30601</v>
      </c>
      <c r="BS71" s="4">
        <f t="shared" si="226"/>
        <v>36943</v>
      </c>
    </row>
    <row r="72" spans="2:71" s="6" customFormat="1" ht="13">
      <c r="B72" s="6" t="s">
        <v>41</v>
      </c>
      <c r="C72" s="7"/>
      <c r="D72" s="7"/>
      <c r="E72" s="7"/>
      <c r="F72" s="7"/>
      <c r="G72" s="7">
        <f t="shared" ref="G72:H72" si="227">SUM(G64:G71)</f>
        <v>278955</v>
      </c>
      <c r="H72" s="7">
        <f t="shared" si="227"/>
        <v>286556</v>
      </c>
      <c r="I72" s="7">
        <f t="shared" ref="I72:J72" si="228">SUM(I64:I71)</f>
        <v>285449</v>
      </c>
      <c r="J72" s="7">
        <f t="shared" si="228"/>
        <v>301311</v>
      </c>
      <c r="K72" s="7">
        <f t="shared" ref="K72:L72" si="229">SUM(K64:K71)</f>
        <v>301001</v>
      </c>
      <c r="L72" s="7">
        <f t="shared" si="229"/>
        <v>304137</v>
      </c>
      <c r="M72" s="7">
        <f t="shared" ref="M72:O72" si="230">SUM(M64:M71)</f>
        <v>308879</v>
      </c>
      <c r="N72" s="7">
        <f t="shared" si="230"/>
        <v>333779</v>
      </c>
      <c r="O72" s="7">
        <f t="shared" si="230"/>
        <v>335418</v>
      </c>
      <c r="P72" s="7">
        <f t="shared" ref="P72" si="231">SUM(P64:P71)</f>
        <v>340389</v>
      </c>
      <c r="Q72" s="7">
        <f t="shared" ref="Q72:AD72" si="232">SUM(Q64:Q71)</f>
        <v>344607</v>
      </c>
      <c r="R72" s="7">
        <f t="shared" si="232"/>
        <v>364840</v>
      </c>
      <c r="S72" s="7">
        <f t="shared" si="232"/>
        <v>359784</v>
      </c>
      <c r="T72" s="7">
        <f t="shared" si="232"/>
        <v>364552</v>
      </c>
      <c r="U72" s="7">
        <f t="shared" si="232"/>
        <v>380088</v>
      </c>
      <c r="V72" s="7">
        <f t="shared" si="232"/>
        <v>411976</v>
      </c>
      <c r="W72" s="7">
        <f t="shared" si="232"/>
        <v>445785</v>
      </c>
      <c r="X72" s="7">
        <f t="shared" si="232"/>
        <v>470558</v>
      </c>
      <c r="Y72" s="7">
        <f t="shared" si="232"/>
        <v>484275</v>
      </c>
      <c r="Z72" s="7">
        <f t="shared" si="232"/>
        <v>512163</v>
      </c>
      <c r="AA72" s="7">
        <f t="shared" si="232"/>
        <v>523013</v>
      </c>
      <c r="AB72" s="7">
        <f t="shared" si="232"/>
        <v>533898</v>
      </c>
      <c r="AC72" s="7">
        <f t="shared" si="232"/>
        <v>562624</v>
      </c>
      <c r="AD72" s="7">
        <f t="shared" si="232"/>
        <v>619003</v>
      </c>
      <c r="AE72" s="7"/>
      <c r="AF72" s="7"/>
      <c r="AG72" s="7"/>
      <c r="AH72" s="7"/>
      <c r="AO72" s="6">
        <f t="shared" ref="AO72:BI72" si="233">SUM(AO64:AO71)</f>
        <v>5363</v>
      </c>
      <c r="AP72" s="6">
        <f t="shared" si="233"/>
        <v>7210</v>
      </c>
      <c r="AQ72" s="6">
        <f t="shared" si="233"/>
        <v>10093</v>
      </c>
      <c r="AR72" s="6">
        <f t="shared" si="233"/>
        <v>14387</v>
      </c>
      <c r="AS72" s="6">
        <f t="shared" si="233"/>
        <v>22357</v>
      </c>
      <c r="AT72" s="6">
        <f t="shared" si="233"/>
        <v>37156</v>
      </c>
      <c r="AU72" s="6">
        <f t="shared" si="233"/>
        <v>52150</v>
      </c>
      <c r="AV72" s="6">
        <f t="shared" si="233"/>
        <v>59257</v>
      </c>
      <c r="AW72" s="6">
        <f t="shared" si="233"/>
        <v>67646</v>
      </c>
      <c r="AX72" s="6">
        <f t="shared" si="233"/>
        <v>79571</v>
      </c>
      <c r="AY72" s="6">
        <f t="shared" si="233"/>
        <v>92389</v>
      </c>
      <c r="AZ72" s="6">
        <f t="shared" si="233"/>
        <v>70815</v>
      </c>
      <c r="BA72" s="6">
        <f t="shared" si="233"/>
        <v>69597</v>
      </c>
      <c r="BB72" s="6">
        <f t="shared" si="233"/>
        <v>63171</v>
      </c>
      <c r="BC72" s="6">
        <f t="shared" si="233"/>
        <v>72793</v>
      </c>
      <c r="BD72" s="6">
        <f t="shared" si="233"/>
        <v>77888</v>
      </c>
      <c r="BE72" s="6">
        <f t="shared" si="233"/>
        <v>86113</v>
      </c>
      <c r="BF72" s="6">
        <f t="shared" si="233"/>
        <v>108704</v>
      </c>
      <c r="BG72" s="6">
        <f t="shared" si="233"/>
        <v>121271</v>
      </c>
      <c r="BH72" s="6">
        <f t="shared" si="233"/>
        <v>142431</v>
      </c>
      <c r="BI72" s="6">
        <f t="shared" si="233"/>
        <v>172384</v>
      </c>
      <c r="BO72" s="7"/>
      <c r="BP72" s="7"/>
      <c r="BQ72" s="6">
        <f>SUM(BQ64:BQ71)</f>
        <v>364840</v>
      </c>
      <c r="BR72" s="6">
        <f>SUM(BR64:BR71)</f>
        <v>411976</v>
      </c>
      <c r="BS72" s="6">
        <f>SUM(BS64:BS71)</f>
        <v>533898</v>
      </c>
    </row>
    <row r="73" spans="2:71">
      <c r="AS73" t="s">
        <v>269</v>
      </c>
    </row>
    <row r="74" spans="2:71" s="4" customFormat="1">
      <c r="B74" s="4" t="s">
        <v>43</v>
      </c>
      <c r="C74" s="5"/>
      <c r="D74" s="5"/>
      <c r="E74" s="5"/>
      <c r="F74" s="5"/>
      <c r="G74" s="5">
        <v>8574</v>
      </c>
      <c r="H74" s="5">
        <v>9382</v>
      </c>
      <c r="I74" s="5">
        <v>9246</v>
      </c>
      <c r="J74" s="5">
        <v>12530</v>
      </c>
      <c r="K74" s="5">
        <v>12509</v>
      </c>
      <c r="L74" s="5">
        <v>12770</v>
      </c>
      <c r="M74" s="5">
        <v>13412</v>
      </c>
      <c r="N74" s="5">
        <v>15163</v>
      </c>
      <c r="O74" s="5">
        <v>14832</v>
      </c>
      <c r="P74" s="5">
        <v>15314</v>
      </c>
      <c r="Q74" s="5">
        <v>16085</v>
      </c>
      <c r="R74" s="5">
        <v>19000</v>
      </c>
      <c r="S74" s="4">
        <v>16609</v>
      </c>
      <c r="T74" s="4">
        <v>15354</v>
      </c>
      <c r="U74" s="4">
        <v>15305</v>
      </c>
      <c r="V74" s="4">
        <v>18095</v>
      </c>
      <c r="W74" s="4">
        <v>19307</v>
      </c>
      <c r="X74" s="4">
        <v>17695</v>
      </c>
      <c r="Y74" s="4">
        <v>18087</v>
      </c>
      <c r="Z74" s="4">
        <v>21996</v>
      </c>
      <c r="AA74" s="4">
        <v>22768</v>
      </c>
      <c r="AB74" s="4">
        <v>22608</v>
      </c>
      <c r="AC74" s="4">
        <v>26250</v>
      </c>
      <c r="AD74" s="4">
        <v>27724</v>
      </c>
      <c r="AO74" s="4">
        <v>324</v>
      </c>
      <c r="AP74" s="4">
        <v>563</v>
      </c>
      <c r="AQ74" s="4">
        <v>808</v>
      </c>
      <c r="AR74" s="4">
        <v>721</v>
      </c>
      <c r="AS74" s="4">
        <v>759</v>
      </c>
      <c r="AT74" s="4">
        <v>874</v>
      </c>
      <c r="AU74" s="4">
        <v>1083</v>
      </c>
      <c r="AV74" s="4">
        <v>1188</v>
      </c>
      <c r="AW74" s="4">
        <v>1208</v>
      </c>
      <c r="AX74" s="4">
        <v>1573</v>
      </c>
      <c r="AY74" s="4">
        <v>1717</v>
      </c>
      <c r="AZ74" s="4">
        <v>2086</v>
      </c>
      <c r="BA74" s="4">
        <v>2909</v>
      </c>
      <c r="BB74" s="4">
        <v>3247</v>
      </c>
      <c r="BC74" s="4">
        <v>4034</v>
      </c>
      <c r="BD74" s="4">
        <f>3324</f>
        <v>3324</v>
      </c>
      <c r="BE74" s="4">
        <v>4025</v>
      </c>
      <c r="BF74" s="4">
        <v>4197</v>
      </c>
      <c r="BG74" s="4">
        <v>4175</v>
      </c>
      <c r="BH74" s="4">
        <v>4828</v>
      </c>
      <c r="BI74" s="4">
        <v>7432</v>
      </c>
      <c r="BO74" s="5"/>
      <c r="BP74" s="5"/>
      <c r="BQ74" s="5">
        <f t="shared" ref="BQ74:BQ82" si="234">+R74</f>
        <v>19000</v>
      </c>
      <c r="BR74" s="5">
        <f t="shared" ref="BR74:BR82" si="235">+V74</f>
        <v>18095</v>
      </c>
      <c r="BS74" s="4">
        <f t="shared" ref="BS74:BS82" si="236">+AB74</f>
        <v>22608</v>
      </c>
    </row>
    <row r="75" spans="2:71" s="4" customFormat="1">
      <c r="B75" s="4" t="s">
        <v>4</v>
      </c>
      <c r="C75" s="5"/>
      <c r="D75" s="5"/>
      <c r="E75" s="5"/>
      <c r="F75" s="5"/>
      <c r="G75" s="5">
        <f>3017+66478</f>
        <v>69495</v>
      </c>
      <c r="H75" s="5">
        <f>5516+66662</f>
        <v>72178</v>
      </c>
      <c r="I75" s="5">
        <f>3748+62862</f>
        <v>66610</v>
      </c>
      <c r="J75" s="5">
        <f>3749+59578</f>
        <v>63327</v>
      </c>
      <c r="K75" s="5">
        <f>6497+57055</f>
        <v>63552</v>
      </c>
      <c r="L75" s="5">
        <f>5387+55136</f>
        <v>60523</v>
      </c>
      <c r="M75" s="5">
        <f>8051+50007</f>
        <v>58058</v>
      </c>
      <c r="N75" s="5">
        <f>8072+50074</f>
        <v>58146</v>
      </c>
      <c r="O75" s="5">
        <f>3249+50039</f>
        <v>53288</v>
      </c>
      <c r="P75" s="5">
        <f>4998+48260</f>
        <v>53258</v>
      </c>
      <c r="Q75" s="5">
        <f>1749+48177</f>
        <v>49926</v>
      </c>
      <c r="R75" s="5">
        <f>2749+47032</f>
        <v>49781</v>
      </c>
      <c r="S75" s="4">
        <f>3248+45374</f>
        <v>48622</v>
      </c>
      <c r="T75" s="4">
        <f>3997+44119</f>
        <v>48116</v>
      </c>
      <c r="U75" s="4">
        <f>6245+41965</f>
        <v>48210</v>
      </c>
      <c r="V75" s="4">
        <f>5247+41990</f>
        <v>47237</v>
      </c>
      <c r="W75" s="4">
        <f>25808+41946+3748</f>
        <v>71502</v>
      </c>
      <c r="X75" s="4">
        <f>27041+44928+2250</f>
        <v>74219</v>
      </c>
      <c r="Y75" s="4">
        <f>20535+42658+2249</f>
        <v>65442</v>
      </c>
      <c r="Z75" s="4">
        <f>6693+42688+2249</f>
        <v>51630</v>
      </c>
      <c r="AA75" s="4">
        <f>2249+42868</f>
        <v>45117</v>
      </c>
      <c r="AB75" s="4">
        <f>0+39722+5248</f>
        <v>44970</v>
      </c>
      <c r="AC75" s="4">
        <f>2999+39882</f>
        <v>42881</v>
      </c>
      <c r="AD75" s="4">
        <f>2999+40152</f>
        <v>43151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f>2000+3746</f>
        <v>5746</v>
      </c>
      <c r="BE75" s="4">
        <f>1000+4939</f>
        <v>5939</v>
      </c>
      <c r="BF75" s="4">
        <v>11921</v>
      </c>
      <c r="BG75" s="4">
        <f>1231+10713</f>
        <v>11944</v>
      </c>
      <c r="BH75" s="4">
        <f>2999+12601</f>
        <v>15600</v>
      </c>
      <c r="BI75" s="4">
        <f>2000+20645</f>
        <v>22645</v>
      </c>
      <c r="BO75" s="5"/>
      <c r="BP75" s="5"/>
      <c r="BQ75" s="5">
        <f t="shared" si="234"/>
        <v>49781</v>
      </c>
      <c r="BR75" s="5">
        <f t="shared" si="235"/>
        <v>47237</v>
      </c>
      <c r="BS75" s="4">
        <f t="shared" si="236"/>
        <v>44970</v>
      </c>
    </row>
    <row r="76" spans="2:71" s="4" customFormat="1">
      <c r="B76" s="4" t="s">
        <v>45</v>
      </c>
      <c r="C76" s="5"/>
      <c r="D76" s="5"/>
      <c r="E76" s="5"/>
      <c r="F76" s="5"/>
      <c r="G76" s="5">
        <v>4676</v>
      </c>
      <c r="H76" s="5">
        <v>6830</v>
      </c>
      <c r="I76" s="5">
        <v>6254</v>
      </c>
      <c r="J76" s="5">
        <v>7874</v>
      </c>
      <c r="K76" s="5">
        <v>5714</v>
      </c>
      <c r="L76" s="5">
        <v>6838</v>
      </c>
      <c r="M76" s="5">
        <v>8032</v>
      </c>
      <c r="N76" s="5">
        <v>10057</v>
      </c>
      <c r="O76" s="5">
        <v>6894</v>
      </c>
      <c r="P76" s="5">
        <v>7782</v>
      </c>
      <c r="Q76" s="5">
        <v>9067</v>
      </c>
      <c r="R76" s="5">
        <v>10661</v>
      </c>
      <c r="S76" s="4">
        <v>7405</v>
      </c>
      <c r="T76" s="4">
        <v>9030</v>
      </c>
      <c r="U76" s="4">
        <v>10411</v>
      </c>
      <c r="V76" s="4">
        <v>11009</v>
      </c>
      <c r="W76" s="4">
        <v>6990</v>
      </c>
      <c r="X76" s="4">
        <v>8813</v>
      </c>
      <c r="Y76" s="4">
        <v>10432</v>
      </c>
      <c r="Z76" s="4">
        <v>12564</v>
      </c>
      <c r="AA76" s="4">
        <v>8326</v>
      </c>
      <c r="AB76" s="4">
        <v>9176</v>
      </c>
      <c r="AC76" s="4">
        <v>10579</v>
      </c>
      <c r="AD76" s="4">
        <v>13709</v>
      </c>
      <c r="AO76" s="4">
        <v>96</v>
      </c>
      <c r="AP76" s="4">
        <v>130</v>
      </c>
      <c r="AQ76" s="4">
        <v>202</v>
      </c>
      <c r="AR76" s="4">
        <v>336</v>
      </c>
      <c r="AS76" s="4">
        <v>359</v>
      </c>
      <c r="AT76" s="4">
        <v>396</v>
      </c>
      <c r="AU76" s="4">
        <v>557</v>
      </c>
      <c r="AV76" s="4">
        <v>742</v>
      </c>
      <c r="AW76" s="4">
        <v>1145</v>
      </c>
      <c r="AX76" s="4">
        <v>1416</v>
      </c>
      <c r="AY76" s="4">
        <v>1339</v>
      </c>
      <c r="AZ76" s="4">
        <v>1662</v>
      </c>
      <c r="BA76" s="4">
        <v>1938</v>
      </c>
      <c r="BB76" s="4">
        <v>2325</v>
      </c>
      <c r="BC76" s="4">
        <v>2934</v>
      </c>
      <c r="BD76" s="4">
        <v>3156</v>
      </c>
      <c r="BE76" s="4">
        <v>3283</v>
      </c>
      <c r="BF76" s="4">
        <v>3575</v>
      </c>
      <c r="BG76" s="4">
        <v>3875</v>
      </c>
      <c r="BH76" s="4">
        <v>4117</v>
      </c>
      <c r="BI76" s="4">
        <v>4797</v>
      </c>
      <c r="BO76" s="5"/>
      <c r="BP76" s="5"/>
      <c r="BQ76" s="5">
        <f t="shared" si="234"/>
        <v>10661</v>
      </c>
      <c r="BR76" s="5">
        <f t="shared" si="235"/>
        <v>11009</v>
      </c>
      <c r="BS76" s="4">
        <f t="shared" si="236"/>
        <v>9176</v>
      </c>
    </row>
    <row r="77" spans="2:71" s="4" customFormat="1">
      <c r="B77" s="4" t="s">
        <v>30</v>
      </c>
      <c r="C77" s="5"/>
      <c r="D77" s="5"/>
      <c r="E77" s="5"/>
      <c r="F77" s="5"/>
      <c r="G77" s="5">
        <f>3440+28457+234</f>
        <v>32131</v>
      </c>
      <c r="H77" s="5">
        <f>5665+29612+233</f>
        <v>35510</v>
      </c>
      <c r="I77" s="5">
        <f>3296+28888+185</f>
        <v>32369</v>
      </c>
      <c r="J77" s="5">
        <f>2130+29432+204</f>
        <v>31766</v>
      </c>
      <c r="K77" s="5">
        <f>2384+28204+187</f>
        <v>30775</v>
      </c>
      <c r="L77" s="5">
        <f>1562+174+26701</f>
        <v>28437</v>
      </c>
      <c r="M77" s="5">
        <f>2165+27157+173</f>
        <v>29495</v>
      </c>
      <c r="N77" s="5">
        <f>2174+27190+198</f>
        <v>29562</v>
      </c>
      <c r="O77" s="5">
        <f>6272+25715+212</f>
        <v>32199</v>
      </c>
      <c r="P77" s="5">
        <f>3731+26121+199</f>
        <v>30051</v>
      </c>
      <c r="Q77" s="5">
        <f>4646+26483+304</f>
        <v>31433</v>
      </c>
      <c r="R77" s="5">
        <f>4067+26069+230</f>
        <v>30366</v>
      </c>
      <c r="S77" s="4">
        <f>6729+23712</f>
        <v>30441</v>
      </c>
      <c r="T77" s="4">
        <f>3553+289+24169</f>
        <v>28011</v>
      </c>
      <c r="U77" s="4">
        <f>4163+25000+302</f>
        <v>29465</v>
      </c>
      <c r="V77" s="4">
        <f>4152+25560+433</f>
        <v>30145</v>
      </c>
      <c r="W77" s="4">
        <f>470+22983+8035</f>
        <v>31488</v>
      </c>
      <c r="X77" s="4">
        <f>5787+2548+25890</f>
        <v>34225</v>
      </c>
      <c r="Y77" s="4">
        <f>7311+26786+2469</f>
        <v>36566</v>
      </c>
      <c r="Z77" s="4">
        <f>5017+27931+2618</f>
        <v>35566</v>
      </c>
      <c r="AA77" s="4">
        <f>9717+2581+24452</f>
        <v>36750</v>
      </c>
      <c r="AB77" s="4">
        <f>24389+6056+2513</f>
        <v>32958</v>
      </c>
      <c r="AC77" s="4">
        <f>6805+25061+2522</f>
        <v>34388</v>
      </c>
      <c r="AD77" s="4">
        <f>7211+25986+2835</f>
        <v>36032</v>
      </c>
      <c r="AO77" s="4">
        <v>305</v>
      </c>
      <c r="AP77" s="4">
        <v>410</v>
      </c>
      <c r="AQ77" s="4">
        <v>484</v>
      </c>
      <c r="AR77" s="4">
        <v>466</v>
      </c>
      <c r="AS77" s="4">
        <v>915</v>
      </c>
      <c r="AT77" s="4">
        <v>1607</v>
      </c>
      <c r="AU77" s="4">
        <v>585</v>
      </c>
      <c r="AV77" s="4">
        <v>1468</v>
      </c>
      <c r="AW77" s="4">
        <v>2022</v>
      </c>
      <c r="AX77" s="4">
        <v>2044</v>
      </c>
      <c r="AY77" s="4">
        <v>3478</v>
      </c>
      <c r="AZ77" s="4">
        <f>2020</f>
        <v>2020</v>
      </c>
      <c r="BA77" s="4">
        <v>1557</v>
      </c>
      <c r="BB77" s="4">
        <v>1040</v>
      </c>
      <c r="BC77" s="4">
        <v>3248</v>
      </c>
      <c r="BD77" s="4">
        <f>725</f>
        <v>725</v>
      </c>
      <c r="BE77" s="4">
        <v>1074</v>
      </c>
      <c r="BF77" s="4">
        <v>580</v>
      </c>
      <c r="BG77" s="4">
        <v>789</v>
      </c>
      <c r="BH77" s="4">
        <v>592</v>
      </c>
      <c r="BI77" s="4">
        <f>782+2728</f>
        <v>3510</v>
      </c>
      <c r="BO77" s="5"/>
      <c r="BP77" s="5"/>
      <c r="BQ77" s="5">
        <f t="shared" si="234"/>
        <v>30366</v>
      </c>
      <c r="BR77" s="5">
        <f t="shared" si="235"/>
        <v>30145</v>
      </c>
      <c r="BS77" s="4">
        <f t="shared" si="236"/>
        <v>32958</v>
      </c>
    </row>
    <row r="78" spans="2:71" s="4" customFormat="1">
      <c r="B78" s="4" t="s">
        <v>44</v>
      </c>
      <c r="C78" s="5"/>
      <c r="D78" s="5"/>
      <c r="E78" s="5"/>
      <c r="F78" s="5"/>
      <c r="G78" s="5">
        <f>29904+4122</f>
        <v>34026</v>
      </c>
      <c r="H78" s="5">
        <f>32676+4530</f>
        <v>37206</v>
      </c>
      <c r="I78" s="5">
        <f>27012+3385</f>
        <v>30397</v>
      </c>
      <c r="J78" s="5">
        <f>36000+3180</f>
        <v>39180</v>
      </c>
      <c r="K78" s="5">
        <f>33476+2829</f>
        <v>36305</v>
      </c>
      <c r="L78" s="5">
        <f>30402+2985</f>
        <v>33387</v>
      </c>
      <c r="M78" s="5">
        <f>30083+2631</f>
        <v>32714</v>
      </c>
      <c r="N78" s="5">
        <f>41525+2616</f>
        <v>44141</v>
      </c>
      <c r="O78" s="5">
        <f>2550+38465</f>
        <v>41015</v>
      </c>
      <c r="P78" s="5">
        <f>2768+34001</f>
        <v>36769</v>
      </c>
      <c r="Q78" s="5">
        <f>34027+2769</f>
        <v>36796</v>
      </c>
      <c r="R78" s="5">
        <f>45538+2870</f>
        <v>48408</v>
      </c>
      <c r="S78" s="4">
        <f>41340+2549+223</f>
        <v>44112</v>
      </c>
      <c r="T78" s="4">
        <f>2644+36982</f>
        <v>39626</v>
      </c>
      <c r="U78" s="4">
        <f>2698+36903</f>
        <v>39601</v>
      </c>
      <c r="V78" s="4">
        <f>2912+50901</f>
        <v>53813</v>
      </c>
      <c r="W78" s="4">
        <f>46429+2759</f>
        <v>49188</v>
      </c>
      <c r="X78" s="4">
        <f>2966+43068</f>
        <v>46034</v>
      </c>
      <c r="Y78" s="4">
        <f>41888+2945</f>
        <v>44833</v>
      </c>
      <c r="Z78" s="4">
        <f>2602+57582</f>
        <v>60184</v>
      </c>
      <c r="AA78" s="4">
        <f>53026+2663</f>
        <v>55689</v>
      </c>
      <c r="AB78" s="4">
        <f>45508+2537</f>
        <v>48045</v>
      </c>
      <c r="AC78" s="4">
        <f>44636+2840</f>
        <v>47476</v>
      </c>
      <c r="AD78" s="4">
        <f>64555+2710</f>
        <v>67265</v>
      </c>
      <c r="AO78" s="4">
        <v>0</v>
      </c>
      <c r="AP78" s="4">
        <v>0</v>
      </c>
      <c r="AQ78" s="4">
        <v>560</v>
      </c>
      <c r="AR78" s="4">
        <v>1418</v>
      </c>
      <c r="AS78" s="4">
        <v>2888</v>
      </c>
      <c r="AT78" s="4">
        <v>4239</v>
      </c>
      <c r="AU78" s="4">
        <v>4816</v>
      </c>
      <c r="AV78" s="4">
        <v>5614</v>
      </c>
      <c r="AW78" s="4">
        <f>5920+1823</f>
        <v>7743</v>
      </c>
      <c r="AX78" s="4">
        <f>7225+1790</f>
        <v>9015</v>
      </c>
      <c r="AY78" s="4">
        <f>6514+1663</f>
        <v>8177</v>
      </c>
      <c r="AZ78" s="4">
        <f>7502+1665</f>
        <v>9167</v>
      </c>
      <c r="BA78" s="4">
        <f>9138+1764</f>
        <v>10902</v>
      </c>
      <c r="BB78" s="4">
        <f>10779+1867</f>
        <v>12646</v>
      </c>
      <c r="BC78" s="4">
        <f>13397+1900</f>
        <v>15297</v>
      </c>
      <c r="BD78" s="4">
        <f>13003+1281</f>
        <v>14284</v>
      </c>
      <c r="BE78" s="4">
        <f>13652+1178</f>
        <v>14830</v>
      </c>
      <c r="BF78" s="4">
        <f>15722+1398</f>
        <v>17120</v>
      </c>
      <c r="BG78" s="4">
        <f>18653+1406</f>
        <v>20059</v>
      </c>
      <c r="BH78" s="4">
        <f>20639+1760</f>
        <v>22399</v>
      </c>
      <c r="BI78" s="4">
        <f>23150+2008</f>
        <v>25158</v>
      </c>
      <c r="BO78" s="5"/>
      <c r="BP78" s="5"/>
      <c r="BQ78" s="5">
        <f t="shared" si="234"/>
        <v>48408</v>
      </c>
      <c r="BR78" s="5">
        <f t="shared" si="235"/>
        <v>53813</v>
      </c>
      <c r="BS78" s="4">
        <f t="shared" si="236"/>
        <v>48045</v>
      </c>
    </row>
    <row r="79" spans="2:71" s="4" customFormat="1">
      <c r="B79" s="4" t="s">
        <v>46</v>
      </c>
      <c r="C79" s="5"/>
      <c r="D79" s="5"/>
      <c r="E79" s="5"/>
      <c r="F79" s="5"/>
      <c r="G79" s="5">
        <v>8507</v>
      </c>
      <c r="H79" s="5">
        <v>9351</v>
      </c>
      <c r="I79" s="5">
        <v>9151</v>
      </c>
      <c r="J79" s="5">
        <v>10027</v>
      </c>
      <c r="K79" s="5">
        <v>9476</v>
      </c>
      <c r="L79" s="5">
        <v>10527</v>
      </c>
      <c r="M79" s="5">
        <v>10450</v>
      </c>
      <c r="N79" s="5">
        <v>11666</v>
      </c>
      <c r="O79" s="5">
        <v>10816</v>
      </c>
      <c r="P79" s="5">
        <v>11684</v>
      </c>
      <c r="Q79" s="5">
        <v>11865</v>
      </c>
      <c r="R79" s="5">
        <v>13067</v>
      </c>
      <c r="S79" s="4">
        <v>12058</v>
      </c>
      <c r="T79" s="4">
        <v>12802</v>
      </c>
      <c r="U79" s="4">
        <v>12664</v>
      </c>
      <c r="V79" s="4">
        <v>14745</v>
      </c>
      <c r="W79" s="4">
        <v>14475</v>
      </c>
      <c r="X79" s="4">
        <v>16362</v>
      </c>
      <c r="Y79" s="4">
        <v>18023</v>
      </c>
      <c r="Z79" s="4">
        <v>19185</v>
      </c>
      <c r="AA79" s="4">
        <v>19114</v>
      </c>
      <c r="AB79" s="4">
        <v>20286</v>
      </c>
      <c r="AC79" s="4">
        <v>22937</v>
      </c>
      <c r="AD79" s="4">
        <v>25020</v>
      </c>
      <c r="AO79" s="4">
        <v>188</v>
      </c>
      <c r="AP79" s="4">
        <v>244</v>
      </c>
      <c r="AQ79" s="4">
        <v>371</v>
      </c>
      <c r="AR79" s="4">
        <v>669</v>
      </c>
      <c r="AS79" s="4">
        <v>809</v>
      </c>
      <c r="AT79" s="4">
        <v>1602</v>
      </c>
      <c r="AU79" s="4">
        <v>2714</v>
      </c>
      <c r="AV79" s="4">
        <v>2120</v>
      </c>
      <c r="AW79" s="4">
        <v>2449</v>
      </c>
      <c r="AX79" s="4">
        <v>1716</v>
      </c>
      <c r="AY79" s="4">
        <v>1921</v>
      </c>
      <c r="AZ79" s="4">
        <v>3607</v>
      </c>
      <c r="BA79" s="4">
        <v>3783</v>
      </c>
      <c r="BB79" s="4">
        <v>3622</v>
      </c>
      <c r="BC79" s="4">
        <v>3659</v>
      </c>
      <c r="BD79" s="4">
        <v>3142</v>
      </c>
      <c r="BE79" s="4">
        <v>2931</v>
      </c>
      <c r="BF79" s="4">
        <f>3492</f>
        <v>3492</v>
      </c>
      <c r="BG79" s="4">
        <v>3151</v>
      </c>
      <c r="BH79" s="4">
        <v>3597</v>
      </c>
      <c r="BI79" s="4">
        <v>6906</v>
      </c>
      <c r="BO79" s="5"/>
      <c r="BP79" s="5"/>
      <c r="BQ79" s="5">
        <f t="shared" si="234"/>
        <v>13067</v>
      </c>
      <c r="BR79" s="5">
        <f t="shared" si="235"/>
        <v>14745</v>
      </c>
      <c r="BS79" s="4">
        <f t="shared" si="236"/>
        <v>20286</v>
      </c>
    </row>
    <row r="80" spans="2:71" s="4" customFormat="1">
      <c r="B80" s="4" t="s">
        <v>39</v>
      </c>
      <c r="C80" s="5"/>
      <c r="D80" s="5"/>
      <c r="E80" s="5"/>
      <c r="F80" s="5"/>
      <c r="G80" s="5">
        <v>6659</v>
      </c>
      <c r="H80" s="5">
        <v>6188</v>
      </c>
      <c r="I80" s="5">
        <v>7248</v>
      </c>
      <c r="J80" s="5">
        <v>7671</v>
      </c>
      <c r="K80" s="5">
        <v>7753</v>
      </c>
      <c r="L80" s="5">
        <v>8875</v>
      </c>
      <c r="M80" s="5">
        <v>9272</v>
      </c>
      <c r="N80" s="5">
        <v>9629</v>
      </c>
      <c r="O80" s="5">
        <v>10050</v>
      </c>
      <c r="P80" s="5">
        <v>10774</v>
      </c>
      <c r="Q80" s="5">
        <v>11357</v>
      </c>
      <c r="R80" s="5">
        <v>11489</v>
      </c>
      <c r="S80" s="4">
        <v>11660</v>
      </c>
      <c r="T80" s="4">
        <v>11998</v>
      </c>
      <c r="U80" s="4">
        <v>12312</v>
      </c>
      <c r="V80" s="4">
        <v>12728</v>
      </c>
      <c r="W80" s="4">
        <v>13487</v>
      </c>
      <c r="X80" s="4">
        <v>14155</v>
      </c>
      <c r="Y80" s="4">
        <v>14469</v>
      </c>
      <c r="Z80" s="4">
        <v>15497</v>
      </c>
      <c r="AA80" s="4">
        <v>16361</v>
      </c>
      <c r="AB80" s="4">
        <v>17254</v>
      </c>
      <c r="AC80" s="4">
        <v>17686</v>
      </c>
      <c r="AD80" s="4">
        <v>17437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O80" s="5"/>
      <c r="BP80" s="5"/>
      <c r="BQ80" s="5">
        <f t="shared" si="234"/>
        <v>11489</v>
      </c>
      <c r="BR80" s="5">
        <f t="shared" si="235"/>
        <v>12728</v>
      </c>
      <c r="BS80" s="4">
        <f t="shared" si="236"/>
        <v>17254</v>
      </c>
    </row>
    <row r="81" spans="2:72" s="4" customFormat="1">
      <c r="B81" s="4" t="s">
        <v>48</v>
      </c>
      <c r="C81" s="5"/>
      <c r="D81" s="5"/>
      <c r="E81" s="5"/>
      <c r="F81" s="5"/>
      <c r="G81" s="5">
        <v>8826</v>
      </c>
      <c r="H81" s="5">
        <v>7581</v>
      </c>
      <c r="I81" s="5">
        <v>9673</v>
      </c>
      <c r="J81" s="5">
        <v>10632</v>
      </c>
      <c r="K81" s="5">
        <v>11525</v>
      </c>
      <c r="L81" s="5">
        <v>12544</v>
      </c>
      <c r="M81" s="5">
        <v>12941</v>
      </c>
      <c r="N81" s="5">
        <v>13427</v>
      </c>
      <c r="O81" s="5">
        <v>14346</v>
      </c>
      <c r="P81" s="5">
        <v>14747</v>
      </c>
      <c r="Q81" s="5">
        <v>15154</v>
      </c>
      <c r="R81" s="5">
        <v>15526</v>
      </c>
      <c r="S81" s="4">
        <v>15311</v>
      </c>
      <c r="T81" s="4">
        <v>16479</v>
      </c>
      <c r="U81" s="4">
        <v>17437</v>
      </c>
      <c r="V81" s="4">
        <v>17981</v>
      </c>
      <c r="W81" s="4">
        <v>18634</v>
      </c>
      <c r="X81" s="4">
        <v>20787</v>
      </c>
      <c r="Y81" s="4">
        <v>23271</v>
      </c>
      <c r="Z81" s="4">
        <v>27064</v>
      </c>
      <c r="AA81" s="4">
        <v>31165</v>
      </c>
      <c r="AB81" s="4">
        <v>35906</v>
      </c>
      <c r="AC81" s="4">
        <v>38536</v>
      </c>
      <c r="AD81" s="4">
        <v>45186</v>
      </c>
      <c r="AO81" s="4">
        <v>0</v>
      </c>
      <c r="AP81" s="4">
        <f>125+405</f>
        <v>530</v>
      </c>
      <c r="AQ81" s="4">
        <f>125+635</f>
        <v>760</v>
      </c>
      <c r="AR81" s="4">
        <v>0</v>
      </c>
      <c r="AS81" s="4">
        <v>0</v>
      </c>
      <c r="AT81" s="4">
        <v>0</v>
      </c>
      <c r="AU81" s="4">
        <v>1027</v>
      </c>
      <c r="AV81" s="4">
        <f>836</f>
        <v>836</v>
      </c>
      <c r="AW81" s="4">
        <f>398+501</f>
        <v>899</v>
      </c>
      <c r="AX81" s="4">
        <f>1731+1056</f>
        <v>2787</v>
      </c>
      <c r="AY81" s="4">
        <v>932</v>
      </c>
      <c r="AZ81" s="4">
        <v>4158</v>
      </c>
      <c r="BA81" s="4">
        <f>5287+3117</f>
        <v>8404</v>
      </c>
      <c r="BB81" s="4">
        <f>6453+2741</f>
        <v>9194</v>
      </c>
      <c r="BC81" s="4">
        <f>4721+2614</f>
        <v>7335</v>
      </c>
      <c r="BD81" s="4">
        <f>1684+6269</f>
        <v>7953</v>
      </c>
      <c r="BE81" s="4">
        <f>7445+229+182</f>
        <v>7856</v>
      </c>
      <c r="BF81" s="4">
        <f>8072+1456+1208</f>
        <v>10736</v>
      </c>
      <c r="BG81" s="4">
        <f>8208+1893+814</f>
        <v>10915</v>
      </c>
      <c r="BH81" s="4">
        <f>10000+1709+645</f>
        <v>12354</v>
      </c>
      <c r="BI81" s="4">
        <f>11594+558</f>
        <v>12152</v>
      </c>
      <c r="BO81" s="5"/>
      <c r="BP81" s="5"/>
      <c r="BQ81" s="5">
        <f t="shared" si="234"/>
        <v>15526</v>
      </c>
      <c r="BR81" s="5">
        <f t="shared" si="235"/>
        <v>17981</v>
      </c>
      <c r="BS81" s="4">
        <f t="shared" si="236"/>
        <v>35906</v>
      </c>
    </row>
    <row r="82" spans="2:72" s="4" customFormat="1">
      <c r="B82" s="4" t="s">
        <v>47</v>
      </c>
      <c r="C82" s="5"/>
      <c r="D82" s="5"/>
      <c r="E82" s="5"/>
      <c r="F82" s="5"/>
      <c r="G82" s="5">
        <v>106061</v>
      </c>
      <c r="H82" s="5">
        <v>102330</v>
      </c>
      <c r="I82" s="5">
        <v>114501</v>
      </c>
      <c r="J82" s="5">
        <v>118304</v>
      </c>
      <c r="K82" s="5">
        <v>123392</v>
      </c>
      <c r="L82" s="5">
        <v>130236</v>
      </c>
      <c r="M82" s="5">
        <v>134505</v>
      </c>
      <c r="N82" s="5">
        <v>141988</v>
      </c>
      <c r="O82" s="5">
        <v>151978</v>
      </c>
      <c r="P82" s="5">
        <v>160010</v>
      </c>
      <c r="Q82" s="5">
        <v>162924</v>
      </c>
      <c r="R82" s="5">
        <v>166542</v>
      </c>
      <c r="S82" s="4">
        <v>173566</v>
      </c>
      <c r="T82" s="4">
        <v>183136</v>
      </c>
      <c r="U82" s="4">
        <v>194683</v>
      </c>
      <c r="V82" s="4">
        <v>206223</v>
      </c>
      <c r="W82" s="4">
        <v>220714</v>
      </c>
      <c r="X82" s="4">
        <v>238268</v>
      </c>
      <c r="Y82" s="4">
        <v>253152</v>
      </c>
      <c r="Z82" s="4">
        <v>268477</v>
      </c>
      <c r="AA82" s="4">
        <v>287723</v>
      </c>
      <c r="AB82" s="4">
        <v>302695</v>
      </c>
      <c r="AC82" s="4">
        <v>321891</v>
      </c>
      <c r="AD82" s="4">
        <v>343479</v>
      </c>
      <c r="AO82" s="4">
        <v>4450</v>
      </c>
      <c r="AP82" s="4">
        <v>5333</v>
      </c>
      <c r="AQ82" s="4">
        <v>6908</v>
      </c>
      <c r="AR82" s="4">
        <f>10777</f>
        <v>10777</v>
      </c>
      <c r="AS82" s="4">
        <v>16627</v>
      </c>
      <c r="AT82" s="4">
        <v>28438</v>
      </c>
      <c r="AU82" s="4">
        <v>41368</v>
      </c>
      <c r="AV82" s="4">
        <v>47289</v>
      </c>
      <c r="AW82" s="4">
        <v>52180</v>
      </c>
      <c r="AX82" s="4">
        <v>61020</v>
      </c>
      <c r="AY82" s="4">
        <v>74825</v>
      </c>
      <c r="AZ82" s="4">
        <v>48115</v>
      </c>
      <c r="BA82" s="4">
        <v>40104</v>
      </c>
      <c r="BB82" s="4">
        <v>31097</v>
      </c>
      <c r="BC82" s="4">
        <v>36286</v>
      </c>
      <c r="BD82" s="4">
        <v>39558</v>
      </c>
      <c r="BE82" s="4">
        <v>46175</v>
      </c>
      <c r="BF82" s="4">
        <v>57083</v>
      </c>
      <c r="BG82" s="4">
        <v>66363</v>
      </c>
      <c r="BH82" s="4">
        <v>78944</v>
      </c>
      <c r="BI82" s="4">
        <v>89784</v>
      </c>
      <c r="BO82" s="5"/>
      <c r="BP82" s="5"/>
      <c r="BQ82" s="5">
        <f t="shared" si="234"/>
        <v>166542</v>
      </c>
      <c r="BR82" s="5">
        <f t="shared" si="235"/>
        <v>206223</v>
      </c>
      <c r="BS82" s="4">
        <f t="shared" si="236"/>
        <v>302695</v>
      </c>
    </row>
    <row r="83" spans="2:72" s="6" customFormat="1" ht="13">
      <c r="B83" s="6" t="s">
        <v>71</v>
      </c>
      <c r="C83" s="7"/>
      <c r="D83" s="7"/>
      <c r="E83" s="7"/>
      <c r="F83" s="7"/>
      <c r="G83" s="7">
        <f>SUM(G74:G82)</f>
        <v>278955</v>
      </c>
      <c r="H83" s="7">
        <f>SUM(H74:H82)</f>
        <v>286556</v>
      </c>
      <c r="I83" s="7">
        <f>SUM(I74:I82)</f>
        <v>285449</v>
      </c>
      <c r="J83" s="7">
        <f t="shared" ref="J83" si="237">SUM(J74:J82)</f>
        <v>301311</v>
      </c>
      <c r="K83" s="7">
        <f>SUM(K74:K82)</f>
        <v>301001</v>
      </c>
      <c r="L83" s="7">
        <f t="shared" ref="L83" si="238">SUM(L74:L82)</f>
        <v>304137</v>
      </c>
      <c r="M83" s="7">
        <f t="shared" ref="M83:P83" si="239">SUM(M74:M82)</f>
        <v>308879</v>
      </c>
      <c r="N83" s="7">
        <f t="shared" si="239"/>
        <v>333779</v>
      </c>
      <c r="O83" s="7">
        <f t="shared" si="239"/>
        <v>335418</v>
      </c>
      <c r="P83" s="7">
        <f t="shared" si="239"/>
        <v>340389</v>
      </c>
      <c r="Q83" s="7">
        <f t="shared" ref="Q83:W83" si="240">SUM(Q74:Q82)</f>
        <v>344607</v>
      </c>
      <c r="R83" s="7">
        <f t="shared" si="240"/>
        <v>364840</v>
      </c>
      <c r="S83" s="7">
        <f t="shared" si="240"/>
        <v>359784</v>
      </c>
      <c r="T83" s="7">
        <f t="shared" si="240"/>
        <v>364552</v>
      </c>
      <c r="U83" s="7">
        <f t="shared" si="240"/>
        <v>380088</v>
      </c>
      <c r="V83" s="7">
        <f t="shared" si="240"/>
        <v>411976</v>
      </c>
      <c r="W83" s="7">
        <f t="shared" si="240"/>
        <v>445785</v>
      </c>
      <c r="X83" s="7">
        <f t="shared" ref="X83:AD83" si="241">SUM(X74:X82)</f>
        <v>470558</v>
      </c>
      <c r="Y83" s="7">
        <f t="shared" si="241"/>
        <v>484275</v>
      </c>
      <c r="Z83" s="7">
        <f t="shared" si="241"/>
        <v>512163</v>
      </c>
      <c r="AA83" s="7">
        <f t="shared" si="241"/>
        <v>523013</v>
      </c>
      <c r="AB83" s="7">
        <f t="shared" si="241"/>
        <v>533898</v>
      </c>
      <c r="AC83" s="7">
        <f t="shared" si="241"/>
        <v>562624</v>
      </c>
      <c r="AD83" s="7">
        <f t="shared" si="241"/>
        <v>619003</v>
      </c>
      <c r="AE83" s="7"/>
      <c r="AF83" s="7"/>
      <c r="AG83" s="7"/>
      <c r="AH83" s="7"/>
      <c r="AO83" s="6">
        <f t="shared" ref="AO83:BI83" si="242">SUM(AO74:AO82)</f>
        <v>5363</v>
      </c>
      <c r="AP83" s="6">
        <f t="shared" si="242"/>
        <v>7210</v>
      </c>
      <c r="AQ83" s="6">
        <f t="shared" si="242"/>
        <v>10093</v>
      </c>
      <c r="AR83" s="6">
        <f t="shared" si="242"/>
        <v>14387</v>
      </c>
      <c r="AS83" s="6">
        <f t="shared" si="242"/>
        <v>22357</v>
      </c>
      <c r="AT83" s="6">
        <f t="shared" si="242"/>
        <v>37156</v>
      </c>
      <c r="AU83" s="6">
        <f t="shared" si="242"/>
        <v>52150</v>
      </c>
      <c r="AV83" s="6">
        <f t="shared" si="242"/>
        <v>59257</v>
      </c>
      <c r="AW83" s="6">
        <f t="shared" si="242"/>
        <v>67646</v>
      </c>
      <c r="AX83" s="6">
        <f t="shared" si="242"/>
        <v>79571</v>
      </c>
      <c r="AY83" s="6">
        <f t="shared" si="242"/>
        <v>92389</v>
      </c>
      <c r="AZ83" s="6">
        <f t="shared" si="242"/>
        <v>70815</v>
      </c>
      <c r="BA83" s="6">
        <f t="shared" si="242"/>
        <v>69597</v>
      </c>
      <c r="BB83" s="6">
        <f t="shared" si="242"/>
        <v>63171</v>
      </c>
      <c r="BC83" s="6">
        <f t="shared" si="242"/>
        <v>72793</v>
      </c>
      <c r="BD83" s="6">
        <f t="shared" si="242"/>
        <v>77888</v>
      </c>
      <c r="BE83" s="6">
        <f t="shared" si="242"/>
        <v>86113</v>
      </c>
      <c r="BF83" s="6">
        <f t="shared" si="242"/>
        <v>108704</v>
      </c>
      <c r="BG83" s="6">
        <f t="shared" si="242"/>
        <v>121271</v>
      </c>
      <c r="BH83" s="6">
        <f t="shared" si="242"/>
        <v>142431</v>
      </c>
      <c r="BI83" s="6">
        <f t="shared" si="242"/>
        <v>172384</v>
      </c>
      <c r="BO83" s="7"/>
      <c r="BP83" s="7"/>
      <c r="BQ83" s="6">
        <f>SUM(BQ74:BQ82)</f>
        <v>364840</v>
      </c>
      <c r="BR83" s="6">
        <f>SUM(BR74:BR82)</f>
        <v>411976</v>
      </c>
      <c r="BS83" s="6">
        <f>SUM(BS74:BS82)</f>
        <v>533898</v>
      </c>
    </row>
    <row r="85" spans="2:72" s="4" customFormat="1">
      <c r="B85" s="4" t="s">
        <v>49</v>
      </c>
      <c r="C85" s="5"/>
      <c r="D85" s="5"/>
      <c r="E85" s="5"/>
      <c r="F85" s="5"/>
      <c r="G85" s="5">
        <f t="shared" ref="G85:H85" si="243">G46</f>
        <v>10678</v>
      </c>
      <c r="H85" s="5">
        <f t="shared" si="243"/>
        <v>11649</v>
      </c>
      <c r="I85" s="5">
        <f t="shared" ref="I85:J85" si="244">I46</f>
        <v>10752</v>
      </c>
      <c r="J85" s="5">
        <f t="shared" si="244"/>
        <v>11202</v>
      </c>
      <c r="K85" s="5">
        <f t="shared" ref="K85:AD85" si="245">K46</f>
        <v>13893</v>
      </c>
      <c r="L85" s="5">
        <f t="shared" si="245"/>
        <v>15463</v>
      </c>
      <c r="M85" s="5">
        <f t="shared" si="245"/>
        <v>15457</v>
      </c>
      <c r="N85" s="5">
        <f t="shared" si="245"/>
        <v>16458</v>
      </c>
      <c r="O85" s="5">
        <f t="shared" si="245"/>
        <v>20505</v>
      </c>
      <c r="P85" s="5">
        <f t="shared" si="245"/>
        <v>18765</v>
      </c>
      <c r="Q85" s="5">
        <f t="shared" si="245"/>
        <v>16728</v>
      </c>
      <c r="R85" s="5">
        <f t="shared" si="245"/>
        <v>16740</v>
      </c>
      <c r="S85" s="5">
        <f t="shared" si="245"/>
        <v>17556</v>
      </c>
      <c r="T85" s="5">
        <f t="shared" si="245"/>
        <v>16425</v>
      </c>
      <c r="U85" s="5">
        <f t="shared" si="245"/>
        <v>18299</v>
      </c>
      <c r="V85" s="5">
        <f t="shared" si="245"/>
        <v>20081</v>
      </c>
      <c r="W85" s="5">
        <f t="shared" si="245"/>
        <v>22291</v>
      </c>
      <c r="X85" s="5">
        <f t="shared" si="245"/>
        <v>21870</v>
      </c>
      <c r="Y85" s="5">
        <f t="shared" si="245"/>
        <v>21939</v>
      </c>
      <c r="Z85" s="5">
        <f t="shared" si="245"/>
        <v>22036</v>
      </c>
      <c r="AA85" s="5">
        <f t="shared" si="245"/>
        <v>24667</v>
      </c>
      <c r="AB85" s="5">
        <f t="shared" si="245"/>
        <v>24108</v>
      </c>
      <c r="AC85" s="5">
        <f t="shared" si="245"/>
        <v>25824</v>
      </c>
      <c r="AD85" s="5">
        <f t="shared" si="245"/>
        <v>27233</v>
      </c>
      <c r="AE85" s="5"/>
      <c r="AF85" s="5"/>
      <c r="AG85" s="5"/>
      <c r="AH85" s="5"/>
      <c r="BO85" s="5"/>
      <c r="BP85" s="5"/>
      <c r="BQ85" s="5"/>
      <c r="BR85" s="5"/>
      <c r="BS85" s="4">
        <f t="shared" ref="BS85:BT91" si="246">SUM(W85:Z85)</f>
        <v>88136</v>
      </c>
      <c r="BT85" s="4">
        <f t="shared" si="246"/>
        <v>90512</v>
      </c>
    </row>
    <row r="86" spans="2:72" s="4" customFormat="1">
      <c r="B86" s="4" t="s">
        <v>50</v>
      </c>
      <c r="C86" s="5"/>
      <c r="D86" s="5"/>
      <c r="E86" s="5"/>
      <c r="F86" s="5"/>
      <c r="G86" s="5">
        <v>10678</v>
      </c>
      <c r="H86" s="5">
        <v>11649</v>
      </c>
      <c r="I86" s="5">
        <v>10752</v>
      </c>
      <c r="J86" s="5">
        <v>11202</v>
      </c>
      <c r="K86" s="5">
        <v>13893</v>
      </c>
      <c r="L86" s="5">
        <v>15463</v>
      </c>
      <c r="M86" s="5">
        <v>15457</v>
      </c>
      <c r="N86" s="5">
        <v>16458</v>
      </c>
      <c r="O86" s="5">
        <v>20505</v>
      </c>
      <c r="P86" s="5">
        <v>18765</v>
      </c>
      <c r="Q86" s="5">
        <v>16728</v>
      </c>
      <c r="R86" s="5">
        <v>16740</v>
      </c>
      <c r="S86" s="4">
        <v>17556</v>
      </c>
      <c r="T86" s="4">
        <v>16425</v>
      </c>
      <c r="U86" s="4">
        <v>18299</v>
      </c>
      <c r="V86" s="4">
        <v>20081</v>
      </c>
      <c r="W86" s="4">
        <v>22291</v>
      </c>
      <c r="X86" s="4">
        <v>21870</v>
      </c>
      <c r="Y86" s="4">
        <v>21939</v>
      </c>
      <c r="Z86" s="4">
        <v>22036</v>
      </c>
      <c r="AA86" s="4">
        <v>24667</v>
      </c>
      <c r="AB86" s="4">
        <v>24108</v>
      </c>
      <c r="AC86" s="4">
        <v>25824</v>
      </c>
      <c r="AD86" s="4">
        <v>27233</v>
      </c>
      <c r="BO86" s="5"/>
      <c r="BP86" s="5"/>
      <c r="BQ86" s="5"/>
      <c r="BR86" s="5"/>
      <c r="BS86" s="4">
        <f t="shared" si="246"/>
        <v>88136</v>
      </c>
      <c r="BT86" s="4">
        <f t="shared" ref="BT86:BT91" si="247">SUM(AA86:AD86)</f>
        <v>101832</v>
      </c>
    </row>
    <row r="87" spans="2:72" s="4" customFormat="1">
      <c r="B87" s="4" t="s">
        <v>52</v>
      </c>
      <c r="C87" s="5"/>
      <c r="D87" s="5"/>
      <c r="E87" s="5"/>
      <c r="F87" s="5"/>
      <c r="G87" s="5">
        <v>2971</v>
      </c>
      <c r="H87" s="5">
        <v>3203</v>
      </c>
      <c r="I87" s="5">
        <v>3118</v>
      </c>
      <c r="J87" s="5">
        <v>3504</v>
      </c>
      <c r="K87" s="5">
        <v>2645</v>
      </c>
      <c r="L87" s="5">
        <v>2761</v>
      </c>
      <c r="M87" s="5">
        <v>2936</v>
      </c>
      <c r="N87" s="5">
        <v>3344</v>
      </c>
      <c r="O87" s="5">
        <v>3212</v>
      </c>
      <c r="P87" s="5">
        <v>3496</v>
      </c>
      <c r="Q87" s="5">
        <v>3773</v>
      </c>
      <c r="R87" s="5">
        <v>3979</v>
      </c>
      <c r="S87" s="4">
        <v>2790</v>
      </c>
      <c r="T87" s="4">
        <v>3648</v>
      </c>
      <c r="U87" s="4">
        <v>3549</v>
      </c>
      <c r="V87" s="4">
        <v>3874</v>
      </c>
      <c r="W87" s="4">
        <v>3921</v>
      </c>
      <c r="X87" s="4">
        <v>5959</v>
      </c>
      <c r="Y87" s="4">
        <v>6027</v>
      </c>
      <c r="Z87" s="4">
        <v>6380</v>
      </c>
      <c r="AA87" s="4">
        <v>7383</v>
      </c>
      <c r="AB87" s="4">
        <v>6827</v>
      </c>
      <c r="AC87" s="4">
        <v>8740</v>
      </c>
      <c r="AD87" s="4">
        <v>11203</v>
      </c>
      <c r="BO87" s="5"/>
      <c r="BP87" s="5"/>
      <c r="BQ87" s="5"/>
      <c r="BR87" s="5"/>
      <c r="BS87" s="4">
        <f t="shared" si="246"/>
        <v>22287</v>
      </c>
      <c r="BT87" s="4">
        <f t="shared" si="247"/>
        <v>34153</v>
      </c>
    </row>
    <row r="88" spans="2:72" s="4" customFormat="1">
      <c r="B88" s="4" t="s">
        <v>53</v>
      </c>
      <c r="C88" s="5"/>
      <c r="D88" s="5"/>
      <c r="E88" s="5"/>
      <c r="F88" s="5"/>
      <c r="G88" s="5">
        <v>1262</v>
      </c>
      <c r="H88" s="5">
        <v>1340</v>
      </c>
      <c r="I88" s="5">
        <v>1338</v>
      </c>
      <c r="J88" s="5">
        <v>1349</v>
      </c>
      <c r="K88" s="5">
        <v>1456</v>
      </c>
      <c r="L88" s="5">
        <v>1566</v>
      </c>
      <c r="M88" s="5">
        <v>1525</v>
      </c>
      <c r="N88" s="5">
        <v>1571</v>
      </c>
      <c r="O88" s="5">
        <v>1702</v>
      </c>
      <c r="P88" s="5">
        <v>1897</v>
      </c>
      <c r="Q88" s="5">
        <v>1906</v>
      </c>
      <c r="R88" s="5">
        <v>1997</v>
      </c>
      <c r="S88" s="4">
        <v>2192</v>
      </c>
      <c r="T88" s="4">
        <v>2538</v>
      </c>
      <c r="U88" s="4">
        <v>2465</v>
      </c>
      <c r="V88" s="4">
        <v>2416</v>
      </c>
      <c r="W88" s="4">
        <v>2507</v>
      </c>
      <c r="X88" s="4">
        <v>2828</v>
      </c>
      <c r="Y88" s="4">
        <v>2703</v>
      </c>
      <c r="Z88" s="4">
        <v>2696</v>
      </c>
      <c r="AA88" s="4">
        <v>2832</v>
      </c>
      <c r="AB88" s="4">
        <v>3089</v>
      </c>
      <c r="AC88" s="4">
        <v>2980</v>
      </c>
      <c r="AD88" s="4">
        <v>3073</v>
      </c>
      <c r="BO88" s="5"/>
      <c r="BP88" s="5"/>
      <c r="BQ88" s="5"/>
      <c r="BR88" s="5"/>
      <c r="BS88" s="4">
        <f t="shared" si="246"/>
        <v>10734</v>
      </c>
      <c r="BT88" s="4">
        <f t="shared" si="247"/>
        <v>11974</v>
      </c>
    </row>
    <row r="89" spans="2:72" s="4" customFormat="1">
      <c r="B89" s="4" t="s">
        <v>54</v>
      </c>
      <c r="C89" s="5"/>
      <c r="D89" s="5"/>
      <c r="E89" s="5"/>
      <c r="F89" s="5"/>
      <c r="G89" s="5">
        <v>11</v>
      </c>
      <c r="H89" s="5">
        <v>-203</v>
      </c>
      <c r="I89" s="5">
        <v>52</v>
      </c>
      <c r="J89" s="5">
        <v>-79</v>
      </c>
      <c r="K89" s="5">
        <v>-128</v>
      </c>
      <c r="L89" s="5">
        <v>-354</v>
      </c>
      <c r="M89" s="5">
        <v>-351</v>
      </c>
      <c r="N89" s="5">
        <v>-416</v>
      </c>
      <c r="O89" s="5">
        <v>-364</v>
      </c>
      <c r="P89" s="5">
        <v>-307</v>
      </c>
      <c r="Q89" s="5">
        <v>105</v>
      </c>
      <c r="R89" s="5">
        <v>157</v>
      </c>
      <c r="S89" s="4">
        <v>-22</v>
      </c>
      <c r="T89" s="4">
        <v>214</v>
      </c>
      <c r="U89" s="4">
        <v>-40</v>
      </c>
      <c r="V89" s="4">
        <v>44</v>
      </c>
      <c r="W89" s="4">
        <v>14</v>
      </c>
      <c r="X89" s="4">
        <v>198</v>
      </c>
      <c r="Y89" s="4">
        <v>49</v>
      </c>
      <c r="Z89" s="4">
        <v>44</v>
      </c>
      <c r="AA89" s="4">
        <v>-125</v>
      </c>
      <c r="AB89" s="4">
        <v>976</v>
      </c>
      <c r="AC89" s="4">
        <v>-298</v>
      </c>
      <c r="AD89" s="4">
        <v>56</v>
      </c>
      <c r="BO89" s="5"/>
      <c r="BP89" s="5"/>
      <c r="BQ89" s="5"/>
      <c r="BR89" s="5"/>
      <c r="BS89" s="4">
        <f t="shared" si="246"/>
        <v>305</v>
      </c>
      <c r="BT89" s="4">
        <f t="shared" si="247"/>
        <v>609</v>
      </c>
    </row>
    <row r="90" spans="2:72" s="4" customFormat="1">
      <c r="B90" s="4" t="s">
        <v>55</v>
      </c>
      <c r="C90" s="5"/>
      <c r="D90" s="5"/>
      <c r="E90" s="5"/>
      <c r="F90" s="5"/>
      <c r="G90" s="5">
        <v>-177</v>
      </c>
      <c r="H90" s="5">
        <v>-53</v>
      </c>
      <c r="I90" s="5">
        <v>-206</v>
      </c>
      <c r="J90" s="5">
        <v>447</v>
      </c>
      <c r="K90" s="5">
        <v>-11</v>
      </c>
      <c r="L90" s="5">
        <v>-17</v>
      </c>
      <c r="M90" s="5">
        <v>-88</v>
      </c>
      <c r="N90" s="5">
        <v>-34</v>
      </c>
      <c r="O90" s="5">
        <v>-5970</v>
      </c>
      <c r="P90" s="5">
        <v>183</v>
      </c>
      <c r="Q90" s="5">
        <v>-198</v>
      </c>
      <c r="R90" s="5">
        <v>283</v>
      </c>
      <c r="S90" s="4">
        <v>-1191</v>
      </c>
      <c r="T90" s="4">
        <v>-1305</v>
      </c>
      <c r="U90" s="4">
        <v>-1675</v>
      </c>
      <c r="V90" s="4">
        <v>-1888</v>
      </c>
      <c r="W90" s="4">
        <v>-568</v>
      </c>
      <c r="X90" s="4">
        <v>-1702</v>
      </c>
      <c r="Y90" s="4">
        <v>-1323</v>
      </c>
      <c r="Z90" s="4">
        <v>-1145</v>
      </c>
      <c r="AA90" s="4">
        <v>-1433</v>
      </c>
      <c r="AB90" s="4">
        <v>-1158</v>
      </c>
      <c r="AC90" s="4">
        <v>-2244</v>
      </c>
      <c r="AD90" s="4">
        <v>-2221</v>
      </c>
      <c r="BO90" s="5"/>
      <c r="BP90" s="5"/>
      <c r="BQ90" s="5"/>
      <c r="BR90" s="5"/>
      <c r="BS90" s="4">
        <f t="shared" si="246"/>
        <v>-4738</v>
      </c>
      <c r="BT90" s="4">
        <f t="shared" si="247"/>
        <v>-7056</v>
      </c>
    </row>
    <row r="91" spans="2:72" s="4" customFormat="1">
      <c r="B91" s="4" t="s">
        <v>56</v>
      </c>
      <c r="C91" s="5"/>
      <c r="D91" s="5"/>
      <c r="E91" s="5"/>
      <c r="F91" s="5"/>
      <c r="G91" s="5">
        <f>10090-561-438-333-547-2892-3336-3320+410</f>
        <v>-927</v>
      </c>
      <c r="H91" s="5">
        <f>-4203+799+165-517-7-2936-471+1489+425</f>
        <v>-5256</v>
      </c>
      <c r="I91" s="5">
        <f>891+181+94+124+546-736+765+695-110</f>
        <v>2450</v>
      </c>
      <c r="J91" s="5">
        <f>-9355-251-2151-311+3026+8776-589+2482+623</f>
        <v>2250</v>
      </c>
      <c r="K91" s="5">
        <f>8843-808-54-62+315-3064-983-2951+244</f>
        <v>1480</v>
      </c>
      <c r="L91" s="5">
        <f>-4008+788+730-1499+33-3227-2368+1755+893</f>
        <v>-6903</v>
      </c>
      <c r="M91" s="5">
        <f>290-329+478-885+833-473+1074+1590+122</f>
        <v>2700</v>
      </c>
      <c r="N91" s="5">
        <f>-11606-388-2086-1013+1617+11397-32+3755+143</f>
        <v>1787</v>
      </c>
      <c r="O91" s="5">
        <f>10486-777+940-598-471-2885+2653-4143+250</f>
        <v>5455</v>
      </c>
      <c r="P91" s="5">
        <f>-5543+394+830-908+235-4343-2057+1745+93</f>
        <v>-9554</v>
      </c>
      <c r="Q91" s="5">
        <f>857-279+91-724+520-209+1091+1287+438</f>
        <v>3072</v>
      </c>
      <c r="R91" s="5">
        <f>-12634-461-2570-575+2659+12546-991+3455+44</f>
        <v>1473</v>
      </c>
      <c r="S91" s="4">
        <f>11729-543-332-666-1567-3322+410-4024+188</f>
        <v>1873</v>
      </c>
      <c r="T91" s="4">
        <f>-3164+1305-392-65-2058-5186-2863+1819+257</f>
        <v>-10347</v>
      </c>
      <c r="U91" s="4">
        <f>-1408+106+1152-554-407-181+1414+1715+6</f>
        <v>1843</v>
      </c>
      <c r="V91" s="4">
        <f>-11244+374-2419-1548+1311+14224+681+2762+102</f>
        <v>4243</v>
      </c>
      <c r="W91" s="4">
        <f>11034-505-796-2013+1214-4126+1425-4106+291</f>
        <v>2418</v>
      </c>
      <c r="X91" s="4">
        <f>-2951+1474+725-1427-2521-5538-1554+1518-26</f>
        <v>-10300</v>
      </c>
      <c r="Y91" s="4">
        <f>-2028+260+951-2137+648-645+2622+2803+48</f>
        <v>2522</v>
      </c>
      <c r="Z91" s="4">
        <f>-13246+55-2528-1240+4204+15657-806+4652+436</f>
        <v>7184</v>
      </c>
      <c r="AA91" s="4">
        <f>14037-373-82-1761-916-5553+1016-5479-33</f>
        <v>856</v>
      </c>
      <c r="AB91" s="4">
        <f>-5978+711-353-1089+958-6338-3395+3217+716</f>
        <v>-11551</v>
      </c>
      <c r="AC91" s="4">
        <f>-2461+52+1076-518+1179-1032+1298+2839-391</f>
        <v>2042</v>
      </c>
      <c r="AD91" s="4">
        <f>-16179-81-3686+418-652+18361+1043+5346-1267</f>
        <v>3303</v>
      </c>
      <c r="BO91" s="5"/>
      <c r="BP91" s="5"/>
      <c r="BQ91" s="5"/>
      <c r="BR91" s="5"/>
      <c r="BS91" s="4">
        <f t="shared" si="246"/>
        <v>1824</v>
      </c>
      <c r="BT91" s="4">
        <f t="shared" si="247"/>
        <v>-5350</v>
      </c>
    </row>
    <row r="92" spans="2:72" s="4" customFormat="1" ht="13">
      <c r="B92" s="4" t="s">
        <v>51</v>
      </c>
      <c r="C92" s="5"/>
      <c r="D92" s="5"/>
      <c r="E92" s="5"/>
      <c r="F92" s="5"/>
      <c r="G92" s="5">
        <f t="shared" ref="G92:H92" si="248">SUM(G86:G91)</f>
        <v>13818</v>
      </c>
      <c r="H92" s="5">
        <f t="shared" si="248"/>
        <v>10680</v>
      </c>
      <c r="I92" s="5">
        <f t="shared" ref="I92:J92" si="249">SUM(I86:I91)</f>
        <v>17504</v>
      </c>
      <c r="J92" s="5">
        <f t="shared" si="249"/>
        <v>18673</v>
      </c>
      <c r="K92" s="5">
        <f t="shared" ref="K92:L92" si="250">SUM(K86:K91)</f>
        <v>19335</v>
      </c>
      <c r="L92" s="5">
        <f t="shared" si="250"/>
        <v>12516</v>
      </c>
      <c r="M92" s="5">
        <f t="shared" ref="M92:O92" si="251">SUM(M86:M91)</f>
        <v>22179</v>
      </c>
      <c r="N92" s="5">
        <f t="shared" si="251"/>
        <v>22710</v>
      </c>
      <c r="O92" s="5">
        <f t="shared" si="251"/>
        <v>24540</v>
      </c>
      <c r="P92" s="5">
        <f t="shared" ref="P92" si="252">SUM(P86:P91)</f>
        <v>14480</v>
      </c>
      <c r="Q92" s="5">
        <f t="shared" ref="Q92:U92" si="253">SUM(Q86:Q91)</f>
        <v>25386</v>
      </c>
      <c r="R92" s="5">
        <f t="shared" si="253"/>
        <v>24629</v>
      </c>
      <c r="S92" s="5">
        <f t="shared" si="253"/>
        <v>23198</v>
      </c>
      <c r="T92" s="5">
        <f t="shared" si="253"/>
        <v>11173</v>
      </c>
      <c r="U92" s="5">
        <f t="shared" si="253"/>
        <v>24441</v>
      </c>
      <c r="V92" s="5">
        <f t="shared" ref="V92:AD92" si="254">SUM(V86:V91)</f>
        <v>28770</v>
      </c>
      <c r="W92" s="5">
        <f t="shared" si="254"/>
        <v>30583</v>
      </c>
      <c r="X92" s="5">
        <f t="shared" si="254"/>
        <v>18853</v>
      </c>
      <c r="Y92" s="5">
        <f t="shared" si="254"/>
        <v>31917</v>
      </c>
      <c r="Z92" s="5">
        <f t="shared" si="254"/>
        <v>37195</v>
      </c>
      <c r="AA92" s="5">
        <f t="shared" si="254"/>
        <v>34180</v>
      </c>
      <c r="AB92" s="5">
        <f t="shared" si="254"/>
        <v>22291</v>
      </c>
      <c r="AC92" s="5">
        <f t="shared" si="254"/>
        <v>37044</v>
      </c>
      <c r="AD92" s="5">
        <f t="shared" si="254"/>
        <v>42647</v>
      </c>
      <c r="AE92" s="5"/>
      <c r="AF92" s="5"/>
      <c r="AG92" s="5"/>
      <c r="AH92" s="5"/>
      <c r="BO92" s="5"/>
      <c r="BP92" s="5"/>
      <c r="BQ92" s="5"/>
      <c r="BR92" s="5"/>
      <c r="BS92" s="6">
        <f>SUM(BS86:BS91)</f>
        <v>118548</v>
      </c>
      <c r="BT92" s="6">
        <f>SUM(BT86:BT91)</f>
        <v>136162</v>
      </c>
    </row>
    <row r="93" spans="2:72" s="4" customForma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BO93" s="5"/>
      <c r="BP93" s="5"/>
      <c r="BQ93" s="5"/>
      <c r="BR93" s="5"/>
    </row>
    <row r="94" spans="2:72" s="4" customFormat="1">
      <c r="B94" s="4" t="s">
        <v>58</v>
      </c>
      <c r="C94" s="5"/>
      <c r="D94" s="5">
        <v>-3707</v>
      </c>
      <c r="E94" s="5"/>
      <c r="F94" s="5"/>
      <c r="G94" s="5">
        <v>-3385</v>
      </c>
      <c r="H94" s="5">
        <v>-3545</v>
      </c>
      <c r="I94" s="5">
        <v>-3767</v>
      </c>
      <c r="J94" s="5">
        <v>-4744</v>
      </c>
      <c r="K94" s="5">
        <v>-4907</v>
      </c>
      <c r="L94" s="5">
        <v>-4174</v>
      </c>
      <c r="M94" s="5">
        <v>-5089</v>
      </c>
      <c r="N94" s="5">
        <v>-6452</v>
      </c>
      <c r="O94" s="5">
        <v>-5810</v>
      </c>
      <c r="P94" s="5">
        <v>-5865</v>
      </c>
      <c r="Q94" s="5">
        <v>-5340</v>
      </c>
      <c r="R94" s="5">
        <v>-6871</v>
      </c>
      <c r="S94" s="4">
        <v>-6283</v>
      </c>
      <c r="T94" s="4">
        <v>-6274</v>
      </c>
      <c r="U94" s="4">
        <v>-6607</v>
      </c>
      <c r="V94" s="4">
        <v>-8943</v>
      </c>
      <c r="W94" s="4">
        <v>-9917</v>
      </c>
      <c r="X94" s="4">
        <v>-9735</v>
      </c>
      <c r="Y94" s="4">
        <v>-10952</v>
      </c>
      <c r="Z94" s="4">
        <v>-13873</v>
      </c>
      <c r="AA94" s="4">
        <v>-14923</v>
      </c>
      <c r="AB94" s="4">
        <v>-15804</v>
      </c>
      <c r="AC94" s="4">
        <v>-16745</v>
      </c>
      <c r="AD94" s="4">
        <f>-64551-AC94-AB94-AA94</f>
        <v>-17079</v>
      </c>
      <c r="BO94" s="5"/>
      <c r="BP94" s="5"/>
      <c r="BQ94" s="5"/>
      <c r="BR94" s="5"/>
      <c r="BS94" s="4">
        <f t="shared" ref="BS94:BS97" si="255">SUM(W94:Z94)</f>
        <v>-44477</v>
      </c>
      <c r="BT94" s="4">
        <f>SUM(AA94:AD94)</f>
        <v>-64551</v>
      </c>
    </row>
    <row r="95" spans="2:72" s="4" customFormat="1">
      <c r="B95" s="4" t="s">
        <v>59</v>
      </c>
      <c r="C95" s="5"/>
      <c r="D95" s="5">
        <v>-1593</v>
      </c>
      <c r="E95" s="5"/>
      <c r="F95" s="5"/>
      <c r="G95" s="5">
        <v>-462</v>
      </c>
      <c r="H95" s="5">
        <v>-80</v>
      </c>
      <c r="I95" s="5">
        <v>-329</v>
      </c>
      <c r="J95" s="5">
        <v>-1650</v>
      </c>
      <c r="K95" s="5">
        <v>-481</v>
      </c>
      <c r="L95" s="5">
        <v>-415</v>
      </c>
      <c r="M95" s="5">
        <v>-7512</v>
      </c>
      <c r="N95" s="5">
        <v>-501</v>
      </c>
      <c r="O95" s="5">
        <v>-1206</v>
      </c>
      <c r="P95" s="5">
        <v>-850</v>
      </c>
      <c r="Q95" s="5">
        <v>-18719</v>
      </c>
      <c r="R95" s="5">
        <v>-1263</v>
      </c>
      <c r="S95" s="4">
        <v>-349</v>
      </c>
      <c r="T95" s="4">
        <v>-679</v>
      </c>
      <c r="U95" s="4">
        <v>-301</v>
      </c>
      <c r="V95" s="4">
        <v>-341</v>
      </c>
      <c r="W95" s="4">
        <v>-1186</v>
      </c>
      <c r="X95" s="4">
        <v>-65029</v>
      </c>
      <c r="Y95" s="4">
        <v>-1575</v>
      </c>
      <c r="Z95" s="4">
        <v>-1342</v>
      </c>
      <c r="AA95" s="4">
        <v>-1849</v>
      </c>
      <c r="AB95" s="4">
        <v>-1405</v>
      </c>
      <c r="AC95" s="4">
        <v>-981</v>
      </c>
      <c r="AD95" s="4">
        <v>-1743</v>
      </c>
      <c r="BO95" s="5"/>
      <c r="BP95" s="5"/>
      <c r="BQ95" s="5"/>
      <c r="BR95" s="5"/>
      <c r="BS95" s="4">
        <f t="shared" si="255"/>
        <v>-69132</v>
      </c>
      <c r="BT95" s="4">
        <f>SUM(AA95:AD95)</f>
        <v>-5978</v>
      </c>
    </row>
    <row r="96" spans="2:72" s="4" customFormat="1">
      <c r="B96" s="4" t="s">
        <v>60</v>
      </c>
      <c r="C96" s="5"/>
      <c r="D96" s="5">
        <f>-16858+3782+14176</f>
        <v>1100</v>
      </c>
      <c r="E96" s="5"/>
      <c r="F96" s="5"/>
      <c r="G96" s="5">
        <f>-23390+19082+6379</f>
        <v>2071</v>
      </c>
      <c r="H96" s="5">
        <f>-19011+11230+5370</f>
        <v>-2411</v>
      </c>
      <c r="I96" s="5">
        <f>-15910+17247+2810</f>
        <v>4147</v>
      </c>
      <c r="J96" s="5">
        <f>-18879+18890+3162</f>
        <v>3173</v>
      </c>
      <c r="K96" s="5">
        <f>-14580+14266+2414</f>
        <v>2100</v>
      </c>
      <c r="L96" s="5">
        <f>-15092+15264+2421</f>
        <v>2593</v>
      </c>
      <c r="M96" s="5">
        <f>-18375+15016+5876</f>
        <v>2517</v>
      </c>
      <c r="N96" s="5">
        <f>-14877+7246+3297</f>
        <v>-4334</v>
      </c>
      <c r="O96" s="5">
        <f>-10309+8862+5630</f>
        <v>4183</v>
      </c>
      <c r="P96" s="5">
        <f>-2505+5253+2895</f>
        <v>5643</v>
      </c>
      <c r="Q96" s="5">
        <f>-8723+1099+16693</f>
        <v>9069</v>
      </c>
      <c r="R96" s="5">
        <f>-4919+1237+3225</f>
        <v>-457</v>
      </c>
      <c r="S96" s="4">
        <f>-5013+6662+2711</f>
        <v>4360</v>
      </c>
      <c r="T96" s="4">
        <f>-11599+6928+4775</f>
        <v>104</v>
      </c>
      <c r="U96" s="4">
        <f>-9063+13154+1239</f>
        <v>5330</v>
      </c>
      <c r="V96" s="4">
        <f>-11976+6766+5629</f>
        <v>419</v>
      </c>
      <c r="W96" s="4">
        <f>-8460+15718+5330</f>
        <v>12588</v>
      </c>
      <c r="X96" s="4">
        <f>-4258+4150+1600</f>
        <v>1492</v>
      </c>
      <c r="Y96" s="4">
        <f>-2183+3350+1941</f>
        <v>3108</v>
      </c>
      <c r="Z96" s="4">
        <f>-2831+1557+2023</f>
        <v>749</v>
      </c>
      <c r="AA96" s="4">
        <f>-1620+2136+1968</f>
        <v>2484</v>
      </c>
      <c r="AB96" s="4">
        <f>-2050+2604+2559</f>
        <v>3113</v>
      </c>
      <c r="AC96" s="4">
        <f>-4474+6721+2161</f>
        <v>4408</v>
      </c>
      <c r="AD96" s="4">
        <f>-21631+4618+2621</f>
        <v>-14392</v>
      </c>
      <c r="BO96" s="5"/>
      <c r="BP96" s="5"/>
      <c r="BQ96" s="5"/>
      <c r="BR96" s="5"/>
      <c r="BS96" s="4">
        <f t="shared" si="255"/>
        <v>17937</v>
      </c>
      <c r="BT96" s="4">
        <f>SUM(AA96:AD96)</f>
        <v>-4387</v>
      </c>
    </row>
    <row r="97" spans="2:73" s="4" customFormat="1">
      <c r="B97" s="4" t="s">
        <v>28</v>
      </c>
      <c r="C97" s="5"/>
      <c r="D97" s="5">
        <v>0</v>
      </c>
      <c r="E97" s="5"/>
      <c r="F97" s="5"/>
      <c r="G97" s="5">
        <v>0</v>
      </c>
      <c r="H97" s="5">
        <v>0</v>
      </c>
      <c r="I97" s="5">
        <v>0</v>
      </c>
      <c r="J97" s="5">
        <v>-1241</v>
      </c>
      <c r="K97" s="5">
        <v>-2083</v>
      </c>
      <c r="L97" s="5">
        <v>327</v>
      </c>
      <c r="M97" s="5">
        <v>400</v>
      </c>
      <c r="N97" s="5">
        <v>434</v>
      </c>
      <c r="O97" s="5">
        <v>-417</v>
      </c>
      <c r="P97" s="5">
        <v>-89</v>
      </c>
      <c r="Q97" s="5">
        <v>-1181</v>
      </c>
      <c r="R97" s="5">
        <v>-1138</v>
      </c>
      <c r="S97" s="4">
        <v>-860</v>
      </c>
      <c r="T97" s="4">
        <v>-301</v>
      </c>
      <c r="U97" s="4">
        <v>-1686</v>
      </c>
      <c r="V97" s="4">
        <v>-269</v>
      </c>
      <c r="W97" s="4">
        <v>-982</v>
      </c>
      <c r="X97" s="4">
        <v>1347</v>
      </c>
      <c r="Y97" s="4">
        <v>-1281</v>
      </c>
      <c r="Z97" s="4">
        <v>-382</v>
      </c>
      <c r="AA97" s="4">
        <v>-913</v>
      </c>
      <c r="AB97" s="4">
        <v>-16</v>
      </c>
      <c r="AC97" s="4">
        <v>604</v>
      </c>
      <c r="AD97" s="4">
        <v>2642</v>
      </c>
      <c r="BO97" s="5"/>
      <c r="BP97" s="5"/>
      <c r="BQ97" s="5"/>
      <c r="BR97" s="5"/>
      <c r="BS97" s="4">
        <f t="shared" si="255"/>
        <v>-1298</v>
      </c>
      <c r="BT97" s="4">
        <f>SUM(AA97:AD97)</f>
        <v>2317</v>
      </c>
    </row>
    <row r="98" spans="2:73" s="4" customFormat="1" ht="13">
      <c r="B98" s="4" t="s">
        <v>57</v>
      </c>
      <c r="C98" s="5"/>
      <c r="D98" s="5">
        <f t="shared" ref="D98" si="256">SUM(D94:D97)</f>
        <v>-4200</v>
      </c>
      <c r="E98" s="5"/>
      <c r="F98" s="5"/>
      <c r="G98" s="5">
        <f t="shared" ref="G98:H98" si="257">SUM(G94:G97)</f>
        <v>-1776</v>
      </c>
      <c r="H98" s="5">
        <f t="shared" si="257"/>
        <v>-6036</v>
      </c>
      <c r="I98" s="5">
        <f t="shared" ref="I98:J98" si="258">SUM(I94:I97)</f>
        <v>51</v>
      </c>
      <c r="J98" s="5">
        <f t="shared" si="258"/>
        <v>-4462</v>
      </c>
      <c r="K98" s="5">
        <f t="shared" ref="K98:L98" si="259">SUM(K94:K97)</f>
        <v>-5371</v>
      </c>
      <c r="L98" s="5">
        <f t="shared" si="259"/>
        <v>-1669</v>
      </c>
      <c r="M98" s="5">
        <f t="shared" ref="M98:P98" si="260">SUM(M94:M97)</f>
        <v>-9684</v>
      </c>
      <c r="N98" s="5">
        <f t="shared" si="260"/>
        <v>-10853</v>
      </c>
      <c r="O98" s="5">
        <f t="shared" si="260"/>
        <v>-3250</v>
      </c>
      <c r="P98" s="5">
        <f t="shared" si="260"/>
        <v>-1161</v>
      </c>
      <c r="Q98" s="5">
        <f t="shared" ref="Q98:AD98" si="261">SUM(Q94:Q97)</f>
        <v>-16171</v>
      </c>
      <c r="R98" s="5">
        <f t="shared" si="261"/>
        <v>-9729</v>
      </c>
      <c r="S98" s="5">
        <f t="shared" si="261"/>
        <v>-3132</v>
      </c>
      <c r="T98" s="5">
        <f t="shared" si="261"/>
        <v>-7150</v>
      </c>
      <c r="U98" s="5">
        <f t="shared" si="261"/>
        <v>-3264</v>
      </c>
      <c r="V98" s="5">
        <f t="shared" si="261"/>
        <v>-9134</v>
      </c>
      <c r="W98" s="5">
        <f t="shared" si="261"/>
        <v>503</v>
      </c>
      <c r="X98" s="5">
        <f t="shared" si="261"/>
        <v>-71925</v>
      </c>
      <c r="Y98" s="5">
        <f t="shared" si="261"/>
        <v>-10700</v>
      </c>
      <c r="Z98" s="5">
        <f t="shared" si="261"/>
        <v>-14848</v>
      </c>
      <c r="AA98" s="5">
        <f t="shared" si="261"/>
        <v>-15201</v>
      </c>
      <c r="AB98" s="5">
        <f t="shared" si="261"/>
        <v>-14112</v>
      </c>
      <c r="AC98" s="5">
        <f t="shared" si="261"/>
        <v>-12714</v>
      </c>
      <c r="AD98" s="5">
        <f t="shared" si="261"/>
        <v>-30572</v>
      </c>
      <c r="BO98" s="5"/>
      <c r="BP98" s="5"/>
      <c r="BQ98" s="5"/>
      <c r="BR98" s="5"/>
      <c r="BS98" s="6">
        <f>SUM(BS94:BS97)</f>
        <v>-96970</v>
      </c>
      <c r="BT98" s="6">
        <f>SUM(BT94:BT97)</f>
        <v>-72599</v>
      </c>
    </row>
    <row r="100" spans="2:73" s="4" customFormat="1">
      <c r="B100" s="4" t="s">
        <v>61</v>
      </c>
      <c r="C100" s="5"/>
      <c r="D100" s="5"/>
      <c r="E100" s="5"/>
      <c r="F100" s="5"/>
      <c r="G100" s="5">
        <v>0</v>
      </c>
      <c r="H100" s="5">
        <v>0</v>
      </c>
      <c r="I100" s="5">
        <v>0</v>
      </c>
      <c r="J100" s="5">
        <v>-3417</v>
      </c>
      <c r="K100" s="5">
        <v>0</v>
      </c>
      <c r="L100" s="5">
        <v>0</v>
      </c>
      <c r="M100" s="5">
        <v>-1754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BO100" s="5"/>
      <c r="BP100" s="5"/>
      <c r="BQ100" s="5"/>
      <c r="BR100" s="5"/>
      <c r="BS100" s="4">
        <f t="shared" ref="BS100:BS106" si="262">SUM(W100:Z100)</f>
        <v>0</v>
      </c>
      <c r="BT100" s="4">
        <f t="shared" ref="BT100:BT106" si="263">SUM(AA100:AD100)</f>
        <v>0</v>
      </c>
    </row>
    <row r="101" spans="2:73" s="4" customFormat="1">
      <c r="B101" s="4" t="s">
        <v>62</v>
      </c>
      <c r="C101" s="5"/>
      <c r="D101" s="5"/>
      <c r="E101" s="5"/>
      <c r="F101" s="5"/>
      <c r="G101" s="5">
        <v>-2500</v>
      </c>
      <c r="H101" s="5">
        <v>-18</v>
      </c>
      <c r="I101" s="5">
        <v>-3000</v>
      </c>
      <c r="J101" s="5">
        <v>0</v>
      </c>
      <c r="K101" s="5">
        <v>0</v>
      </c>
      <c r="L101" s="5">
        <v>-3250</v>
      </c>
      <c r="M101" s="5">
        <v>-500</v>
      </c>
      <c r="N101" s="5">
        <v>0</v>
      </c>
      <c r="O101" s="5">
        <v>-4826</v>
      </c>
      <c r="P101" s="5">
        <v>0</v>
      </c>
      <c r="Q101" s="5">
        <v>-4197</v>
      </c>
      <c r="R101" s="5">
        <v>0</v>
      </c>
      <c r="S101" s="4">
        <v>-1000</v>
      </c>
      <c r="T101" s="4">
        <v>-750</v>
      </c>
      <c r="U101" s="4">
        <v>536</v>
      </c>
      <c r="V101" s="4">
        <f>-1000+512</f>
        <v>-488</v>
      </c>
      <c r="W101" s="4">
        <f>-1500+18692+7073</f>
        <v>24265</v>
      </c>
      <c r="X101" s="4">
        <f>-8490+10773-2916</f>
        <v>-633</v>
      </c>
      <c r="Y101" s="4">
        <f>-3810+6352-11589</f>
        <v>-9047</v>
      </c>
      <c r="Z101" s="4">
        <f>-1142+197-13065</f>
        <v>-14010</v>
      </c>
      <c r="AA101" s="4">
        <f>-5746-966</f>
        <v>-6712</v>
      </c>
      <c r="AB101" s="4">
        <v>0</v>
      </c>
      <c r="AC101" s="4">
        <v>-2250</v>
      </c>
      <c r="AD101" s="4">
        <v>0</v>
      </c>
      <c r="BO101" s="5"/>
      <c r="BP101" s="5"/>
      <c r="BQ101" s="5"/>
      <c r="BR101" s="5"/>
      <c r="BS101" s="4">
        <f t="shared" si="262"/>
        <v>575</v>
      </c>
      <c r="BT101" s="4">
        <f t="shared" si="263"/>
        <v>-8962</v>
      </c>
    </row>
    <row r="102" spans="2:73" s="4" customFormat="1">
      <c r="B102" s="4" t="s">
        <v>63</v>
      </c>
      <c r="C102" s="5"/>
      <c r="D102" s="5"/>
      <c r="E102" s="5"/>
      <c r="F102" s="5"/>
      <c r="G102" s="5">
        <f>-4912+427</f>
        <v>-4485</v>
      </c>
      <c r="H102" s="5">
        <f>234-5206</f>
        <v>-4972</v>
      </c>
      <c r="I102" s="5">
        <f>342-7059</f>
        <v>-6717</v>
      </c>
      <c r="J102" s="5">
        <f>-5791+340</f>
        <v>-5451</v>
      </c>
      <c r="K102" s="5">
        <f>545-6743</f>
        <v>-6198</v>
      </c>
      <c r="L102" s="5">
        <f>302-6535</f>
        <v>-6233</v>
      </c>
      <c r="M102" s="5">
        <f>-6930+396</f>
        <v>-6534</v>
      </c>
      <c r="N102" s="5">
        <f>450-7177</f>
        <v>-6727</v>
      </c>
      <c r="O102" s="5">
        <f>612-7684</f>
        <v>-7072</v>
      </c>
      <c r="P102" s="5">
        <f>291-7433</f>
        <v>-7142</v>
      </c>
      <c r="Q102" s="5">
        <f>477-8822</f>
        <v>-8345</v>
      </c>
      <c r="R102" s="5">
        <f>-8757+461</f>
        <v>-8296</v>
      </c>
      <c r="S102" s="4">
        <f>575-5573</f>
        <v>-4998</v>
      </c>
      <c r="T102" s="4">
        <f>243-5459</f>
        <v>-5216</v>
      </c>
      <c r="U102" s="4">
        <f>-5509</f>
        <v>-5509</v>
      </c>
      <c r="V102" s="4">
        <v>-5704</v>
      </c>
      <c r="W102" s="4">
        <f>685-4831</f>
        <v>-4146</v>
      </c>
      <c r="X102" s="4">
        <f>261-4000</f>
        <v>-3739</v>
      </c>
      <c r="Y102" s="4">
        <f>522-4213</f>
        <v>-3691</v>
      </c>
      <c r="Z102" s="4">
        <f>534-4210</f>
        <v>-3676</v>
      </c>
      <c r="AA102" s="4">
        <f>706-4107</f>
        <v>-3401</v>
      </c>
      <c r="AB102" s="4">
        <f>256-4986</f>
        <v>-4730</v>
      </c>
      <c r="AC102" s="4">
        <f>546-4781</f>
        <v>-4235</v>
      </c>
      <c r="AD102" s="4">
        <f>548-4546</f>
        <v>-3998</v>
      </c>
      <c r="BO102" s="5"/>
      <c r="BP102" s="5"/>
      <c r="BQ102" s="5"/>
      <c r="BR102" s="5"/>
      <c r="BS102" s="4">
        <f t="shared" si="262"/>
        <v>-15252</v>
      </c>
      <c r="BT102" s="4">
        <f t="shared" si="263"/>
        <v>-16364</v>
      </c>
    </row>
    <row r="103" spans="2:73" s="4" customFormat="1">
      <c r="B103" s="4" t="s">
        <v>64</v>
      </c>
      <c r="C103" s="5"/>
      <c r="D103" s="5"/>
      <c r="E103" s="5"/>
      <c r="F103" s="5"/>
      <c r="G103" s="5">
        <v>-3510</v>
      </c>
      <c r="H103" s="5">
        <v>-3886</v>
      </c>
      <c r="I103" s="5">
        <v>-3876</v>
      </c>
      <c r="J103" s="5">
        <v>-3865</v>
      </c>
      <c r="K103" s="5">
        <v>-3856</v>
      </c>
      <c r="L103" s="5">
        <v>-4230</v>
      </c>
      <c r="M103" s="5">
        <v>-4221</v>
      </c>
      <c r="N103" s="5">
        <v>-4214</v>
      </c>
      <c r="O103" s="5">
        <v>-4206</v>
      </c>
      <c r="P103" s="5">
        <v>-4652</v>
      </c>
      <c r="Q103" s="5">
        <v>-4645</v>
      </c>
      <c r="R103" s="5">
        <v>-4632</v>
      </c>
      <c r="S103" s="4">
        <v>-4621</v>
      </c>
      <c r="T103" s="4">
        <v>-5066</v>
      </c>
      <c r="U103" s="4">
        <v>-5059</v>
      </c>
      <c r="V103" s="4">
        <v>-5054</v>
      </c>
      <c r="W103" s="4">
        <v>-5051</v>
      </c>
      <c r="X103" s="4">
        <v>-5574</v>
      </c>
      <c r="Y103" s="4">
        <v>-5572</v>
      </c>
      <c r="Z103" s="4">
        <v>-5574</v>
      </c>
      <c r="AA103" s="4">
        <v>-5574</v>
      </c>
      <c r="AB103" s="4">
        <v>-6170</v>
      </c>
      <c r="AC103" s="4">
        <v>-6169</v>
      </c>
      <c r="AD103" s="4">
        <v>-6169</v>
      </c>
      <c r="BO103" s="5"/>
      <c r="BP103" s="5"/>
      <c r="BQ103" s="5"/>
      <c r="BR103" s="5"/>
      <c r="BS103" s="4">
        <f t="shared" si="262"/>
        <v>-21771</v>
      </c>
      <c r="BT103" s="4">
        <f t="shared" si="263"/>
        <v>-24082</v>
      </c>
    </row>
    <row r="104" spans="2:73" s="4" customFormat="1">
      <c r="B104" s="4" t="s">
        <v>28</v>
      </c>
      <c r="C104" s="5"/>
      <c r="D104" s="5"/>
      <c r="E104" s="5"/>
      <c r="F104" s="5"/>
      <c r="G104" s="5">
        <v>286</v>
      </c>
      <c r="H104" s="5">
        <v>-39</v>
      </c>
      <c r="I104" s="5">
        <v>-1052</v>
      </c>
      <c r="J104" s="5">
        <v>471</v>
      </c>
      <c r="K104" s="5">
        <v>-235</v>
      </c>
      <c r="L104" s="5">
        <v>79</v>
      </c>
      <c r="M104" s="5">
        <v>-183</v>
      </c>
      <c r="N104" s="5">
        <v>-430</v>
      </c>
      <c r="O104" s="5">
        <v>-172</v>
      </c>
      <c r="P104" s="5">
        <v>-192</v>
      </c>
      <c r="Q104" s="5">
        <v>-158</v>
      </c>
      <c r="R104" s="5">
        <v>-341</v>
      </c>
      <c r="S104" s="4">
        <v>-264</v>
      </c>
      <c r="T104" s="4">
        <v>-317</v>
      </c>
      <c r="U104" s="4">
        <v>-258</v>
      </c>
      <c r="V104" s="4">
        <v>-167</v>
      </c>
      <c r="W104" s="4">
        <v>-307</v>
      </c>
      <c r="X104" s="4">
        <v>-201</v>
      </c>
      <c r="Y104" s="4">
        <v>-498</v>
      </c>
      <c r="Z104" s="4">
        <v>-303</v>
      </c>
      <c r="AA104" s="4">
        <v>-889</v>
      </c>
      <c r="AB104" s="4">
        <v>-343</v>
      </c>
      <c r="AC104" s="4">
        <v>-382</v>
      </c>
      <c r="AD104" s="4">
        <v>-677</v>
      </c>
      <c r="BO104" s="5"/>
      <c r="BP104" s="5"/>
      <c r="BQ104" s="5"/>
      <c r="BR104" s="5"/>
      <c r="BS104" s="4">
        <f t="shared" si="262"/>
        <v>-1309</v>
      </c>
      <c r="BT104" s="4">
        <f t="shared" si="263"/>
        <v>-2291</v>
      </c>
    </row>
    <row r="105" spans="2:73" s="4" customFormat="1" ht="13">
      <c r="B105" s="4" t="s">
        <v>65</v>
      </c>
      <c r="C105" s="5"/>
      <c r="D105" s="5"/>
      <c r="E105" s="5"/>
      <c r="F105" s="5"/>
      <c r="G105" s="5">
        <f t="shared" ref="G105" si="264">SUM(G100:G104)</f>
        <v>-10209</v>
      </c>
      <c r="H105" s="5">
        <f>SUM(H100:H104)</f>
        <v>-8915</v>
      </c>
      <c r="I105" s="5">
        <f>SUM(I100:I104)</f>
        <v>-14645</v>
      </c>
      <c r="J105" s="5">
        <f>SUM(J100:J104)</f>
        <v>-12262</v>
      </c>
      <c r="K105" s="5">
        <f t="shared" ref="K105:L105" si="265">SUM(K100:K104)</f>
        <v>-10289</v>
      </c>
      <c r="L105" s="5">
        <f t="shared" si="265"/>
        <v>-13634</v>
      </c>
      <c r="M105" s="5">
        <f t="shared" ref="M105:O105" si="266">SUM(M100:M104)</f>
        <v>-13192</v>
      </c>
      <c r="N105" s="5">
        <f t="shared" si="266"/>
        <v>-11371</v>
      </c>
      <c r="O105" s="5">
        <f t="shared" si="266"/>
        <v>-16276</v>
      </c>
      <c r="P105" s="5">
        <f>SUM(P100:P104)</f>
        <v>-11986</v>
      </c>
      <c r="Q105" s="5">
        <f>SUM(Q100:Q104)</f>
        <v>-17345</v>
      </c>
      <c r="R105" s="5">
        <f>SUM(R100:R104)</f>
        <v>-13269</v>
      </c>
      <c r="S105" s="5">
        <f>SUM(S100:S104)</f>
        <v>-10883</v>
      </c>
      <c r="T105" s="5">
        <f>SUM(T100:T104)</f>
        <v>-11349</v>
      </c>
      <c r="U105" s="5">
        <f t="shared" ref="U105:AD105" si="267">SUM(U100:U104)</f>
        <v>-10290</v>
      </c>
      <c r="V105" s="5">
        <f t="shared" si="267"/>
        <v>-11413</v>
      </c>
      <c r="W105" s="5">
        <f t="shared" si="267"/>
        <v>14761</v>
      </c>
      <c r="X105" s="5">
        <f t="shared" si="267"/>
        <v>-10147</v>
      </c>
      <c r="Y105" s="5">
        <f t="shared" si="267"/>
        <v>-18808</v>
      </c>
      <c r="Z105" s="5">
        <f t="shared" si="267"/>
        <v>-23563</v>
      </c>
      <c r="AA105" s="5">
        <f t="shared" si="267"/>
        <v>-16576</v>
      </c>
      <c r="AB105" s="5">
        <f t="shared" si="267"/>
        <v>-11243</v>
      </c>
      <c r="AC105" s="5">
        <f t="shared" si="267"/>
        <v>-13036</v>
      </c>
      <c r="AD105" s="5">
        <f t="shared" si="267"/>
        <v>-10844</v>
      </c>
      <c r="BO105" s="5"/>
      <c r="BP105" s="5"/>
      <c r="BQ105" s="5"/>
      <c r="BR105" s="5"/>
      <c r="BS105" s="6">
        <f>SUM(BS100:BS104)</f>
        <v>-37757</v>
      </c>
      <c r="BT105" s="6">
        <f>SUM(BT100:BT104)</f>
        <v>-51699</v>
      </c>
    </row>
    <row r="106" spans="2:73">
      <c r="B106" s="4" t="s">
        <v>66</v>
      </c>
      <c r="G106" s="2">
        <v>-72</v>
      </c>
      <c r="H106" s="2">
        <v>18</v>
      </c>
      <c r="I106" s="2">
        <v>-64</v>
      </c>
      <c r="J106" s="2">
        <v>-83</v>
      </c>
      <c r="K106" s="2">
        <v>-46</v>
      </c>
      <c r="L106" s="2">
        <v>14</v>
      </c>
      <c r="M106" s="2">
        <v>-33</v>
      </c>
      <c r="N106" s="2">
        <v>36</v>
      </c>
      <c r="O106" s="2">
        <v>-73</v>
      </c>
      <c r="P106" s="2">
        <v>106</v>
      </c>
      <c r="Q106" s="2">
        <v>24</v>
      </c>
      <c r="R106" s="2">
        <v>-198</v>
      </c>
      <c r="S106" s="4">
        <v>-230</v>
      </c>
      <c r="T106" s="4">
        <v>88</v>
      </c>
      <c r="U106" s="4">
        <v>29</v>
      </c>
      <c r="V106" s="4">
        <v>-81</v>
      </c>
      <c r="W106" s="4">
        <v>-99</v>
      </c>
      <c r="X106" s="4">
        <v>72</v>
      </c>
      <c r="Y106" s="4">
        <v>-80</v>
      </c>
      <c r="Z106" s="4">
        <v>-103</v>
      </c>
      <c r="AA106" s="4">
        <v>122</v>
      </c>
      <c r="AB106" s="4">
        <v>-294</v>
      </c>
      <c r="AC106" s="4">
        <v>52</v>
      </c>
      <c r="AD106" s="4">
        <v>183</v>
      </c>
      <c r="BS106" s="4">
        <f t="shared" si="262"/>
        <v>-210</v>
      </c>
      <c r="BT106" s="4">
        <f t="shared" si="263"/>
        <v>63</v>
      </c>
    </row>
    <row r="107" spans="2:73" ht="13">
      <c r="B107" s="4" t="s">
        <v>67</v>
      </c>
      <c r="G107" s="5">
        <f t="shared" ref="G107:H107" si="268">G105+G106+G98+G92</f>
        <v>1761</v>
      </c>
      <c r="H107" s="5">
        <f t="shared" si="268"/>
        <v>-4253</v>
      </c>
      <c r="I107" s="5">
        <f t="shared" ref="I107:J107" si="269">I105+I106+I98+I92</f>
        <v>2846</v>
      </c>
      <c r="J107" s="5">
        <f t="shared" si="269"/>
        <v>1866</v>
      </c>
      <c r="K107" s="5">
        <f t="shared" ref="K107:L107" si="270">K105+K106+K98+K92</f>
        <v>3629</v>
      </c>
      <c r="L107" s="5">
        <f t="shared" si="270"/>
        <v>-2773</v>
      </c>
      <c r="M107" s="5">
        <f t="shared" ref="M107:O107" si="271">M105+M106+M98+M92</f>
        <v>-730</v>
      </c>
      <c r="N107" s="5">
        <f t="shared" si="271"/>
        <v>522</v>
      </c>
      <c r="O107" s="5">
        <f t="shared" si="271"/>
        <v>4941</v>
      </c>
      <c r="P107" s="5">
        <f>P105+P106+P98+P92</f>
        <v>1439</v>
      </c>
      <c r="Q107" s="5">
        <f>Q105+Q106+Q98+Q92</f>
        <v>-8106</v>
      </c>
      <c r="R107" s="5">
        <f>R105+R106+R98+R92</f>
        <v>1433</v>
      </c>
      <c r="S107" s="5">
        <f>S105+S106+S98+S92</f>
        <v>8953</v>
      </c>
      <c r="T107" s="5">
        <f>T105+T106+T98+T92</f>
        <v>-7238</v>
      </c>
      <c r="U107" s="5">
        <f t="shared" ref="U107:AD107" si="272">U105+U106+U98+U92</f>
        <v>10916</v>
      </c>
      <c r="V107" s="5">
        <f t="shared" si="272"/>
        <v>8142</v>
      </c>
      <c r="W107" s="5">
        <f t="shared" si="272"/>
        <v>45748</v>
      </c>
      <c r="X107" s="5">
        <f t="shared" si="272"/>
        <v>-63147</v>
      </c>
      <c r="Y107" s="5">
        <f t="shared" si="272"/>
        <v>2329</v>
      </c>
      <c r="Z107" s="5">
        <f t="shared" si="272"/>
        <v>-1319</v>
      </c>
      <c r="AA107" s="5">
        <f t="shared" si="272"/>
        <v>2525</v>
      </c>
      <c r="AB107" s="5">
        <f t="shared" si="272"/>
        <v>-3358</v>
      </c>
      <c r="AC107" s="5">
        <f t="shared" si="272"/>
        <v>11346</v>
      </c>
      <c r="AD107" s="5">
        <f t="shared" si="272"/>
        <v>1414</v>
      </c>
      <c r="BS107" s="6">
        <f>BS105+BS106</f>
        <v>-37967</v>
      </c>
      <c r="BT107" s="6">
        <f>BT105+BT106</f>
        <v>-51636</v>
      </c>
    </row>
    <row r="109" spans="2:73">
      <c r="B109" s="4" t="s">
        <v>72</v>
      </c>
      <c r="G109" s="5">
        <f t="shared" ref="G109:J109" si="273">G92+G94</f>
        <v>10433</v>
      </c>
      <c r="H109" s="5">
        <f t="shared" si="273"/>
        <v>7135</v>
      </c>
      <c r="I109" s="5">
        <f t="shared" si="273"/>
        <v>13737</v>
      </c>
      <c r="J109" s="5">
        <f t="shared" si="273"/>
        <v>13929</v>
      </c>
      <c r="K109" s="5">
        <f t="shared" ref="K109:O109" si="274">K92+K94</f>
        <v>14428</v>
      </c>
      <c r="L109" s="5">
        <f t="shared" si="274"/>
        <v>8342</v>
      </c>
      <c r="M109" s="5">
        <f t="shared" si="274"/>
        <v>17090</v>
      </c>
      <c r="N109" s="5">
        <f t="shared" si="274"/>
        <v>16258</v>
      </c>
      <c r="O109" s="5">
        <f t="shared" si="274"/>
        <v>18730</v>
      </c>
      <c r="P109" s="5">
        <f>P92+P94</f>
        <v>8615</v>
      </c>
      <c r="Q109" s="5">
        <f t="shared" ref="Q109:R109" si="275">Q92+Q94</f>
        <v>20046</v>
      </c>
      <c r="R109" s="5">
        <f t="shared" si="275"/>
        <v>17758</v>
      </c>
      <c r="S109" s="5">
        <f>S92+S94</f>
        <v>16915</v>
      </c>
      <c r="T109" s="5">
        <f>T92+T94</f>
        <v>4899</v>
      </c>
      <c r="U109" s="5">
        <f t="shared" ref="U109:AD109" si="276">U92+U94</f>
        <v>17834</v>
      </c>
      <c r="V109" s="5">
        <f t="shared" si="276"/>
        <v>19827</v>
      </c>
      <c r="W109" s="5">
        <f t="shared" si="276"/>
        <v>20666</v>
      </c>
      <c r="X109" s="5">
        <f t="shared" si="276"/>
        <v>9118</v>
      </c>
      <c r="Y109" s="5">
        <f t="shared" si="276"/>
        <v>20965</v>
      </c>
      <c r="Z109" s="5">
        <f t="shared" si="276"/>
        <v>23322</v>
      </c>
      <c r="AA109" s="5">
        <f t="shared" si="276"/>
        <v>19257</v>
      </c>
      <c r="AB109" s="5">
        <f t="shared" si="276"/>
        <v>6487</v>
      </c>
      <c r="AC109" s="5">
        <f t="shared" si="276"/>
        <v>20299</v>
      </c>
      <c r="AD109" s="5">
        <f t="shared" si="276"/>
        <v>25568</v>
      </c>
      <c r="BS109" s="4">
        <f>BS92+BS94</f>
        <v>74071</v>
      </c>
      <c r="BT109" s="4">
        <f>BT92+BT94</f>
        <v>71611</v>
      </c>
    </row>
    <row r="110" spans="2:73">
      <c r="B110" s="4" t="s">
        <v>103</v>
      </c>
      <c r="J110" s="4">
        <f t="shared" ref="J110" si="277">SUM(G109:J109)</f>
        <v>45234</v>
      </c>
      <c r="K110" s="4">
        <f t="shared" ref="K110" si="278">SUM(H109:K109)</f>
        <v>49229</v>
      </c>
      <c r="L110" s="4">
        <f t="shared" ref="L110" si="279">SUM(I109:L109)</f>
        <v>50436</v>
      </c>
      <c r="M110" s="4">
        <f t="shared" ref="M110" si="280">SUM(J109:M109)</f>
        <v>53789</v>
      </c>
      <c r="N110" s="4">
        <f t="shared" ref="N110" si="281">SUM(K109:N109)</f>
        <v>56118</v>
      </c>
      <c r="O110" s="4">
        <f t="shared" ref="O110:T110" si="282">SUM(L109:O109)</f>
        <v>60420</v>
      </c>
      <c r="P110" s="4">
        <f t="shared" si="282"/>
        <v>60693</v>
      </c>
      <c r="Q110" s="4">
        <f t="shared" si="282"/>
        <v>63649</v>
      </c>
      <c r="R110" s="4">
        <f t="shared" si="282"/>
        <v>65149</v>
      </c>
      <c r="S110" s="4">
        <f t="shared" si="282"/>
        <v>63334</v>
      </c>
      <c r="T110" s="4">
        <f t="shared" si="282"/>
        <v>59618</v>
      </c>
      <c r="U110" s="4">
        <f t="shared" ref="U110:AD110" si="283">SUM(R109:U109)</f>
        <v>57406</v>
      </c>
      <c r="V110" s="4">
        <f t="shared" si="283"/>
        <v>59475</v>
      </c>
      <c r="W110" s="4">
        <f t="shared" si="283"/>
        <v>63226</v>
      </c>
      <c r="X110" s="4">
        <f t="shared" si="283"/>
        <v>67445</v>
      </c>
      <c r="Y110" s="4">
        <f t="shared" si="283"/>
        <v>70576</v>
      </c>
      <c r="Z110" s="4">
        <f t="shared" si="283"/>
        <v>74071</v>
      </c>
      <c r="AA110" s="4">
        <f t="shared" si="283"/>
        <v>72662</v>
      </c>
      <c r="AB110" s="4">
        <f t="shared" si="283"/>
        <v>70031</v>
      </c>
      <c r="AC110" s="4">
        <f t="shared" si="283"/>
        <v>69365</v>
      </c>
      <c r="AD110" s="4">
        <f t="shared" si="283"/>
        <v>71611</v>
      </c>
    </row>
    <row r="111" spans="2:73">
      <c r="B111" s="4" t="s">
        <v>463</v>
      </c>
      <c r="N111" s="12">
        <f t="shared" ref="N111" si="284">+N110/J110-1</f>
        <v>0.24061546624220709</v>
      </c>
      <c r="O111" s="12">
        <f t="shared" ref="O111" si="285">+O110/K110-1</f>
        <v>0.22732535700501733</v>
      </c>
      <c r="P111" s="12">
        <f t="shared" ref="P111" si="286">+P110/L110-1</f>
        <v>0.20336664287413742</v>
      </c>
      <c r="Q111" s="12">
        <f t="shared" ref="Q111" si="287">+Q110/M110-1</f>
        <v>0.18330885497034699</v>
      </c>
      <c r="R111" s="12">
        <f t="shared" ref="R111" si="288">+R110/N110-1</f>
        <v>0.16092875726148481</v>
      </c>
      <c r="S111" s="12">
        <f t="shared" ref="S111:Y111" si="289">+S110/O110-1</f>
        <v>4.8229063224098034E-2</v>
      </c>
      <c r="T111" s="12">
        <f t="shared" si="289"/>
        <v>-1.7712092004020241E-2</v>
      </c>
      <c r="U111" s="12">
        <f t="shared" si="289"/>
        <v>-9.8084808873666551E-2</v>
      </c>
      <c r="V111" s="12">
        <f t="shared" si="289"/>
        <v>-8.7092664507513518E-2</v>
      </c>
      <c r="W111" s="12">
        <f t="shared" si="289"/>
        <v>-1.7052452079451275E-3</v>
      </c>
      <c r="X111" s="12">
        <f t="shared" si="289"/>
        <v>0.13128585326579212</v>
      </c>
      <c r="Y111" s="12">
        <f t="shared" si="289"/>
        <v>0.22941852768003335</v>
      </c>
      <c r="Z111" s="12">
        <f>+Z110/V110-1</f>
        <v>0.24541403951240026</v>
      </c>
      <c r="AA111" s="12">
        <f>+AA110/W110-1</f>
        <v>0.14924240027836655</v>
      </c>
      <c r="AB111" s="12">
        <f>+AB110/X110-1</f>
        <v>3.8342353028393505E-2</v>
      </c>
      <c r="AC111" s="12">
        <f>+AC110/Y110-1</f>
        <v>-1.7158807526637898E-2</v>
      </c>
      <c r="AD111" s="12">
        <f>+AD110/Z110-1</f>
        <v>-3.3211378272198333E-2</v>
      </c>
      <c r="BT111" s="12">
        <f>+BT109/BS109-1</f>
        <v>-3.3211378272198333E-2</v>
      </c>
    </row>
    <row r="112" spans="2:73">
      <c r="B112" s="4" t="s">
        <v>464</v>
      </c>
      <c r="J112" s="4">
        <f t="shared" ref="J112" si="290">SUM(G94:J94)</f>
        <v>-15441</v>
      </c>
      <c r="K112" s="4">
        <f t="shared" ref="K112" si="291">SUM(H94:K94)</f>
        <v>-16963</v>
      </c>
      <c r="L112" s="4">
        <f t="shared" ref="L112" si="292">SUM(I94:L94)</f>
        <v>-17592</v>
      </c>
      <c r="M112" s="4">
        <f t="shared" ref="M112" si="293">SUM(J94:M94)</f>
        <v>-18914</v>
      </c>
      <c r="N112" s="4">
        <f t="shared" ref="N112" si="294">SUM(K94:N94)</f>
        <v>-20622</v>
      </c>
      <c r="O112" s="4">
        <f t="shared" ref="O112:W112" si="295">SUM(L94:O94)</f>
        <v>-21525</v>
      </c>
      <c r="P112" s="4">
        <f t="shared" si="295"/>
        <v>-23216</v>
      </c>
      <c r="Q112" s="4">
        <f t="shared" si="295"/>
        <v>-23467</v>
      </c>
      <c r="R112" s="4">
        <f t="shared" si="295"/>
        <v>-23886</v>
      </c>
      <c r="S112" s="4">
        <f t="shared" si="295"/>
        <v>-24359</v>
      </c>
      <c r="T112" s="4">
        <f t="shared" si="295"/>
        <v>-24768</v>
      </c>
      <c r="U112" s="4">
        <f t="shared" si="295"/>
        <v>-26035</v>
      </c>
      <c r="V112" s="4">
        <f t="shared" si="295"/>
        <v>-28107</v>
      </c>
      <c r="W112" s="4">
        <f t="shared" si="295"/>
        <v>-31741</v>
      </c>
      <c r="X112" s="4">
        <f t="shared" ref="X112:AD112" si="296">SUM(U94:X94)</f>
        <v>-35202</v>
      </c>
      <c r="Y112" s="4">
        <f t="shared" si="296"/>
        <v>-39547</v>
      </c>
      <c r="Z112" s="4">
        <f t="shared" si="296"/>
        <v>-44477</v>
      </c>
      <c r="AA112" s="4">
        <f t="shared" si="296"/>
        <v>-49483</v>
      </c>
      <c r="AB112" s="4">
        <f t="shared" si="296"/>
        <v>-55552</v>
      </c>
      <c r="AC112" s="4">
        <f t="shared" si="296"/>
        <v>-61345</v>
      </c>
      <c r="AD112" s="4">
        <f t="shared" si="296"/>
        <v>-64551</v>
      </c>
      <c r="BS112" s="4">
        <f>+BS94</f>
        <v>-44477</v>
      </c>
      <c r="BT112" s="4">
        <f>+BT94</f>
        <v>-64551</v>
      </c>
      <c r="BU112" s="4">
        <f>+BT112*(1+BU113)</f>
        <v>-83916.3</v>
      </c>
    </row>
    <row r="113" spans="2:73">
      <c r="B113" s="4" t="s">
        <v>463</v>
      </c>
      <c r="N113" s="12">
        <f t="shared" ref="N113" si="297">+N112/J112-1</f>
        <v>0.33553526326015159</v>
      </c>
      <c r="O113" s="12">
        <f t="shared" ref="O113" si="298">+O112/K112-1</f>
        <v>0.26893827742734189</v>
      </c>
      <c r="P113" s="12">
        <f t="shared" ref="P113" si="299">+P112/L112-1</f>
        <v>0.31969076853115053</v>
      </c>
      <c r="Q113" s="12">
        <f t="shared" ref="Q113" si="300">+Q112/M112-1</f>
        <v>0.24072115892989321</v>
      </c>
      <c r="R113" s="12">
        <f t="shared" ref="R113" si="301">+R112/N112-1</f>
        <v>0.15827756764620315</v>
      </c>
      <c r="S113" s="12">
        <f t="shared" ref="S113:W113" si="302">+S112/O112-1</f>
        <v>0.13166085946573758</v>
      </c>
      <c r="T113" s="12">
        <f t="shared" si="302"/>
        <v>6.6850447966919413E-2</v>
      </c>
      <c r="U113" s="12">
        <f t="shared" si="302"/>
        <v>0.10943026377466225</v>
      </c>
      <c r="V113" s="12">
        <f t="shared" si="302"/>
        <v>0.17671439336850048</v>
      </c>
      <c r="W113" s="12">
        <f t="shared" si="302"/>
        <v>0.3030502073155712</v>
      </c>
      <c r="X113" s="12">
        <f t="shared" ref="X113:AD113" si="303">+X112/T112-1</f>
        <v>0.42126937984496116</v>
      </c>
      <c r="Y113" s="12">
        <f t="shared" si="303"/>
        <v>0.51899366237756861</v>
      </c>
      <c r="Z113" s="12">
        <f t="shared" si="303"/>
        <v>0.58241719144697046</v>
      </c>
      <c r="AA113" s="12">
        <f t="shared" si="303"/>
        <v>0.55896159541287305</v>
      </c>
      <c r="AB113" s="12">
        <f t="shared" si="303"/>
        <v>0.57809215385489465</v>
      </c>
      <c r="AC113" s="12">
        <f t="shared" si="303"/>
        <v>0.55119225225680846</v>
      </c>
      <c r="AD113" s="12">
        <f t="shared" si="303"/>
        <v>0.45133439755379179</v>
      </c>
      <c r="BT113" s="12">
        <f>+BT112/BS112-1</f>
        <v>0.45133439755379179</v>
      </c>
      <c r="BU113" s="12">
        <v>0.3</v>
      </c>
    </row>
    <row r="114" spans="2:73">
      <c r="B114" s="4"/>
      <c r="S114" s="12"/>
      <c r="T114" s="12"/>
      <c r="U114" s="12"/>
      <c r="V114" s="12"/>
      <c r="W114" s="12"/>
      <c r="X114" s="4"/>
    </row>
    <row r="116" spans="2:73">
      <c r="B116" t="s">
        <v>189</v>
      </c>
      <c r="V116" s="4">
        <v>221000</v>
      </c>
      <c r="X116" s="4"/>
      <c r="Z116" s="4">
        <v>228000</v>
      </c>
      <c r="AK116" s="4">
        <v>5635</v>
      </c>
      <c r="AL116" s="4">
        <v>8226</v>
      </c>
      <c r="AM116" s="4">
        <v>11542</v>
      </c>
      <c r="AN116" s="4">
        <v>14430</v>
      </c>
      <c r="AO116" s="4">
        <v>15257</v>
      </c>
      <c r="AP116" s="4">
        <v>17801</v>
      </c>
      <c r="AQ116" s="4">
        <v>20561</v>
      </c>
      <c r="AR116" s="4">
        <v>22232</v>
      </c>
      <c r="AS116" s="4">
        <v>27055</v>
      </c>
      <c r="AT116" s="4">
        <v>31396</v>
      </c>
      <c r="AU116" s="4">
        <v>39100</v>
      </c>
      <c r="AV116" s="4">
        <v>47600</v>
      </c>
      <c r="AW116" s="4">
        <v>50500</v>
      </c>
      <c r="AX116" s="4">
        <v>55000</v>
      </c>
      <c r="AY116" s="4">
        <v>57000</v>
      </c>
      <c r="AZ116" s="4">
        <v>61000</v>
      </c>
      <c r="BA116" s="4">
        <v>71000</v>
      </c>
      <c r="BB116" s="4">
        <v>79000</v>
      </c>
      <c r="BC116" s="4">
        <v>91000</v>
      </c>
      <c r="BD116" s="4">
        <v>93000</v>
      </c>
      <c r="BE116" s="4">
        <v>89000</v>
      </c>
      <c r="BF116" s="4">
        <v>90000</v>
      </c>
      <c r="BG116" s="4">
        <v>94000</v>
      </c>
      <c r="BH116" s="4">
        <v>99000</v>
      </c>
      <c r="BI116" s="4">
        <v>128000</v>
      </c>
      <c r="BJ116" s="4">
        <v>118000</v>
      </c>
      <c r="BK116" s="4">
        <v>114000</v>
      </c>
    </row>
    <row r="118" spans="2:73" ht="13">
      <c r="B118" t="s">
        <v>0</v>
      </c>
      <c r="AO118" s="1">
        <f>19715/580</f>
        <v>33.991379310344826</v>
      </c>
      <c r="AP118" s="1">
        <f>34330/589</f>
        <v>58.28522920203735</v>
      </c>
      <c r="AQ118" s="1">
        <f>45936/596</f>
        <v>77.073825503355707</v>
      </c>
      <c r="AR118" s="1">
        <f>106179/1212.567</f>
        <v>87.565470609046756</v>
      </c>
      <c r="AS118" s="1">
        <f>171181/2484.635</f>
        <v>68.895833794501002</v>
      </c>
      <c r="AT118" s="1">
        <f>375039/5141</f>
        <v>72.950593269791867</v>
      </c>
      <c r="AU118" s="1">
        <f>302326/5355</f>
        <v>56.456769374416432</v>
      </c>
      <c r="AV118" s="1">
        <f>258033/5401</f>
        <v>47.775041658952048</v>
      </c>
      <c r="AW118" s="1">
        <f>215553/5378</f>
        <v>40.080513201933805</v>
      </c>
      <c r="AX118" s="11">
        <f>235404/10813</f>
        <v>21.770461481549987</v>
      </c>
      <c r="AY118" s="11">
        <f>252132/10872</f>
        <v>23.190949227373068</v>
      </c>
      <c r="AZ118" s="11">
        <f>256094/10712</f>
        <v>23.907206870799104</v>
      </c>
      <c r="BA118" s="11">
        <f>233926/9969</f>
        <v>23.46534256194202</v>
      </c>
      <c r="BB118" s="11">
        <f>251464/9375</f>
        <v>26.822826666666668</v>
      </c>
      <c r="BC118" s="1">
        <f>287616/9130</f>
        <v>31.502300109529024</v>
      </c>
      <c r="BD118" s="11">
        <f>149769/8910</f>
        <v>16.809090909090909</v>
      </c>
      <c r="BE118" s="1">
        <f>235244/8653</f>
        <v>27.186409337801919</v>
      </c>
      <c r="BF118" s="1">
        <f>208370/8378</f>
        <v>24.87109095249463</v>
      </c>
      <c r="BG118" s="1">
        <f>195333/8383</f>
        <v>23.301085530239771</v>
      </c>
      <c r="BH118" s="1">
        <f>202945/8329</f>
        <v>24.366070356585425</v>
      </c>
      <c r="BI118" s="1">
        <f>284539/8239</f>
        <v>34.535623255249426</v>
      </c>
      <c r="BJ118" s="1">
        <f>365312/7997</f>
        <v>45.681130423908968</v>
      </c>
      <c r="BK118" s="1">
        <f>424500/7792</f>
        <v>54.478952772073924</v>
      </c>
    </row>
    <row r="119" spans="2:73">
      <c r="B119" t="s">
        <v>2</v>
      </c>
      <c r="AO119" s="4">
        <f t="shared" ref="AO119:BK119" si="304">AO118*AO48</f>
        <v>20734.741379310344</v>
      </c>
      <c r="AP119" s="4">
        <f t="shared" si="304"/>
        <v>36544.838709677417</v>
      </c>
      <c r="AQ119" s="4">
        <f t="shared" si="304"/>
        <v>49327.24832214765</v>
      </c>
      <c r="AR119" s="4">
        <f t="shared" si="304"/>
        <v>114885.89743906935</v>
      </c>
      <c r="AS119" s="4">
        <f t="shared" si="304"/>
        <v>184709.73040305718</v>
      </c>
      <c r="AT119" s="4">
        <f t="shared" si="304"/>
        <v>372704.58101536665</v>
      </c>
      <c r="AU119" s="4">
        <f t="shared" si="304"/>
        <v>298261.112605042</v>
      </c>
      <c r="AV119" s="4">
        <f t="shared" si="304"/>
        <v>266298.08220699872</v>
      </c>
      <c r="AW119" s="4">
        <f t="shared" si="304"/>
        <v>222567.08981033842</v>
      </c>
      <c r="AX119" s="4">
        <f t="shared" si="304"/>
        <v>236906.16184222695</v>
      </c>
      <c r="AY119" s="4">
        <f t="shared" si="304"/>
        <v>252642.2008830022</v>
      </c>
      <c r="AZ119" s="4">
        <f t="shared" si="304"/>
        <v>260731.99813293503</v>
      </c>
      <c r="BA119" s="4">
        <f t="shared" si="304"/>
        <v>247113.52251981141</v>
      </c>
      <c r="BB119" s="4">
        <f t="shared" si="304"/>
        <v>265170.46442666667</v>
      </c>
      <c r="BC119" s="4">
        <f t="shared" si="304"/>
        <v>298326.78203723987</v>
      </c>
      <c r="BD119" s="4">
        <f t="shared" si="304"/>
        <v>151214.58181818182</v>
      </c>
      <c r="BE119" s="4">
        <f t="shared" si="304"/>
        <v>242693.07615855773</v>
      </c>
      <c r="BF119" s="4">
        <f t="shared" si="304"/>
        <v>213717.28455478634</v>
      </c>
      <c r="BG119" s="4">
        <f t="shared" si="304"/>
        <v>198199.0335202195</v>
      </c>
      <c r="BH119" s="4">
        <f t="shared" si="304"/>
        <v>206380.61592027853</v>
      </c>
      <c r="BI119" s="4">
        <f t="shared" si="304"/>
        <v>290064.69972083991</v>
      </c>
      <c r="BJ119" s="4">
        <f t="shared" si="304"/>
        <v>377052.05051894463</v>
      </c>
      <c r="BK119" s="4">
        <f t="shared" si="304"/>
        <v>436539.84856262838</v>
      </c>
    </row>
    <row r="120" spans="2:73">
      <c r="B120" t="s">
        <v>5</v>
      </c>
      <c r="AO120" s="4">
        <f t="shared" ref="AO120:BK120" si="305">AO119-AO63</f>
        <v>17120.741379310344</v>
      </c>
      <c r="AP120" s="4">
        <f t="shared" si="305"/>
        <v>31794.838709677417</v>
      </c>
      <c r="AQ120" s="4">
        <f t="shared" si="305"/>
        <v>42387.24832214765</v>
      </c>
      <c r="AR120" s="4">
        <f t="shared" si="305"/>
        <v>103573.89743906935</v>
      </c>
      <c r="AS120" s="4">
        <f t="shared" si="305"/>
        <v>166079.73040305718</v>
      </c>
      <c r="AT120" s="4">
        <f t="shared" si="305"/>
        <v>341096.58101536665</v>
      </c>
      <c r="AU120" s="4">
        <f t="shared" si="305"/>
        <v>256737.112605042</v>
      </c>
      <c r="AV120" s="4">
        <f t="shared" si="305"/>
        <v>220557.08220699872</v>
      </c>
      <c r="AW120" s="4">
        <f t="shared" si="305"/>
        <v>169724.08981033842</v>
      </c>
      <c r="AX120" s="4">
        <f t="shared" si="305"/>
        <v>174166.16184222695</v>
      </c>
      <c r="AY120" s="4">
        <f t="shared" si="305"/>
        <v>179840.2008830022</v>
      </c>
      <c r="AZ120" s="4">
        <f t="shared" si="305"/>
        <v>211976.99813293503</v>
      </c>
      <c r="BA120" s="4">
        <f t="shared" si="305"/>
        <v>203720.52251981141</v>
      </c>
      <c r="BB120" s="4">
        <f t="shared" si="305"/>
        <v>231642.46442666667</v>
      </c>
      <c r="BC120" s="4">
        <f t="shared" si="305"/>
        <v>268076.78203723987</v>
      </c>
      <c r="BD120" s="4">
        <f t="shared" si="305"/>
        <v>120580.58181818182</v>
      </c>
      <c r="BE120" s="4">
        <f t="shared" si="305"/>
        <v>204090.07615855773</v>
      </c>
      <c r="BF120" s="4">
        <f t="shared" si="305"/>
        <v>162001.28455478634</v>
      </c>
      <c r="BG120" s="4">
        <f t="shared" si="305"/>
        <v>137327.0335202195</v>
      </c>
      <c r="BH120" s="4">
        <f t="shared" si="305"/>
        <v>134114.61592027853</v>
      </c>
      <c r="BI120" s="4">
        <f t="shared" si="305"/>
        <v>212403.69972083991</v>
      </c>
      <c r="BJ120" s="4">
        <f t="shared" si="305"/>
        <v>377052.05051894463</v>
      </c>
      <c r="BK120" s="4">
        <f t="shared" si="305"/>
        <v>436539.84856262838</v>
      </c>
    </row>
    <row r="121" spans="2:73" ht="13">
      <c r="B121" t="s">
        <v>223</v>
      </c>
      <c r="AO121" s="24">
        <f t="shared" ref="AO121:BK121" si="306">AO120/AO46</f>
        <v>13.85173250753264</v>
      </c>
      <c r="AP121" s="24">
        <f t="shared" si="306"/>
        <v>21.21069960618907</v>
      </c>
      <c r="AQ121" s="24">
        <f t="shared" si="306"/>
        <v>19.310819281160661</v>
      </c>
      <c r="AR121" s="24">
        <f t="shared" si="306"/>
        <v>29.986652414322336</v>
      </c>
      <c r="AS121" s="24">
        <f t="shared" si="306"/>
        <v>34.905365784585371</v>
      </c>
      <c r="AT121" s="24">
        <f t="shared" si="306"/>
        <v>44.733977838080875</v>
      </c>
      <c r="AU121" s="24">
        <f t="shared" si="306"/>
        <v>27.710427696172907</v>
      </c>
      <c r="AV121" s="24">
        <f t="shared" si="306"/>
        <v>27.989477437436385</v>
      </c>
      <c r="AW121" s="24">
        <f t="shared" si="306"/>
        <v>21.427103877078451</v>
      </c>
      <c r="AX121" s="24">
        <f t="shared" si="306"/>
        <v>17.311018968514755</v>
      </c>
      <c r="AY121" s="24">
        <f t="shared" si="306"/>
        <v>21.950470021115855</v>
      </c>
      <c r="AZ121" s="24">
        <f t="shared" si="306"/>
        <v>17.298596224329607</v>
      </c>
      <c r="BA121" s="24">
        <f t="shared" si="306"/>
        <v>16.16957873798011</v>
      </c>
      <c r="BB121" s="24">
        <f t="shared" si="306"/>
        <v>16.469425128095747</v>
      </c>
      <c r="BC121" s="24">
        <f t="shared" si="306"/>
        <v>15.161856345073236</v>
      </c>
      <c r="BD121" s="25">
        <f t="shared" si="306"/>
        <v>8.0931996656273455</v>
      </c>
      <c r="BE121" s="25">
        <f t="shared" si="306"/>
        <v>10.844894848746359</v>
      </c>
      <c r="BF121" s="25">
        <f t="shared" si="306"/>
        <v>6.9978956611138807</v>
      </c>
      <c r="BG121" s="25">
        <f t="shared" si="306"/>
        <v>5.9266770325069915</v>
      </c>
      <c r="BH121" s="25">
        <f t="shared" si="306"/>
        <v>6.1343189827689946</v>
      </c>
      <c r="BI121" s="25">
        <f t="shared" si="306"/>
        <v>9.5673032620530574</v>
      </c>
      <c r="BJ121" s="25">
        <f t="shared" si="306"/>
        <v>16.98126691222053</v>
      </c>
      <c r="BK121" s="25">
        <f t="shared" si="306"/>
        <v>24.376806374951329</v>
      </c>
    </row>
    <row r="124" spans="2:73" ht="13">
      <c r="AO124">
        <f>2023-1994</f>
        <v>29</v>
      </c>
      <c r="AP124">
        <v>28</v>
      </c>
      <c r="AQ124">
        <v>27</v>
      </c>
      <c r="AR124" s="3">
        <v>26</v>
      </c>
      <c r="AS124" s="3">
        <f>2023-1998</f>
        <v>25</v>
      </c>
      <c r="AT124" s="3">
        <v>24</v>
      </c>
      <c r="AU124" s="3">
        <v>23</v>
      </c>
      <c r="AV124" s="3">
        <v>22</v>
      </c>
      <c r="AW124" s="3">
        <v>21</v>
      </c>
      <c r="AX124" s="3">
        <v>20</v>
      </c>
      <c r="AY124" s="3">
        <v>19</v>
      </c>
      <c r="AZ124" s="3">
        <v>18</v>
      </c>
      <c r="BA124">
        <v>17</v>
      </c>
      <c r="BB124">
        <v>16</v>
      </c>
      <c r="BC124">
        <v>15</v>
      </c>
      <c r="BD124" s="3">
        <v>14</v>
      </c>
      <c r="BE124">
        <v>13</v>
      </c>
      <c r="BF124">
        <v>12</v>
      </c>
      <c r="BG124">
        <v>11</v>
      </c>
      <c r="BH124">
        <v>10</v>
      </c>
      <c r="BI124">
        <v>9</v>
      </c>
      <c r="BJ124">
        <v>8</v>
      </c>
      <c r="BK124">
        <v>7</v>
      </c>
    </row>
    <row r="125" spans="2:73" ht="13">
      <c r="AO125" s="4">
        <f>AO119*1.17^29</f>
        <v>1968287.8584171364</v>
      </c>
      <c r="AP125" s="4">
        <f>AP119*1.155^28</f>
        <v>2065958.5689269281</v>
      </c>
      <c r="AQ125" s="4">
        <f>AQ119*1.15^27</f>
        <v>2147477.2858793675</v>
      </c>
      <c r="AR125" s="6">
        <f>AR119*1.12^26</f>
        <v>2187435.7745846231</v>
      </c>
      <c r="AS125" s="6">
        <f>AS119*1.1^25</f>
        <v>2001275.6137996709</v>
      </c>
      <c r="AT125" s="6">
        <f>AT119*1.075^24</f>
        <v>2114306.1490662857</v>
      </c>
      <c r="AU125" s="6">
        <f>AU119*1.09^23</f>
        <v>2164741.7152216784</v>
      </c>
      <c r="AV125" s="6">
        <f>AV119*1.1^22</f>
        <v>2167739.6048092404</v>
      </c>
      <c r="AW125" s="6">
        <f>AW119*1.11^21</f>
        <v>1991789.7894720493</v>
      </c>
      <c r="AX125" s="6">
        <f>AX119*1.115^20</f>
        <v>2089650.7367206167</v>
      </c>
      <c r="AY125" s="6">
        <f>AY119*1.115^19</f>
        <v>1998611.4738145093</v>
      </c>
      <c r="AZ125" s="6">
        <f>AZ119*1.12^18</f>
        <v>2005020.1473098751</v>
      </c>
      <c r="BA125" s="4">
        <f>BA119*1.13^17</f>
        <v>1973467.8274649733</v>
      </c>
      <c r="BB125" s="4">
        <f>BB119*1.135^16</f>
        <v>2011217.0113389471</v>
      </c>
      <c r="BC125" s="4">
        <f>BC119*1.135^15</f>
        <v>1993563.9263761484</v>
      </c>
      <c r="BD125" s="6">
        <f>BD119*1.2^14</f>
        <v>1941471.9370539852</v>
      </c>
      <c r="BE125" s="6">
        <f>BE119*1.175^13</f>
        <v>1974920.6566503427</v>
      </c>
      <c r="BF125" s="6">
        <f>BF119*1.21^12</f>
        <v>2105058.1210641512</v>
      </c>
      <c r="BG125" s="6">
        <f>BG119*1.23^11</f>
        <v>1932225.2728441348</v>
      </c>
      <c r="BH125" s="6">
        <f>BH119*1.25^10</f>
        <v>1922069.2656960201</v>
      </c>
      <c r="BI125" s="6">
        <f>BI119*1.24^9</f>
        <v>2010435.0433981232</v>
      </c>
      <c r="BJ125" s="6">
        <f>BJ119*1.23^8</f>
        <v>1975341.5479007133</v>
      </c>
      <c r="BK125" s="6">
        <f>BK119*1.24^7</f>
        <v>1967776.1368191752</v>
      </c>
    </row>
    <row r="126" spans="2:73" ht="13">
      <c r="AO126" s="12">
        <v>0.17</v>
      </c>
      <c r="AP126" s="12">
        <v>0.155</v>
      </c>
      <c r="AQ126" s="12">
        <v>0.15</v>
      </c>
      <c r="AR126" s="18">
        <v>0.12</v>
      </c>
      <c r="AS126" s="18">
        <v>0.1</v>
      </c>
      <c r="AT126" s="18">
        <v>7.4999999999999997E-2</v>
      </c>
      <c r="AU126" s="18">
        <v>8.5000000000000006E-2</v>
      </c>
      <c r="AV126" s="18">
        <v>0.1</v>
      </c>
      <c r="AW126" s="18">
        <v>0.11</v>
      </c>
      <c r="AX126" s="18">
        <v>0.115</v>
      </c>
      <c r="AY126" s="18">
        <v>0.115</v>
      </c>
      <c r="AZ126" s="18">
        <v>0.12</v>
      </c>
      <c r="BA126" s="12">
        <v>0.13</v>
      </c>
      <c r="BB126" s="12">
        <v>0.13500000000000001</v>
      </c>
      <c r="BC126" s="12">
        <v>0.13500000000000001</v>
      </c>
      <c r="BD126" s="18">
        <v>0.2</v>
      </c>
      <c r="BE126" s="18">
        <v>0.17499999999999999</v>
      </c>
      <c r="BF126" s="18">
        <v>0.21</v>
      </c>
      <c r="BG126" s="18">
        <v>0.23</v>
      </c>
      <c r="BH126" s="18">
        <v>0.25</v>
      </c>
      <c r="BI126" s="18">
        <v>0.24</v>
      </c>
      <c r="BJ126" s="18">
        <v>0.23</v>
      </c>
      <c r="BK126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 ht="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 ht="13">
      <c r="B178" s="26"/>
      <c r="C178" s="27"/>
      <c r="D178" s="26"/>
      <c r="E178" s="27"/>
      <c r="F178" s="26"/>
    </row>
    <row r="179" spans="2:6" ht="13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2025-08-27T14:22:23Z</dcterms:modified>
</cp:coreProperties>
</file>