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7B36477-29C4-4364-B9EF-C7FEAB353DDC}" xr6:coauthVersionLast="47" xr6:coauthVersionMax="47" xr10:uidLastSave="{00000000-0000-0000-0000-000000000000}"/>
  <bookViews>
    <workbookView xWindow="13350" yWindow="2610" windowWidth="23390" windowHeight="16060" activeTab="1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5" i="1" l="1"/>
  <c r="AD126" i="1"/>
  <c r="AC126" i="1"/>
  <c r="AC125" i="1"/>
  <c r="AB126" i="1"/>
  <c r="AB125" i="1"/>
  <c r="AD22" i="1"/>
  <c r="AB24" i="1"/>
  <c r="AC23" i="1"/>
  <c r="X133" i="1"/>
  <c r="W133" i="1"/>
  <c r="Z124" i="1"/>
  <c r="Y124" i="1"/>
  <c r="V124" i="1"/>
  <c r="V123" i="1" s="1"/>
  <c r="U124" i="1"/>
  <c r="AA124" i="1"/>
  <c r="AD133" i="1"/>
  <c r="AC133" i="1"/>
  <c r="Z123" i="1"/>
  <c r="Y123" i="1"/>
  <c r="U123" i="1"/>
  <c r="Y128" i="1"/>
  <c r="Z128" i="1" s="1"/>
  <c r="AA128" i="1" s="1"/>
  <c r="AB128" i="1" s="1"/>
  <c r="AC128" i="1" s="1"/>
  <c r="AD128" i="1" s="1"/>
  <c r="AA22" i="1"/>
  <c r="AA126" i="1" s="1"/>
  <c r="AB136" i="1"/>
  <c r="AC136" i="1" s="1"/>
  <c r="AD136" i="1" s="1"/>
  <c r="AA24" i="1" l="1"/>
  <c r="Y134" i="1"/>
  <c r="Z134" i="1" s="1"/>
  <c r="AC134" i="1"/>
  <c r="AD134" i="1" s="1"/>
  <c r="AB135" i="1" l="1"/>
  <c r="AC135" i="1" s="1"/>
  <c r="AD135" i="1" s="1"/>
  <c r="AC132" i="1" l="1"/>
  <c r="AD132" i="1" s="1"/>
  <c r="AC131" i="1" l="1"/>
  <c r="AD131" i="1" s="1"/>
  <c r="AC130" i="1"/>
  <c r="AA75" i="1" l="1"/>
  <c r="AA86" i="1"/>
  <c r="AA78" i="1"/>
  <c r="AA72" i="1"/>
  <c r="AA73" i="1" s="1"/>
  <c r="AA62" i="1"/>
  <c r="AA51" i="1"/>
  <c r="AA45" i="1"/>
  <c r="AA54" i="1" s="1"/>
  <c r="AA2" i="1"/>
  <c r="AA44" i="1"/>
  <c r="AD23" i="1"/>
  <c r="AD19" i="1"/>
  <c r="AC19" i="1"/>
  <c r="AD18" i="1"/>
  <c r="AC18" i="1"/>
  <c r="AD17" i="1"/>
  <c r="AC17" i="1"/>
  <c r="AH29" i="1"/>
  <c r="AH26" i="1"/>
  <c r="AH41" i="1" s="1"/>
  <c r="AI29" i="1"/>
  <c r="AI26" i="1"/>
  <c r="AI41" i="1" s="1"/>
  <c r="AJ29" i="1"/>
  <c r="AJ26" i="1"/>
  <c r="AJ41" i="1" s="1"/>
  <c r="AL38" i="1"/>
  <c r="AM26" i="1"/>
  <c r="AM41" i="1" s="1"/>
  <c r="AL26" i="1"/>
  <c r="AL41" i="1" s="1"/>
  <c r="AK26" i="1"/>
  <c r="AK41" i="1" s="1"/>
  <c r="AK29" i="1"/>
  <c r="AM38" i="1"/>
  <c r="AN26" i="1"/>
  <c r="AN41" i="1" s="1"/>
  <c r="AL29" i="1"/>
  <c r="AR26" i="1"/>
  <c r="AR41" i="1" s="1"/>
  <c r="AP26" i="1"/>
  <c r="AP41" i="1" s="1"/>
  <c r="AO26" i="1"/>
  <c r="AO41" i="1" s="1"/>
  <c r="AQ31" i="1"/>
  <c r="AR29" i="1"/>
  <c r="AQ29" i="1"/>
  <c r="AP29" i="1"/>
  <c r="AO29" i="1"/>
  <c r="AN29" i="1"/>
  <c r="AM29" i="1"/>
  <c r="AQ26" i="1"/>
  <c r="AQ41" i="1" s="1"/>
  <c r="AS38" i="1"/>
  <c r="AR38" i="1"/>
  <c r="AQ38" i="1"/>
  <c r="AP38" i="1"/>
  <c r="AO38" i="1"/>
  <c r="AN38" i="1"/>
  <c r="BC61" i="1"/>
  <c r="BC60" i="1"/>
  <c r="BC59" i="1"/>
  <c r="BC57" i="1"/>
  <c r="BC56" i="1"/>
  <c r="BC53" i="1"/>
  <c r="BC52" i="1"/>
  <c r="BC50" i="1"/>
  <c r="BC49" i="1"/>
  <c r="BC48" i="1"/>
  <c r="BC47" i="1"/>
  <c r="BC46" i="1"/>
  <c r="BD61" i="1"/>
  <c r="BD60" i="1"/>
  <c r="BD59" i="1"/>
  <c r="BD58" i="1"/>
  <c r="BD57" i="1"/>
  <c r="BD56" i="1"/>
  <c r="BD53" i="1"/>
  <c r="BD52" i="1"/>
  <c r="BD50" i="1"/>
  <c r="BD49" i="1"/>
  <c r="BD48" i="1"/>
  <c r="BD47" i="1"/>
  <c r="BD46" i="1"/>
  <c r="BE61" i="1"/>
  <c r="BE60" i="1"/>
  <c r="BE59" i="1"/>
  <c r="BE57" i="1"/>
  <c r="BE56" i="1"/>
  <c r="BE53" i="1"/>
  <c r="BE52" i="1"/>
  <c r="BE50" i="1"/>
  <c r="BE49" i="1"/>
  <c r="BE48" i="1"/>
  <c r="BE47" i="1"/>
  <c r="BE46" i="1"/>
  <c r="BG45" i="1"/>
  <c r="AD27" i="1"/>
  <c r="AC27" i="1"/>
  <c r="AB27" i="1"/>
  <c r="AA27" i="1"/>
  <c r="AD28" i="1"/>
  <c r="AC28" i="1"/>
  <c r="AB28" i="1"/>
  <c r="AA28" i="1"/>
  <c r="S36" i="1"/>
  <c r="V36" i="1"/>
  <c r="AB36" i="1"/>
  <c r="AC36" i="1" s="1"/>
  <c r="AD36" i="1" s="1"/>
  <c r="F145" i="1"/>
  <c r="F143" i="1"/>
  <c r="F142" i="1"/>
  <c r="C146" i="1"/>
  <c r="G89" i="1"/>
  <c r="G84" i="1"/>
  <c r="G86" i="1" s="1"/>
  <c r="G75" i="1"/>
  <c r="G78" i="1" s="1"/>
  <c r="G72" i="1"/>
  <c r="G73" i="1" s="1"/>
  <c r="G62" i="1"/>
  <c r="G51" i="1"/>
  <c r="G45" i="1"/>
  <c r="G44" i="1" s="1"/>
  <c r="I40" i="1"/>
  <c r="H40" i="1"/>
  <c r="E40" i="1"/>
  <c r="G38" i="1"/>
  <c r="F36" i="1"/>
  <c r="F33" i="1"/>
  <c r="F28" i="1"/>
  <c r="F27" i="1"/>
  <c r="F25" i="1"/>
  <c r="F23" i="1"/>
  <c r="F22" i="1"/>
  <c r="G40" i="1" s="1"/>
  <c r="F19" i="1"/>
  <c r="F18" i="1"/>
  <c r="F17" i="1"/>
  <c r="F15" i="1"/>
  <c r="F14" i="1"/>
  <c r="F2" i="1"/>
  <c r="E36" i="1"/>
  <c r="G36" i="1"/>
  <c r="C36" i="1"/>
  <c r="C31" i="1"/>
  <c r="E24" i="1"/>
  <c r="E42" i="1" s="1"/>
  <c r="D24" i="1"/>
  <c r="D39" i="1" s="1"/>
  <c r="H24" i="1"/>
  <c r="H89" i="1" s="1"/>
  <c r="I24" i="1"/>
  <c r="D146" i="1"/>
  <c r="H82" i="1"/>
  <c r="I82" i="1" s="1"/>
  <c r="J82" i="1" s="1"/>
  <c r="H81" i="1"/>
  <c r="I81" i="1" s="1"/>
  <c r="J81" i="1" s="1"/>
  <c r="H80" i="1"/>
  <c r="I80" i="1" s="1"/>
  <c r="J80" i="1" s="1"/>
  <c r="H77" i="1"/>
  <c r="I77" i="1" s="1"/>
  <c r="J77" i="1" s="1"/>
  <c r="H76" i="1"/>
  <c r="I76" i="1" s="1"/>
  <c r="J76" i="1" s="1"/>
  <c r="H71" i="1"/>
  <c r="I71" i="1" s="1"/>
  <c r="J71" i="1" s="1"/>
  <c r="H70" i="1"/>
  <c r="I70" i="1" s="1"/>
  <c r="J70" i="1" s="1"/>
  <c r="H68" i="1"/>
  <c r="I68" i="1" s="1"/>
  <c r="J68" i="1" s="1"/>
  <c r="H67" i="1"/>
  <c r="I67" i="1" s="1"/>
  <c r="H65" i="1"/>
  <c r="I65" i="1" s="1"/>
  <c r="J65" i="1" s="1"/>
  <c r="H62" i="1"/>
  <c r="H51" i="1"/>
  <c r="H45" i="1"/>
  <c r="D36" i="1"/>
  <c r="D31" i="1"/>
  <c r="E146" i="1"/>
  <c r="E31" i="1"/>
  <c r="I58" i="1"/>
  <c r="I62" i="1" s="1"/>
  <c r="I51" i="1"/>
  <c r="I45" i="1"/>
  <c r="I36" i="1"/>
  <c r="I31" i="1"/>
  <c r="F62" i="1"/>
  <c r="C42" i="1"/>
  <c r="E29" i="1"/>
  <c r="D29" i="1"/>
  <c r="C29" i="1"/>
  <c r="C26" i="1"/>
  <c r="C41" i="1" s="1"/>
  <c r="BA24" i="1"/>
  <c r="J17" i="1"/>
  <c r="J18" i="1"/>
  <c r="J19" i="1"/>
  <c r="J22" i="1"/>
  <c r="K40" i="1" s="1"/>
  <c r="J23" i="1"/>
  <c r="BA146" i="1"/>
  <c r="BB146" i="1"/>
  <c r="J145" i="1"/>
  <c r="BC145" i="1" s="1"/>
  <c r="J143" i="1"/>
  <c r="BC143" i="1" s="1"/>
  <c r="J142" i="1"/>
  <c r="BC142" i="1" s="1"/>
  <c r="J89" i="1"/>
  <c r="J85" i="1"/>
  <c r="J83" i="1"/>
  <c r="J69" i="1"/>
  <c r="J66" i="1"/>
  <c r="BD83" i="1"/>
  <c r="BA84" i="1"/>
  <c r="BA86" i="1" s="1"/>
  <c r="BB86" i="1"/>
  <c r="BC84" i="1"/>
  <c r="BC86" i="1" s="1"/>
  <c r="BD66" i="1"/>
  <c r="BD33" i="1"/>
  <c r="BD31" i="1"/>
  <c r="BD28" i="1"/>
  <c r="BD27" i="1"/>
  <c r="BD25" i="1"/>
  <c r="BD23" i="1"/>
  <c r="BD22" i="1"/>
  <c r="BA75" i="1"/>
  <c r="BA78" i="1" s="1"/>
  <c r="BB75" i="1"/>
  <c r="BB78" i="1" s="1"/>
  <c r="BC75" i="1"/>
  <c r="BC78" i="1" s="1"/>
  <c r="BA72" i="1"/>
  <c r="BA73" i="1" s="1"/>
  <c r="BB72" i="1"/>
  <c r="BB73" i="1" s="1"/>
  <c r="BC72" i="1"/>
  <c r="BC73" i="1" s="1"/>
  <c r="J58" i="1"/>
  <c r="J62" i="1" s="1"/>
  <c r="J51" i="1"/>
  <c r="BC51" i="1" s="1"/>
  <c r="J45" i="1"/>
  <c r="BB24" i="1"/>
  <c r="BC24" i="1"/>
  <c r="R15" i="1"/>
  <c r="BE15" i="1" s="1"/>
  <c r="R14" i="1"/>
  <c r="BE14" i="1" s="1"/>
  <c r="G146" i="1"/>
  <c r="H146" i="1"/>
  <c r="I146" i="1"/>
  <c r="M77" i="1"/>
  <c r="N77" i="1" s="1"/>
  <c r="BD77" i="1" s="1"/>
  <c r="M62" i="1"/>
  <c r="M51" i="1"/>
  <c r="M45" i="1"/>
  <c r="M44" i="1" s="1"/>
  <c r="O146" i="1"/>
  <c r="N146" i="1"/>
  <c r="BD146" i="1" s="1"/>
  <c r="N145" i="1"/>
  <c r="BD145" i="1" s="1"/>
  <c r="N142" i="1"/>
  <c r="BD142" i="1" s="1"/>
  <c r="N143" i="1"/>
  <c r="BD143" i="1" s="1"/>
  <c r="N89" i="1"/>
  <c r="N62" i="1"/>
  <c r="N51" i="1"/>
  <c r="BD51" i="1" s="1"/>
  <c r="N45" i="1"/>
  <c r="N44" i="1" s="1"/>
  <c r="J15" i="1"/>
  <c r="J14" i="1"/>
  <c r="N14" i="1"/>
  <c r="N15" i="1"/>
  <c r="Q146" i="1"/>
  <c r="R145" i="1"/>
  <c r="BE145" i="1" s="1"/>
  <c r="R143" i="1"/>
  <c r="BE143" i="1" s="1"/>
  <c r="R142" i="1"/>
  <c r="BE142" i="1" s="1"/>
  <c r="V145" i="1"/>
  <c r="BF145" i="1" s="1"/>
  <c r="V146" i="1"/>
  <c r="BF146" i="1" s="1"/>
  <c r="Z144" i="1"/>
  <c r="BG144" i="1" s="1"/>
  <c r="V144" i="1"/>
  <c r="BF144" i="1" s="1"/>
  <c r="Z143" i="1"/>
  <c r="BG143" i="1" s="1"/>
  <c r="V143" i="1"/>
  <c r="BF143" i="1" s="1"/>
  <c r="V142" i="1"/>
  <c r="BF142" i="1" s="1"/>
  <c r="Z146" i="1"/>
  <c r="BG146" i="1" s="1"/>
  <c r="Z145" i="1"/>
  <c r="BG145" i="1" s="1"/>
  <c r="Z142" i="1"/>
  <c r="BG142" i="1" s="1"/>
  <c r="Z86" i="1"/>
  <c r="W86" i="1"/>
  <c r="T65" i="1"/>
  <c r="U65" i="1" s="1"/>
  <c r="X65" i="1"/>
  <c r="Y65" i="1" s="1"/>
  <c r="BG65" i="1" s="1"/>
  <c r="BG66" i="1"/>
  <c r="BF66" i="1"/>
  <c r="BG61" i="1"/>
  <c r="BG60" i="1"/>
  <c r="BG59" i="1"/>
  <c r="BG58" i="1"/>
  <c r="BG57" i="1"/>
  <c r="BG56" i="1"/>
  <c r="BG53" i="1"/>
  <c r="BG52" i="1"/>
  <c r="BG50" i="1"/>
  <c r="BG49" i="1"/>
  <c r="BG48" i="1"/>
  <c r="BG47" i="1"/>
  <c r="BG46" i="1"/>
  <c r="BF21" i="1"/>
  <c r="BF20" i="1"/>
  <c r="BG15" i="1"/>
  <c r="BG14" i="1"/>
  <c r="Z75" i="1"/>
  <c r="Z78" i="1" s="1"/>
  <c r="Z72" i="1"/>
  <c r="Z73" i="1" s="1"/>
  <c r="Z62" i="1"/>
  <c r="Z51" i="1"/>
  <c r="Z54" i="1" s="1"/>
  <c r="Z31" i="1"/>
  <c r="AA31" i="1" s="1"/>
  <c r="AB31" i="1" s="1"/>
  <c r="AC31" i="1" s="1"/>
  <c r="Z22" i="1"/>
  <c r="Z24" i="1" s="1"/>
  <c r="Y22" i="1"/>
  <c r="Y24" i="1" s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AD130" i="1"/>
  <c r="W127" i="1"/>
  <c r="W124" i="1" s="1"/>
  <c r="W123" i="1" s="1"/>
  <c r="V127" i="1"/>
  <c r="U127" i="1"/>
  <c r="AC22" i="1" l="1"/>
  <c r="AD40" i="1"/>
  <c r="AA87" i="1"/>
  <c r="AH30" i="1"/>
  <c r="AH32" i="1" s="1"/>
  <c r="AH34" i="1" s="1"/>
  <c r="AH35" i="1" s="1"/>
  <c r="AM30" i="1"/>
  <c r="AM32" i="1" s="1"/>
  <c r="AM34" i="1" s="1"/>
  <c r="AM35" i="1" s="1"/>
  <c r="AI30" i="1"/>
  <c r="AI32" i="1" s="1"/>
  <c r="AI34" i="1" s="1"/>
  <c r="AI35" i="1" s="1"/>
  <c r="AJ30" i="1"/>
  <c r="AJ32" i="1" s="1"/>
  <c r="AJ34" i="1" s="1"/>
  <c r="AJ35" i="1" s="1"/>
  <c r="AL30" i="1"/>
  <c r="AL32" i="1" s="1"/>
  <c r="AL34" i="1" s="1"/>
  <c r="AL35" i="1" s="1"/>
  <c r="AK30" i="1"/>
  <c r="AK32" i="1" s="1"/>
  <c r="AK34" i="1" s="1"/>
  <c r="AK35" i="1" s="1"/>
  <c r="AN30" i="1"/>
  <c r="AN32" i="1" s="1"/>
  <c r="AN34" i="1" s="1"/>
  <c r="AN35" i="1" s="1"/>
  <c r="F29" i="1"/>
  <c r="AO30" i="1"/>
  <c r="AO32" i="1" s="1"/>
  <c r="AO34" i="1" s="1"/>
  <c r="AO35" i="1" s="1"/>
  <c r="AQ30" i="1"/>
  <c r="AQ32" i="1" s="1"/>
  <c r="AQ34" i="1" s="1"/>
  <c r="AQ35" i="1" s="1"/>
  <c r="H54" i="1"/>
  <c r="AR30" i="1"/>
  <c r="AR32" i="1" s="1"/>
  <c r="AR34" i="1" s="1"/>
  <c r="AR35" i="1" s="1"/>
  <c r="AP30" i="1"/>
  <c r="AP32" i="1" s="1"/>
  <c r="AP34" i="1" s="1"/>
  <c r="AP35" i="1" s="1"/>
  <c r="D26" i="1"/>
  <c r="D41" i="1" s="1"/>
  <c r="AA40" i="1"/>
  <c r="J146" i="1"/>
  <c r="BC146" i="1" s="1"/>
  <c r="H75" i="1"/>
  <c r="H78" i="1" s="1"/>
  <c r="I38" i="1"/>
  <c r="E26" i="1"/>
  <c r="E41" i="1" s="1"/>
  <c r="AA29" i="1"/>
  <c r="AB29" i="1"/>
  <c r="BH28" i="1"/>
  <c r="AC29" i="1"/>
  <c r="I89" i="1"/>
  <c r="H38" i="1"/>
  <c r="H72" i="1"/>
  <c r="I72" i="1" s="1"/>
  <c r="J72" i="1" s="1"/>
  <c r="J73" i="1" s="1"/>
  <c r="I44" i="1"/>
  <c r="G87" i="1"/>
  <c r="F31" i="1"/>
  <c r="F24" i="1"/>
  <c r="F39" i="1" s="1"/>
  <c r="J44" i="1"/>
  <c r="F146" i="1"/>
  <c r="BD62" i="1"/>
  <c r="AD29" i="1"/>
  <c r="BG44" i="1"/>
  <c r="H84" i="1"/>
  <c r="I84" i="1" s="1"/>
  <c r="J84" i="1" s="1"/>
  <c r="J86" i="1" s="1"/>
  <c r="E39" i="1"/>
  <c r="D42" i="1"/>
  <c r="G54" i="1"/>
  <c r="AD31" i="1"/>
  <c r="BH31" i="1" s="1"/>
  <c r="Z26" i="1"/>
  <c r="Z89" i="1"/>
  <c r="BF22" i="1"/>
  <c r="BH27" i="1"/>
  <c r="H44" i="1"/>
  <c r="BH36" i="1"/>
  <c r="BC45" i="1"/>
  <c r="R146" i="1"/>
  <c r="BE146" i="1" s="1"/>
  <c r="J40" i="1"/>
  <c r="I54" i="1"/>
  <c r="BC58" i="1"/>
  <c r="BC62" i="1" s="1"/>
  <c r="BD45" i="1"/>
  <c r="BG62" i="1"/>
  <c r="F40" i="1"/>
  <c r="J67" i="1"/>
  <c r="Z87" i="1"/>
  <c r="BC87" i="1"/>
  <c r="BB87" i="1"/>
  <c r="BF65" i="1"/>
  <c r="M54" i="1"/>
  <c r="C30" i="1"/>
  <c r="C32" i="1" s="1"/>
  <c r="C34" i="1" s="1"/>
  <c r="C35" i="1" s="1"/>
  <c r="J54" i="1"/>
  <c r="BG51" i="1"/>
  <c r="BG54" i="1" s="1"/>
  <c r="N54" i="1"/>
  <c r="AA127" i="1"/>
  <c r="AA123" i="1" s="1"/>
  <c r="BD24" i="1"/>
  <c r="AA138" i="1" l="1"/>
  <c r="I75" i="1"/>
  <c r="J75" i="1" s="1"/>
  <c r="J78" i="1" s="1"/>
  <c r="E30" i="1"/>
  <c r="E32" i="1" s="1"/>
  <c r="E34" i="1" s="1"/>
  <c r="E35" i="1" s="1"/>
  <c r="D30" i="1"/>
  <c r="D32" i="1" s="1"/>
  <c r="D34" i="1" s="1"/>
  <c r="D35" i="1" s="1"/>
  <c r="I73" i="1"/>
  <c r="H73" i="1"/>
  <c r="I86" i="1"/>
  <c r="H86" i="1"/>
  <c r="F26" i="1"/>
  <c r="G39" i="1"/>
  <c r="J38" i="1"/>
  <c r="F42" i="1"/>
  <c r="I78" i="1"/>
  <c r="BD44" i="1"/>
  <c r="BD54" i="1"/>
  <c r="BC44" i="1"/>
  <c r="BC54" i="1"/>
  <c r="J87" i="1"/>
  <c r="H87" i="1" l="1"/>
  <c r="I87" i="1"/>
  <c r="F30" i="1"/>
  <c r="F32" i="1" s="1"/>
  <c r="F34" i="1" s="1"/>
  <c r="F41" i="1"/>
  <c r="S134" i="1"/>
  <c r="S127" i="1" s="1"/>
  <c r="F35" i="1" l="1"/>
  <c r="F64" i="1"/>
  <c r="X131" i="1"/>
  <c r="T131" i="1"/>
  <c r="T127" i="1" s="1"/>
  <c r="Y131" i="1" l="1"/>
  <c r="X127" i="1"/>
  <c r="X124" i="1" s="1"/>
  <c r="X123" i="1" s="1"/>
  <c r="AB127" i="1"/>
  <c r="BL12" i="1"/>
  <c r="BM10" i="1"/>
  <c r="BM12" i="1" s="1"/>
  <c r="BM4" i="1"/>
  <c r="BM6" i="1" s="1"/>
  <c r="BL6" i="1"/>
  <c r="AT38" i="1"/>
  <c r="AS31" i="1"/>
  <c r="AS29" i="1"/>
  <c r="AS26" i="1"/>
  <c r="AS41" i="1" s="1"/>
  <c r="AU38" i="1"/>
  <c r="AT31" i="1"/>
  <c r="AT29" i="1"/>
  <c r="AT26" i="1"/>
  <c r="AT41" i="1" s="1"/>
  <c r="AV38" i="1"/>
  <c r="AU31" i="1"/>
  <c r="AU29" i="1"/>
  <c r="AU26" i="1"/>
  <c r="AU41" i="1" s="1"/>
  <c r="AW38" i="1"/>
  <c r="AV29" i="1"/>
  <c r="AV26" i="1"/>
  <c r="AV41" i="1" s="1"/>
  <c r="AX38" i="1"/>
  <c r="AW29" i="1"/>
  <c r="AW26" i="1"/>
  <c r="AY38" i="1"/>
  <c r="AX29" i="1"/>
  <c r="AX26" i="1"/>
  <c r="AZ38" i="1"/>
  <c r="AY29" i="1"/>
  <c r="AY26" i="1"/>
  <c r="AY41" i="1" s="1"/>
  <c r="BA38" i="1"/>
  <c r="AZ29" i="1"/>
  <c r="AZ26" i="1"/>
  <c r="AZ41" i="1" s="1"/>
  <c r="BB38" i="1"/>
  <c r="BA29" i="1"/>
  <c r="BA26" i="1"/>
  <c r="BA41" i="1" s="1"/>
  <c r="L84" i="1"/>
  <c r="L82" i="1"/>
  <c r="L81" i="1"/>
  <c r="L80" i="1"/>
  <c r="L76" i="1"/>
  <c r="L71" i="1"/>
  <c r="L69" i="1"/>
  <c r="L70" i="1"/>
  <c r="L68" i="1"/>
  <c r="L67" i="1"/>
  <c r="L65" i="1"/>
  <c r="L58" i="1"/>
  <c r="L62" i="1" s="1"/>
  <c r="L51" i="1"/>
  <c r="L45" i="1"/>
  <c r="H42" i="1"/>
  <c r="G42" i="1"/>
  <c r="J39" i="1"/>
  <c r="I39" i="1"/>
  <c r="H39" i="1"/>
  <c r="K38" i="1"/>
  <c r="H29" i="1"/>
  <c r="H26" i="1"/>
  <c r="H41" i="1" s="1"/>
  <c r="K89" i="1"/>
  <c r="K85" i="1"/>
  <c r="K75" i="1"/>
  <c r="K72" i="1"/>
  <c r="K58" i="1"/>
  <c r="K62" i="1" s="1"/>
  <c r="K51" i="1"/>
  <c r="K45" i="1"/>
  <c r="G29" i="1"/>
  <c r="G26" i="1"/>
  <c r="N17" i="1"/>
  <c r="R17" i="1"/>
  <c r="BE17" i="1" s="1"/>
  <c r="R89" i="1"/>
  <c r="Q58" i="1"/>
  <c r="Q62" i="1" s="1"/>
  <c r="Q51" i="1"/>
  <c r="Q45" i="1"/>
  <c r="P84" i="1"/>
  <c r="P85" i="1"/>
  <c r="P83" i="1"/>
  <c r="P82" i="1"/>
  <c r="P81" i="1"/>
  <c r="P80" i="1"/>
  <c r="P77" i="1"/>
  <c r="P76" i="1"/>
  <c r="P71" i="1"/>
  <c r="P70" i="1"/>
  <c r="P69" i="1"/>
  <c r="P68" i="1"/>
  <c r="P67" i="1"/>
  <c r="P66" i="1"/>
  <c r="P65" i="1"/>
  <c r="P58" i="1"/>
  <c r="P62" i="1" s="1"/>
  <c r="P51" i="1"/>
  <c r="P45" i="1"/>
  <c r="BC38" i="1"/>
  <c r="BB29" i="1"/>
  <c r="BB26" i="1"/>
  <c r="BB41" i="1" s="1"/>
  <c r="O24" i="1"/>
  <c r="O89" i="1" s="1"/>
  <c r="P24" i="1"/>
  <c r="P89" i="1" s="1"/>
  <c r="O86" i="1"/>
  <c r="O75" i="1"/>
  <c r="O72" i="1"/>
  <c r="O62" i="1"/>
  <c r="O51" i="1"/>
  <c r="O45" i="1"/>
  <c r="L24" i="1"/>
  <c r="L38" i="1" s="1"/>
  <c r="M24" i="1"/>
  <c r="I29" i="1"/>
  <c r="I26" i="1"/>
  <c r="I41" i="1" s="1"/>
  <c r="I42" i="1"/>
  <c r="M29" i="1"/>
  <c r="BE19" i="1"/>
  <c r="BE18" i="1"/>
  <c r="BE22" i="1"/>
  <c r="BE23" i="1"/>
  <c r="R36" i="1"/>
  <c r="R33" i="1"/>
  <c r="R28" i="1"/>
  <c r="R58" i="1"/>
  <c r="BE58" i="1" s="1"/>
  <c r="BE62" i="1" s="1"/>
  <c r="R51" i="1"/>
  <c r="BE51" i="1" s="1"/>
  <c r="R45" i="1"/>
  <c r="BE45" i="1" s="1"/>
  <c r="BF61" i="1"/>
  <c r="BF60" i="1"/>
  <c r="BF59" i="1"/>
  <c r="BF57" i="1"/>
  <c r="BF56" i="1"/>
  <c r="BF53" i="1"/>
  <c r="BF52" i="1"/>
  <c r="BF50" i="1"/>
  <c r="BF49" i="1"/>
  <c r="BF48" i="1"/>
  <c r="BF47" i="1"/>
  <c r="BF46" i="1"/>
  <c r="BC29" i="1"/>
  <c r="BC26" i="1"/>
  <c r="BC41" i="1" s="1"/>
  <c r="BE2" i="1"/>
  <c r="BG21" i="1"/>
  <c r="BG20" i="1"/>
  <c r="V17" i="1"/>
  <c r="T22" i="1"/>
  <c r="BF33" i="1"/>
  <c r="BF28" i="1"/>
  <c r="BF27" i="1"/>
  <c r="BF25" i="1"/>
  <c r="BF19" i="1"/>
  <c r="BF18" i="1"/>
  <c r="BF23" i="1"/>
  <c r="S22" i="1"/>
  <c r="W22" i="1"/>
  <c r="W24" i="1" s="1"/>
  <c r="Y84" i="1"/>
  <c r="BG84" i="1" s="1"/>
  <c r="X22" i="1"/>
  <c r="Y126" i="1"/>
  <c r="X81" i="1"/>
  <c r="X85" i="1"/>
  <c r="X82" i="1"/>
  <c r="X83" i="1"/>
  <c r="X80" i="1"/>
  <c r="X77" i="1"/>
  <c r="X76" i="1"/>
  <c r="X71" i="1"/>
  <c r="X70" i="1"/>
  <c r="X69" i="1"/>
  <c r="X68" i="1"/>
  <c r="X67" i="1"/>
  <c r="X51" i="1"/>
  <c r="X45" i="1"/>
  <c r="U22" i="1"/>
  <c r="U126" i="1" s="1"/>
  <c r="U138" i="1" s="1"/>
  <c r="Y62" i="1"/>
  <c r="X62" i="1"/>
  <c r="Y51" i="1"/>
  <c r="Y45" i="1"/>
  <c r="Y31" i="1"/>
  <c r="BG19" i="1"/>
  <c r="BG18" i="1"/>
  <c r="BG23" i="1"/>
  <c r="AB40" i="1" l="1"/>
  <c r="AC40" i="1"/>
  <c r="AB139" i="1"/>
  <c r="AW30" i="1"/>
  <c r="AW32" i="1" s="1"/>
  <c r="AW34" i="1" s="1"/>
  <c r="AW35" i="1" s="1"/>
  <c r="AX30" i="1"/>
  <c r="AX32" i="1" s="1"/>
  <c r="AX34" i="1" s="1"/>
  <c r="AX35" i="1" s="1"/>
  <c r="BE54" i="1"/>
  <c r="BE44" i="1"/>
  <c r="V22" i="1"/>
  <c r="V24" i="1" s="1"/>
  <c r="M76" i="1"/>
  <c r="N76" i="1" s="1"/>
  <c r="M71" i="1"/>
  <c r="N71" i="1" s="1"/>
  <c r="Y68" i="1"/>
  <c r="BG68" i="1" s="1"/>
  <c r="M80" i="1"/>
  <c r="Q68" i="1"/>
  <c r="R68" i="1" s="1"/>
  <c r="Y82" i="1"/>
  <c r="BG82" i="1" s="1"/>
  <c r="Q81" i="1"/>
  <c r="R81" i="1" s="1"/>
  <c r="M68" i="1"/>
  <c r="N68" i="1" s="1"/>
  <c r="M70" i="1"/>
  <c r="N70" i="1" s="1"/>
  <c r="BG22" i="1"/>
  <c r="Y76" i="1"/>
  <c r="BG76" i="1" s="1"/>
  <c r="Q70" i="1"/>
  <c r="R70" i="1" s="1"/>
  <c r="M69" i="1"/>
  <c r="N69" i="1" s="1"/>
  <c r="Y69" i="1"/>
  <c r="BG69" i="1" s="1"/>
  <c r="M81" i="1"/>
  <c r="N81" i="1" s="1"/>
  <c r="Y80" i="1"/>
  <c r="BG80" i="1" s="1"/>
  <c r="X86" i="1"/>
  <c r="Q71" i="1"/>
  <c r="R71" i="1" s="1"/>
  <c r="Y83" i="1"/>
  <c r="BG83" i="1" s="1"/>
  <c r="Y85" i="1"/>
  <c r="BG85" i="1" s="1"/>
  <c r="Y81" i="1"/>
  <c r="BG81" i="1" s="1"/>
  <c r="Q84" i="1"/>
  <c r="R84" i="1" s="1"/>
  <c r="M67" i="1"/>
  <c r="N67" i="1" s="1"/>
  <c r="BD67" i="1" s="1"/>
  <c r="Y67" i="1"/>
  <c r="BG67" i="1" s="1"/>
  <c r="Y70" i="1"/>
  <c r="BG70" i="1" s="1"/>
  <c r="M82" i="1"/>
  <c r="N82" i="1" s="1"/>
  <c r="M84" i="1"/>
  <c r="N84" i="1" s="1"/>
  <c r="Q69" i="1"/>
  <c r="R69" i="1" s="1"/>
  <c r="Y77" i="1"/>
  <c r="BG77" i="1" s="1"/>
  <c r="Q76" i="1"/>
  <c r="R76" i="1" s="1"/>
  <c r="Q77" i="1"/>
  <c r="R77" i="1" s="1"/>
  <c r="BE77" i="1" s="1"/>
  <c r="Q83" i="1"/>
  <c r="R83" i="1" s="1"/>
  <c r="O73" i="1"/>
  <c r="O78" i="1"/>
  <c r="Q66" i="1"/>
  <c r="R66" i="1" s="1"/>
  <c r="L72" i="1"/>
  <c r="M72" i="1" s="1"/>
  <c r="N72" i="1" s="1"/>
  <c r="Y71" i="1"/>
  <c r="BG71" i="1" s="1"/>
  <c r="L75" i="1"/>
  <c r="M75" i="1" s="1"/>
  <c r="L85" i="1"/>
  <c r="M85" i="1" s="1"/>
  <c r="N85" i="1" s="1"/>
  <c r="Q82" i="1"/>
  <c r="R82" i="1" s="1"/>
  <c r="Q85" i="1"/>
  <c r="R85" i="1" s="1"/>
  <c r="BE85" i="1" s="1"/>
  <c r="BE24" i="1"/>
  <c r="Q67" i="1"/>
  <c r="R67" i="1" s="1"/>
  <c r="M38" i="1"/>
  <c r="M89" i="1"/>
  <c r="M65" i="1"/>
  <c r="L54" i="1"/>
  <c r="X24" i="1"/>
  <c r="X125" i="1" s="1"/>
  <c r="X139" i="1" s="1"/>
  <c r="X126" i="1"/>
  <c r="X138" i="1" s="1"/>
  <c r="W126" i="1"/>
  <c r="W138" i="1" s="1"/>
  <c r="T24" i="1"/>
  <c r="T125" i="1" s="1"/>
  <c r="T139" i="1" s="1"/>
  <c r="T126" i="1"/>
  <c r="T138" i="1" s="1"/>
  <c r="BF17" i="1"/>
  <c r="BF24" i="1" s="1"/>
  <c r="Y26" i="1"/>
  <c r="Y125" i="1"/>
  <c r="S24" i="1"/>
  <c r="S125" i="1" s="1"/>
  <c r="S139" i="1" s="1"/>
  <c r="S126" i="1"/>
  <c r="AB138" i="1"/>
  <c r="U24" i="1"/>
  <c r="Z131" i="1"/>
  <c r="Y127" i="1"/>
  <c r="AC127" i="1"/>
  <c r="K78" i="1"/>
  <c r="AS30" i="1"/>
  <c r="AS32" i="1" s="1"/>
  <c r="AS34" i="1" s="1"/>
  <c r="AS35" i="1" s="1"/>
  <c r="BN4" i="1"/>
  <c r="BO4" i="1" s="1"/>
  <c r="BP4" i="1" s="1"/>
  <c r="BN10" i="1"/>
  <c r="BO10" i="1" s="1"/>
  <c r="BP10" i="1" s="1"/>
  <c r="K54" i="1"/>
  <c r="AX41" i="1"/>
  <c r="AW41" i="1"/>
  <c r="P54" i="1"/>
  <c r="G30" i="1"/>
  <c r="G32" i="1" s="1"/>
  <c r="G34" i="1" s="1"/>
  <c r="AT30" i="1"/>
  <c r="AT32" i="1" s="1"/>
  <c r="AT34" i="1" s="1"/>
  <c r="AT35" i="1" s="1"/>
  <c r="AU30" i="1"/>
  <c r="AU32" i="1" s="1"/>
  <c r="AU34" i="1" s="1"/>
  <c r="AU35" i="1" s="1"/>
  <c r="AV30" i="1"/>
  <c r="AV32" i="1" s="1"/>
  <c r="AV34" i="1" s="1"/>
  <c r="AV35" i="1" s="1"/>
  <c r="O54" i="1"/>
  <c r="K86" i="1"/>
  <c r="L44" i="1"/>
  <c r="AY30" i="1"/>
  <c r="AY32" i="1" s="1"/>
  <c r="AY34" i="1" s="1"/>
  <c r="AY35" i="1" s="1"/>
  <c r="G41" i="1"/>
  <c r="AZ30" i="1"/>
  <c r="AZ32" i="1" s="1"/>
  <c r="AZ34" i="1" s="1"/>
  <c r="AZ35" i="1" s="1"/>
  <c r="BA30" i="1"/>
  <c r="BA32" i="1" s="1"/>
  <c r="BA34" i="1" s="1"/>
  <c r="P72" i="1"/>
  <c r="Q72" i="1" s="1"/>
  <c r="R72" i="1" s="1"/>
  <c r="P86" i="1"/>
  <c r="Y54" i="1"/>
  <c r="K44" i="1"/>
  <c r="Q54" i="1"/>
  <c r="L89" i="1"/>
  <c r="K73" i="1"/>
  <c r="Q44" i="1"/>
  <c r="H30" i="1"/>
  <c r="H32" i="1" s="1"/>
  <c r="H34" i="1" s="1"/>
  <c r="P44" i="1"/>
  <c r="P75" i="1"/>
  <c r="Q80" i="1"/>
  <c r="R80" i="1" s="1"/>
  <c r="Q65" i="1"/>
  <c r="M26" i="1"/>
  <c r="M41" i="1" s="1"/>
  <c r="BB30" i="1"/>
  <c r="BB32" i="1" s="1"/>
  <c r="BB34" i="1" s="1"/>
  <c r="O44" i="1"/>
  <c r="Y89" i="1"/>
  <c r="R54" i="1"/>
  <c r="BC30" i="1"/>
  <c r="BC32" i="1" s="1"/>
  <c r="BC34" i="1" s="1"/>
  <c r="I30" i="1"/>
  <c r="I32" i="1" s="1"/>
  <c r="I34" i="1" s="1"/>
  <c r="R44" i="1"/>
  <c r="R62" i="1"/>
  <c r="X54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X120" i="1"/>
  <c r="Y120" i="1" s="1"/>
  <c r="W119" i="1"/>
  <c r="U119" i="1"/>
  <c r="W89" i="1"/>
  <c r="K4" i="3"/>
  <c r="K7" i="3" s="1"/>
  <c r="W75" i="1"/>
  <c r="W72" i="1"/>
  <c r="W58" i="1"/>
  <c r="W62" i="1" s="1"/>
  <c r="W51" i="1"/>
  <c r="W45" i="1"/>
  <c r="W31" i="1"/>
  <c r="Z44" i="1"/>
  <c r="Y44" i="1"/>
  <c r="X44" i="1"/>
  <c r="V58" i="1"/>
  <c r="BF58" i="1" s="1"/>
  <c r="BF62" i="1" s="1"/>
  <c r="V51" i="1"/>
  <c r="BF51" i="1" s="1"/>
  <c r="V45" i="1"/>
  <c r="BF45" i="1" s="1"/>
  <c r="BE31" i="1"/>
  <c r="BD29" i="1"/>
  <c r="V117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T119" i="1"/>
  <c r="T116" i="1"/>
  <c r="Z116" i="1"/>
  <c r="Y116" i="1"/>
  <c r="X116" i="1"/>
  <c r="W116" i="1"/>
  <c r="V116" i="1"/>
  <c r="U116" i="1"/>
  <c r="Y138" i="1" l="1"/>
  <c r="U125" i="1"/>
  <c r="U139" i="1" s="1"/>
  <c r="AC139" i="1"/>
  <c r="AC138" i="1"/>
  <c r="BE66" i="1"/>
  <c r="O87" i="1"/>
  <c r="BE81" i="1"/>
  <c r="BE69" i="1"/>
  <c r="BD72" i="1"/>
  <c r="L86" i="1"/>
  <c r="BE72" i="1"/>
  <c r="L73" i="1"/>
  <c r="BD69" i="1"/>
  <c r="BE83" i="1"/>
  <c r="BE68" i="1"/>
  <c r="L78" i="1"/>
  <c r="BE67" i="1"/>
  <c r="AB42" i="1"/>
  <c r="AB26" i="1"/>
  <c r="BE80" i="1"/>
  <c r="BF44" i="1"/>
  <c r="BE70" i="1"/>
  <c r="BE76" i="1"/>
  <c r="G35" i="1"/>
  <c r="G64" i="1"/>
  <c r="BE82" i="1"/>
  <c r="BE84" i="1"/>
  <c r="BD84" i="1"/>
  <c r="BD85" i="1"/>
  <c r="BD76" i="1"/>
  <c r="BE71" i="1"/>
  <c r="H35" i="1"/>
  <c r="H64" i="1"/>
  <c r="I35" i="1"/>
  <c r="I64" i="1"/>
  <c r="N65" i="1"/>
  <c r="M73" i="1"/>
  <c r="W78" i="1"/>
  <c r="BD68" i="1"/>
  <c r="M86" i="1"/>
  <c r="N80" i="1"/>
  <c r="BC35" i="1"/>
  <c r="BC64" i="1"/>
  <c r="X26" i="1"/>
  <c r="X72" i="1"/>
  <c r="W73" i="1"/>
  <c r="N75" i="1"/>
  <c r="BD75" i="1" s="1"/>
  <c r="M78" i="1"/>
  <c r="BB35" i="1"/>
  <c r="BB64" i="1"/>
  <c r="BD81" i="1"/>
  <c r="AB38" i="1"/>
  <c r="BD71" i="1"/>
  <c r="BG86" i="1"/>
  <c r="Y86" i="1"/>
  <c r="BD82" i="1"/>
  <c r="BD70" i="1"/>
  <c r="X89" i="1"/>
  <c r="R86" i="1"/>
  <c r="BA35" i="1"/>
  <c r="BA64" i="1"/>
  <c r="V126" i="1"/>
  <c r="V138" i="1" s="1"/>
  <c r="Z127" i="1"/>
  <c r="AD127" i="1"/>
  <c r="Y139" i="1"/>
  <c r="V125" i="1"/>
  <c r="V139" i="1" s="1"/>
  <c r="Z126" i="1"/>
  <c r="W125" i="1"/>
  <c r="W139" i="1" s="1"/>
  <c r="W54" i="1"/>
  <c r="BN12" i="1"/>
  <c r="BN6" i="1"/>
  <c r="K87" i="1"/>
  <c r="BG31" i="1"/>
  <c r="BI31" i="1" s="1"/>
  <c r="BJ31" i="1" s="1"/>
  <c r="BK31" i="1" s="1"/>
  <c r="BL31" i="1" s="1"/>
  <c r="BM31" i="1" s="1"/>
  <c r="Q86" i="1"/>
  <c r="P73" i="1"/>
  <c r="M30" i="1"/>
  <c r="M32" i="1" s="1"/>
  <c r="M34" i="1" s="1"/>
  <c r="M35" i="1" s="1"/>
  <c r="Q73" i="1"/>
  <c r="R65" i="1"/>
  <c r="Q75" i="1"/>
  <c r="P78" i="1"/>
  <c r="V119" i="1"/>
  <c r="W40" i="1"/>
  <c r="W44" i="1"/>
  <c r="X75" i="1"/>
  <c r="X78" i="1" s="1"/>
  <c r="BD26" i="1"/>
  <c r="BD30" i="1" s="1"/>
  <c r="BD32" i="1" s="1"/>
  <c r="BD34" i="1" s="1"/>
  <c r="BD38" i="1"/>
  <c r="V54" i="1"/>
  <c r="BF54" i="1"/>
  <c r="W26" i="1"/>
  <c r="W41" i="1" s="1"/>
  <c r="V44" i="1"/>
  <c r="V62" i="1"/>
  <c r="BG116" i="1"/>
  <c r="Z40" i="1"/>
  <c r="Y40" i="1"/>
  <c r="W42" i="1"/>
  <c r="X40" i="1"/>
  <c r="W29" i="1"/>
  <c r="BG28" i="1"/>
  <c r="BI28" i="1" s="1"/>
  <c r="BJ28" i="1" s="1"/>
  <c r="BK28" i="1" s="1"/>
  <c r="BL28" i="1" s="1"/>
  <c r="BM28" i="1" s="1"/>
  <c r="BI36" i="1"/>
  <c r="BJ36" i="1" s="1"/>
  <c r="BK36" i="1" s="1"/>
  <c r="BL36" i="1" s="1"/>
  <c r="BM36" i="1" s="1"/>
  <c r="AC2" i="1"/>
  <c r="N38" i="1"/>
  <c r="O38" i="1"/>
  <c r="P38" i="1"/>
  <c r="R38" i="1"/>
  <c r="K39" i="1"/>
  <c r="L39" i="1"/>
  <c r="M39" i="1"/>
  <c r="N39" i="1"/>
  <c r="O39" i="1"/>
  <c r="P39" i="1"/>
  <c r="T40" i="1"/>
  <c r="L40" i="1"/>
  <c r="M40" i="1"/>
  <c r="N40" i="1"/>
  <c r="O40" i="1"/>
  <c r="P40" i="1"/>
  <c r="Q40" i="1"/>
  <c r="R40" i="1"/>
  <c r="S40" i="1"/>
  <c r="U40" i="1"/>
  <c r="Q24" i="1"/>
  <c r="Q89" i="1" s="1"/>
  <c r="U58" i="1"/>
  <c r="U62" i="1" s="1"/>
  <c r="U51" i="1"/>
  <c r="U45" i="1"/>
  <c r="Q29" i="1"/>
  <c r="U31" i="1"/>
  <c r="U29" i="1"/>
  <c r="T82" i="1"/>
  <c r="T83" i="1"/>
  <c r="T84" i="1"/>
  <c r="T85" i="1"/>
  <c r="T81" i="1"/>
  <c r="T76" i="1"/>
  <c r="T77" i="1"/>
  <c r="T71" i="1"/>
  <c r="T70" i="1"/>
  <c r="T69" i="1"/>
  <c r="T68" i="1"/>
  <c r="T67" i="1"/>
  <c r="W38" i="1"/>
  <c r="S80" i="1"/>
  <c r="S75" i="1"/>
  <c r="S72" i="1"/>
  <c r="S59" i="1"/>
  <c r="S58" i="1"/>
  <c r="S51" i="1"/>
  <c r="S45" i="1"/>
  <c r="T58" i="1"/>
  <c r="T62" i="1" s="1"/>
  <c r="T51" i="1"/>
  <c r="T45" i="1"/>
  <c r="T31" i="1"/>
  <c r="T29" i="1"/>
  <c r="L29" i="1"/>
  <c r="L26" i="1"/>
  <c r="L41" i="1" s="1"/>
  <c r="P29" i="1"/>
  <c r="P26" i="1"/>
  <c r="P41" i="1" s="1"/>
  <c r="K29" i="1"/>
  <c r="K26" i="1"/>
  <c r="K41" i="1" s="1"/>
  <c r="O42" i="1"/>
  <c r="N42" i="1"/>
  <c r="M42" i="1"/>
  <c r="L42" i="1"/>
  <c r="K42" i="1"/>
  <c r="J42" i="1"/>
  <c r="J29" i="1"/>
  <c r="J26" i="1"/>
  <c r="J41" i="1" s="1"/>
  <c r="N29" i="1"/>
  <c r="N26" i="1"/>
  <c r="N41" i="1" s="1"/>
  <c r="P2" i="1"/>
  <c r="X2" i="1" s="1"/>
  <c r="AB2" i="1" s="1"/>
  <c r="R42" i="1"/>
  <c r="P42" i="1"/>
  <c r="O31" i="1"/>
  <c r="R31" i="1" s="1"/>
  <c r="S31" i="1"/>
  <c r="S29" i="1"/>
  <c r="O29" i="1"/>
  <c r="O26" i="1"/>
  <c r="O41" i="1" s="1"/>
  <c r="BE86" i="1" l="1"/>
  <c r="BD78" i="1"/>
  <c r="L87" i="1"/>
  <c r="AC38" i="1"/>
  <c r="AC42" i="1"/>
  <c r="AC39" i="1"/>
  <c r="AC26" i="1"/>
  <c r="AC25" i="1" s="1"/>
  <c r="AB41" i="1"/>
  <c r="AB30" i="1"/>
  <c r="AB32" i="1" s="1"/>
  <c r="AB25" i="1"/>
  <c r="N86" i="1"/>
  <c r="BD80" i="1"/>
  <c r="BD86" i="1" s="1"/>
  <c r="N78" i="1"/>
  <c r="M87" i="1"/>
  <c r="R73" i="1"/>
  <c r="BE65" i="1"/>
  <c r="BE73" i="1" s="1"/>
  <c r="W87" i="1"/>
  <c r="N73" i="1"/>
  <c r="BD65" i="1"/>
  <c r="BD73" i="1" s="1"/>
  <c r="S73" i="1"/>
  <c r="Y72" i="1"/>
  <c r="X73" i="1"/>
  <c r="X87" i="1" s="1"/>
  <c r="BD35" i="1"/>
  <c r="BD64" i="1"/>
  <c r="M64" i="1"/>
  <c r="AD138" i="1"/>
  <c r="Z138" i="1"/>
  <c r="P87" i="1"/>
  <c r="BG2" i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AD2" i="1"/>
  <c r="BO12" i="1"/>
  <c r="BP12" i="1"/>
  <c r="BD41" i="1"/>
  <c r="BO6" i="1"/>
  <c r="BP6" i="1"/>
  <c r="W30" i="1"/>
  <c r="W32" i="1" s="1"/>
  <c r="W34" i="1" s="1"/>
  <c r="W64" i="1" s="1"/>
  <c r="R75" i="1"/>
  <c r="R78" i="1" s="1"/>
  <c r="Q78" i="1"/>
  <c r="Q87" i="1" s="1"/>
  <c r="S44" i="1"/>
  <c r="S62" i="1"/>
  <c r="U71" i="1"/>
  <c r="V71" i="1" s="1"/>
  <c r="U76" i="1"/>
  <c r="V76" i="1" s="1"/>
  <c r="S86" i="1"/>
  <c r="U68" i="1"/>
  <c r="V68" i="1" s="1"/>
  <c r="U38" i="1"/>
  <c r="T72" i="1"/>
  <c r="U72" i="1" s="1"/>
  <c r="V72" i="1" s="1"/>
  <c r="T44" i="1"/>
  <c r="U67" i="1"/>
  <c r="U69" i="1"/>
  <c r="V69" i="1" s="1"/>
  <c r="U70" i="1"/>
  <c r="V70" i="1" s="1"/>
  <c r="U77" i="1"/>
  <c r="V77" i="1" s="1"/>
  <c r="U81" i="1"/>
  <c r="V81" i="1" s="1"/>
  <c r="U83" i="1"/>
  <c r="V83" i="1" s="1"/>
  <c r="BF31" i="1"/>
  <c r="Y75" i="1"/>
  <c r="Y78" i="1" s="1"/>
  <c r="BG17" i="1"/>
  <c r="BG24" i="1" s="1"/>
  <c r="S78" i="1"/>
  <c r="U85" i="1"/>
  <c r="V85" i="1" s="1"/>
  <c r="U84" i="1"/>
  <c r="V84" i="1" s="1"/>
  <c r="U82" i="1"/>
  <c r="V82" i="1" s="1"/>
  <c r="U44" i="1"/>
  <c r="Y39" i="1"/>
  <c r="Y42" i="1"/>
  <c r="X39" i="1"/>
  <c r="X41" i="1"/>
  <c r="X42" i="1"/>
  <c r="U89" i="1"/>
  <c r="Y38" i="1"/>
  <c r="S26" i="1"/>
  <c r="S41" i="1" s="1"/>
  <c r="T89" i="1"/>
  <c r="X38" i="1"/>
  <c r="Q42" i="1"/>
  <c r="X29" i="1"/>
  <c r="X30" i="1" s="1"/>
  <c r="X32" i="1" s="1"/>
  <c r="Y29" i="1"/>
  <c r="Y30" i="1" s="1"/>
  <c r="Y32" i="1" s="1"/>
  <c r="S54" i="1"/>
  <c r="V29" i="1"/>
  <c r="BF29" i="1" s="1"/>
  <c r="S38" i="1"/>
  <c r="T80" i="1"/>
  <c r="R39" i="1"/>
  <c r="T38" i="1"/>
  <c r="U39" i="1"/>
  <c r="T39" i="1"/>
  <c r="S39" i="1"/>
  <c r="Q38" i="1"/>
  <c r="Q39" i="1"/>
  <c r="T54" i="1"/>
  <c r="U54" i="1"/>
  <c r="T42" i="1"/>
  <c r="U42" i="1"/>
  <c r="S89" i="1"/>
  <c r="U26" i="1"/>
  <c r="T75" i="1"/>
  <c r="T78" i="1" s="1"/>
  <c r="S42" i="1"/>
  <c r="Q26" i="1"/>
  <c r="T26" i="1"/>
  <c r="L30" i="1"/>
  <c r="L32" i="1" s="1"/>
  <c r="L34" i="1" s="1"/>
  <c r="J30" i="1"/>
  <c r="J32" i="1" s="1"/>
  <c r="J34" i="1" s="1"/>
  <c r="P30" i="1"/>
  <c r="P32" i="1" s="1"/>
  <c r="P34" i="1" s="1"/>
  <c r="K30" i="1"/>
  <c r="K32" i="1" s="1"/>
  <c r="K34" i="1" s="1"/>
  <c r="N30" i="1"/>
  <c r="N32" i="1" s="1"/>
  <c r="N34" i="1" s="1"/>
  <c r="O30" i="1"/>
  <c r="O32" i="1" s="1"/>
  <c r="O34" i="1" s="1"/>
  <c r="AD24" i="1" l="1"/>
  <c r="AD139" i="1"/>
  <c r="BF83" i="1"/>
  <c r="BD87" i="1"/>
  <c r="BF68" i="1"/>
  <c r="T73" i="1"/>
  <c r="U30" i="1"/>
  <c r="U32" i="1" s="1"/>
  <c r="U34" i="1" s="1"/>
  <c r="U41" i="1"/>
  <c r="AD42" i="1"/>
  <c r="AD39" i="1"/>
  <c r="AD26" i="1"/>
  <c r="BF71" i="1"/>
  <c r="T30" i="1"/>
  <c r="T32" i="1" s="1"/>
  <c r="T34" i="1" s="1"/>
  <c r="T35" i="1" s="1"/>
  <c r="T41" i="1"/>
  <c r="AB33" i="1"/>
  <c r="AB34" i="1" s="1"/>
  <c r="AB35" i="1" s="1"/>
  <c r="AC41" i="1"/>
  <c r="AC30" i="1"/>
  <c r="AC32" i="1" s="1"/>
  <c r="AC33" i="1" s="1"/>
  <c r="AC34" i="1" s="1"/>
  <c r="AC35" i="1" s="1"/>
  <c r="J35" i="1"/>
  <c r="J64" i="1"/>
  <c r="BF82" i="1"/>
  <c r="BF85" i="1"/>
  <c r="U80" i="1"/>
  <c r="U86" i="1" s="1"/>
  <c r="T86" i="1"/>
  <c r="V67" i="1"/>
  <c r="U73" i="1"/>
  <c r="N87" i="1"/>
  <c r="BF84" i="1"/>
  <c r="BF81" i="1"/>
  <c r="BF76" i="1"/>
  <c r="S87" i="1"/>
  <c r="BF69" i="1"/>
  <c r="BE75" i="1"/>
  <c r="BE78" i="1" s="1"/>
  <c r="BE87" i="1" s="1"/>
  <c r="BF77" i="1"/>
  <c r="BG75" i="1"/>
  <c r="BG78" i="1" s="1"/>
  <c r="Y73" i="1"/>
  <c r="Y87" i="1" s="1"/>
  <c r="BG72" i="1"/>
  <c r="BG73" i="1" s="1"/>
  <c r="BF72" i="1"/>
  <c r="BF70" i="1"/>
  <c r="R87" i="1"/>
  <c r="Z125" i="1"/>
  <c r="Z139" i="1" s="1"/>
  <c r="W35" i="1"/>
  <c r="AD38" i="1"/>
  <c r="S30" i="1"/>
  <c r="S32" i="1" s="1"/>
  <c r="S34" i="1" s="1"/>
  <c r="S64" i="1" s="1"/>
  <c r="O35" i="1"/>
  <c r="O64" i="1"/>
  <c r="N35" i="1"/>
  <c r="N64" i="1"/>
  <c r="K35" i="1"/>
  <c r="K64" i="1"/>
  <c r="P35" i="1"/>
  <c r="P64" i="1"/>
  <c r="L35" i="1"/>
  <c r="L64" i="1"/>
  <c r="BE38" i="1"/>
  <c r="Z29" i="1"/>
  <c r="BG27" i="1"/>
  <c r="Z42" i="1"/>
  <c r="Z39" i="1"/>
  <c r="Z41" i="1"/>
  <c r="Y41" i="1"/>
  <c r="Y34" i="1"/>
  <c r="Y64" i="1" s="1"/>
  <c r="X34" i="1"/>
  <c r="Q30" i="1"/>
  <c r="Q32" i="1" s="1"/>
  <c r="Q34" i="1" s="1"/>
  <c r="Q41" i="1"/>
  <c r="U75" i="1"/>
  <c r="BG87" i="1" l="1"/>
  <c r="V80" i="1"/>
  <c r="V86" i="1" s="1"/>
  <c r="T87" i="1"/>
  <c r="AD41" i="1"/>
  <c r="AD30" i="1"/>
  <c r="AD32" i="1" s="1"/>
  <c r="AD25" i="1"/>
  <c r="S35" i="1"/>
  <c r="T64" i="1"/>
  <c r="V73" i="1"/>
  <c r="BF67" i="1"/>
  <c r="BF73" i="1" s="1"/>
  <c r="U78" i="1"/>
  <c r="U87" i="1" s="1"/>
  <c r="Q35" i="1"/>
  <c r="Q64" i="1"/>
  <c r="X35" i="1"/>
  <c r="X64" i="1"/>
  <c r="Y35" i="1"/>
  <c r="V75" i="1"/>
  <c r="V78" i="1" s="1"/>
  <c r="BG29" i="1"/>
  <c r="BG26" i="1"/>
  <c r="Z30" i="1"/>
  <c r="Z32" i="1" s="1"/>
  <c r="U35" i="1"/>
  <c r="U64" i="1"/>
  <c r="V87" i="1" l="1"/>
  <c r="BF80" i="1"/>
  <c r="BF86" i="1" s="1"/>
  <c r="AD33" i="1"/>
  <c r="AD34" i="1"/>
  <c r="AD35" i="1" s="1"/>
  <c r="BF75" i="1"/>
  <c r="BF78" i="1" s="1"/>
  <c r="Z34" i="1"/>
  <c r="BG33" i="1"/>
  <c r="BH29" i="1"/>
  <c r="BI27" i="1"/>
  <c r="BG41" i="1"/>
  <c r="BG30" i="1"/>
  <c r="BG32" i="1" s="1"/>
  <c r="BG25" i="1"/>
  <c r="BF26" i="1"/>
  <c r="V40" i="1"/>
  <c r="Z35" i="1" l="1"/>
  <c r="Z64" i="1"/>
  <c r="V89" i="1"/>
  <c r="W39" i="1"/>
  <c r="BJ27" i="1"/>
  <c r="BI29" i="1"/>
  <c r="BG34" i="1"/>
  <c r="V38" i="1"/>
  <c r="Z38" i="1"/>
  <c r="V26" i="1"/>
  <c r="V39" i="1"/>
  <c r="V42" i="1"/>
  <c r="BG35" i="1" l="1"/>
  <c r="BG64" i="1"/>
  <c r="BG38" i="1"/>
  <c r="BK27" i="1"/>
  <c r="BJ29" i="1"/>
  <c r="BF38" i="1"/>
  <c r="V30" i="1"/>
  <c r="V32" i="1" s="1"/>
  <c r="V34" i="1" s="1"/>
  <c r="V41" i="1"/>
  <c r="V35" i="1" l="1"/>
  <c r="V64" i="1"/>
  <c r="BF30" i="1"/>
  <c r="BF32" i="1" s="1"/>
  <c r="BF34" i="1" s="1"/>
  <c r="BF41" i="1"/>
  <c r="BL27" i="1"/>
  <c r="BK29" i="1"/>
  <c r="BF35" i="1" l="1"/>
  <c r="BF64" i="1"/>
  <c r="BF87" i="1"/>
  <c r="BM27" i="1"/>
  <c r="BM29" i="1" s="1"/>
  <c r="BL29" i="1"/>
  <c r="S138" i="1" l="1"/>
  <c r="R25" i="1" l="1"/>
  <c r="R26" i="1" s="1"/>
  <c r="R41" i="1" s="1"/>
  <c r="BE26" i="1"/>
  <c r="BE41" i="1" s="1"/>
  <c r="R27" i="1"/>
  <c r="R29" i="1" s="1"/>
  <c r="BE29" i="1"/>
  <c r="BE30" i="1" l="1"/>
  <c r="BE32" i="1" s="1"/>
  <c r="BE34" i="1" s="1"/>
  <c r="BE64" i="1" s="1"/>
  <c r="R30" i="1"/>
  <c r="R32" i="1" s="1"/>
  <c r="R34" i="1" s="1"/>
  <c r="R35" i="1" s="1"/>
  <c r="BE35" i="1" l="1"/>
  <c r="R64" i="1"/>
  <c r="AA26" i="1" l="1"/>
  <c r="BH26" i="1" s="1"/>
  <c r="AA39" i="1"/>
  <c r="AA38" i="1"/>
  <c r="AB39" i="1"/>
  <c r="AA89" i="1"/>
  <c r="AA42" i="1"/>
  <c r="AA125" i="1"/>
  <c r="AA139" i="1" s="1"/>
  <c r="BH24" i="1"/>
  <c r="BH38" i="1" s="1"/>
  <c r="AA41" i="1" l="1"/>
  <c r="AA25" i="1"/>
  <c r="BH30" i="1"/>
  <c r="BH32" i="1" s="1"/>
  <c r="BH41" i="1"/>
  <c r="AA30" i="1"/>
  <c r="AA32" i="1" s="1"/>
  <c r="BI24" i="1"/>
  <c r="BH25" i="1"/>
  <c r="AA33" i="1" l="1"/>
  <c r="BH33" i="1" s="1"/>
  <c r="BH34" i="1" s="1"/>
  <c r="BI26" i="1"/>
  <c r="BI38" i="1"/>
  <c r="BJ24" i="1"/>
  <c r="BH35" i="1" l="1"/>
  <c r="BK24" i="1"/>
  <c r="BJ26" i="1"/>
  <c r="BJ25" i="1" s="1"/>
  <c r="BJ38" i="1"/>
  <c r="BI41" i="1"/>
  <c r="BI30" i="1"/>
  <c r="BI32" i="1" s="1"/>
  <c r="BI25" i="1"/>
  <c r="AA34" i="1"/>
  <c r="AA64" i="1" l="1"/>
  <c r="AA35" i="1"/>
  <c r="BK26" i="1"/>
  <c r="BK25" i="1" s="1"/>
  <c r="BL24" i="1"/>
  <c r="BK38" i="1"/>
  <c r="BI33" i="1"/>
  <c r="BI34" i="1" s="1"/>
  <c r="BJ30" i="1"/>
  <c r="BJ32" i="1" s="1"/>
  <c r="BJ41" i="1"/>
  <c r="BI35" i="1" l="1"/>
  <c r="BJ33" i="1"/>
  <c r="BJ34" i="1" s="1"/>
  <c r="BL26" i="1"/>
  <c r="BL25" i="1" s="1"/>
  <c r="BM24" i="1"/>
  <c r="BL38" i="1"/>
  <c r="BK30" i="1"/>
  <c r="BK32" i="1" s="1"/>
  <c r="BK41" i="1"/>
  <c r="BJ35" i="1" l="1"/>
  <c r="BM38" i="1"/>
  <c r="BM26" i="1"/>
  <c r="BN24" i="1"/>
  <c r="BK33" i="1"/>
  <c r="BK34" i="1" s="1"/>
  <c r="BL30" i="1"/>
  <c r="BL32" i="1" s="1"/>
  <c r="BL41" i="1"/>
  <c r="BK35" i="1" l="1"/>
  <c r="BM30" i="1"/>
  <c r="BM32" i="1" s="1"/>
  <c r="BM41" i="1"/>
  <c r="BM25" i="1"/>
  <c r="BL33" i="1"/>
  <c r="BL34" i="1"/>
  <c r="BL35" i="1" s="1"/>
  <c r="BM33" i="1" l="1"/>
  <c r="BM34" i="1"/>
  <c r="BM35" i="1" l="1"/>
  <c r="BN34" i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BP43" i="1" l="1"/>
  <c r="BP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tc={250E49C1-DC6B-44A4-8507-21CC369BDF67}</author>
    <author>tc={E320785E-9BCE-AC4E-B37C-7EB104B6CF82}</author>
    <author>tc={AC62E1DD-5F48-4CE0-8635-05BA74B5AC99}</author>
    <author>tc={2165D505-0B46-44B7-8C69-AAD20A48D84E}</author>
    <author>tc={C2D17C36-71EE-44D1-BD93-5339CE250BCE}</author>
    <author>tc={DD04AD72-6E1B-4623-8D6F-85C70969715D}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tc={0AFD1808-6C0F-4C3F-9836-027F1D0FF106}</author>
    <author>tc={48933EFE-5C5F-49EA-A80E-E765DE830619}</author>
    <author>tc={BDF99649-FFA5-4806-8F0A-EDE5EB314212}</author>
    <author>tc={4E056475-A7E3-43D8-B802-93813DACE25F}</author>
    <author>tc={472BDDD3-4E0A-4C08-8760-ABFC4732C8A2}</author>
    <author>tc={63238D4C-CE84-4838-9552-C1CFED1CB057}</author>
    <author>tc={E0BD4732-6672-4A8E-98DD-D80F8291DB33}</author>
    <author>tc={250CB3BC-420E-44BF-AC5C-6793B6001B85}</author>
    <author>tc={BD911E99-9212-4EF4-8813-69E92C9CA73A}</author>
    <author>tc={5BA76EC3-8C9B-47F0-9FDC-F22595796871}</author>
    <author>tc={14970EBD-D16F-43B3-AC0D-F662CDAE4F87}</author>
    <author>tc={DD0672ED-71A7-4FEE-8963-AC8C3EB46492}</author>
    <author>tc={E135F8C4-952E-4ED7-BF9D-C71E486C0EE2}</author>
    <author>tc={1DF99399-1918-4E2C-8279-9C2FF687E1E3}</author>
    <author>tc={1446D5A2-75F4-49C0-818F-A506FFEEE2AC}</author>
    <author>tc={1DF5EE39-C8FB-4475-8FE7-ADC6D1CD4618}</author>
    <author>tc={DD2CD9F0-4D52-41A1-9318-3FB1FCEC2AD9}</author>
    <author>tc={FCB5C1B5-F411-4AA0-8552-6396ACF5C382}</author>
    <author>tc={63A90EF7-3038-4F3C-97B2-466FDABC5E09}</author>
    <author>tc={C63606EF-04FE-45D8-9244-916E253074AB}</author>
    <author>tc={8AC347C9-DB8B-48B0-AA14-D262027A155D}</author>
    <author>tc={EE73B09E-2677-450F-B8B1-9A119FB6CC0B}</author>
    <author>tc={97838103-F970-4B17-BAA4-B0F2ADACFA86}</author>
    <author>tc={FB8A1EF9-0129-43D9-BD4D-E70349E6A7E0}</author>
    <author>tc={D5B65222-64AF-4587-989D-4D4267FB62AC}</author>
  </authors>
  <commentList>
    <comment ref="AB21" authorId="0" shapeId="0" xr:uid="{250E49C1-DC6B-44A4-8507-21CC369BDF67}">
      <text>
        <t>[Threaded comment]
Your version of Excel allows you to read this threaded comment; however, any edits to it will get removed if the file is opened in a newer version of Excel. Learn more: https://go.microsoft.com/fwlink/?linkid=870924
Comment:
    $650m H20
Sequential increase in H100/H200</t>
      </text>
    </comment>
    <comment ref="S22" authorId="1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Z22" authorId="2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AB22" authorId="3" shapeId="0" xr:uid="{2165D505-0B46-44B7-8C69-AAD20A48D84E}">
      <text>
        <t>[Threaded comment]
Your version of Excel allows you to read this threaded comment; however, any edits to it will get removed if the file is opened in a newer version of Excel. Learn more: https://go.microsoft.com/fwlink/?linkid=870924
Comment:
    4B H20 decline
Blackwell +17% q/q
GB300 shipments began</t>
      </text>
    </comment>
    <comment ref="D24" authorId="4" shapeId="0" xr:uid="{C2D17C36-71EE-44D1-BD93-5339CE25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2889m if Mellanox combined</t>
      </text>
    </comment>
    <comment ref="E24" authorId="5" shapeId="0" xr:uid="{DD04AD72-6E1B-4623-8D6F-85C70969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3350m if Mellanox were combined</t>
      </text>
    </comment>
    <comment ref="S24" authorId="6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T24" authorId="7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U24" authorId="8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W24" authorId="9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X24" authorId="10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Y24" authorId="11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Z24" authorId="12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AA24" authorId="13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43B +- 2%
42.26B consensus, moved up to 43.34B</t>
      </text>
    </comment>
    <comment ref="AB24" authorId="14" shapeId="0" xr:uid="{0AFD1808-6C0F-4C3F-9836-027F1D0FF106}">
      <text>
        <t>[Threaded comment]
Your version of Excel allows you to read this threaded comment; however, any edits to it will get removed if the file is opened in a newer version of Excel. Learn more: https://go.microsoft.com/fwlink/?linkid=870924
Comment:
    45.92B consensus 5/28/25
46.05B consensus 8/27/25</t>
      </text>
    </comment>
    <comment ref="AC24" authorId="15" shapeId="0" xr:uid="{48933EFE-5C5F-49EA-A80E-E765DE830619}">
      <text>
        <t>[Threaded comment]
Your version of Excel allows you to read this threaded comment; however, any edits to it will get removed if the file is opened in a newer version of Excel. Learn more: https://go.microsoft.com/fwlink/?linkid=870924
Comment:
    51.75B consensus 5/28/25
53.43B consensus 8/27/25
Q2 guidance: 54B +/- 2%</t>
      </text>
    </comment>
    <comment ref="AD24" authorId="16" shapeId="0" xr:uid="{BDF99649-FFA5-4806-8F0A-EDE5EB31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57.23B consensus 5/28/25</t>
      </text>
    </comment>
    <comment ref="BH24" authorId="17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  <comment ref="BI24" authorId="18" shapeId="0" xr:uid="{472BDDD3-4E0A-4C08-8760-ABFC4732C8A2}">
      <text>
        <t>[Threaded comment]
Your version of Excel allows you to read this threaded comment; however, any edits to it will get removed if the file is opened in a newer version of Excel. Learn more: https://go.microsoft.com/fwlink/?linkid=870924
Comment:
    247.91B consensus 5/28/25</t>
      </text>
    </comment>
    <comment ref="X128" authorId="19" shapeId="0" xr:uid="{63238D4C-CE84-4838-9552-C1CFED1CB057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6B Series B</t>
      </text>
    </comment>
    <comment ref="Z128" authorId="20" shapeId="0" xr:uid="{E0BD4732-6672-4A8E-98DD-D80F8291DB33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6B Series C</t>
      </text>
    </comment>
    <comment ref="AB128" authorId="21" shapeId="0" xr:uid="{250CB3BC-420E-44BF-AC5C-6793B6001B85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10.3B, 5.3B equity, 5.0B debt</t>
      </text>
    </comment>
    <comment ref="Y129" authorId="22" shapeId="0" xr:uid="{BD911E99-9212-4EF4-8813-69E92C9CA73A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$4B from Amazon</t>
      </text>
    </comment>
    <comment ref="Z129" authorId="23" shapeId="0" xr:uid="{5BA76EC3-8C9B-47F0-9FDC-F22595796871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$1B from Google</t>
      </text>
    </comment>
    <comment ref="AA129" authorId="24" shapeId="0" xr:uid="{14970EBD-D16F-43B3-AC0D-F662CDAE4F87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6B: 3.5B Series E, 2.5B debt</t>
      </text>
    </comment>
    <comment ref="Z133" authorId="25" shapeId="0" xr:uid="{DD0672ED-71A7-4FEE-8963-AC8C3EB46492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10.6B in equity/debt</t>
      </text>
    </comment>
    <comment ref="AA133" authorId="26" shapeId="0" xr:uid="{E135F8C4-952E-4ED7-BF9D-C71E486C0EE2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40B from SoftBank/others</t>
      </text>
    </comment>
    <comment ref="C146" authorId="27" shapeId="0" xr:uid="{1DF99399-1918-4E2C-8279-9C2FF687E1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133m Other, 249m EU, 422m Other APAC</t>
      </text>
    </comment>
    <comment ref="D146" authorId="28" shapeId="0" xr:uid="{1446D5A2-75F4-49C0-818F-A506FFEEE2AC}">
      <text>
        <t>[Threaded comment]
Your version of Excel allows you to read this threaded comment; however, any edits to it will get removed if the file is opened in a newer version of Excel. Learn more: https://go.microsoft.com/fwlink/?linkid=870924
Comment:
    129m other, 288m EU, 756m other APAC</t>
      </text>
    </comment>
    <comment ref="E146" authorId="29" shapeId="0" xr:uid="{1DF5EE39-C8FB-4475-8FE7-ADC6D1CD4618}">
      <text>
        <t>[Threaded comment]
Your version of Excel allows you to read this threaded comment; however, any edits to it will get removed if the file is opened in a newer version of Excel. Learn more: https://go.microsoft.com/fwlink/?linkid=870924
Comment:
    216m EU, 161m other, 805m Other APAC</t>
      </text>
    </comment>
    <comment ref="G146" authorId="30" shapeId="0" xr:uid="{DD2CD9F0-4D52-41A1-9318-3FB1FCEC2AD9}">
      <text>
        <t>[Threaded comment]
Your version of Excel allows you to read this threaded comment; however, any edits to it will get removed if the file is opened in a newer version of Excel. Learn more: https://go.microsoft.com/fwlink/?linkid=870924
Comment:
    151m Other, 254m EU, 607m Other APAC</t>
      </text>
    </comment>
    <comment ref="H146" authorId="31" shapeId="0" xr:uid="{FCB5C1B5-F411-4AA0-8552-6396ACF5C382}">
      <text>
        <t>[Threaded comment]
Your version of Excel allows you to read this threaded comment; however, any edits to it will get removed if the file is opened in a newer version of Excel. Learn more: https://go.microsoft.com/fwlink/?linkid=870924
Comment:
    240m EU, 175m Other, 698m Other APAC</t>
      </text>
    </comment>
    <comment ref="I146" authorId="32" shapeId="0" xr:uid="{63A90EF7-3038-4F3C-97B2-466FDABC5E09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Europe 247m, Other APAC 955m, Other 225m</t>
      </text>
    </comment>
    <comment ref="J146" authorId="33" shapeId="0" xr:uid="{C63606EF-04FE-45D8-9244-916E253074AB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EU 1118m, Other APAC 3093m, Other 833m</t>
      </text>
    </comment>
    <comment ref="O146" authorId="34" shapeId="0" xr:uid="{8AC347C9-DB8B-48B0-AA14-D262027A155D}">
      <text>
        <t>[Threaded comment]
Your version of Excel allows you to read this threaded comment; however, any edits to it will get removed if the file is opened in a newer version of Excel. Learn more: https://go.microsoft.com/fwlink/?linkid=870924
Comment:
    454m Singapore</t>
      </text>
    </comment>
    <comment ref="Q146" authorId="35" shapeId="0" xr:uid="{EE73B09E-2677-450F-B8B1-9A119FB6CC0B}">
      <text>
        <t>[Threaded comment]
Your version of Excel allows you to read this threaded comment; however, any edits to it will get removed if the file is opened in a newer version of Excel. Learn more: https://go.microsoft.com/fwlink/?linkid=870924
Comment:
    536m Singapore</t>
      </text>
    </comment>
    <comment ref="R146" authorId="36" shapeId="0" xr:uid="{97838103-F970-4B17-BAA4-B0F2ADAC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2288m Singapore (Q4+Q2)</t>
      </text>
    </comment>
    <comment ref="BA146" authorId="37" shapeId="0" xr:uid="{FB8A1EF9-0129-43D9-BD4D-E70349E6A7E0}">
      <text>
        <t>[Threaded comment]
Your version of Excel allows you to read this threaded comment; however, any edits to it will get removed if the file is opened in a newer version of Excel. Learn more: https://go.microsoft.com/fwlink/?linkid=870924
Comment:
    2368m Other APAC, 914m EU, 767m Other</t>
      </text>
    </comment>
    <comment ref="BB146" authorId="38" shapeId="0" xr:uid="{D5B65222-64AF-4587-989D-4D4267FB62AC}">
      <text>
        <t>[Threaded comment]
Your version of Excel allows you to read this threaded comment; however, any edits to it will get removed if the file is opened in a newer version of Excel. Learn more: https://go.microsoft.com/fwlink/?linkid=870924
Comment:
    2685m Other APAC, 992m EU, 599m Other</t>
      </text>
    </comment>
  </commentList>
</comments>
</file>

<file path=xl/sharedStrings.xml><?xml version="1.0" encoding="utf-8"?>
<sst xmlns="http://schemas.openxmlformats.org/spreadsheetml/2006/main" count="287" uniqueCount="259">
  <si>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</si>
  <si>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</si>
  <si>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</si>
  <si>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</si>
  <si>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</si>
  <si>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</si>
  <si>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</si>
  <si>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</si>
  <si>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</si>
  <si>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</si>
  <si>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</si>
  <si>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</si>
  <si>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</si>
  <si>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</si>
  <si>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</si>
  <si>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</si>
  <si>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</si>
  <si>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</si>
  <si>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</si>
  <si>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</si>
  <si>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</si>
  <si>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</si>
  <si>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</si>
  <si>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</si>
  <si>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</si>
  <si>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</si>
  <si>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</si>
  <si>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</si>
  <si>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</si>
  <si>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</si>
  <si>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</si>
  <si>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</si>
  <si>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</si>
  <si>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</si>
  <si>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</si>
  <si>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</si>
  <si>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</si>
  <si>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</si>
  <si>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</si>
  <si>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</si>
  <si>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</si>
  <si>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</si>
  <si>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</si>
  <si>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</si>
  <si>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</si>
  <si>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</si>
  <si>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</si>
  <si>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</si>
  <si>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</si>
  <si>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</si>
  <si>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</si>
  <si>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</si>
  <si>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</si>
  <si>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</si>
  <si>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</si>
  <si>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</si>
  <si>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</si>
  <si>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</si>
  <si>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</si>
  <si>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</si>
  <si>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</si>
  <si>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</si>
  <si>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</si>
  <si>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</si>
  <si>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</si>
  <si>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</si>
  <si>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</si>
  <si>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</si>
  <si>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</si>
  <si>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</si>
  <si>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</si>
  <si>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</si>
  <si>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</si>
  <si>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</si>
  <si>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</si>
  <si>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</si>
  <si>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</si>
  <si>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</si>
  <si>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</si>
  <si>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</si>
  <si>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</si>
  <si>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</si>
  <si>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</si>
  <si>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</si>
  <si>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</si>
  <si>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</si>
  <si>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</si>
  <si>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</si>
  <si>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</si>
  <si>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</si>
  <si>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</si>
  <si>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</si>
  <si>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</si>
  <si>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</si>
  <si>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</si>
  <si>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</si>
  <si>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</si>
  <si>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</si>
  <si>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</si>
  <si>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</si>
  <si>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</si>
  <si>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</si>
  <si>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</si>
  <si>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</si>
  <si>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</si>
  <si>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</si>
  <si>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</si>
  <si>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</si>
  <si>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</si>
  <si>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</si>
  <si>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</si>
  <si>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</si>
  <si>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</si>
  <si>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</si>
  <si>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</si>
  <si>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</si>
  <si>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</si>
  <si>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</si>
  <si>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</si>
  <si>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</si>
  <si>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</si>
  <si>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</si>
  <si>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</si>
  <si>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</si>
  <si>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</si>
  <si>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</si>
  <si>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</si>
  <si>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</si>
  <si>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</si>
  <si>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</si>
  <si>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</si>
  <si>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</si>
  <si>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</si>
  <si>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</si>
  <si>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</si>
  <si>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</si>
  <si>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</si>
  <si>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</si>
  <si>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</si>
  <si>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</si>
  <si>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</si>
  <si>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</si>
  <si>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</si>
  <si>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</si>
  <si>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</si>
  <si>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</si>
  <si>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</si>
  <si>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</si>
  <si>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</si>
  <si>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</si>
  <si>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</si>
  <si>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</si>
  <si>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</si>
  <si>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</si>
  <si>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</si>
  <si>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</si>
  <si>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</si>
  <si>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</si>
  <si>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</si>
  <si>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</si>
  <si>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</si>
  <si>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</si>
  <si>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</si>
  <si>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</si>
  <si>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</si>
  <si>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</si>
  <si>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</si>
  <si>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</si>
  <si>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</si>
  <si>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</si>
  <si>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</si>
  <si>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</si>
  <si>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</si>
  <si>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</si>
  <si>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</si>
  <si>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</si>
  <si>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</si>
  <si>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</si>
  <si>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</si>
  <si>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</si>
  <si>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</si>
  <si>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</si>
  <si>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</si>
  <si>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</si>
  <si>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</si>
  <si>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</si>
  <si>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</si>
  <si>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</si>
  <si>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</si>
  <si>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</si>
  <si>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</si>
  <si>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</si>
  <si>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</si>
  <si>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</si>
  <si>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</si>
  <si>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</si>
  <si>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</si>
  <si>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</si>
  <si>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</si>
  <si>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</si>
  <si>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</si>
  <si>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</si>
  <si>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</si>
  <si>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</si>
  <si>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</si>
  <si>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</si>
  <si>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</si>
  <si>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</si>
  <si>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</si>
  <si>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</si>
  <si>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</si>
  <si>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</si>
  <si>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</si>
  <si>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</si>
  <si>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</si>
  <si>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</si>
  <si>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</si>
  <si>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</si>
  <si>
    <t>FY35</t>
  </si>
  <si>
    <t>Consensus 4/25/25 - Revenue</t>
  </si>
  <si>
    <t>Consensus 4/25/25 - EPS</t>
  </si>
  <si>
    <t>US</t>
  </si>
  <si>
    <t>Taiwan</t>
  </si>
  <si>
    <t>Singapore</t>
  </si>
  <si>
    <t>China</t>
  </si>
  <si>
    <t>2/8/22: Arm deal terminated with SoftBank.</t>
  </si>
  <si>
    <t>4/27/2020: Mellanox acquisition: $7.1B.</t>
  </si>
  <si>
    <t>9/13/2020: Announced Arm deal for $40B.</t>
  </si>
  <si>
    <t>Q120</t>
  </si>
  <si>
    <t>Q220</t>
  </si>
  <si>
    <t>Q320</t>
  </si>
  <si>
    <t>Q420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</si>
  <si>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</si>
  <si>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</si>
  <si>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</si>
  <si>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</si>
  <si>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</si>
  <si>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</si>
  <si>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</si>
  <si>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</si>
  <si>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</si>
  <si>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</si>
  <si>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</si>
  <si>
    <t>Rubin</t>
  </si>
  <si>
    <t>B100</t>
  </si>
  <si>
    <t>R100</t>
  </si>
  <si>
    <t>250-300</t>
  </si>
  <si>
    <t>TDP</t>
  </si>
  <si>
    <t>taped out June 2025, next version taping out in September?</t>
  </si>
  <si>
    <t>limited 2026</t>
  </si>
  <si>
    <t>MI450 - upcoming AMD chip, Broadcom chip, OpenAI chip</t>
  </si>
  <si>
    <t>Forecast</t>
  </si>
  <si>
    <t>Diff</t>
  </si>
  <si>
    <t>B300</t>
  </si>
  <si>
    <t>B200 (Blackwell Ultra?)</t>
  </si>
  <si>
    <t>"has generated 10s of billions in revenue"</t>
  </si>
  <si>
    <t>"at Fab, on schedule for volume production next year. 3D-gen NVLink"</t>
  </si>
  <si>
    <t>Competition</t>
  </si>
  <si>
    <t>Ampere Computing acquired by Softbank for $6.5B?!?! Only $16m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</si>
</sst>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  <xf numFmtId="0" fontId="0" fillId="0" borderId="7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35319</xdr:colOff>
      <xdr:row>0</xdr:row>
      <xdr:rowOff>18143</xdr:rowOff>
    </xdr:from>
    <xdr:to>
      <xdr:col>28</xdr:col>
      <xdr:colOff>35319</xdr:colOff>
      <xdr:row>156</xdr:row>
      <xdr:rowOff>96971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9829176" y="18143"/>
          <a:ext cx="0" cy="250361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26835</xdr:colOff>
      <xdr:row>0</xdr:row>
      <xdr:rowOff>98535</xdr:rowOff>
    </xdr:from>
    <xdr:to>
      <xdr:col>59</xdr:col>
      <xdr:colOff>26835</xdr:colOff>
      <xdr:row>146</xdr:row>
      <xdr:rowOff>118242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28877732" y="98535"/>
          <a:ext cx="0" cy="2366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21" dT="2025-08-27T23:38:43.45" personId="{C526F2C0-66C0-534F-AADF-50BFCB37FCD4}" id="{250E49C1-DC6B-44A4-8507-21CC369BDF67}">
    <text>$650m H20
Sequential increase in H100/H200</text>
  </threadedComment>
  <threadedComment ref="S22" dT="2024-02-21T20:05:44.73" personId="{C526F2C0-66C0-534F-AADF-50BFCB37FCD4}" id="{E320785E-9BCE-AC4E-B37C-7EB104B6CF82}">
    <text>H100 started shipping</text>
  </threadedComment>
  <threadedComment ref="Z22" dT="2024-08-28T21:08:16.17" personId="{C526F2C0-66C0-534F-AADF-50BFCB37FCD4}" id="{AC62E1DD-5F48-4CE0-8635-05BA74B5AC99}">
    <text>Blackwell will sell several billion
Blackwall product ramp starts</text>
  </threadedComment>
  <threadedComment ref="AB22" dT="2025-08-27T23:32:35.75" personId="{C526F2C0-66C0-534F-AADF-50BFCB37FCD4}" id="{2165D505-0B46-44B7-8C69-AAD20A48D84E}">
    <text>4B H20 decline
Blackwell +17% q/q
GB300 shipments began</text>
  </threadedComment>
  <threadedComment ref="D24" dT="2025-04-26T15:42:26.18" personId="{C526F2C0-66C0-534F-AADF-50BFCB37FCD4}" id="{C2D17C36-71EE-44D1-BD93-5339CE250BCE}">
    <text>2889m if Mellanox combined</text>
  </threadedComment>
  <threadedComment ref="E24" dT="2025-04-26T15:37:01.64" personId="{C526F2C0-66C0-534F-AADF-50BFCB37FCD4}" id="{DD04AD72-6E1B-4623-8D6F-85C70969715D}">
    <text>3350m if Mellanox were combined</text>
  </threadedComment>
  <threadedComment ref="S24" dT="2024-02-21T20:05:14.08" personId="{C526F2C0-66C0-534F-AADF-50BFCB37FCD4}" id="{3CFE94FA-5EAC-7E47-B7D3-031052D60B7C}">
    <text>6.5B guidance</text>
  </threadedComment>
  <threadedComment ref="T24" dT="2024-02-21T19:58:52.64" personId="{C526F2C0-66C0-534F-AADF-50BFCB37FCD4}" id="{23E40331-82EE-794B-BF71-362AABD49EB0}">
    <text>Guidance was 11B</text>
  </threadedComment>
  <threadedComment ref="U24" dT="2024-02-21T19:55:06.51" personId="{C526F2C0-66C0-534F-AADF-50BFCB37FCD4}" id="{7661685F-D234-EE4D-9EE3-823EB4FBA0E2}">
    <text>Guidance was 16B</text>
  </threadedComment>
  <threadedComment ref="W24" dT="2024-02-21T20:21:53.11" personId="{C526F2C0-66C0-534F-AADF-50BFCB37FCD4}" id="{195B7556-9D37-2C4A-AE00-5F1730A1F989}">
    <text>Consensus 20.570B
2/21/24 guided to 23.52-24.48B</text>
  </threadedComment>
  <threadedComment ref="X24" dT="2024-08-28T19:54:29.44" personId="{C526F2C0-66C0-534F-AADF-50BFCB37FCD4}" id="{ABEADC1D-5EB0-4C3F-94A3-CDCB9F5F27A0}">
    <text>Guidance: 28000</text>
  </threadedComment>
  <threadedComment ref="Y24" dT="2024-08-28T20:02:46.45" personId="{C526F2C0-66C0-534F-AADF-50BFCB37FCD4}" id="{4E6E582A-C13D-49BC-B7B1-29F955B3A8F8}">
    <text>Consensus 31.7</text>
  </threadedComment>
  <threadedComment ref="Z24" dT="2025-02-26T16:48:39.66" personId="{C526F2C0-66C0-534F-AADF-50BFCB37FCD4}" id="{797E6991-901E-44BC-97CB-E306AC374116}">
    <text>38250 consensus</text>
  </threadedComment>
  <threadedComment ref="AA24" dT="2025-02-26T16:57:38.01" personId="{C526F2C0-66C0-534F-AADF-50BFCB37FCD4}" id="{5C4B539B-3737-41A2-ACD8-5457F543DF7D}">
    <text>Q4 guidance: 43B +- 2%
42.26B consensus, moved up to 43.34B</text>
  </threadedComment>
  <threadedComment ref="AB24" dT="2025-05-28T13:38:02.17" personId="{C526F2C0-66C0-534F-AADF-50BFCB37FCD4}" id="{0AFD1808-6C0F-4C3F-9836-027F1D0FF106}">
    <text>45.92B consensus 5/28/25
46.05B consensus 8/27/25</text>
  </threadedComment>
  <threadedComment ref="AC24" dT="2025-05-28T13:39:37.10" personId="{C526F2C0-66C0-534F-AADF-50BFCB37FCD4}" id="{48933EFE-5C5F-49EA-A80E-E765DE830619}">
    <text>51.75B consensus 5/28/25
53.43B consensus 8/27/25
Q2 guidance: 54B +/- 2%</text>
  </threadedComment>
  <threadedComment ref="AD24" dT="2025-05-28T13:40:30.80" personId="{C526F2C0-66C0-534F-AADF-50BFCB37FCD4}" id="{BDF99649-FFA5-4806-8F0A-EDE5EB314212}">
    <text>57.23B consensus 5/28/25</text>
  </threadedComment>
  <threadedComment ref="BH24" dT="2025-02-26T16:49:05.11" personId="{C526F2C0-66C0-534F-AADF-50BFCB37FCD4}" id="{4E056475-A7E3-43D8-B802-93813DACE25F}">
    <text>196490 consensus</text>
  </threadedComment>
  <threadedComment ref="BI24" dT="2025-05-28T14:08:43.60" personId="{C526F2C0-66C0-534F-AADF-50BFCB37FCD4}" id="{472BDDD3-4E0A-4C08-8760-ABFC4732C8A2}">
    <text>247.91B consensus 5/28/25</text>
  </threadedComment>
  <threadedComment ref="X128" dT="2025-08-27T14:48:54.19" personId="{C526F2C0-66C0-534F-AADF-50BFCB37FCD4}" id="{63238D4C-CE84-4838-9552-C1CFED1CB057}">
    <text>Raised 6B Series B</text>
  </threadedComment>
  <threadedComment ref="Z128" dT="2025-08-27T14:48:39.95" personId="{C526F2C0-66C0-534F-AADF-50BFCB37FCD4}" id="{E0BD4732-6672-4A8E-98DD-D80F8291DB33}">
    <text>Raised 6B Series C</text>
  </threadedComment>
  <threadedComment ref="AB128" dT="2025-08-27T14:48:03.15" personId="{C526F2C0-66C0-534F-AADF-50BFCB37FCD4}" id="{250CB3BC-420E-44BF-AC5C-6793B6001B85}">
    <text>Raised 10.3B, 5.3B equity, 5.0B debt</text>
  </threadedComment>
  <threadedComment ref="Y129" dT="2025-08-27T14:50:27.29" personId="{C526F2C0-66C0-534F-AADF-50BFCB37FCD4}" id="{BD911E99-9212-4EF4-8813-69E92C9CA73A}">
    <text>Raised $4B from Amazon</text>
  </threadedComment>
  <threadedComment ref="Z129" dT="2025-08-27T14:50:18.16" personId="{C526F2C0-66C0-534F-AADF-50BFCB37FCD4}" id="{5BA76EC3-8C9B-47F0-9FDC-F22595796871}">
    <text>Raised $1B from Google</text>
  </threadedComment>
  <threadedComment ref="AA129" dT="2025-08-27T14:50:00.47" personId="{C526F2C0-66C0-534F-AADF-50BFCB37FCD4}" id="{14970EBD-D16F-43B3-AC0D-F662CDAE4F87}">
    <text>Raised 6B: 3.5B Series E, 2.5B debt</text>
  </threadedComment>
  <threadedComment ref="Z133" dT="2025-08-27T14:51:50.60" personId="{C526F2C0-66C0-534F-AADF-50BFCB37FCD4}" id="{DD0672ED-71A7-4FEE-8963-AC8C3EB46492}">
    <text>Raised 10.6B in equity/debt</text>
  </threadedComment>
  <threadedComment ref="AA133" dT="2025-08-27T14:51:27.89" personId="{C526F2C0-66C0-534F-AADF-50BFCB37FCD4}" id="{E135F8C4-952E-4ED7-BF9D-C71E486C0EE2}">
    <text>Raised 40B from SoftBank/others</text>
  </threadedComment>
  <threadedComment ref="C146" dT="2025-04-26T15:49:13.84" personId="{C526F2C0-66C0-534F-AADF-50BFCB37FCD4}" id="{1DF99399-1918-4E2C-8279-9C2FF687E1E3}">
    <text>133m Other, 249m EU, 422m Other APAC</text>
  </threadedComment>
  <threadedComment ref="D146" dT="2025-04-26T15:43:40.38" personId="{C526F2C0-66C0-534F-AADF-50BFCB37FCD4}" id="{1446D5A2-75F4-49C0-818F-A506FFEEE2AC}">
    <text>129m other, 288m EU, 756m other APAC</text>
  </threadedComment>
  <threadedComment ref="E146" dT="2025-04-26T15:38:37.30" personId="{C526F2C0-66C0-534F-AADF-50BFCB37FCD4}" id="{1DF5EE39-C8FB-4475-8FE7-ADC6D1CD4618}">
    <text>216m EU, 161m other, 805m Other APAC</text>
  </threadedComment>
  <threadedComment ref="G146" dT="2025-04-26T15:08:33.59" personId="{C526F2C0-66C0-534F-AADF-50BFCB37FCD4}" id="{DD2CD9F0-4D52-41A1-9318-3FB1FCEC2AD9}">
    <text>151m Other, 254m EU, 607m Other APAC</text>
  </threadedComment>
  <threadedComment ref="H146" dT="2025-04-26T15:06:24.83" personId="{C526F2C0-66C0-534F-AADF-50BFCB37FCD4}" id="{FCB5C1B5-F411-4AA0-8552-6396ACF5C382}">
    <text>240m EU, 175m Other, 698m Other APAC</text>
  </threadedComment>
  <threadedComment ref="I146" dT="2025-04-26T15:03:55.10" personId="{C526F2C0-66C0-534F-AADF-50BFCB37FCD4}" id="{63A90EF7-3038-4F3C-97B2-466FDABC5E09}">
    <text>Europe 247m, Other APAC 955m, Other 225m</text>
  </threadedComment>
  <threadedComment ref="J146" dT="2025-04-26T15:26:37.52" personId="{C526F2C0-66C0-534F-AADF-50BFCB37FCD4}" id="{C63606EF-04FE-45D8-9244-916E253074AB}">
    <text>TTM EU 1118m, Other APAC 3093m, Other 833m</text>
  </threadedComment>
  <threadedComment ref="O146" dT="2025-04-26T14:56:45.38" personId="{C526F2C0-66C0-534F-AADF-50BFCB37FCD4}" id="{8AC347C9-DB8B-48B0-AA14-D262027A155D}">
    <text>454m Singapore</text>
  </threadedComment>
  <threadedComment ref="Q146" dT="2025-04-26T14:45:52.99" personId="{C526F2C0-66C0-534F-AADF-50BFCB37FCD4}" id="{EE73B09E-2677-450F-B8B1-9A119FB6CC0B}">
    <text>536m Singapore</text>
  </threadedComment>
  <threadedComment ref="R146" dT="2025-04-26T14:57:01.49" personId="{C526F2C0-66C0-534F-AADF-50BFCB37FCD4}" id="{97838103-F970-4B17-BAA4-B0F2ADACFA86}">
    <text>2288m Singapore (Q4+Q2)</text>
  </threadedComment>
  <threadedComment ref="BA146" dT="2025-04-26T15:27:26.33" personId="{C526F2C0-66C0-534F-AADF-50BFCB37FCD4}" id="{FB8A1EF9-0129-43D9-BD4D-E70349E6A7E0}">
    <text>2368m Other APAC, 914m EU, 767m Other</text>
  </threadedComment>
  <threadedComment ref="BB146" dT="2025-04-26T15:27:36.53" personId="{C526F2C0-66C0-534F-AADF-50BFCB37FCD4}" id="{D5B65222-64AF-4587-989D-4D4267FB62AC}">
    <text>2685m Other APAC, 992m EU, 599m Other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35"/>
  <sheetViews>
    <sheetView zoomScale="160" zoomScaleNormal="160" workbookViewId="0">
      <selection activeCell="C36" sqref="C36"/>
    </sheetView>
  </sheetViews>
  <sheetFormatPr defaultRowHeight="12.5" x14ac:dyDescent="0.25"/>
  <cols>
    <col min="1" max="1" width="4.1796875" customWidth="1"/>
    <col min="11" max="11" width="10.1796875" customWidth="1"/>
  </cols>
  <sheetData>
    <row r="2" spans="2:12" x14ac:dyDescent="0.25">
      <c r="B2" s="25" t="s">
        <v>131</v>
      </c>
      <c r="C2" s="26"/>
      <c r="D2" s="35" t="s">
        <v>247</v>
      </c>
      <c r="E2" s="26"/>
      <c r="F2" s="26"/>
      <c r="G2" s="26"/>
      <c r="H2" s="27"/>
      <c r="J2" t="s">
        <v>112</v>
      </c>
      <c r="K2" s="15">
        <v>180</v>
      </c>
    </row>
    <row r="3" spans="2:12" x14ac:dyDescent="0.25">
      <c r="B3" s="19" t="s">
        <v>245</v>
      </c>
      <c r="C3" t="s">
        <v>130</v>
      </c>
      <c r="D3">
        <v>2000</v>
      </c>
      <c r="E3" t="s">
        <v>256</v>
      </c>
      <c r="H3" s="20"/>
      <c r="J3" t="s">
        <v>13</v>
      </c>
      <c r="K3" s="2">
        <v>24611</v>
      </c>
      <c r="L3" s="3" t="s">
        <v>49</v>
      </c>
    </row>
    <row r="4" spans="2:12" x14ac:dyDescent="0.25">
      <c r="B4" s="19" t="s">
        <v>244</v>
      </c>
      <c r="C4" t="s">
        <v>130</v>
      </c>
      <c r="D4">
        <v>700</v>
      </c>
      <c r="H4" s="20"/>
      <c r="J4" t="s">
        <v>113</v>
      </c>
      <c r="K4" s="2">
        <f>+K2*K3</f>
        <v>4429980</v>
      </c>
    </row>
    <row r="5" spans="2:12" x14ac:dyDescent="0.25">
      <c r="B5" s="19" t="s">
        <v>254</v>
      </c>
      <c r="E5" t="s">
        <v>255</v>
      </c>
      <c r="H5" s="20"/>
      <c r="J5" t="s">
        <v>38</v>
      </c>
      <c r="K5" s="2">
        <v>53691</v>
      </c>
      <c r="L5" s="3" t="s">
        <v>49</v>
      </c>
    </row>
    <row r="6" spans="2:12" x14ac:dyDescent="0.25">
      <c r="B6" s="19" t="s">
        <v>253</v>
      </c>
      <c r="H6" s="20"/>
      <c r="J6" t="s">
        <v>34</v>
      </c>
      <c r="K6" s="2">
        <v>8464</v>
      </c>
      <c r="L6" s="3" t="s">
        <v>49</v>
      </c>
    </row>
    <row r="7" spans="2:12" x14ac:dyDescent="0.25">
      <c r="B7" s="19" t="s">
        <v>119</v>
      </c>
      <c r="C7" t="s">
        <v>130</v>
      </c>
      <c r="D7">
        <v>700</v>
      </c>
      <c r="H7" s="20"/>
      <c r="J7" t="s">
        <v>114</v>
      </c>
      <c r="K7" s="2">
        <f>+K4-K5+K6</f>
        <v>4384753</v>
      </c>
    </row>
    <row r="8" spans="2:12" x14ac:dyDescent="0.25">
      <c r="B8" s="19" t="s">
        <v>120</v>
      </c>
      <c r="C8" t="s">
        <v>130</v>
      </c>
      <c r="D8">
        <v>400</v>
      </c>
      <c r="H8" s="20"/>
      <c r="K8" s="15"/>
    </row>
    <row r="9" spans="2:12" x14ac:dyDescent="0.25">
      <c r="B9" s="19" t="s">
        <v>121</v>
      </c>
      <c r="C9" t="s">
        <v>130</v>
      </c>
      <c r="D9" s="3" t="s">
        <v>246</v>
      </c>
      <c r="H9" s="20"/>
      <c r="J9" t="s">
        <v>175</v>
      </c>
      <c r="K9" s="28">
        <v>1993</v>
      </c>
    </row>
    <row r="10" spans="2:12" x14ac:dyDescent="0.25">
      <c r="B10" s="21" t="s">
        <v>122</v>
      </c>
      <c r="C10" t="s">
        <v>129</v>
      </c>
      <c r="D10">
        <v>450</v>
      </c>
      <c r="H10" s="20"/>
    </row>
    <row r="11" spans="2:12" x14ac:dyDescent="0.25">
      <c r="B11" s="21">
        <v>5090</v>
      </c>
      <c r="C11" t="s">
        <v>129</v>
      </c>
      <c r="D11">
        <v>575</v>
      </c>
      <c r="H11" s="20"/>
    </row>
    <row r="12" spans="2:12" x14ac:dyDescent="0.25">
      <c r="B12" s="19" t="s">
        <v>123</v>
      </c>
      <c r="C12" t="s">
        <v>124</v>
      </c>
      <c r="H12" s="20"/>
    </row>
    <row r="13" spans="2:12" x14ac:dyDescent="0.25">
      <c r="B13" s="19" t="s">
        <v>125</v>
      </c>
      <c r="C13" t="s">
        <v>128</v>
      </c>
      <c r="H13" s="20"/>
    </row>
    <row r="14" spans="2:12" x14ac:dyDescent="0.25">
      <c r="B14" s="19" t="s">
        <v>126</v>
      </c>
      <c r="C14" t="s">
        <v>127</v>
      </c>
      <c r="H14" s="20"/>
    </row>
    <row r="15" spans="2:12" x14ac:dyDescent="0.25">
      <c r="B15" s="19" t="s">
        <v>134</v>
      </c>
      <c r="C15" t="s">
        <v>135</v>
      </c>
      <c r="H15" s="20"/>
      <c r="K15" t="s">
        <v>225</v>
      </c>
    </row>
    <row r="16" spans="2:12" x14ac:dyDescent="0.25">
      <c r="B16" s="19" t="s">
        <v>136</v>
      </c>
      <c r="C16" t="s">
        <v>137</v>
      </c>
      <c r="D16" t="s">
        <v>168</v>
      </c>
      <c r="H16" s="20"/>
      <c r="K16" t="s">
        <v>227</v>
      </c>
    </row>
    <row r="17" spans="2:11" x14ac:dyDescent="0.25">
      <c r="B17" s="19" t="s">
        <v>138</v>
      </c>
      <c r="H17" s="20"/>
      <c r="K17" t="s">
        <v>226</v>
      </c>
    </row>
    <row r="18" spans="2:11" x14ac:dyDescent="0.25">
      <c r="B18" s="19" t="s">
        <v>139</v>
      </c>
      <c r="H18" s="20"/>
      <c r="K18" t="s">
        <v>118</v>
      </c>
    </row>
    <row r="19" spans="2:11" x14ac:dyDescent="0.25">
      <c r="B19" s="22" t="s">
        <v>140</v>
      </c>
      <c r="C19" s="23"/>
      <c r="D19" s="23"/>
      <c r="E19" s="23"/>
      <c r="F19" s="23"/>
      <c r="G19" s="23"/>
      <c r="H19" s="24"/>
      <c r="K19" t="s">
        <v>116</v>
      </c>
    </row>
    <row r="20" spans="2:11" x14ac:dyDescent="0.25">
      <c r="K20" t="s">
        <v>117</v>
      </c>
    </row>
    <row r="21" spans="2:11" x14ac:dyDescent="0.25">
      <c r="B21" t="s">
        <v>141</v>
      </c>
      <c r="C21" t="s">
        <v>142</v>
      </c>
      <c r="K21" t="s">
        <v>115</v>
      </c>
    </row>
    <row r="22" spans="2:11" x14ac:dyDescent="0.25">
      <c r="B22" t="s">
        <v>143</v>
      </c>
      <c r="C22" t="s">
        <v>144</v>
      </c>
      <c r="K22" t="s">
        <v>132</v>
      </c>
    </row>
    <row r="23" spans="2:11" x14ac:dyDescent="0.25">
      <c r="B23" t="s">
        <v>145</v>
      </c>
      <c r="C23" t="s">
        <v>146</v>
      </c>
      <c r="K23" t="s">
        <v>133</v>
      </c>
    </row>
    <row r="26" spans="2:11" x14ac:dyDescent="0.25">
      <c r="B26" t="s">
        <v>159</v>
      </c>
    </row>
    <row r="27" spans="2:11" x14ac:dyDescent="0.25">
      <c r="B27" t="s">
        <v>169</v>
      </c>
    </row>
    <row r="29" spans="2:11" x14ac:dyDescent="0.25">
      <c r="I29" t="s">
        <v>249</v>
      </c>
    </row>
    <row r="31" spans="2:11" x14ac:dyDescent="0.25">
      <c r="B31" t="s">
        <v>243</v>
      </c>
      <c r="C31" t="s">
        <v>248</v>
      </c>
      <c r="F31" t="s">
        <v>250</v>
      </c>
    </row>
    <row r="34" spans="2:3" x14ac:dyDescent="0.25">
      <c r="B34" t="s">
        <v>257</v>
      </c>
    </row>
    <row r="35" spans="2:3" x14ac:dyDescent="0.25">
      <c r="C35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FE146"/>
  <sheetViews>
    <sheetView tabSelected="1" zoomScale="115" zoomScaleNormal="115" workbookViewId="0">
      <pane xSplit="2" ySplit="3" topLeftCell="W4" activePane="bottomRight" state="frozen"/>
      <selection pane="topRight" activeCell="C1" sqref="C1"/>
      <selection pane="bottomLeft" activeCell="A4" sqref="A4"/>
      <selection pane="bottomRight" activeCell="AE26" sqref="AE26"/>
    </sheetView>
  </sheetViews>
  <sheetFormatPr defaultColWidth="8.81640625" defaultRowHeight="12.5" x14ac:dyDescent="0.25"/>
  <cols>
    <col min="1" max="1" width="5" bestFit="1" customWidth="1"/>
    <col min="2" max="2" width="22.54296875" customWidth="1"/>
    <col min="3" max="19" width="9.7265625" style="3" customWidth="1"/>
    <col min="20" max="21" width="9.7265625" customWidth="1"/>
    <col min="22" max="48" width="10.1796875" customWidth="1"/>
    <col min="49" max="50" width="9.26953125" bestFit="1" customWidth="1"/>
    <col min="51" max="51" width="9.26953125" customWidth="1"/>
    <col min="52" max="52" width="9.26953125" bestFit="1" customWidth="1"/>
    <col min="53" max="53" width="9.26953125" customWidth="1"/>
    <col min="54" max="59" width="10" customWidth="1"/>
    <col min="60" max="68" width="10.453125" customWidth="1"/>
    <col min="69" max="69" width="10.26953125" customWidth="1"/>
  </cols>
  <sheetData>
    <row r="1" spans="1:69" x14ac:dyDescent="0.25">
      <c r="A1" s="18" t="s">
        <v>0</v>
      </c>
    </row>
    <row r="2" spans="1:69" x14ac:dyDescent="0.25">
      <c r="C2" s="13">
        <v>43583</v>
      </c>
      <c r="D2" s="13">
        <v>43674</v>
      </c>
      <c r="E2" s="13">
        <v>43765</v>
      </c>
      <c r="F2" s="13">
        <f>+BB2</f>
        <v>43856</v>
      </c>
      <c r="G2" s="13">
        <v>43947</v>
      </c>
      <c r="H2" s="13">
        <v>44038</v>
      </c>
      <c r="I2" s="13">
        <v>44129</v>
      </c>
      <c r="J2" s="13">
        <v>44227</v>
      </c>
      <c r="K2" s="13">
        <v>44318</v>
      </c>
      <c r="L2" s="13">
        <v>44409</v>
      </c>
      <c r="M2" s="13">
        <v>44500</v>
      </c>
      <c r="N2" s="13">
        <v>44591</v>
      </c>
      <c r="O2" s="13">
        <v>44682</v>
      </c>
      <c r="P2" s="13">
        <f>+Q2-91</f>
        <v>44773</v>
      </c>
      <c r="Q2" s="13">
        <v>44864</v>
      </c>
      <c r="R2" s="13">
        <v>44955</v>
      </c>
      <c r="S2" s="13">
        <v>45046</v>
      </c>
      <c r="T2" s="13">
        <v>45135</v>
      </c>
      <c r="U2" s="13">
        <v>45228</v>
      </c>
      <c r="V2" s="13">
        <v>45319</v>
      </c>
      <c r="W2" s="13">
        <v>45410</v>
      </c>
      <c r="X2" s="13">
        <f>+T2+366</f>
        <v>45501</v>
      </c>
      <c r="Y2" s="13">
        <v>45592</v>
      </c>
      <c r="Z2" s="13">
        <v>45683</v>
      </c>
      <c r="AA2" s="13">
        <f>+W2+364</f>
        <v>45774</v>
      </c>
      <c r="AB2" s="13">
        <f>+X2+365</f>
        <v>45866</v>
      </c>
      <c r="AC2" s="13">
        <f>+Y2+365</f>
        <v>45957</v>
      </c>
      <c r="AD2" s="13">
        <f>+Z2+365</f>
        <v>46048</v>
      </c>
      <c r="AE2" s="13"/>
      <c r="AF2" s="13"/>
      <c r="AG2" s="13"/>
      <c r="AH2" s="13">
        <v>36555</v>
      </c>
      <c r="AI2" s="13">
        <v>36919</v>
      </c>
      <c r="AJ2" s="13">
        <v>37283</v>
      </c>
      <c r="AK2" s="13">
        <v>37646</v>
      </c>
      <c r="AL2" s="13">
        <v>38011</v>
      </c>
      <c r="AM2" s="13">
        <v>38382</v>
      </c>
      <c r="AN2" s="13">
        <v>38746</v>
      </c>
      <c r="AO2" s="13">
        <v>39110</v>
      </c>
      <c r="AP2" s="13">
        <v>39474</v>
      </c>
      <c r="AQ2" s="13">
        <v>39838</v>
      </c>
      <c r="AR2" s="13">
        <v>40208</v>
      </c>
      <c r="AS2" s="1">
        <v>40573</v>
      </c>
      <c r="AT2" s="1">
        <v>40937</v>
      </c>
      <c r="AU2" s="1">
        <v>41301</v>
      </c>
      <c r="AV2" s="1">
        <v>41665</v>
      </c>
      <c r="AW2" s="1">
        <v>42029</v>
      </c>
      <c r="AX2" s="1">
        <v>42400</v>
      </c>
      <c r="AY2" s="1">
        <v>42764</v>
      </c>
      <c r="AZ2" s="1">
        <v>43128</v>
      </c>
      <c r="BA2" s="1">
        <v>43492</v>
      </c>
      <c r="BB2" s="1">
        <v>43856</v>
      </c>
      <c r="BC2" s="1">
        <v>44227</v>
      </c>
      <c r="BD2" s="1">
        <v>44591</v>
      </c>
      <c r="BE2" s="1">
        <f>+BF2-365</f>
        <v>44955</v>
      </c>
      <c r="BF2" s="1">
        <v>45320</v>
      </c>
      <c r="BG2" s="1">
        <f>Z2</f>
        <v>45683</v>
      </c>
      <c r="BH2" s="1">
        <f t="shared" ref="BH2:BP2" si="0">+BG2+365</f>
        <v>46048</v>
      </c>
      <c r="BI2" s="1">
        <f t="shared" si="0"/>
        <v>46413</v>
      </c>
      <c r="BJ2" s="1">
        <f t="shared" si="0"/>
        <v>46778</v>
      </c>
      <c r="BK2" s="1">
        <f t="shared" si="0"/>
        <v>47143</v>
      </c>
      <c r="BL2" s="1">
        <f t="shared" si="0"/>
        <v>47508</v>
      </c>
      <c r="BM2" s="1">
        <f t="shared" si="0"/>
        <v>47873</v>
      </c>
      <c r="BN2" s="1">
        <f t="shared" si="0"/>
        <v>48238</v>
      </c>
      <c r="BO2" s="1">
        <f t="shared" si="0"/>
        <v>48603</v>
      </c>
      <c r="BP2" s="1">
        <f t="shared" si="0"/>
        <v>48968</v>
      </c>
      <c r="BQ2" s="1">
        <f t="shared" ref="BQ2" si="1">+BP2+365</f>
        <v>49333</v>
      </c>
    </row>
    <row r="3" spans="1:69" x14ac:dyDescent="0.25">
      <c r="C3" s="4" t="s">
        <v>228</v>
      </c>
      <c r="D3" s="4" t="s">
        <v>229</v>
      </c>
      <c r="E3" s="4" t="s">
        <v>230</v>
      </c>
      <c r="F3" s="4" t="s">
        <v>231</v>
      </c>
      <c r="G3" s="4" t="s">
        <v>177</v>
      </c>
      <c r="H3" s="4" t="s">
        <v>178</v>
      </c>
      <c r="I3" s="4" t="s">
        <v>172</v>
      </c>
      <c r="J3" s="4" t="s">
        <v>29</v>
      </c>
      <c r="K3" s="4" t="s">
        <v>26</v>
      </c>
      <c r="L3" s="4" t="s">
        <v>27</v>
      </c>
      <c r="M3" s="4" t="s">
        <v>28</v>
      </c>
      <c r="N3" s="4" t="s">
        <v>23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25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4" t="s">
        <v>52</v>
      </c>
      <c r="AA3" s="4" t="s">
        <v>193</v>
      </c>
      <c r="AB3" s="4" t="s">
        <v>194</v>
      </c>
      <c r="AC3" s="4" t="s">
        <v>195</v>
      </c>
      <c r="AD3" s="4" t="s">
        <v>196</v>
      </c>
      <c r="AE3" s="4"/>
      <c r="AF3" s="4"/>
      <c r="AG3" s="4"/>
      <c r="AH3" s="4" t="s">
        <v>242</v>
      </c>
      <c r="AI3" s="4" t="s">
        <v>241</v>
      </c>
      <c r="AJ3" s="4" t="s">
        <v>240</v>
      </c>
      <c r="AK3" s="4" t="s">
        <v>239</v>
      </c>
      <c r="AL3" s="4" t="s">
        <v>238</v>
      </c>
      <c r="AM3" s="4" t="s">
        <v>237</v>
      </c>
      <c r="AN3" s="4" t="s">
        <v>236</v>
      </c>
      <c r="AO3" s="4" t="s">
        <v>235</v>
      </c>
      <c r="AP3" s="4" t="s">
        <v>234</v>
      </c>
      <c r="AQ3" s="4" t="s">
        <v>233</v>
      </c>
      <c r="AR3" s="4" t="s">
        <v>232</v>
      </c>
      <c r="AS3" s="4" t="s">
        <v>186</v>
      </c>
      <c r="AT3" s="4" t="s">
        <v>185</v>
      </c>
      <c r="AU3" s="4" t="s">
        <v>184</v>
      </c>
      <c r="AV3" s="4" t="s">
        <v>183</v>
      </c>
      <c r="AW3" s="4" t="s">
        <v>182</v>
      </c>
      <c r="AX3" s="4" t="s">
        <v>181</v>
      </c>
      <c r="AY3" s="4" t="s">
        <v>180</v>
      </c>
      <c r="AZ3" s="4" t="s">
        <v>179</v>
      </c>
      <c r="BA3" s="4" t="s">
        <v>96</v>
      </c>
      <c r="BB3" s="4" t="s">
        <v>97</v>
      </c>
      <c r="BC3" s="4" t="s">
        <v>98</v>
      </c>
      <c r="BD3" s="4" t="s">
        <v>99</v>
      </c>
      <c r="BE3" s="4" t="s">
        <v>100</v>
      </c>
      <c r="BF3" s="4" t="s">
        <v>101</v>
      </c>
      <c r="BG3" s="4" t="s">
        <v>102</v>
      </c>
      <c r="BH3" s="4" t="s">
        <v>103</v>
      </c>
      <c r="BI3" s="4" t="s">
        <v>104</v>
      </c>
      <c r="BJ3" s="4" t="s">
        <v>105</v>
      </c>
      <c r="BK3" s="4" t="s">
        <v>106</v>
      </c>
      <c r="BL3" s="4" t="s">
        <v>107</v>
      </c>
      <c r="BM3" s="4" t="s">
        <v>108</v>
      </c>
      <c r="BN3" s="4" t="s">
        <v>109</v>
      </c>
      <c r="BO3" s="4" t="s">
        <v>110</v>
      </c>
      <c r="BP3" s="4" t="s">
        <v>111</v>
      </c>
      <c r="BQ3" s="4" t="s">
        <v>218</v>
      </c>
    </row>
    <row r="4" spans="1:69" x14ac:dyDescent="0.25">
      <c r="B4" t="s">
        <v>190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5">
        <v>5000000</v>
      </c>
      <c r="BM4" s="5">
        <f>+BL4*2</f>
        <v>10000000</v>
      </c>
      <c r="BN4" s="5">
        <f>+BM4*1.5</f>
        <v>15000000</v>
      </c>
      <c r="BO4" s="5">
        <f>+BN4*1.5</f>
        <v>22500000</v>
      </c>
      <c r="BP4" s="5">
        <f>+BO4*1.5</f>
        <v>33750000</v>
      </c>
    </row>
    <row r="5" spans="1:69" x14ac:dyDescent="0.25">
      <c r="B5" t="s">
        <v>191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5">
        <v>50000</v>
      </c>
      <c r="BM5" s="5">
        <v>50000</v>
      </c>
      <c r="BN5" s="5">
        <v>50000</v>
      </c>
      <c r="BO5" s="5">
        <v>50000</v>
      </c>
      <c r="BP5" s="5">
        <v>50000</v>
      </c>
    </row>
    <row r="6" spans="1:69" x14ac:dyDescent="0.25">
      <c r="B6" t="s">
        <v>187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5">
        <f>+BL5*BL4/1000000</f>
        <v>250000</v>
      </c>
      <c r="BM6" s="5">
        <f>+BM5*BM4/1000000</f>
        <v>500000</v>
      </c>
      <c r="BN6" s="5">
        <f>+BN5*BN4/1000000</f>
        <v>750000</v>
      </c>
      <c r="BO6" s="5">
        <f>+BO5*BO4/1000000</f>
        <v>1125000</v>
      </c>
      <c r="BP6" s="5">
        <f>+BP5*BP4/1000000</f>
        <v>1687500</v>
      </c>
    </row>
    <row r="7" spans="1:69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5"/>
      <c r="BM7" s="5"/>
      <c r="BN7" s="5"/>
      <c r="BO7" s="5"/>
      <c r="BP7" s="5"/>
    </row>
    <row r="8" spans="1:69" s="2" customFormat="1" x14ac:dyDescent="0.25">
      <c r="B8" s="2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>
        <v>40000</v>
      </c>
      <c r="BI8" s="5"/>
      <c r="BJ8" s="5"/>
      <c r="BK8" s="5"/>
      <c r="BL8" s="5"/>
      <c r="BM8" s="5"/>
      <c r="BN8" s="5"/>
      <c r="BO8" s="5"/>
      <c r="BP8" s="5"/>
    </row>
    <row r="9" spans="1:69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9" x14ac:dyDescent="0.25">
      <c r="B10" t="s">
        <v>192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5">
        <v>1000000</v>
      </c>
      <c r="BM10" s="5">
        <f>+BL10*2</f>
        <v>2000000</v>
      </c>
      <c r="BN10" s="5">
        <f>+BM10*2</f>
        <v>4000000</v>
      </c>
      <c r="BO10" s="5">
        <f>+BN10*1.5</f>
        <v>6000000</v>
      </c>
      <c r="BP10" s="5">
        <f>+BO10*1.5</f>
        <v>9000000</v>
      </c>
    </row>
    <row r="11" spans="1:69" x14ac:dyDescent="0.25">
      <c r="B11" t="s">
        <v>191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5">
        <v>20000</v>
      </c>
      <c r="BM11" s="5">
        <v>20000</v>
      </c>
      <c r="BN11" s="5">
        <v>20000</v>
      </c>
      <c r="BO11" s="5">
        <v>20000</v>
      </c>
      <c r="BP11" s="5">
        <v>20000</v>
      </c>
    </row>
    <row r="12" spans="1:69" x14ac:dyDescent="0.25"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5">
        <f>+BL11*BL10/1000000</f>
        <v>20000</v>
      </c>
      <c r="BM12" s="5">
        <f>+BM11*BM10/1000000</f>
        <v>40000</v>
      </c>
      <c r="BN12" s="5">
        <f>+BN11*BN10/1000000</f>
        <v>80000</v>
      </c>
      <c r="BO12" s="5">
        <f>+BO11*BO10/1000000</f>
        <v>120000</v>
      </c>
      <c r="BP12" s="5">
        <f>+BP11*BP10/1000000</f>
        <v>180000</v>
      </c>
    </row>
    <row r="13" spans="1:69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9" s="2" customFormat="1" x14ac:dyDescent="0.25">
      <c r="B14" s="2" t="s">
        <v>161</v>
      </c>
      <c r="C14" s="5">
        <v>694</v>
      </c>
      <c r="D14" s="5">
        <v>776</v>
      </c>
      <c r="E14" s="5">
        <v>788</v>
      </c>
      <c r="F14" s="5">
        <f>+BB14-E14-D14-C14</f>
        <v>1021</v>
      </c>
      <c r="G14" s="5">
        <v>1174</v>
      </c>
      <c r="H14" s="5">
        <v>1781</v>
      </c>
      <c r="I14" s="5">
        <v>1939</v>
      </c>
      <c r="J14" s="5">
        <f>6841-I14-H14-G14</f>
        <v>1947</v>
      </c>
      <c r="K14" s="5">
        <v>2210</v>
      </c>
      <c r="L14" s="5">
        <v>2600</v>
      </c>
      <c r="M14" s="5">
        <v>3011</v>
      </c>
      <c r="N14" s="5">
        <f>11046-M14-L14-K14</f>
        <v>3225</v>
      </c>
      <c r="O14" s="5">
        <v>3672</v>
      </c>
      <c r="P14" s="5">
        <v>3907</v>
      </c>
      <c r="Q14" s="5">
        <v>3816</v>
      </c>
      <c r="R14" s="5">
        <f>15068-Q14-P14-O14</f>
        <v>3673</v>
      </c>
      <c r="S14" s="5">
        <v>4460</v>
      </c>
      <c r="T14" s="5">
        <v>10402</v>
      </c>
      <c r="U14" s="5">
        <v>14645</v>
      </c>
      <c r="V14" s="5">
        <v>17898</v>
      </c>
      <c r="W14" s="5">
        <v>22675</v>
      </c>
      <c r="X14" s="5">
        <v>26446</v>
      </c>
      <c r="Y14" s="5">
        <v>31036</v>
      </c>
      <c r="Z14" s="5">
        <v>36036</v>
      </c>
      <c r="AA14" s="5">
        <v>39589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B14" s="2">
        <v>3279</v>
      </c>
      <c r="BC14" s="2">
        <v>6841</v>
      </c>
      <c r="BD14" s="2">
        <v>11046</v>
      </c>
      <c r="BE14" s="2">
        <f t="shared" ref="BE14:BE19" si="2">SUM(O14:R14)</f>
        <v>15068</v>
      </c>
      <c r="BF14" s="2">
        <v>47405</v>
      </c>
      <c r="BG14" s="2">
        <f>SUM(W14:Z14)</f>
        <v>116193</v>
      </c>
    </row>
    <row r="15" spans="1:69" s="2" customFormat="1" x14ac:dyDescent="0.25">
      <c r="B15" s="2" t="s">
        <v>162</v>
      </c>
      <c r="C15" s="5">
        <v>1526</v>
      </c>
      <c r="D15" s="5">
        <v>1803</v>
      </c>
      <c r="E15" s="5">
        <v>2226</v>
      </c>
      <c r="F15" s="5">
        <f>+BB15-E15-D15-C15</f>
        <v>2084</v>
      </c>
      <c r="G15" s="5">
        <v>1906</v>
      </c>
      <c r="H15" s="5">
        <v>2085</v>
      </c>
      <c r="I15" s="5">
        <v>2787</v>
      </c>
      <c r="J15" s="5">
        <f>9834-I15-H15-G15</f>
        <v>3056</v>
      </c>
      <c r="K15" s="5">
        <v>3451</v>
      </c>
      <c r="L15" s="5">
        <v>3907</v>
      </c>
      <c r="M15" s="5">
        <v>4092</v>
      </c>
      <c r="N15" s="5">
        <f>15868-M15-L15-K15</f>
        <v>4418</v>
      </c>
      <c r="O15" s="5">
        <v>4616</v>
      </c>
      <c r="P15" s="5">
        <v>2797</v>
      </c>
      <c r="Q15" s="5">
        <v>2115</v>
      </c>
      <c r="R15" s="5">
        <f>11906-Q15-P15-O15</f>
        <v>2378</v>
      </c>
      <c r="S15" s="5">
        <v>2732</v>
      </c>
      <c r="T15" s="5">
        <v>3105</v>
      </c>
      <c r="U15" s="5">
        <v>3475</v>
      </c>
      <c r="V15" s="5">
        <v>4205</v>
      </c>
      <c r="W15" s="5">
        <v>3369</v>
      </c>
      <c r="X15" s="5">
        <v>3594</v>
      </c>
      <c r="Y15" s="5">
        <v>4046</v>
      </c>
      <c r="Z15" s="5">
        <v>3295</v>
      </c>
      <c r="AA15" s="5">
        <v>4473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B15" s="2">
        <v>7639</v>
      </c>
      <c r="BC15" s="2">
        <v>9834</v>
      </c>
      <c r="BD15" s="2">
        <v>15868</v>
      </c>
      <c r="BE15" s="2">
        <f t="shared" si="2"/>
        <v>11906</v>
      </c>
      <c r="BF15" s="2">
        <v>13517</v>
      </c>
      <c r="BG15" s="2">
        <f>SUM(W15:Z15)</f>
        <v>14304</v>
      </c>
    </row>
    <row r="16" spans="1:69" s="2" customFormat="1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2:66" s="2" customFormat="1" x14ac:dyDescent="0.25">
      <c r="B17" s="2" t="s">
        <v>46</v>
      </c>
      <c r="C17" s="5">
        <v>99</v>
      </c>
      <c r="D17" s="5">
        <v>111</v>
      </c>
      <c r="E17" s="5">
        <v>143</v>
      </c>
      <c r="F17" s="5">
        <f>+BB17-E17-D17-C17</f>
        <v>152</v>
      </c>
      <c r="G17" s="5">
        <v>138</v>
      </c>
      <c r="H17" s="5">
        <v>146</v>
      </c>
      <c r="I17" s="5">
        <v>194</v>
      </c>
      <c r="J17" s="5">
        <f>631-I17-H17-G17</f>
        <v>153</v>
      </c>
      <c r="K17" s="5">
        <v>327</v>
      </c>
      <c r="L17" s="5">
        <v>409</v>
      </c>
      <c r="M17" s="5">
        <v>234</v>
      </c>
      <c r="N17" s="5">
        <f>1162-M17-L17-K17</f>
        <v>192</v>
      </c>
      <c r="O17" s="5">
        <v>158</v>
      </c>
      <c r="P17" s="5">
        <v>140</v>
      </c>
      <c r="Q17" s="5">
        <v>73</v>
      </c>
      <c r="R17" s="5">
        <f>455-Q17-P17-O17</f>
        <v>84</v>
      </c>
      <c r="S17" s="5">
        <v>77</v>
      </c>
      <c r="T17" s="5">
        <v>66</v>
      </c>
      <c r="U17" s="2">
        <v>73</v>
      </c>
      <c r="V17" s="2">
        <f>306-U17-T17-S17</f>
        <v>90</v>
      </c>
      <c r="W17" s="2">
        <v>78</v>
      </c>
      <c r="X17" s="2">
        <v>88</v>
      </c>
      <c r="Y17" s="2">
        <v>97</v>
      </c>
      <c r="Z17" s="2">
        <v>126</v>
      </c>
      <c r="AA17" s="2">
        <v>74</v>
      </c>
      <c r="AB17" s="2">
        <v>173</v>
      </c>
      <c r="AC17" s="2">
        <f t="shared" ref="AC17:AD19" si="3">+Y17*1.1</f>
        <v>106.7</v>
      </c>
      <c r="AD17" s="2">
        <f t="shared" si="3"/>
        <v>138.60000000000002</v>
      </c>
      <c r="BA17" s="2">
        <v>767</v>
      </c>
      <c r="BB17" s="2">
        <v>505</v>
      </c>
      <c r="BC17" s="2">
        <v>631</v>
      </c>
      <c r="BD17" s="2">
        <v>1162</v>
      </c>
      <c r="BE17" s="2">
        <f t="shared" si="2"/>
        <v>455</v>
      </c>
      <c r="BF17" s="2">
        <f t="shared" ref="BF17:BF21" si="4">SUM(S17:V17)</f>
        <v>306</v>
      </c>
      <c r="BG17" s="2">
        <f t="shared" ref="BG17:BG21" si="5">SUM(W17:Z17)</f>
        <v>389</v>
      </c>
    </row>
    <row r="18" spans="2:66" s="2" customFormat="1" x14ac:dyDescent="0.25">
      <c r="B18" s="2" t="s">
        <v>20</v>
      </c>
      <c r="C18" s="5">
        <v>266</v>
      </c>
      <c r="D18" s="5">
        <v>291</v>
      </c>
      <c r="E18" s="5">
        <v>324</v>
      </c>
      <c r="F18" s="5">
        <f>+BB18-E18-D18-C18</f>
        <v>331</v>
      </c>
      <c r="G18" s="5">
        <v>307</v>
      </c>
      <c r="H18" s="5">
        <v>203</v>
      </c>
      <c r="I18" s="5">
        <v>236</v>
      </c>
      <c r="J18" s="5">
        <f>1053-I18-H18-G18</f>
        <v>307</v>
      </c>
      <c r="K18" s="5">
        <v>372</v>
      </c>
      <c r="L18" s="5">
        <v>519</v>
      </c>
      <c r="M18" s="5">
        <v>577</v>
      </c>
      <c r="N18" s="5">
        <v>643</v>
      </c>
      <c r="O18" s="5">
        <v>622</v>
      </c>
      <c r="P18" s="5">
        <v>496</v>
      </c>
      <c r="Q18" s="5">
        <v>200</v>
      </c>
      <c r="R18" s="5">
        <v>226</v>
      </c>
      <c r="S18" s="5">
        <v>295</v>
      </c>
      <c r="T18" s="5">
        <v>379</v>
      </c>
      <c r="U18" s="2">
        <v>416</v>
      </c>
      <c r="V18" s="2">
        <v>463</v>
      </c>
      <c r="W18" s="5">
        <v>427</v>
      </c>
      <c r="X18" s="2">
        <v>454</v>
      </c>
      <c r="Y18" s="2">
        <v>486</v>
      </c>
      <c r="Z18" s="2">
        <v>511</v>
      </c>
      <c r="AA18" s="2">
        <v>509</v>
      </c>
      <c r="AB18" s="2">
        <v>601</v>
      </c>
      <c r="AC18" s="2">
        <f t="shared" si="3"/>
        <v>534.6</v>
      </c>
      <c r="AD18" s="2">
        <f t="shared" si="3"/>
        <v>562.1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BA18" s="2">
        <v>1130</v>
      </c>
      <c r="BB18" s="2">
        <v>1212</v>
      </c>
      <c r="BC18" s="2">
        <v>1053</v>
      </c>
      <c r="BD18" s="2">
        <v>2111</v>
      </c>
      <c r="BE18" s="2">
        <f t="shared" si="2"/>
        <v>1544</v>
      </c>
      <c r="BF18" s="2">
        <f t="shared" si="4"/>
        <v>1553</v>
      </c>
      <c r="BG18" s="2">
        <f t="shared" si="5"/>
        <v>1878</v>
      </c>
    </row>
    <row r="19" spans="2:66" s="2" customFormat="1" x14ac:dyDescent="0.25">
      <c r="B19" s="2" t="s">
        <v>21</v>
      </c>
      <c r="C19" s="5">
        <v>166</v>
      </c>
      <c r="D19" s="5">
        <v>209</v>
      </c>
      <c r="E19" s="5">
        <v>162</v>
      </c>
      <c r="F19" s="5">
        <f>+BB19-E19-D19-C19</f>
        <v>163</v>
      </c>
      <c r="G19" s="5">
        <v>155</v>
      </c>
      <c r="H19" s="5">
        <v>111</v>
      </c>
      <c r="I19" s="5">
        <v>125</v>
      </c>
      <c r="J19" s="5">
        <f>536-I19-H19-G19</f>
        <v>145</v>
      </c>
      <c r="K19" s="5">
        <v>154</v>
      </c>
      <c r="L19" s="5">
        <v>152</v>
      </c>
      <c r="M19" s="5">
        <v>135</v>
      </c>
      <c r="N19" s="5">
        <v>125</v>
      </c>
      <c r="O19" s="5">
        <v>138</v>
      </c>
      <c r="P19" s="5">
        <v>220</v>
      </c>
      <c r="Q19" s="5">
        <v>251</v>
      </c>
      <c r="R19" s="5">
        <v>294</v>
      </c>
      <c r="S19" s="5">
        <v>296</v>
      </c>
      <c r="T19" s="5">
        <v>253</v>
      </c>
      <c r="U19" s="2">
        <v>261</v>
      </c>
      <c r="V19" s="2">
        <v>281</v>
      </c>
      <c r="W19" s="5">
        <v>329</v>
      </c>
      <c r="X19" s="2">
        <v>346</v>
      </c>
      <c r="Y19" s="2">
        <v>449</v>
      </c>
      <c r="Z19" s="2">
        <v>570</v>
      </c>
      <c r="AA19" s="2">
        <v>567</v>
      </c>
      <c r="AB19" s="2">
        <v>586</v>
      </c>
      <c r="AC19" s="2">
        <f t="shared" si="3"/>
        <v>493.90000000000003</v>
      </c>
      <c r="AD19" s="2">
        <f t="shared" si="3"/>
        <v>627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BA19" s="2">
        <v>641</v>
      </c>
      <c r="BB19" s="2">
        <v>700</v>
      </c>
      <c r="BC19" s="2">
        <v>536</v>
      </c>
      <c r="BD19" s="2">
        <v>566</v>
      </c>
      <c r="BE19" s="2">
        <f t="shared" si="2"/>
        <v>903</v>
      </c>
      <c r="BF19" s="2">
        <f t="shared" si="4"/>
        <v>1091</v>
      </c>
      <c r="BG19" s="2">
        <f t="shared" si="5"/>
        <v>1694</v>
      </c>
    </row>
    <row r="20" spans="2:66" s="2" customFormat="1" x14ac:dyDescent="0.25">
      <c r="B20" s="2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927</v>
      </c>
      <c r="T20" s="5">
        <v>1711</v>
      </c>
      <c r="U20" s="2">
        <v>2606</v>
      </c>
      <c r="V20" s="2">
        <v>3331</v>
      </c>
      <c r="W20" s="5">
        <v>3171</v>
      </c>
      <c r="X20" s="2">
        <v>3668</v>
      </c>
      <c r="Y20" s="2">
        <v>3127</v>
      </c>
      <c r="Z20" s="2">
        <v>3024</v>
      </c>
      <c r="AA20" s="2">
        <v>4957</v>
      </c>
      <c r="AB20" s="2">
        <v>7252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BF20" s="2">
        <f t="shared" si="4"/>
        <v>8575</v>
      </c>
      <c r="BG20" s="2">
        <f t="shared" si="5"/>
        <v>12990</v>
      </c>
    </row>
    <row r="21" spans="2:66" s="2" customFormat="1" x14ac:dyDescent="0.25">
      <c r="B21" s="2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3357</v>
      </c>
      <c r="T21" s="5">
        <v>8612</v>
      </c>
      <c r="U21" s="2">
        <v>11908</v>
      </c>
      <c r="V21" s="2">
        <v>15073</v>
      </c>
      <c r="W21" s="5">
        <v>19392</v>
      </c>
      <c r="X21" s="2">
        <v>22604</v>
      </c>
      <c r="Y21" s="2">
        <v>27644</v>
      </c>
      <c r="Z21" s="2">
        <v>32556</v>
      </c>
      <c r="AA21" s="2">
        <v>34155</v>
      </c>
      <c r="AB21" s="2">
        <v>33844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BF21" s="2">
        <f t="shared" si="4"/>
        <v>38950</v>
      </c>
      <c r="BG21" s="2">
        <f t="shared" si="5"/>
        <v>102196</v>
      </c>
    </row>
    <row r="22" spans="2:66" s="2" customFormat="1" x14ac:dyDescent="0.25">
      <c r="B22" s="2" t="s">
        <v>22</v>
      </c>
      <c r="C22" s="5">
        <v>634</v>
      </c>
      <c r="D22" s="5">
        <v>655</v>
      </c>
      <c r="E22" s="5">
        <v>726</v>
      </c>
      <c r="F22" s="5">
        <f>+BB22-E22-D22-C22</f>
        <v>968</v>
      </c>
      <c r="G22" s="5">
        <v>1141</v>
      </c>
      <c r="H22" s="5">
        <v>1752</v>
      </c>
      <c r="I22" s="5">
        <v>1900</v>
      </c>
      <c r="J22" s="5">
        <f>6696-I22-H22-G22</f>
        <v>1903</v>
      </c>
      <c r="K22" s="5">
        <v>2050</v>
      </c>
      <c r="L22" s="5">
        <v>2366</v>
      </c>
      <c r="M22" s="5">
        <v>2936</v>
      </c>
      <c r="N22" s="5">
        <v>3260</v>
      </c>
      <c r="O22" s="5">
        <v>3750</v>
      </c>
      <c r="P22" s="5">
        <v>3806</v>
      </c>
      <c r="Q22" s="5">
        <v>3833</v>
      </c>
      <c r="R22" s="5">
        <v>3620</v>
      </c>
      <c r="S22" s="5">
        <f>+S21+S20</f>
        <v>4284</v>
      </c>
      <c r="T22" s="2">
        <f>+T21+T20</f>
        <v>10323</v>
      </c>
      <c r="U22" s="2">
        <f>+U21+U20</f>
        <v>14514</v>
      </c>
      <c r="V22" s="5">
        <f>47525-U22-T22-S22</f>
        <v>18404</v>
      </c>
      <c r="W22" s="2">
        <f>+W21+W20</f>
        <v>22563</v>
      </c>
      <c r="X22" s="2">
        <f>+X21+X20</f>
        <v>26272</v>
      </c>
      <c r="Y22" s="2">
        <f>+Y21+Y20</f>
        <v>30771</v>
      </c>
      <c r="Z22" s="2">
        <f>+Z21+Z20</f>
        <v>35580</v>
      </c>
      <c r="AA22" s="2">
        <f>+AA21+AA20</f>
        <v>39112</v>
      </c>
      <c r="AB22" s="2">
        <v>41096</v>
      </c>
      <c r="AC22" s="2">
        <f>+Y22*1.4</f>
        <v>43079.399999999994</v>
      </c>
      <c r="AD22" s="2">
        <f>+Z22*1.35</f>
        <v>48033</v>
      </c>
      <c r="BA22" s="2">
        <v>2932</v>
      </c>
      <c r="BB22" s="2">
        <v>2983</v>
      </c>
      <c r="BC22" s="2">
        <v>6696</v>
      </c>
      <c r="BD22" s="2">
        <f>SUM(K22:N22)</f>
        <v>10612</v>
      </c>
      <c r="BE22" s="2">
        <f>SUM(O22:R22)</f>
        <v>15009</v>
      </c>
      <c r="BF22" s="2">
        <f>+BF21+BF20</f>
        <v>47525</v>
      </c>
      <c r="BG22" s="2">
        <f>+BG21+BG20</f>
        <v>115186</v>
      </c>
    </row>
    <row r="23" spans="2:66" s="2" customFormat="1" x14ac:dyDescent="0.25">
      <c r="B23" s="2" t="s">
        <v>19</v>
      </c>
      <c r="C23" s="5">
        <v>1055</v>
      </c>
      <c r="D23" s="5">
        <v>1313</v>
      </c>
      <c r="E23" s="5">
        <v>1659</v>
      </c>
      <c r="F23" s="5">
        <f>+BB23-E23-D23-C23</f>
        <v>1491</v>
      </c>
      <c r="G23" s="5">
        <v>1339</v>
      </c>
      <c r="H23" s="5">
        <v>1654</v>
      </c>
      <c r="I23" s="5">
        <v>2271</v>
      </c>
      <c r="J23" s="5">
        <f>7759-I23-H23-G23</f>
        <v>2495</v>
      </c>
      <c r="K23" s="5">
        <v>2760</v>
      </c>
      <c r="L23" s="5">
        <v>3061</v>
      </c>
      <c r="M23" s="5">
        <v>3221</v>
      </c>
      <c r="N23" s="5">
        <v>3420</v>
      </c>
      <c r="O23" s="5">
        <v>3620</v>
      </c>
      <c r="P23" s="5">
        <v>2042</v>
      </c>
      <c r="Q23" s="5">
        <v>1574</v>
      </c>
      <c r="R23" s="5">
        <v>1830</v>
      </c>
      <c r="S23" s="5">
        <v>2240</v>
      </c>
      <c r="T23" s="5">
        <v>2486</v>
      </c>
      <c r="U23" s="2">
        <v>2856</v>
      </c>
      <c r="V23" s="2">
        <v>2865</v>
      </c>
      <c r="W23" s="5">
        <v>2647</v>
      </c>
      <c r="X23" s="2">
        <v>2880</v>
      </c>
      <c r="Y23" s="2">
        <v>3279</v>
      </c>
      <c r="Z23" s="2">
        <v>2544</v>
      </c>
      <c r="AA23" s="2">
        <v>3800</v>
      </c>
      <c r="AB23" s="2">
        <v>4287</v>
      </c>
      <c r="AC23" s="2">
        <f>+Y23*1.2</f>
        <v>3934.7999999999997</v>
      </c>
      <c r="AD23" s="2">
        <f t="shared" ref="AD23" si="6">+Z23*1.2</f>
        <v>3052.7999999999997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A23" s="2">
        <v>6246</v>
      </c>
      <c r="BB23" s="2">
        <v>5518</v>
      </c>
      <c r="BC23" s="2">
        <v>7759</v>
      </c>
      <c r="BD23" s="2">
        <f>SUM(K23:N23)</f>
        <v>12462</v>
      </c>
      <c r="BE23" s="2">
        <f>SUM(O23:R23)</f>
        <v>9066</v>
      </c>
      <c r="BF23" s="2">
        <f>SUM(S23:V23)</f>
        <v>10447</v>
      </c>
      <c r="BG23" s="2">
        <f>SUM(W23:Z23)</f>
        <v>11350</v>
      </c>
    </row>
    <row r="24" spans="2:66" s="8" customFormat="1" ht="13" x14ac:dyDescent="0.3">
      <c r="B24" s="8" t="s">
        <v>1</v>
      </c>
      <c r="C24" s="9">
        <v>2220</v>
      </c>
      <c r="D24" s="9">
        <f>SUM(D17:D23)</f>
        <v>2579</v>
      </c>
      <c r="E24" s="9">
        <f>SUM(E17:E23)</f>
        <v>3014</v>
      </c>
      <c r="F24" s="9">
        <f>+BB24-E24-D24-C24</f>
        <v>3105</v>
      </c>
      <c r="G24" s="9">
        <v>3080</v>
      </c>
      <c r="H24" s="9">
        <f>SUM(H17:H23)</f>
        <v>3866</v>
      </c>
      <c r="I24" s="9">
        <f>SUM(I17:I23)</f>
        <v>4726</v>
      </c>
      <c r="J24" s="9">
        <v>5003</v>
      </c>
      <c r="K24" s="9">
        <v>5661</v>
      </c>
      <c r="L24" s="9">
        <f>SUM(L17:L23)</f>
        <v>6507</v>
      </c>
      <c r="M24" s="9">
        <f>SUM(M17:M23)</f>
        <v>7103</v>
      </c>
      <c r="N24" s="9">
        <v>7643</v>
      </c>
      <c r="O24" s="9">
        <f>SUM(O17:O23)</f>
        <v>8288</v>
      </c>
      <c r="P24" s="9">
        <f>SUM(P17:P23)</f>
        <v>6704</v>
      </c>
      <c r="Q24" s="9">
        <f>SUM(Q17:Q23)</f>
        <v>5931</v>
      </c>
      <c r="R24" s="9">
        <v>6051</v>
      </c>
      <c r="S24" s="8">
        <f>+S23+S22+S19+S18+S17</f>
        <v>7192</v>
      </c>
      <c r="T24" s="8">
        <f>+T23+T22+T19+T18+T17</f>
        <v>13507</v>
      </c>
      <c r="U24" s="9">
        <f>+U23+U22+U19+U18+U17</f>
        <v>18120</v>
      </c>
      <c r="V24" s="9">
        <f>+V23+V22+V17+V18+V19</f>
        <v>22103</v>
      </c>
      <c r="W24" s="9">
        <f t="shared" ref="W24:AB24" si="7">+W23+W22+W19+W18+W17</f>
        <v>26044</v>
      </c>
      <c r="X24" s="9">
        <f t="shared" si="7"/>
        <v>30040</v>
      </c>
      <c r="Y24" s="9">
        <f t="shared" si="7"/>
        <v>35082</v>
      </c>
      <c r="Z24" s="9">
        <f t="shared" si="7"/>
        <v>39331</v>
      </c>
      <c r="AA24" s="9">
        <f t="shared" si="7"/>
        <v>44062</v>
      </c>
      <c r="AB24" s="9">
        <f t="shared" si="7"/>
        <v>46743</v>
      </c>
      <c r="AC24" s="9">
        <v>53430</v>
      </c>
      <c r="AD24" s="9">
        <f>+AD125</f>
        <v>52984.526400000002</v>
      </c>
      <c r="AE24" s="9"/>
      <c r="AF24" s="9"/>
      <c r="AG24" s="9"/>
      <c r="AH24" s="9">
        <v>374.505</v>
      </c>
      <c r="AI24" s="9">
        <v>735.26400000000001</v>
      </c>
      <c r="AJ24" s="9">
        <v>1369.471</v>
      </c>
      <c r="AK24" s="9">
        <v>1909.4469999999999</v>
      </c>
      <c r="AL24" s="9">
        <v>1822.9449999999999</v>
      </c>
      <c r="AM24" s="9">
        <v>2010.0329999999999</v>
      </c>
      <c r="AN24" s="9">
        <v>2375.6869999999999</v>
      </c>
      <c r="AO24" s="9">
        <v>3068.7710000000002</v>
      </c>
      <c r="AP24" s="9">
        <v>4097.8599999999997</v>
      </c>
      <c r="AQ24" s="9">
        <v>3424.8589999999999</v>
      </c>
      <c r="AR24" s="9">
        <v>3326.4450000000002</v>
      </c>
      <c r="AS24" s="8">
        <v>3543.3090000000002</v>
      </c>
      <c r="AT24" s="8">
        <v>3997.93</v>
      </c>
      <c r="AU24" s="8">
        <v>4280.1589999999997</v>
      </c>
      <c r="AV24" s="8">
        <v>4130</v>
      </c>
      <c r="AW24" s="8">
        <v>4682</v>
      </c>
      <c r="AX24" s="8">
        <v>5010</v>
      </c>
      <c r="AY24" s="8">
        <v>6910</v>
      </c>
      <c r="AZ24" s="8">
        <v>9714</v>
      </c>
      <c r="BA24" s="8">
        <f t="shared" ref="BA24:BG24" si="8">+BA23+BA22+BA19+BA18+BA17</f>
        <v>11716</v>
      </c>
      <c r="BB24" s="8">
        <f t="shared" si="8"/>
        <v>10918</v>
      </c>
      <c r="BC24" s="8">
        <f t="shared" si="8"/>
        <v>16675</v>
      </c>
      <c r="BD24" s="8">
        <f t="shared" si="8"/>
        <v>26913</v>
      </c>
      <c r="BE24" s="8">
        <f t="shared" si="8"/>
        <v>26977</v>
      </c>
      <c r="BF24" s="8">
        <f t="shared" si="8"/>
        <v>60922</v>
      </c>
      <c r="BG24" s="8">
        <f t="shared" si="8"/>
        <v>130497</v>
      </c>
      <c r="BH24" s="8">
        <f>SUM(AA24:AD24)</f>
        <v>197219.5264</v>
      </c>
      <c r="BI24" s="8">
        <f>+BH24*1.5</f>
        <v>295829.28960000002</v>
      </c>
      <c r="BJ24" s="8">
        <f>+BI24*1.4</f>
        <v>414161.00543999998</v>
      </c>
      <c r="BK24" s="8">
        <f>+BJ24*1.4</f>
        <v>579825.40761599992</v>
      </c>
      <c r="BL24" s="8">
        <f>+BK24*1.3</f>
        <v>753773.02990079997</v>
      </c>
      <c r="BM24" s="8">
        <f>+BL24*1.3</f>
        <v>979904.93887104001</v>
      </c>
      <c r="BN24" s="8">
        <f>+BM24*1.3</f>
        <v>1273876.4205323521</v>
      </c>
    </row>
    <row r="25" spans="2:66" s="2" customFormat="1" x14ac:dyDescent="0.25">
      <c r="B25" s="2" t="s">
        <v>4</v>
      </c>
      <c r="C25" s="5">
        <v>924</v>
      </c>
      <c r="D25" s="5">
        <v>1038</v>
      </c>
      <c r="E25" s="5">
        <v>1098</v>
      </c>
      <c r="F25" s="5">
        <f>+BB25-E25-D25-C25</f>
        <v>1090</v>
      </c>
      <c r="G25" s="5">
        <v>1076</v>
      </c>
      <c r="H25" s="5">
        <v>1591</v>
      </c>
      <c r="I25" s="5">
        <v>1766</v>
      </c>
      <c r="J25" s="5">
        <v>1846</v>
      </c>
      <c r="K25" s="5">
        <v>2032</v>
      </c>
      <c r="L25" s="5">
        <v>2292</v>
      </c>
      <c r="M25" s="5">
        <v>2472</v>
      </c>
      <c r="N25" s="5">
        <v>2644</v>
      </c>
      <c r="O25" s="5">
        <v>2857</v>
      </c>
      <c r="P25" s="5">
        <v>3789</v>
      </c>
      <c r="Q25" s="5">
        <v>2754</v>
      </c>
      <c r="R25" s="5">
        <f>+BE25-Q25-P25-O25</f>
        <v>2218</v>
      </c>
      <c r="S25" s="5">
        <v>2544</v>
      </c>
      <c r="T25" s="2">
        <v>4045</v>
      </c>
      <c r="U25" s="2">
        <v>4720</v>
      </c>
      <c r="V25" s="2">
        <v>5312</v>
      </c>
      <c r="W25" s="2">
        <v>5638</v>
      </c>
      <c r="X25" s="2">
        <v>7466</v>
      </c>
      <c r="Y25" s="2">
        <v>8926</v>
      </c>
      <c r="Z25" s="2">
        <v>10608</v>
      </c>
      <c r="AA25" s="2">
        <f t="shared" ref="AA25:AC25" si="9">+AA24-AA26</f>
        <v>10574.879999999997</v>
      </c>
      <c r="AB25" s="2">
        <f t="shared" si="9"/>
        <v>11218.32</v>
      </c>
      <c r="AC25" s="2">
        <f t="shared" si="9"/>
        <v>12823.199999999997</v>
      </c>
      <c r="AD25" s="2">
        <f>+AD24-AD26</f>
        <v>12716.286335999997</v>
      </c>
      <c r="AH25" s="2">
        <v>141.84299999999999</v>
      </c>
      <c r="AI25" s="2">
        <v>272.87900000000002</v>
      </c>
      <c r="AJ25" s="2">
        <v>519.23800000000006</v>
      </c>
      <c r="AK25" s="2">
        <v>1327.271</v>
      </c>
      <c r="AL25" s="2">
        <v>1294.067</v>
      </c>
      <c r="AM25" s="2">
        <v>1360.547</v>
      </c>
      <c r="AN25" s="2">
        <v>1465.654</v>
      </c>
      <c r="AO25" s="2">
        <v>1768.3219999999999</v>
      </c>
      <c r="AP25" s="2">
        <v>2228.58</v>
      </c>
      <c r="AQ25" s="2">
        <v>2250.59</v>
      </c>
      <c r="AR25" s="2">
        <v>2149.5219999999999</v>
      </c>
      <c r="AS25" s="2">
        <v>2134.2190000000001</v>
      </c>
      <c r="AT25" s="2">
        <v>1941.413</v>
      </c>
      <c r="AU25" s="2">
        <v>2053.8159999999998</v>
      </c>
      <c r="AV25" s="2">
        <v>1862</v>
      </c>
      <c r="AW25" s="2">
        <v>2083</v>
      </c>
      <c r="AX25" s="2">
        <v>2199</v>
      </c>
      <c r="AY25" s="2">
        <v>2847</v>
      </c>
      <c r="AZ25" s="2">
        <v>3892</v>
      </c>
      <c r="BA25" s="2">
        <v>4545</v>
      </c>
      <c r="BB25" s="2">
        <v>4150</v>
      </c>
      <c r="BC25" s="2">
        <v>6279</v>
      </c>
      <c r="BD25" s="2">
        <f>SUM(K25:N25)</f>
        <v>9440</v>
      </c>
      <c r="BE25" s="2">
        <v>11618</v>
      </c>
      <c r="BF25" s="2">
        <f>SUM(S25:V25)</f>
        <v>16621</v>
      </c>
      <c r="BG25" s="2">
        <f>+BG24-BG26</f>
        <v>32638</v>
      </c>
      <c r="BH25" s="2">
        <f>+BH24-BH26</f>
        <v>47332.686335999984</v>
      </c>
      <c r="BI25" s="2">
        <f t="shared" ref="BI25:BK25" si="10">+BI24-BI26</f>
        <v>65082.443712000008</v>
      </c>
      <c r="BJ25" s="2">
        <f t="shared" si="10"/>
        <v>91115.421196799958</v>
      </c>
      <c r="BK25" s="2">
        <f t="shared" si="10"/>
        <v>127561.58967551996</v>
      </c>
      <c r="BL25" s="2">
        <f t="shared" ref="BL25" si="11">+BL24-BL26</f>
        <v>165830.06657817599</v>
      </c>
      <c r="BM25" s="2">
        <f t="shared" ref="BM25" si="12">+BM24-BM26</f>
        <v>215579.08655162877</v>
      </c>
    </row>
    <row r="26" spans="2:66" s="2" customFormat="1" x14ac:dyDescent="0.25">
      <c r="B26" s="2" t="s">
        <v>5</v>
      </c>
      <c r="C26" s="5">
        <f t="shared" ref="C26:F26" si="13">+C24-C25</f>
        <v>1296</v>
      </c>
      <c r="D26" s="5">
        <f t="shared" si="13"/>
        <v>1541</v>
      </c>
      <c r="E26" s="5">
        <f t="shared" si="13"/>
        <v>1916</v>
      </c>
      <c r="F26" s="5">
        <f t="shared" si="13"/>
        <v>2015</v>
      </c>
      <c r="G26" s="5">
        <f t="shared" ref="G26:S26" si="14">+G24-G25</f>
        <v>2004</v>
      </c>
      <c r="H26" s="5">
        <f t="shared" si="14"/>
        <v>2275</v>
      </c>
      <c r="I26" s="5">
        <f t="shared" si="14"/>
        <v>2960</v>
      </c>
      <c r="J26" s="5">
        <f t="shared" si="14"/>
        <v>3157</v>
      </c>
      <c r="K26" s="5">
        <f t="shared" si="14"/>
        <v>3629</v>
      </c>
      <c r="L26" s="5">
        <f t="shared" si="14"/>
        <v>4215</v>
      </c>
      <c r="M26" s="5">
        <f t="shared" si="14"/>
        <v>4631</v>
      </c>
      <c r="N26" s="5">
        <f t="shared" si="14"/>
        <v>4999</v>
      </c>
      <c r="O26" s="5">
        <f t="shared" si="14"/>
        <v>5431</v>
      </c>
      <c r="P26" s="5">
        <f t="shared" si="14"/>
        <v>2915</v>
      </c>
      <c r="Q26" s="5">
        <f t="shared" si="14"/>
        <v>3177</v>
      </c>
      <c r="R26" s="5">
        <f t="shared" si="14"/>
        <v>3833</v>
      </c>
      <c r="S26" s="5">
        <f t="shared" si="14"/>
        <v>4648</v>
      </c>
      <c r="T26" s="2">
        <f>T24-T25</f>
        <v>9462</v>
      </c>
      <c r="U26" s="2">
        <f t="shared" ref="U26:Z26" si="15">+U24-U25</f>
        <v>13400</v>
      </c>
      <c r="V26" s="2">
        <f t="shared" si="15"/>
        <v>16791</v>
      </c>
      <c r="W26" s="2">
        <f t="shared" si="15"/>
        <v>20406</v>
      </c>
      <c r="X26" s="2">
        <f t="shared" si="15"/>
        <v>22574</v>
      </c>
      <c r="Y26" s="2">
        <f t="shared" si="15"/>
        <v>26156</v>
      </c>
      <c r="Z26" s="2">
        <f t="shared" si="15"/>
        <v>28723</v>
      </c>
      <c r="AA26" s="2">
        <f>+AA24*0.76</f>
        <v>33487.120000000003</v>
      </c>
      <c r="AB26" s="2">
        <f>+AB24*0.76</f>
        <v>35524.68</v>
      </c>
      <c r="AC26" s="2">
        <f>+AC24*0.76</f>
        <v>40606.800000000003</v>
      </c>
      <c r="AD26" s="2">
        <f>+AD24*0.76</f>
        <v>40268.240064000005</v>
      </c>
      <c r="AH26" s="2">
        <f t="shared" ref="AH26:AI26" si="16">+AH24-AH25</f>
        <v>232.66200000000001</v>
      </c>
      <c r="AI26" s="2">
        <f t="shared" si="16"/>
        <v>462.38499999999999</v>
      </c>
      <c r="AJ26" s="2">
        <f t="shared" ref="AJ26:AM26" si="17">+AJ24-AJ25</f>
        <v>850.23299999999995</v>
      </c>
      <c r="AK26" s="2">
        <f t="shared" si="17"/>
        <v>582.17599999999993</v>
      </c>
      <c r="AL26" s="2">
        <f t="shared" si="17"/>
        <v>528.87799999999993</v>
      </c>
      <c r="AM26" s="2">
        <f t="shared" si="17"/>
        <v>649.48599999999988</v>
      </c>
      <c r="AN26" s="2">
        <f>+AN24-AN25</f>
        <v>910.0329999999999</v>
      </c>
      <c r="AO26" s="2">
        <f>+AO24-AO25</f>
        <v>1300.4490000000003</v>
      </c>
      <c r="AP26" s="2">
        <f>+AP24-AP25</f>
        <v>1869.2799999999997</v>
      </c>
      <c r="AQ26" s="2">
        <f>+AQ24-AQ25</f>
        <v>1174.2689999999998</v>
      </c>
      <c r="AR26" s="2">
        <f>+AR24-AR25</f>
        <v>1176.9230000000002</v>
      </c>
      <c r="AS26" s="2">
        <f t="shared" ref="AS26:BF26" si="18">+AS24-AS25</f>
        <v>1409.0900000000001</v>
      </c>
      <c r="AT26" s="2">
        <f t="shared" si="18"/>
        <v>2056.5169999999998</v>
      </c>
      <c r="AU26" s="2">
        <f t="shared" si="18"/>
        <v>2226.3429999999998</v>
      </c>
      <c r="AV26" s="2">
        <f t="shared" si="18"/>
        <v>2268</v>
      </c>
      <c r="AW26" s="2">
        <f t="shared" si="18"/>
        <v>2599</v>
      </c>
      <c r="AX26" s="2">
        <f t="shared" si="18"/>
        <v>2811</v>
      </c>
      <c r="AY26" s="2">
        <f t="shared" si="18"/>
        <v>4063</v>
      </c>
      <c r="AZ26" s="2">
        <f t="shared" si="18"/>
        <v>5822</v>
      </c>
      <c r="BA26" s="2">
        <f t="shared" si="18"/>
        <v>7171</v>
      </c>
      <c r="BB26" s="2">
        <f t="shared" si="18"/>
        <v>6768</v>
      </c>
      <c r="BC26" s="2">
        <f t="shared" si="18"/>
        <v>10396</v>
      </c>
      <c r="BD26" s="2">
        <f t="shared" si="18"/>
        <v>17473</v>
      </c>
      <c r="BE26" s="2">
        <f t="shared" si="18"/>
        <v>15359</v>
      </c>
      <c r="BF26" s="2">
        <f t="shared" si="18"/>
        <v>44301</v>
      </c>
      <c r="BG26" s="2">
        <f>SUM(W26:Z26)</f>
        <v>97859</v>
      </c>
      <c r="BH26" s="2">
        <f>SUM(AA26:AD26)</f>
        <v>149886.84006400002</v>
      </c>
      <c r="BI26" s="2">
        <f>+BI24*0.78</f>
        <v>230746.84588800001</v>
      </c>
      <c r="BJ26" s="2">
        <f>+BJ24*0.78</f>
        <v>323045.58424320002</v>
      </c>
      <c r="BK26" s="2">
        <f>+BK24*0.78</f>
        <v>452263.81794047996</v>
      </c>
      <c r="BL26" s="2">
        <f t="shared" ref="BL26:BM26" si="19">+BL24*0.78</f>
        <v>587942.96332262398</v>
      </c>
      <c r="BM26" s="2">
        <f t="shared" si="19"/>
        <v>764325.85231941123</v>
      </c>
    </row>
    <row r="27" spans="2:66" s="2" customFormat="1" x14ac:dyDescent="0.25">
      <c r="B27" s="2" t="s">
        <v>6</v>
      </c>
      <c r="C27" s="5">
        <v>674</v>
      </c>
      <c r="D27" s="5">
        <v>704</v>
      </c>
      <c r="E27" s="5">
        <v>712</v>
      </c>
      <c r="F27" s="5">
        <f t="shared" ref="F27:F28" si="20">+BB27-E27-D27-C27</f>
        <v>739</v>
      </c>
      <c r="G27" s="5">
        <v>735</v>
      </c>
      <c r="H27" s="5">
        <v>997</v>
      </c>
      <c r="I27" s="5">
        <v>1047</v>
      </c>
      <c r="J27" s="5">
        <v>1147</v>
      </c>
      <c r="K27" s="5">
        <v>1153</v>
      </c>
      <c r="L27" s="5">
        <v>1245</v>
      </c>
      <c r="M27" s="5">
        <v>1403</v>
      </c>
      <c r="N27" s="5">
        <v>1466</v>
      </c>
      <c r="O27" s="5">
        <v>1618</v>
      </c>
      <c r="P27" s="5">
        <v>1824</v>
      </c>
      <c r="Q27" s="5">
        <v>1945</v>
      </c>
      <c r="R27" s="5">
        <f t="shared" ref="R27:R28" si="21">+BE27-Q27-P27-O27</f>
        <v>1952</v>
      </c>
      <c r="S27" s="5">
        <v>1875</v>
      </c>
      <c r="T27" s="2">
        <v>2040</v>
      </c>
      <c r="U27" s="2">
        <v>2294</v>
      </c>
      <c r="V27" s="2">
        <v>2465</v>
      </c>
      <c r="W27" s="2">
        <v>2720</v>
      </c>
      <c r="X27" s="2">
        <v>3090</v>
      </c>
      <c r="Y27" s="2">
        <v>3390</v>
      </c>
      <c r="Z27" s="2">
        <v>3714</v>
      </c>
      <c r="AA27" s="2">
        <f t="shared" ref="AA27" si="22">+W27*1.2</f>
        <v>3264</v>
      </c>
      <c r="AB27" s="2">
        <f t="shared" ref="AB27" si="23">+X27*1.2</f>
        <v>3708</v>
      </c>
      <c r="AC27" s="2">
        <f t="shared" ref="AC27" si="24">+Y27*1.2</f>
        <v>4068</v>
      </c>
      <c r="AD27" s="2">
        <f t="shared" ref="AD27" si="25">+Z27*1.2</f>
        <v>4456.8</v>
      </c>
      <c r="AK27" s="2">
        <v>224.87299999999999</v>
      </c>
      <c r="AL27" s="2">
        <v>269.97199999999998</v>
      </c>
      <c r="AM27" s="2">
        <v>335.10399999999998</v>
      </c>
      <c r="AN27" s="2">
        <v>357.12299999999999</v>
      </c>
      <c r="AO27" s="2">
        <v>553.46699999999998</v>
      </c>
      <c r="AP27" s="2">
        <v>691.63699999999994</v>
      </c>
      <c r="AQ27" s="2">
        <v>855.87900000000002</v>
      </c>
      <c r="AR27" s="2">
        <v>908.851</v>
      </c>
      <c r="AS27" s="2">
        <v>848.83</v>
      </c>
      <c r="AT27" s="2">
        <v>1002.605</v>
      </c>
      <c r="AU27" s="2">
        <v>1147.2819999999999</v>
      </c>
      <c r="AV27" s="2">
        <v>1336</v>
      </c>
      <c r="AW27" s="2">
        <v>1360</v>
      </c>
      <c r="AX27" s="2">
        <v>1331</v>
      </c>
      <c r="AY27" s="2">
        <v>1463</v>
      </c>
      <c r="AZ27" s="2">
        <v>1797</v>
      </c>
      <c r="BA27" s="2">
        <v>2376</v>
      </c>
      <c r="BB27" s="2">
        <v>2829</v>
      </c>
      <c r="BC27" s="2">
        <v>3924</v>
      </c>
      <c r="BD27" s="2">
        <f>SUM(K27:N27)</f>
        <v>5267</v>
      </c>
      <c r="BE27" s="2">
        <v>7339</v>
      </c>
      <c r="BF27" s="2">
        <f>SUM(S27:V27)</f>
        <v>8674</v>
      </c>
      <c r="BG27" s="2">
        <f>SUM(W27:Z27)</f>
        <v>12914</v>
      </c>
      <c r="BH27" s="2">
        <f>SUM(AA27:AD27)</f>
        <v>15496.8</v>
      </c>
      <c r="BI27" s="2">
        <f t="shared" ref="BI27:BK27" si="26">+BH27*1.2</f>
        <v>18596.16</v>
      </c>
      <c r="BJ27" s="2">
        <f t="shared" si="26"/>
        <v>22315.392</v>
      </c>
      <c r="BK27" s="2">
        <f t="shared" si="26"/>
        <v>26778.470399999998</v>
      </c>
      <c r="BL27" s="2">
        <f t="shared" ref="BL27:BM27" si="27">+BK27*1.2</f>
        <v>32134.164479999996</v>
      </c>
      <c r="BM27" s="2">
        <f t="shared" si="27"/>
        <v>38560.997375999992</v>
      </c>
    </row>
    <row r="28" spans="2:66" s="2" customFormat="1" x14ac:dyDescent="0.25">
      <c r="B28" s="2" t="s">
        <v>7</v>
      </c>
      <c r="C28" s="5">
        <v>264</v>
      </c>
      <c r="D28" s="5">
        <v>266</v>
      </c>
      <c r="E28" s="5">
        <v>277</v>
      </c>
      <c r="F28" s="5">
        <f t="shared" si="20"/>
        <v>286</v>
      </c>
      <c r="G28" s="5">
        <v>293</v>
      </c>
      <c r="H28" s="5">
        <v>627</v>
      </c>
      <c r="I28" s="5">
        <v>515</v>
      </c>
      <c r="J28" s="5">
        <v>503</v>
      </c>
      <c r="K28" s="5">
        <v>520</v>
      </c>
      <c r="L28" s="5">
        <v>526</v>
      </c>
      <c r="M28" s="5">
        <v>557</v>
      </c>
      <c r="N28" s="5">
        <v>563</v>
      </c>
      <c r="O28" s="5">
        <v>592</v>
      </c>
      <c r="P28" s="5">
        <v>592</v>
      </c>
      <c r="Q28" s="5">
        <v>631</v>
      </c>
      <c r="R28" s="5">
        <f t="shared" si="21"/>
        <v>625</v>
      </c>
      <c r="S28" s="5">
        <v>633</v>
      </c>
      <c r="T28" s="2">
        <v>622</v>
      </c>
      <c r="U28" s="2">
        <v>689</v>
      </c>
      <c r="V28" s="2">
        <v>711</v>
      </c>
      <c r="W28" s="2">
        <v>777</v>
      </c>
      <c r="X28" s="2">
        <v>842</v>
      </c>
      <c r="Y28" s="2">
        <v>897</v>
      </c>
      <c r="Z28" s="2">
        <v>975</v>
      </c>
      <c r="AA28" s="2">
        <f>+W28*1.2</f>
        <v>932.4</v>
      </c>
      <c r="AB28" s="2">
        <f>+X28*1.2</f>
        <v>1010.4</v>
      </c>
      <c r="AC28" s="2">
        <f>+Y28*1.2</f>
        <v>1076.3999999999999</v>
      </c>
      <c r="AD28" s="2">
        <f>+Z28*1.2</f>
        <v>1170</v>
      </c>
      <c r="AK28" s="2">
        <v>151.48500000000001</v>
      </c>
      <c r="AL28" s="2">
        <v>165.249</v>
      </c>
      <c r="AM28" s="2">
        <v>200.78899999999999</v>
      </c>
      <c r="AN28" s="2">
        <v>202.08799999999999</v>
      </c>
      <c r="AO28" s="2">
        <v>293.52999999999997</v>
      </c>
      <c r="AP28" s="2">
        <v>341.29700000000003</v>
      </c>
      <c r="AQ28" s="2">
        <v>362.22199999999998</v>
      </c>
      <c r="AR28" s="2">
        <v>367.017</v>
      </c>
      <c r="AS28" s="2">
        <v>361.51299999999998</v>
      </c>
      <c r="AT28" s="2">
        <v>405.613</v>
      </c>
      <c r="AU28" s="2">
        <v>430.822</v>
      </c>
      <c r="AV28" s="2">
        <v>436</v>
      </c>
      <c r="AW28" s="2">
        <v>480</v>
      </c>
      <c r="AX28" s="2">
        <v>602</v>
      </c>
      <c r="AY28" s="2">
        <v>663</v>
      </c>
      <c r="AZ28" s="2">
        <v>815</v>
      </c>
      <c r="BA28" s="2">
        <v>991</v>
      </c>
      <c r="BB28" s="2">
        <v>1093</v>
      </c>
      <c r="BC28" s="2">
        <v>1940</v>
      </c>
      <c r="BD28" s="2">
        <f>SUM(K28:N28)</f>
        <v>2166</v>
      </c>
      <c r="BE28" s="2">
        <v>2440</v>
      </c>
      <c r="BF28" s="2">
        <f>SUM(S28:V28)</f>
        <v>2655</v>
      </c>
      <c r="BG28" s="2">
        <f>SUM(W28:Z28)</f>
        <v>3491</v>
      </c>
      <c r="BH28" s="2">
        <f>SUM(AA28:AD28)</f>
        <v>4189.2</v>
      </c>
      <c r="BI28" s="2">
        <f t="shared" ref="BI28:BK28" si="28">+BH28*1.2</f>
        <v>5027.04</v>
      </c>
      <c r="BJ28" s="2">
        <f t="shared" si="28"/>
        <v>6032.4479999999994</v>
      </c>
      <c r="BK28" s="2">
        <f t="shared" si="28"/>
        <v>7238.9375999999993</v>
      </c>
      <c r="BL28" s="2">
        <f t="shared" ref="BL28:BM28" si="29">+BK28*1.2</f>
        <v>8686.7251199999992</v>
      </c>
      <c r="BM28" s="2">
        <f t="shared" si="29"/>
        <v>10424.070143999999</v>
      </c>
    </row>
    <row r="29" spans="2:66" s="2" customFormat="1" x14ac:dyDescent="0.25">
      <c r="B29" s="2" t="s">
        <v>3</v>
      </c>
      <c r="C29" s="5">
        <f t="shared" ref="C29:F29" si="30">+C27+C28</f>
        <v>938</v>
      </c>
      <c r="D29" s="5">
        <f t="shared" si="30"/>
        <v>970</v>
      </c>
      <c r="E29" s="5">
        <f t="shared" si="30"/>
        <v>989</v>
      </c>
      <c r="F29" s="5">
        <f t="shared" si="30"/>
        <v>1025</v>
      </c>
      <c r="G29" s="5">
        <f t="shared" ref="G29:I29" si="31">+G27+G28</f>
        <v>1028</v>
      </c>
      <c r="H29" s="5">
        <f t="shared" ref="H29" si="32">+H27+H28</f>
        <v>1624</v>
      </c>
      <c r="I29" s="5">
        <f t="shared" si="31"/>
        <v>1562</v>
      </c>
      <c r="J29" s="5">
        <f t="shared" ref="J29" si="33">+J27+J28</f>
        <v>1650</v>
      </c>
      <c r="K29" s="5">
        <f t="shared" ref="K29:M29" si="34">+K27+K28</f>
        <v>1673</v>
      </c>
      <c r="L29" s="5">
        <f t="shared" si="34"/>
        <v>1771</v>
      </c>
      <c r="M29" s="5">
        <f t="shared" si="34"/>
        <v>1960</v>
      </c>
      <c r="N29" s="5">
        <f t="shared" ref="N29" si="35">+N27+N28</f>
        <v>2029</v>
      </c>
      <c r="O29" s="5">
        <f>+O27+O28</f>
        <v>2210</v>
      </c>
      <c r="P29" s="5">
        <f t="shared" ref="P29" si="36">+P27+P28</f>
        <v>2416</v>
      </c>
      <c r="Q29" s="5">
        <f>+Q27+Q28</f>
        <v>2576</v>
      </c>
      <c r="R29" s="5">
        <f>+R27+R28</f>
        <v>2577</v>
      </c>
      <c r="S29" s="5">
        <f>+S27+S28</f>
        <v>2508</v>
      </c>
      <c r="T29" s="5">
        <f>+T27+T28</f>
        <v>2662</v>
      </c>
      <c r="U29" s="5">
        <f t="shared" ref="U29:W29" si="37">+U27+U28</f>
        <v>2983</v>
      </c>
      <c r="V29" s="5">
        <f t="shared" si="37"/>
        <v>3176</v>
      </c>
      <c r="W29" s="5">
        <f t="shared" si="37"/>
        <v>3497</v>
      </c>
      <c r="X29" s="5">
        <f t="shared" ref="X29:Z29" si="38">+X27+X28</f>
        <v>3932</v>
      </c>
      <c r="Y29" s="5">
        <f t="shared" si="38"/>
        <v>4287</v>
      </c>
      <c r="Z29" s="5">
        <f t="shared" si="38"/>
        <v>4689</v>
      </c>
      <c r="AA29" s="5">
        <f t="shared" ref="AA29:AD29" si="39">+AA27+AA28</f>
        <v>4196.3999999999996</v>
      </c>
      <c r="AB29" s="5">
        <f t="shared" si="39"/>
        <v>4718.3999999999996</v>
      </c>
      <c r="AC29" s="5">
        <f t="shared" si="39"/>
        <v>5144.3999999999996</v>
      </c>
      <c r="AD29" s="5">
        <f t="shared" si="39"/>
        <v>5626.8</v>
      </c>
      <c r="AE29" s="5"/>
      <c r="AF29" s="5"/>
      <c r="AG29" s="5"/>
      <c r="AH29" s="2">
        <f t="shared" ref="AH29" si="40">+AH27+AH28</f>
        <v>0</v>
      </c>
      <c r="AI29" s="2">
        <f t="shared" ref="AI29:AJ29" si="41">+AI27+AI28</f>
        <v>0</v>
      </c>
      <c r="AJ29" s="2">
        <f t="shared" si="41"/>
        <v>0</v>
      </c>
      <c r="AK29" s="2">
        <f t="shared" ref="AK29:AL29" si="42">+AK27+AK28</f>
        <v>376.358</v>
      </c>
      <c r="AL29" s="2">
        <f t="shared" si="42"/>
        <v>435.221</v>
      </c>
      <c r="AM29" s="2">
        <f t="shared" ref="AM29:AR29" si="43">+AM27+AM28</f>
        <v>535.89300000000003</v>
      </c>
      <c r="AN29" s="2">
        <f t="shared" si="43"/>
        <v>559.21100000000001</v>
      </c>
      <c r="AO29" s="2">
        <f t="shared" si="43"/>
        <v>846.99699999999996</v>
      </c>
      <c r="AP29" s="2">
        <f t="shared" si="43"/>
        <v>1032.934</v>
      </c>
      <c r="AQ29" s="2">
        <f t="shared" si="43"/>
        <v>1218.1010000000001</v>
      </c>
      <c r="AR29" s="2">
        <f t="shared" si="43"/>
        <v>1275.8679999999999</v>
      </c>
      <c r="AS29" s="2">
        <f t="shared" ref="AS29:BE29" si="44">+AS27+AS28</f>
        <v>1210.3430000000001</v>
      </c>
      <c r="AT29" s="2">
        <f t="shared" si="44"/>
        <v>1408.2180000000001</v>
      </c>
      <c r="AU29" s="2">
        <f t="shared" si="44"/>
        <v>1578.1039999999998</v>
      </c>
      <c r="AV29" s="2">
        <f t="shared" si="44"/>
        <v>1772</v>
      </c>
      <c r="AW29" s="2">
        <f t="shared" si="44"/>
        <v>1840</v>
      </c>
      <c r="AX29" s="2">
        <f t="shared" si="44"/>
        <v>1933</v>
      </c>
      <c r="AY29" s="2">
        <f t="shared" si="44"/>
        <v>2126</v>
      </c>
      <c r="AZ29" s="2">
        <f t="shared" si="44"/>
        <v>2612</v>
      </c>
      <c r="BA29" s="2">
        <f t="shared" si="44"/>
        <v>3367</v>
      </c>
      <c r="BB29" s="2">
        <f t="shared" si="44"/>
        <v>3922</v>
      </c>
      <c r="BC29" s="2">
        <f t="shared" si="44"/>
        <v>5864</v>
      </c>
      <c r="BD29" s="2">
        <f t="shared" si="44"/>
        <v>7433</v>
      </c>
      <c r="BE29" s="2">
        <f t="shared" si="44"/>
        <v>9779</v>
      </c>
      <c r="BF29" s="2">
        <f>SUM(S29:V29)</f>
        <v>11329</v>
      </c>
      <c r="BG29" s="2">
        <f>+BG27+BG28</f>
        <v>16405</v>
      </c>
      <c r="BH29" s="2">
        <f t="shared" ref="BH29:BK29" si="45">+BH27+BH28</f>
        <v>19686</v>
      </c>
      <c r="BI29" s="2">
        <f t="shared" si="45"/>
        <v>23623.200000000001</v>
      </c>
      <c r="BJ29" s="2">
        <f t="shared" si="45"/>
        <v>28347.84</v>
      </c>
      <c r="BK29" s="2">
        <f t="shared" si="45"/>
        <v>34017.407999999996</v>
      </c>
      <c r="BL29" s="2">
        <f t="shared" ref="BL29" si="46">+BL27+BL28</f>
        <v>40820.889599999995</v>
      </c>
      <c r="BM29" s="2">
        <f t="shared" ref="BM29" si="47">+BM27+BM28</f>
        <v>48985.06751999999</v>
      </c>
    </row>
    <row r="30" spans="2:66" s="2" customFormat="1" x14ac:dyDescent="0.25">
      <c r="B30" s="2" t="s">
        <v>2</v>
      </c>
      <c r="C30" s="5">
        <f t="shared" ref="C30:F30" si="48">+C26-C29</f>
        <v>358</v>
      </c>
      <c r="D30" s="5">
        <f t="shared" si="48"/>
        <v>571</v>
      </c>
      <c r="E30" s="5">
        <f t="shared" si="48"/>
        <v>927</v>
      </c>
      <c r="F30" s="5">
        <f t="shared" si="48"/>
        <v>990</v>
      </c>
      <c r="G30" s="5">
        <f t="shared" ref="G30:I30" si="49">+G26-G29</f>
        <v>976</v>
      </c>
      <c r="H30" s="5">
        <f t="shared" ref="H30" si="50">+H26-H29</f>
        <v>651</v>
      </c>
      <c r="I30" s="5">
        <f t="shared" si="49"/>
        <v>1398</v>
      </c>
      <c r="J30" s="5">
        <f t="shared" ref="J30" si="51">+J26-J29</f>
        <v>1507</v>
      </c>
      <c r="K30" s="5">
        <f t="shared" ref="K30:M30" si="52">+K26-K29</f>
        <v>1956</v>
      </c>
      <c r="L30" s="5">
        <f t="shared" si="52"/>
        <v>2444</v>
      </c>
      <c r="M30" s="5">
        <f t="shared" si="52"/>
        <v>2671</v>
      </c>
      <c r="N30" s="5">
        <f t="shared" ref="N30" si="53">+N26-N29</f>
        <v>2970</v>
      </c>
      <c r="O30" s="5">
        <f>+O26-O29</f>
        <v>3221</v>
      </c>
      <c r="P30" s="5">
        <f t="shared" ref="P30" si="54">+P26-P29</f>
        <v>499</v>
      </c>
      <c r="Q30" s="5">
        <f>+Q26-Q29</f>
        <v>601</v>
      </c>
      <c r="R30" s="5">
        <f>+R26-R29</f>
        <v>1256</v>
      </c>
      <c r="S30" s="5">
        <f>+S26-S29</f>
        <v>2140</v>
      </c>
      <c r="T30" s="5">
        <f>+T26-T29</f>
        <v>6800</v>
      </c>
      <c r="U30" s="5">
        <f t="shared" ref="U30:W30" si="55">+U26-U29</f>
        <v>10417</v>
      </c>
      <c r="V30" s="5">
        <f t="shared" si="55"/>
        <v>13615</v>
      </c>
      <c r="W30" s="5">
        <f t="shared" si="55"/>
        <v>16909</v>
      </c>
      <c r="X30" s="5">
        <f t="shared" ref="X30:Z30" si="56">+X26-X29</f>
        <v>18642</v>
      </c>
      <c r="Y30" s="5">
        <f t="shared" si="56"/>
        <v>21869</v>
      </c>
      <c r="Z30" s="5">
        <f t="shared" si="56"/>
        <v>24034</v>
      </c>
      <c r="AA30" s="5">
        <f t="shared" ref="AA30:AD30" si="57">+AA26-AA29</f>
        <v>29290.720000000001</v>
      </c>
      <c r="AB30" s="5">
        <f t="shared" si="57"/>
        <v>30806.28</v>
      </c>
      <c r="AC30" s="5">
        <f t="shared" si="57"/>
        <v>35462.400000000001</v>
      </c>
      <c r="AD30" s="5">
        <f t="shared" si="57"/>
        <v>34641.440064000002</v>
      </c>
      <c r="AE30" s="5"/>
      <c r="AF30" s="5"/>
      <c r="AG30" s="5"/>
      <c r="AH30" s="2">
        <f t="shared" ref="AH30" si="58">+AH26-AH29</f>
        <v>232.66200000000001</v>
      </c>
      <c r="AI30" s="2">
        <f t="shared" ref="AI30:AJ30" si="59">+AI26-AI29</f>
        <v>462.38499999999999</v>
      </c>
      <c r="AJ30" s="2">
        <f t="shared" si="59"/>
        <v>850.23299999999995</v>
      </c>
      <c r="AK30" s="2">
        <f t="shared" ref="AK30:AL30" si="60">+AK26-AK29</f>
        <v>205.81799999999993</v>
      </c>
      <c r="AL30" s="2">
        <f t="shared" si="60"/>
        <v>93.656999999999925</v>
      </c>
      <c r="AM30" s="2">
        <f t="shared" ref="AM30:AR30" si="61">+AM26-AM29</f>
        <v>113.59299999999985</v>
      </c>
      <c r="AN30" s="2">
        <f t="shared" si="61"/>
        <v>350.82199999999989</v>
      </c>
      <c r="AO30" s="2">
        <f t="shared" si="61"/>
        <v>453.45200000000034</v>
      </c>
      <c r="AP30" s="2">
        <f t="shared" si="61"/>
        <v>836.34599999999978</v>
      </c>
      <c r="AQ30" s="2">
        <f t="shared" si="61"/>
        <v>-43.832000000000335</v>
      </c>
      <c r="AR30" s="2">
        <f t="shared" si="61"/>
        <v>-98.944999999999709</v>
      </c>
      <c r="AS30" s="2">
        <f t="shared" ref="AS30:BG30" si="62">+AS26-AS29</f>
        <v>198.74700000000007</v>
      </c>
      <c r="AT30" s="2">
        <f t="shared" si="62"/>
        <v>648.29899999999975</v>
      </c>
      <c r="AU30" s="2">
        <f t="shared" si="62"/>
        <v>648.23900000000003</v>
      </c>
      <c r="AV30" s="2">
        <f t="shared" si="62"/>
        <v>496</v>
      </c>
      <c r="AW30" s="2">
        <f t="shared" si="62"/>
        <v>759</v>
      </c>
      <c r="AX30" s="2">
        <f t="shared" si="62"/>
        <v>878</v>
      </c>
      <c r="AY30" s="2">
        <f t="shared" si="62"/>
        <v>1937</v>
      </c>
      <c r="AZ30" s="2">
        <f t="shared" si="62"/>
        <v>3210</v>
      </c>
      <c r="BA30" s="2">
        <f t="shared" si="62"/>
        <v>3804</v>
      </c>
      <c r="BB30" s="2">
        <f t="shared" si="62"/>
        <v>2846</v>
      </c>
      <c r="BC30" s="2">
        <f t="shared" si="62"/>
        <v>4532</v>
      </c>
      <c r="BD30" s="2">
        <f t="shared" si="62"/>
        <v>10040</v>
      </c>
      <c r="BE30" s="2">
        <f t="shared" si="62"/>
        <v>5580</v>
      </c>
      <c r="BF30" s="2">
        <f t="shared" si="62"/>
        <v>32972</v>
      </c>
      <c r="BG30" s="2">
        <f t="shared" si="62"/>
        <v>81454</v>
      </c>
      <c r="BH30" s="2">
        <f t="shared" ref="BH30:BK30" si="63">+BH26-BH29</f>
        <v>130200.84006400002</v>
      </c>
      <c r="BI30" s="2">
        <f t="shared" si="63"/>
        <v>207123.645888</v>
      </c>
      <c r="BJ30" s="2">
        <f t="shared" si="63"/>
        <v>294697.7442432</v>
      </c>
      <c r="BK30" s="2">
        <f t="shared" si="63"/>
        <v>418246.40994047996</v>
      </c>
      <c r="BL30" s="2">
        <f t="shared" ref="BL30" si="64">+BL26-BL29</f>
        <v>547122.07372262399</v>
      </c>
      <c r="BM30" s="2">
        <f t="shared" ref="BM30" si="65">+BM26-BM29</f>
        <v>715340.78479941119</v>
      </c>
    </row>
    <row r="31" spans="2:66" s="2" customFormat="1" x14ac:dyDescent="0.25">
      <c r="B31" s="2" t="s">
        <v>11</v>
      </c>
      <c r="C31" s="5">
        <f>44-13</f>
        <v>31</v>
      </c>
      <c r="D31" s="5">
        <f>47-13+1</f>
        <v>35</v>
      </c>
      <c r="E31" s="5">
        <f>45-13</f>
        <v>32</v>
      </c>
      <c r="F31" s="5">
        <f>+BB31-E31-D31-C31</f>
        <v>26</v>
      </c>
      <c r="G31" s="5">
        <v>5</v>
      </c>
      <c r="H31" s="5">
        <v>-42</v>
      </c>
      <c r="I31" s="5">
        <f>7-53-4</f>
        <v>-50</v>
      </c>
      <c r="J31" s="5">
        <v>-37</v>
      </c>
      <c r="K31" s="5">
        <v>88</v>
      </c>
      <c r="L31" s="5">
        <v>-50</v>
      </c>
      <c r="M31" s="5">
        <v>-33</v>
      </c>
      <c r="N31" s="5">
        <v>-105</v>
      </c>
      <c r="O31" s="5">
        <f>18-68-13</f>
        <v>-63</v>
      </c>
      <c r="P31" s="5">
        <v>-24</v>
      </c>
      <c r="Q31" s="5">
        <v>12</v>
      </c>
      <c r="R31" s="5">
        <f t="shared" ref="R31" si="66">+BE31-Q31-P31-O31</f>
        <v>32</v>
      </c>
      <c r="S31" s="5">
        <f>150-66-15</f>
        <v>69</v>
      </c>
      <c r="T31" s="2">
        <f>187-65+59</f>
        <v>181</v>
      </c>
      <c r="U31" s="2">
        <f>234-63-66</f>
        <v>105</v>
      </c>
      <c r="V31" s="2">
        <v>491</v>
      </c>
      <c r="W31" s="2">
        <f>359-64+75</f>
        <v>370</v>
      </c>
      <c r="X31" s="2">
        <v>572</v>
      </c>
      <c r="Y31" s="2">
        <f>472-61+36</f>
        <v>447</v>
      </c>
      <c r="Z31" s="2">
        <f>511-61+733</f>
        <v>1183</v>
      </c>
      <c r="AA31" s="2">
        <f>+Z31</f>
        <v>1183</v>
      </c>
      <c r="AB31" s="2">
        <f>+AA31</f>
        <v>1183</v>
      </c>
      <c r="AC31" s="2">
        <f>+AB31</f>
        <v>1183</v>
      </c>
      <c r="AD31" s="2">
        <f>+AC31</f>
        <v>1183</v>
      </c>
      <c r="AH31" s="2">
        <v>23.245999999999999</v>
      </c>
      <c r="AI31" s="2">
        <v>23.245999999999999</v>
      </c>
      <c r="AJ31" s="2">
        <v>23.245999999999999</v>
      </c>
      <c r="AK31" s="2">
        <v>23.245999999999999</v>
      </c>
      <c r="AL31" s="2">
        <v>18.561</v>
      </c>
      <c r="AM31" s="2">
        <v>11.422000000000001</v>
      </c>
      <c r="AN31" s="2">
        <v>20.698</v>
      </c>
      <c r="AO31" s="2">
        <v>41.82</v>
      </c>
      <c r="AP31" s="2">
        <v>64.289000000000001</v>
      </c>
      <c r="AQ31" s="2">
        <f>42.859-0.406</f>
        <v>42.453000000000003</v>
      </c>
      <c r="AR31" s="2">
        <v>23.114999999999998</v>
      </c>
      <c r="AS31" s="2">
        <f>19.057-3.127-0.508</f>
        <v>15.422000000000001</v>
      </c>
      <c r="AT31" s="2">
        <f>19.149-3.089-0.963</f>
        <v>15.097000000000003</v>
      </c>
      <c r="AU31" s="2">
        <f>19.908-3.294-2.814</f>
        <v>13.8</v>
      </c>
      <c r="AV31" s="2">
        <v>14</v>
      </c>
      <c r="AW31" s="2">
        <v>14</v>
      </c>
      <c r="AX31" s="2">
        <v>-4</v>
      </c>
      <c r="AY31" s="2">
        <v>-29</v>
      </c>
      <c r="AZ31" s="2">
        <v>-14</v>
      </c>
      <c r="BA31" s="2">
        <v>92</v>
      </c>
      <c r="BB31" s="2">
        <v>124</v>
      </c>
      <c r="BC31" s="2">
        <v>-123</v>
      </c>
      <c r="BD31" s="2">
        <f>SUM(K31:N31)</f>
        <v>-100</v>
      </c>
      <c r="BE31" s="2">
        <f>267-262-48</f>
        <v>-43</v>
      </c>
      <c r="BF31" s="2">
        <f>SUM(S31:V31)</f>
        <v>846</v>
      </c>
      <c r="BG31" s="2">
        <f>SUM(W31:Z31)</f>
        <v>2572</v>
      </c>
      <c r="BH31" s="2">
        <f>SUM(AA31:AD31)</f>
        <v>4732</v>
      </c>
      <c r="BI31" s="2">
        <f>+BH31*1.1</f>
        <v>5205.2000000000007</v>
      </c>
      <c r="BJ31" s="2">
        <f>+BI31*1.1</f>
        <v>5725.7200000000012</v>
      </c>
      <c r="BK31" s="2">
        <f>+BJ31*1.1</f>
        <v>6298.2920000000022</v>
      </c>
      <c r="BL31" s="2">
        <f t="shared" ref="BL31:BM31" si="67">+BK31*1.1</f>
        <v>6928.1212000000032</v>
      </c>
      <c r="BM31" s="2">
        <f t="shared" si="67"/>
        <v>7620.9333200000037</v>
      </c>
    </row>
    <row r="32" spans="2:66" s="2" customFormat="1" x14ac:dyDescent="0.25">
      <c r="B32" s="2" t="s">
        <v>10</v>
      </c>
      <c r="C32" s="5">
        <f t="shared" ref="C32:F32" si="68">+C30+C31</f>
        <v>389</v>
      </c>
      <c r="D32" s="5">
        <f t="shared" si="68"/>
        <v>606</v>
      </c>
      <c r="E32" s="5">
        <f t="shared" si="68"/>
        <v>959</v>
      </c>
      <c r="F32" s="5">
        <f t="shared" si="68"/>
        <v>1016</v>
      </c>
      <c r="G32" s="5">
        <f t="shared" ref="G32:T32" si="69">+G30+G31</f>
        <v>981</v>
      </c>
      <c r="H32" s="5">
        <f t="shared" si="69"/>
        <v>609</v>
      </c>
      <c r="I32" s="5">
        <f t="shared" si="69"/>
        <v>1348</v>
      </c>
      <c r="J32" s="5">
        <f t="shared" si="69"/>
        <v>1470</v>
      </c>
      <c r="K32" s="5">
        <f t="shared" si="69"/>
        <v>2044</v>
      </c>
      <c r="L32" s="5">
        <f t="shared" si="69"/>
        <v>2394</v>
      </c>
      <c r="M32" s="5">
        <f t="shared" si="69"/>
        <v>2638</v>
      </c>
      <c r="N32" s="5">
        <f t="shared" si="69"/>
        <v>2865</v>
      </c>
      <c r="O32" s="5">
        <f t="shared" si="69"/>
        <v>3158</v>
      </c>
      <c r="P32" s="5">
        <f t="shared" si="69"/>
        <v>475</v>
      </c>
      <c r="Q32" s="5">
        <f t="shared" si="69"/>
        <v>613</v>
      </c>
      <c r="R32" s="5">
        <f t="shared" si="69"/>
        <v>1288</v>
      </c>
      <c r="S32" s="5">
        <f t="shared" si="69"/>
        <v>2209</v>
      </c>
      <c r="T32" s="5">
        <f t="shared" si="69"/>
        <v>6981</v>
      </c>
      <c r="U32" s="5">
        <f t="shared" ref="U32:AD32" si="70">+U30+U31</f>
        <v>10522</v>
      </c>
      <c r="V32" s="5">
        <f t="shared" si="70"/>
        <v>14106</v>
      </c>
      <c r="W32" s="5">
        <f t="shared" si="70"/>
        <v>17279</v>
      </c>
      <c r="X32" s="5">
        <f>+X30+X31</f>
        <v>19214</v>
      </c>
      <c r="Y32" s="5">
        <f t="shared" si="70"/>
        <v>22316</v>
      </c>
      <c r="Z32" s="5">
        <f t="shared" si="70"/>
        <v>25217</v>
      </c>
      <c r="AA32" s="5">
        <f t="shared" si="70"/>
        <v>30473.72</v>
      </c>
      <c r="AB32" s="5">
        <f t="shared" si="70"/>
        <v>31989.279999999999</v>
      </c>
      <c r="AC32" s="5">
        <f t="shared" si="70"/>
        <v>36645.4</v>
      </c>
      <c r="AD32" s="5">
        <f t="shared" si="70"/>
        <v>35824.440064000002</v>
      </c>
      <c r="AE32" s="5"/>
      <c r="AF32" s="5"/>
      <c r="AG32" s="5"/>
      <c r="AH32" s="2">
        <f t="shared" ref="AH32" si="71">+AH30+AH31</f>
        <v>255.90800000000002</v>
      </c>
      <c r="AI32" s="2">
        <f t="shared" ref="AI32:AJ32" si="72">+AI30+AI31</f>
        <v>485.63099999999997</v>
      </c>
      <c r="AJ32" s="2">
        <f t="shared" si="72"/>
        <v>873.47899999999993</v>
      </c>
      <c r="AK32" s="2">
        <f t="shared" ref="AK32:AL32" si="73">+AK30+AK31</f>
        <v>229.06399999999994</v>
      </c>
      <c r="AL32" s="2">
        <f t="shared" si="73"/>
        <v>112.21799999999993</v>
      </c>
      <c r="AM32" s="2">
        <f t="shared" ref="AM32:AR32" si="74">+AM30+AM31</f>
        <v>125.01499999999984</v>
      </c>
      <c r="AN32" s="2">
        <f t="shared" si="74"/>
        <v>371.51999999999987</v>
      </c>
      <c r="AO32" s="2">
        <f t="shared" si="74"/>
        <v>495.27200000000033</v>
      </c>
      <c r="AP32" s="2">
        <f t="shared" si="74"/>
        <v>900.63499999999976</v>
      </c>
      <c r="AQ32" s="2">
        <f t="shared" si="74"/>
        <v>-1.3790000000003317</v>
      </c>
      <c r="AR32" s="2">
        <f t="shared" si="74"/>
        <v>-75.829999999999714</v>
      </c>
      <c r="AS32" s="2">
        <f t="shared" ref="AS32:BG32" si="75">+AS30+AS31</f>
        <v>214.16900000000007</v>
      </c>
      <c r="AT32" s="2">
        <f t="shared" si="75"/>
        <v>663.39599999999973</v>
      </c>
      <c r="AU32" s="2">
        <f t="shared" si="75"/>
        <v>662.03899999999999</v>
      </c>
      <c r="AV32" s="2">
        <f t="shared" si="75"/>
        <v>510</v>
      </c>
      <c r="AW32" s="2">
        <f t="shared" si="75"/>
        <v>773</v>
      </c>
      <c r="AX32" s="2">
        <f t="shared" si="75"/>
        <v>874</v>
      </c>
      <c r="AY32" s="2">
        <f t="shared" si="75"/>
        <v>1908</v>
      </c>
      <c r="AZ32" s="2">
        <f t="shared" si="75"/>
        <v>3196</v>
      </c>
      <c r="BA32" s="2">
        <f t="shared" si="75"/>
        <v>3896</v>
      </c>
      <c r="BB32" s="2">
        <f t="shared" si="75"/>
        <v>2970</v>
      </c>
      <c r="BC32" s="2">
        <f t="shared" si="75"/>
        <v>4409</v>
      </c>
      <c r="BD32" s="2">
        <f t="shared" si="75"/>
        <v>9940</v>
      </c>
      <c r="BE32" s="2">
        <f t="shared" si="75"/>
        <v>5537</v>
      </c>
      <c r="BF32" s="2">
        <f t="shared" si="75"/>
        <v>33818</v>
      </c>
      <c r="BG32" s="2">
        <f t="shared" si="75"/>
        <v>84026</v>
      </c>
      <c r="BH32" s="2">
        <f t="shared" ref="BH32:BK32" si="76">+BH30+BH31</f>
        <v>134932.84006400002</v>
      </c>
      <c r="BI32" s="2">
        <f t="shared" si="76"/>
        <v>212328.84588800001</v>
      </c>
      <c r="BJ32" s="2">
        <f t="shared" si="76"/>
        <v>300423.46424320003</v>
      </c>
      <c r="BK32" s="2">
        <f t="shared" si="76"/>
        <v>424544.70194047998</v>
      </c>
      <c r="BL32" s="2">
        <f t="shared" ref="BL32" si="77">+BL30+BL31</f>
        <v>554050.19492262404</v>
      </c>
      <c r="BM32" s="2">
        <f t="shared" ref="BM32" si="78">+BM30+BM31</f>
        <v>722961.71811941115</v>
      </c>
    </row>
    <row r="33" spans="2:161" s="2" customFormat="1" x14ac:dyDescent="0.25">
      <c r="B33" s="2" t="s">
        <v>9</v>
      </c>
      <c r="C33" s="5">
        <v>-5</v>
      </c>
      <c r="D33" s="5">
        <v>54</v>
      </c>
      <c r="E33" s="5">
        <v>60</v>
      </c>
      <c r="F33" s="5">
        <f>+BB33-E33-D33-C33</f>
        <v>65</v>
      </c>
      <c r="G33" s="5">
        <v>64</v>
      </c>
      <c r="H33" s="5">
        <v>-13</v>
      </c>
      <c r="I33" s="5">
        <v>12</v>
      </c>
      <c r="J33" s="5">
        <v>13</v>
      </c>
      <c r="K33" s="5">
        <v>132</v>
      </c>
      <c r="L33" s="5">
        <v>20</v>
      </c>
      <c r="M33" s="5">
        <v>174</v>
      </c>
      <c r="N33" s="5">
        <v>-138</v>
      </c>
      <c r="O33" s="5">
        <v>187</v>
      </c>
      <c r="P33" s="5">
        <v>-181</v>
      </c>
      <c r="Q33" s="5">
        <v>-67</v>
      </c>
      <c r="R33" s="5">
        <f t="shared" ref="R33" si="79">+BE33-Q33-P33-O33</f>
        <v>61</v>
      </c>
      <c r="S33" s="5">
        <v>166</v>
      </c>
      <c r="T33" s="2">
        <v>793</v>
      </c>
      <c r="U33" s="2">
        <v>1279</v>
      </c>
      <c r="V33" s="2">
        <v>1821</v>
      </c>
      <c r="W33" s="2">
        <v>2398</v>
      </c>
      <c r="X33" s="2">
        <v>2615</v>
      </c>
      <c r="Y33" s="2">
        <v>3007</v>
      </c>
      <c r="Z33" s="2">
        <v>3126</v>
      </c>
      <c r="AA33" s="2">
        <f>+AA32*0.15</f>
        <v>4571.058</v>
      </c>
      <c r="AB33" s="2">
        <f>+AB32*0.15</f>
        <v>4798.3919999999998</v>
      </c>
      <c r="AC33" s="2">
        <f>+AC32*0.15</f>
        <v>5496.81</v>
      </c>
      <c r="AD33" s="2">
        <f>+AD32*0.15</f>
        <v>5373.6660096000005</v>
      </c>
      <c r="AH33" s="2">
        <v>59.758000000000003</v>
      </c>
      <c r="AI33" s="2">
        <v>59.758000000000003</v>
      </c>
      <c r="AJ33" s="2">
        <v>59.758000000000003</v>
      </c>
      <c r="AK33" s="2">
        <v>59.758000000000003</v>
      </c>
      <c r="AL33" s="2">
        <v>12.254</v>
      </c>
      <c r="AM33" s="2">
        <v>25.088999999999999</v>
      </c>
      <c r="AN33" s="2">
        <v>55.612000000000002</v>
      </c>
      <c r="AO33" s="2">
        <v>46.35</v>
      </c>
      <c r="AP33" s="2">
        <v>103.696</v>
      </c>
      <c r="AQ33" s="2">
        <v>0</v>
      </c>
      <c r="AR33" s="2">
        <v>0</v>
      </c>
      <c r="AS33" s="2">
        <v>18.023</v>
      </c>
      <c r="AT33" s="2">
        <v>82.305999999999997</v>
      </c>
      <c r="AU33" s="2">
        <v>99.503</v>
      </c>
      <c r="AV33" s="2">
        <v>70</v>
      </c>
      <c r="AW33" s="2">
        <v>124</v>
      </c>
      <c r="AX33" s="2">
        <v>129</v>
      </c>
      <c r="AY33" s="2">
        <v>239</v>
      </c>
      <c r="AZ33" s="2">
        <v>149</v>
      </c>
      <c r="BA33" s="2">
        <v>-245</v>
      </c>
      <c r="BB33" s="2">
        <v>174</v>
      </c>
      <c r="BC33" s="2">
        <v>77</v>
      </c>
      <c r="BD33" s="2">
        <f>SUM(K33:N33)</f>
        <v>188</v>
      </c>
      <c r="BE33" s="2">
        <v>0</v>
      </c>
      <c r="BF33" s="2">
        <f>SUM(S33:V33)</f>
        <v>4059</v>
      </c>
      <c r="BG33" s="2">
        <f>SUM(W33:Z33)</f>
        <v>11146</v>
      </c>
      <c r="BH33" s="2">
        <f>SUM(AA33:AD33)</f>
        <v>20239.926009600003</v>
      </c>
      <c r="BI33" s="2">
        <f t="shared" ref="BI33:BK33" si="80">+BI32*0.2</f>
        <v>42465.769177600007</v>
      </c>
      <c r="BJ33" s="2">
        <f t="shared" si="80"/>
        <v>60084.692848640007</v>
      </c>
      <c r="BK33" s="2">
        <f t="shared" si="80"/>
        <v>84908.940388096002</v>
      </c>
      <c r="BL33" s="2">
        <f t="shared" ref="BL33" si="81">+BL32*0.2</f>
        <v>110810.03898452481</v>
      </c>
      <c r="BM33" s="2">
        <f t="shared" ref="BM33" si="82">+BM32*0.2</f>
        <v>144592.34362388225</v>
      </c>
    </row>
    <row r="34" spans="2:161" s="2" customFormat="1" x14ac:dyDescent="0.25">
      <c r="B34" s="2" t="s">
        <v>8</v>
      </c>
      <c r="C34" s="5">
        <f t="shared" ref="C34:F34" si="83">+C32-C33</f>
        <v>394</v>
      </c>
      <c r="D34" s="5">
        <f t="shared" si="83"/>
        <v>552</v>
      </c>
      <c r="E34" s="5">
        <f t="shared" si="83"/>
        <v>899</v>
      </c>
      <c r="F34" s="5">
        <f t="shared" si="83"/>
        <v>951</v>
      </c>
      <c r="G34" s="5">
        <f t="shared" ref="G34:S34" si="84">+G32-G33</f>
        <v>917</v>
      </c>
      <c r="H34" s="5">
        <f t="shared" si="84"/>
        <v>622</v>
      </c>
      <c r="I34" s="5">
        <f t="shared" si="84"/>
        <v>1336</v>
      </c>
      <c r="J34" s="5">
        <f t="shared" si="84"/>
        <v>1457</v>
      </c>
      <c r="K34" s="5">
        <f t="shared" si="84"/>
        <v>1912</v>
      </c>
      <c r="L34" s="5">
        <f t="shared" si="84"/>
        <v>2374</v>
      </c>
      <c r="M34" s="5">
        <f t="shared" si="84"/>
        <v>2464</v>
      </c>
      <c r="N34" s="5">
        <f t="shared" si="84"/>
        <v>3003</v>
      </c>
      <c r="O34" s="5">
        <f t="shared" si="84"/>
        <v>2971</v>
      </c>
      <c r="P34" s="5">
        <f t="shared" si="84"/>
        <v>656</v>
      </c>
      <c r="Q34" s="5">
        <f t="shared" si="84"/>
        <v>680</v>
      </c>
      <c r="R34" s="5">
        <f t="shared" si="84"/>
        <v>1227</v>
      </c>
      <c r="S34" s="5">
        <f t="shared" si="84"/>
        <v>2043</v>
      </c>
      <c r="T34" s="2">
        <f>T32-T33</f>
        <v>6188</v>
      </c>
      <c r="U34" s="2">
        <f t="shared" ref="U34" si="85">U32-U33</f>
        <v>9243</v>
      </c>
      <c r="V34" s="2">
        <f>+V32-V33</f>
        <v>12285</v>
      </c>
      <c r="W34" s="2">
        <f>+W32-W33</f>
        <v>14881</v>
      </c>
      <c r="X34" s="2">
        <f t="shared" ref="X34:AD34" si="86">+X32-X33</f>
        <v>16599</v>
      </c>
      <c r="Y34" s="2">
        <f t="shared" si="86"/>
        <v>19309</v>
      </c>
      <c r="Z34" s="2">
        <f t="shared" si="86"/>
        <v>22091</v>
      </c>
      <c r="AA34" s="2">
        <f t="shared" si="86"/>
        <v>25902.662</v>
      </c>
      <c r="AB34" s="2">
        <f t="shared" si="86"/>
        <v>27190.887999999999</v>
      </c>
      <c r="AC34" s="2">
        <f t="shared" si="86"/>
        <v>31148.59</v>
      </c>
      <c r="AD34" s="2">
        <f t="shared" si="86"/>
        <v>30450.774054400001</v>
      </c>
      <c r="AH34" s="2">
        <f t="shared" ref="AH34" si="87">+AH32-AH33</f>
        <v>196.15</v>
      </c>
      <c r="AI34" s="2">
        <f t="shared" ref="AI34:AJ34" si="88">+AI32-AI33</f>
        <v>425.87299999999999</v>
      </c>
      <c r="AJ34" s="2">
        <f t="shared" si="88"/>
        <v>813.72099999999989</v>
      </c>
      <c r="AK34" s="2">
        <f t="shared" ref="AK34:AL34" si="89">+AK32-AK33</f>
        <v>169.30599999999993</v>
      </c>
      <c r="AL34" s="2">
        <f t="shared" si="89"/>
        <v>99.963999999999928</v>
      </c>
      <c r="AM34" s="2">
        <f t="shared" ref="AM34:AR34" si="90">+AM32-AM33</f>
        <v>99.925999999999846</v>
      </c>
      <c r="AN34" s="2">
        <f t="shared" si="90"/>
        <v>315.90799999999984</v>
      </c>
      <c r="AO34" s="2">
        <f t="shared" si="90"/>
        <v>448.92200000000031</v>
      </c>
      <c r="AP34" s="2">
        <f t="shared" si="90"/>
        <v>796.93899999999974</v>
      </c>
      <c r="AQ34" s="2">
        <f t="shared" si="90"/>
        <v>-1.3790000000003317</v>
      </c>
      <c r="AR34" s="2">
        <f t="shared" si="90"/>
        <v>-75.829999999999714</v>
      </c>
      <c r="AS34" s="2">
        <f t="shared" ref="AS34:BG34" si="91">+AS32-AS33</f>
        <v>196.14600000000007</v>
      </c>
      <c r="AT34" s="2">
        <f t="shared" si="91"/>
        <v>581.08999999999969</v>
      </c>
      <c r="AU34" s="2">
        <f t="shared" si="91"/>
        <v>562.53599999999994</v>
      </c>
      <c r="AV34" s="2">
        <f t="shared" si="91"/>
        <v>440</v>
      </c>
      <c r="AW34" s="2">
        <f t="shared" si="91"/>
        <v>649</v>
      </c>
      <c r="AX34" s="2">
        <f t="shared" si="91"/>
        <v>745</v>
      </c>
      <c r="AY34" s="2">
        <f t="shared" si="91"/>
        <v>1669</v>
      </c>
      <c r="AZ34" s="2">
        <f t="shared" si="91"/>
        <v>3047</v>
      </c>
      <c r="BA34" s="2">
        <f t="shared" si="91"/>
        <v>4141</v>
      </c>
      <c r="BB34" s="2">
        <f t="shared" si="91"/>
        <v>2796</v>
      </c>
      <c r="BC34" s="2">
        <f t="shared" si="91"/>
        <v>4332</v>
      </c>
      <c r="BD34" s="2">
        <f t="shared" si="91"/>
        <v>9752</v>
      </c>
      <c r="BE34" s="2">
        <f t="shared" si="91"/>
        <v>5537</v>
      </c>
      <c r="BF34" s="2">
        <f t="shared" si="91"/>
        <v>29759</v>
      </c>
      <c r="BG34" s="2">
        <f t="shared" si="91"/>
        <v>72880</v>
      </c>
      <c r="BH34" s="2">
        <f t="shared" ref="BH34:BK34" si="92">+BH32-BH33</f>
        <v>114692.91405440001</v>
      </c>
      <c r="BI34" s="2">
        <f t="shared" si="92"/>
        <v>169863.0767104</v>
      </c>
      <c r="BJ34" s="2">
        <f t="shared" si="92"/>
        <v>240338.77139456003</v>
      </c>
      <c r="BK34" s="2">
        <f t="shared" si="92"/>
        <v>339635.76155238401</v>
      </c>
      <c r="BL34" s="2">
        <f t="shared" ref="BL34" si="93">+BL32-BL33</f>
        <v>443240.15593809925</v>
      </c>
      <c r="BM34" s="2">
        <f t="shared" ref="BM34" si="94">+BM32-BM33</f>
        <v>578369.37449552887</v>
      </c>
      <c r="BN34" s="2">
        <f t="shared" ref="BN34:CS34" si="95">BM34*(1+$BP$41)</f>
        <v>584153.06824048422</v>
      </c>
      <c r="BO34" s="2">
        <f t="shared" si="95"/>
        <v>589994.5989228891</v>
      </c>
      <c r="BP34" s="2">
        <f t="shared" si="95"/>
        <v>595894.544912118</v>
      </c>
      <c r="BQ34" s="2">
        <f t="shared" si="95"/>
        <v>601853.49036123918</v>
      </c>
      <c r="BR34" s="2">
        <f t="shared" si="95"/>
        <v>607872.02526485163</v>
      </c>
      <c r="BS34" s="2">
        <f t="shared" si="95"/>
        <v>613950.74551750021</v>
      </c>
      <c r="BT34" s="2">
        <f t="shared" si="95"/>
        <v>620090.25297267525</v>
      </c>
      <c r="BU34" s="2">
        <f t="shared" si="95"/>
        <v>626291.15550240199</v>
      </c>
      <c r="BV34" s="2">
        <f t="shared" si="95"/>
        <v>632554.06705742597</v>
      </c>
      <c r="BW34" s="2">
        <f t="shared" si="95"/>
        <v>638879.60772800026</v>
      </c>
      <c r="BX34" s="2">
        <f t="shared" si="95"/>
        <v>645268.40380528022</v>
      </c>
      <c r="BY34" s="2">
        <f t="shared" si="95"/>
        <v>651721.08784333302</v>
      </c>
      <c r="BZ34" s="2">
        <f t="shared" si="95"/>
        <v>658238.29872176633</v>
      </c>
      <c r="CA34" s="2">
        <f t="shared" si="95"/>
        <v>664820.68170898396</v>
      </c>
      <c r="CB34" s="2">
        <f t="shared" si="95"/>
        <v>671468.88852607377</v>
      </c>
      <c r="CC34" s="2">
        <f t="shared" si="95"/>
        <v>678183.5774113345</v>
      </c>
      <c r="CD34" s="2">
        <f t="shared" si="95"/>
        <v>684965.4131854478</v>
      </c>
      <c r="CE34" s="2">
        <f t="shared" si="95"/>
        <v>691815.06731730234</v>
      </c>
      <c r="CF34" s="2">
        <f t="shared" si="95"/>
        <v>698733.21799047536</v>
      </c>
      <c r="CG34" s="2">
        <f t="shared" si="95"/>
        <v>705720.55017038016</v>
      </c>
      <c r="CH34" s="2">
        <f t="shared" si="95"/>
        <v>712777.75567208393</v>
      </c>
      <c r="CI34" s="2">
        <f t="shared" si="95"/>
        <v>719905.53322880482</v>
      </c>
      <c r="CJ34" s="2">
        <f t="shared" si="95"/>
        <v>727104.58856109285</v>
      </c>
      <c r="CK34" s="2">
        <f t="shared" si="95"/>
        <v>734375.63444670383</v>
      </c>
      <c r="CL34" s="2">
        <f t="shared" si="95"/>
        <v>741719.39079117088</v>
      </c>
      <c r="CM34" s="2">
        <f t="shared" si="95"/>
        <v>749136.58469908265</v>
      </c>
      <c r="CN34" s="2">
        <f t="shared" si="95"/>
        <v>756627.95054607349</v>
      </c>
      <c r="CO34" s="2">
        <f t="shared" si="95"/>
        <v>764194.23005153425</v>
      </c>
      <c r="CP34" s="2">
        <f t="shared" si="95"/>
        <v>771836.17235204962</v>
      </c>
      <c r="CQ34" s="2">
        <f t="shared" si="95"/>
        <v>779554.53407557018</v>
      </c>
      <c r="CR34" s="2">
        <f t="shared" si="95"/>
        <v>787350.0794163259</v>
      </c>
      <c r="CS34" s="2">
        <f t="shared" si="95"/>
        <v>795223.58021048922</v>
      </c>
      <c r="CT34" s="2">
        <f t="shared" ref="CT34:DY34" si="96">CS34*(1+$BP$41)</f>
        <v>803175.81601259415</v>
      </c>
      <c r="CU34" s="2">
        <f t="shared" si="96"/>
        <v>811207.57417272008</v>
      </c>
      <c r="CV34" s="2">
        <f t="shared" si="96"/>
        <v>819319.64991444733</v>
      </c>
      <c r="CW34" s="2">
        <f t="shared" si="96"/>
        <v>827512.84641359176</v>
      </c>
      <c r="CX34" s="2">
        <f t="shared" si="96"/>
        <v>835787.97487772768</v>
      </c>
      <c r="CY34" s="2">
        <f t="shared" si="96"/>
        <v>844145.85462650494</v>
      </c>
      <c r="CZ34" s="2">
        <f t="shared" si="96"/>
        <v>852587.31317276997</v>
      </c>
      <c r="DA34" s="2">
        <f t="shared" si="96"/>
        <v>861113.18630449765</v>
      </c>
      <c r="DB34" s="2">
        <f t="shared" si="96"/>
        <v>869724.31816754269</v>
      </c>
      <c r="DC34" s="2">
        <f t="shared" si="96"/>
        <v>878421.56134921813</v>
      </c>
      <c r="DD34" s="2">
        <f t="shared" si="96"/>
        <v>887205.77696271031</v>
      </c>
      <c r="DE34" s="2">
        <f t="shared" si="96"/>
        <v>896077.83473233739</v>
      </c>
      <c r="DF34" s="2">
        <f t="shared" si="96"/>
        <v>905038.6130796608</v>
      </c>
      <c r="DG34" s="2">
        <f t="shared" si="96"/>
        <v>914088.99921045743</v>
      </c>
      <c r="DH34" s="2">
        <f t="shared" si="96"/>
        <v>923229.88920256204</v>
      </c>
      <c r="DI34" s="2">
        <f t="shared" si="96"/>
        <v>932462.18809458765</v>
      </c>
      <c r="DJ34" s="2">
        <f t="shared" si="96"/>
        <v>941786.80997553351</v>
      </c>
      <c r="DK34" s="2">
        <f t="shared" si="96"/>
        <v>951204.67807528889</v>
      </c>
      <c r="DL34" s="2">
        <f t="shared" si="96"/>
        <v>960716.72485604184</v>
      </c>
      <c r="DM34" s="2">
        <f t="shared" si="96"/>
        <v>970323.8921046023</v>
      </c>
      <c r="DN34" s="2">
        <f t="shared" si="96"/>
        <v>980027.13102564833</v>
      </c>
      <c r="DO34" s="2">
        <f t="shared" si="96"/>
        <v>989827.40233590477</v>
      </c>
      <c r="DP34" s="2">
        <f t="shared" si="96"/>
        <v>999725.67635926383</v>
      </c>
      <c r="DQ34" s="2">
        <f t="shared" si="96"/>
        <v>1009722.9331228564</v>
      </c>
      <c r="DR34" s="2">
        <f t="shared" si="96"/>
        <v>1019820.162454085</v>
      </c>
      <c r="DS34" s="2">
        <f t="shared" si="96"/>
        <v>1030018.3640786258</v>
      </c>
      <c r="DT34" s="2">
        <f t="shared" si="96"/>
        <v>1040318.547719412</v>
      </c>
      <c r="DU34" s="2">
        <f t="shared" si="96"/>
        <v>1050721.7331966062</v>
      </c>
      <c r="DV34" s="2">
        <f t="shared" si="96"/>
        <v>1061228.9505285723</v>
      </c>
      <c r="DW34" s="2">
        <f t="shared" si="96"/>
        <v>1071841.240033858</v>
      </c>
      <c r="DX34" s="2">
        <f t="shared" si="96"/>
        <v>1082559.6524341966</v>
      </c>
      <c r="DY34" s="2">
        <f t="shared" si="96"/>
        <v>1093385.2489585385</v>
      </c>
      <c r="DZ34" s="2">
        <f t="shared" ref="DZ34:FE34" si="97">DY34*(1+$BP$41)</f>
        <v>1104319.1014481238</v>
      </c>
      <c r="EA34" s="2">
        <f t="shared" si="97"/>
        <v>1115362.2924626051</v>
      </c>
      <c r="EB34" s="2">
        <f t="shared" si="97"/>
        <v>1126515.9153872312</v>
      </c>
      <c r="EC34" s="2">
        <f t="shared" si="97"/>
        <v>1137781.0745411036</v>
      </c>
      <c r="ED34" s="2">
        <f t="shared" si="97"/>
        <v>1149158.8852865146</v>
      </c>
      <c r="EE34" s="2">
        <f t="shared" si="97"/>
        <v>1160650.4741393798</v>
      </c>
      <c r="EF34" s="2">
        <f t="shared" si="97"/>
        <v>1172256.9788807735</v>
      </c>
      <c r="EG34" s="2">
        <f t="shared" si="97"/>
        <v>1183979.5486695813</v>
      </c>
      <c r="EH34" s="2">
        <f t="shared" si="97"/>
        <v>1195819.3441562771</v>
      </c>
      <c r="EI34" s="2">
        <f t="shared" si="97"/>
        <v>1207777.53759784</v>
      </c>
      <c r="EJ34" s="2">
        <f t="shared" si="97"/>
        <v>1219855.3129738183</v>
      </c>
      <c r="EK34" s="2">
        <f t="shared" si="97"/>
        <v>1232053.8661035565</v>
      </c>
      <c r="EL34" s="2">
        <f t="shared" si="97"/>
        <v>1244374.4047645919</v>
      </c>
      <c r="EM34" s="2">
        <f t="shared" si="97"/>
        <v>1256818.1488122379</v>
      </c>
      <c r="EN34" s="2">
        <f t="shared" si="97"/>
        <v>1269386.3303003602</v>
      </c>
      <c r="EO34" s="2">
        <f t="shared" si="97"/>
        <v>1282080.1936033638</v>
      </c>
      <c r="EP34" s="2">
        <f t="shared" si="97"/>
        <v>1294900.9955393975</v>
      </c>
      <c r="EQ34" s="2">
        <f t="shared" si="97"/>
        <v>1307850.0054947915</v>
      </c>
      <c r="ER34" s="2">
        <f t="shared" si="97"/>
        <v>1320928.5055497396</v>
      </c>
      <c r="ES34" s="2">
        <f t="shared" si="97"/>
        <v>1334137.790605237</v>
      </c>
      <c r="ET34" s="2">
        <f t="shared" si="97"/>
        <v>1347479.1685112894</v>
      </c>
      <c r="EU34" s="2">
        <f t="shared" si="97"/>
        <v>1360953.9601964024</v>
      </c>
      <c r="EV34" s="2">
        <f t="shared" si="97"/>
        <v>1374563.4997983663</v>
      </c>
      <c r="EW34" s="2">
        <f t="shared" si="97"/>
        <v>1388309.13479635</v>
      </c>
      <c r="EX34" s="2">
        <f t="shared" si="97"/>
        <v>1402192.2261443136</v>
      </c>
      <c r="EY34" s="2">
        <f t="shared" si="97"/>
        <v>1416214.1484057568</v>
      </c>
      <c r="EZ34" s="2">
        <f t="shared" si="97"/>
        <v>1430376.2898898143</v>
      </c>
      <c r="FA34" s="2">
        <f t="shared" si="97"/>
        <v>1444680.0527887125</v>
      </c>
      <c r="FB34" s="2">
        <f t="shared" si="97"/>
        <v>1459126.8533165997</v>
      </c>
      <c r="FC34" s="2">
        <f t="shared" si="97"/>
        <v>1473718.1218497658</v>
      </c>
      <c r="FD34" s="2">
        <f t="shared" si="97"/>
        <v>1488455.3030682635</v>
      </c>
      <c r="FE34" s="2">
        <f t="shared" si="97"/>
        <v>1503339.8560989462</v>
      </c>
    </row>
    <row r="35" spans="2:161" x14ac:dyDescent="0.25">
      <c r="B35" t="s">
        <v>12</v>
      </c>
      <c r="C35" s="6">
        <f t="shared" ref="C35:F35" si="98">+C34/C36</f>
        <v>0.15990259740259741</v>
      </c>
      <c r="D35" s="6">
        <f t="shared" si="98"/>
        <v>0.22402597402597402</v>
      </c>
      <c r="E35" s="6">
        <f t="shared" si="98"/>
        <v>0.36367313915857608</v>
      </c>
      <c r="F35" s="6">
        <f t="shared" si="98"/>
        <v>0.38470873786407767</v>
      </c>
      <c r="G35" s="6">
        <f t="shared" ref="G35:T35" si="99">+G34/G36</f>
        <v>0.36856913183279744</v>
      </c>
      <c r="H35" s="6">
        <f t="shared" si="99"/>
        <v>0.24840255591054314</v>
      </c>
      <c r="I35" s="6">
        <f t="shared" si="99"/>
        <v>0.53015873015873016</v>
      </c>
      <c r="J35" s="6">
        <f t="shared" si="99"/>
        <v>0.57725832012678291</v>
      </c>
      <c r="K35" s="6">
        <f t="shared" si="99"/>
        <v>0.75632911392405067</v>
      </c>
      <c r="L35" s="6">
        <f t="shared" si="99"/>
        <v>0.93759873617693523</v>
      </c>
      <c r="M35" s="6">
        <f t="shared" si="99"/>
        <v>0.97084318360914101</v>
      </c>
      <c r="N35" s="6">
        <f t="shared" si="99"/>
        <v>1.1799607072691551</v>
      </c>
      <c r="O35" s="6">
        <f t="shared" si="99"/>
        <v>1.1710681907765077</v>
      </c>
      <c r="P35" s="6">
        <f t="shared" si="99"/>
        <v>0.26073131955484896</v>
      </c>
      <c r="Q35" s="6">
        <f t="shared" si="99"/>
        <v>0.27210884353741499</v>
      </c>
      <c r="R35" s="6">
        <f t="shared" si="99"/>
        <v>4.894295971280415E-2</v>
      </c>
      <c r="S35" s="6">
        <f t="shared" si="99"/>
        <v>8.2048192771084341E-2</v>
      </c>
      <c r="T35" s="6">
        <f t="shared" si="99"/>
        <v>0.24757941906057454</v>
      </c>
      <c r="U35" s="6">
        <f t="shared" ref="U35:W35" si="100">+U34/U36</f>
        <v>3.7060946271050521</v>
      </c>
      <c r="V35" s="6">
        <f t="shared" si="100"/>
        <v>0.49337349397590363</v>
      </c>
      <c r="W35" s="6">
        <f t="shared" si="100"/>
        <v>5.978706307754118</v>
      </c>
      <c r="X35" s="6">
        <f t="shared" ref="X35:AD35" si="101">+X34/X36</f>
        <v>0.66802157115260785</v>
      </c>
      <c r="Y35" s="6">
        <f t="shared" si="101"/>
        <v>0.77940582869136998</v>
      </c>
      <c r="Z35" s="6">
        <f t="shared" si="101"/>
        <v>0.8941552659273051</v>
      </c>
      <c r="AA35" s="6">
        <f t="shared" si="101"/>
        <v>1.05248311730527</v>
      </c>
      <c r="AB35" s="6">
        <f t="shared" si="101"/>
        <v>1.1048266222420868</v>
      </c>
      <c r="AC35" s="6">
        <f t="shared" si="101"/>
        <v>1.2656369103246516</v>
      </c>
      <c r="AD35" s="6">
        <f t="shared" si="101"/>
        <v>1.2372830870098737</v>
      </c>
      <c r="AE35" s="6"/>
      <c r="AF35" s="6"/>
      <c r="AG35" s="6"/>
      <c r="AH35" s="15">
        <f t="shared" ref="AH35" si="102">+AH34/AH36</f>
        <v>1.1648346427701863</v>
      </c>
      <c r="AI35" s="15">
        <f t="shared" ref="AI35:AJ35" si="103">+AI34/AI36</f>
        <v>2.5290421810882875</v>
      </c>
      <c r="AJ35" s="15">
        <f t="shared" si="103"/>
        <v>4.8322733130237001</v>
      </c>
      <c r="AK35" s="15">
        <f t="shared" ref="AK35:AL35" si="104">+AK34/AK36</f>
        <v>1.0054218405753204</v>
      </c>
      <c r="AL35" s="15">
        <f t="shared" si="104"/>
        <v>0.57880688101814015</v>
      </c>
      <c r="AM35" s="15">
        <f t="shared" ref="AM35:AR35" si="105">+AM34/AM36</f>
        <v>0.56596699101711534</v>
      </c>
      <c r="AN35" s="15">
        <f t="shared" si="105"/>
        <v>0.62055905867562389</v>
      </c>
      <c r="AO35" s="15">
        <f t="shared" si="105"/>
        <v>0.76444003977822339</v>
      </c>
      <c r="AP35" s="15">
        <f t="shared" si="105"/>
        <v>1.3134942610575999</v>
      </c>
      <c r="AQ35" s="15">
        <f t="shared" si="105"/>
        <v>-2.515844896976848E-3</v>
      </c>
      <c r="AR35" s="15">
        <f t="shared" si="105"/>
        <v>-0.13797959874375373</v>
      </c>
      <c r="AS35" s="15">
        <f t="shared" ref="AS35" si="106">+AS34/AS36</f>
        <v>0.33319403958660349</v>
      </c>
      <c r="AT35" s="15">
        <f t="shared" ref="AT35:AU35" si="107">+AT34/AT36</f>
        <v>0.94276012336725723</v>
      </c>
      <c r="AU35" s="15">
        <f t="shared" si="107"/>
        <v>0.90011952822354169</v>
      </c>
      <c r="AV35" s="15">
        <f t="shared" ref="AV35:AW35" si="108">+AV34/AV36</f>
        <v>0.73949579831932777</v>
      </c>
      <c r="AW35" s="15">
        <f t="shared" si="108"/>
        <v>1.152753108348135</v>
      </c>
      <c r="AX35" s="15">
        <f t="shared" ref="AX35:AY35" si="109">+AX34/AX36</f>
        <v>1.3093145869947276</v>
      </c>
      <c r="AY35" s="15">
        <f t="shared" si="109"/>
        <v>2.5716486902927582</v>
      </c>
      <c r="AZ35" s="15">
        <f t="shared" ref="AZ35:BA35" si="110">+AZ34/AZ36</f>
        <v>4.8212025316455698</v>
      </c>
      <c r="BA35" s="15">
        <f t="shared" si="110"/>
        <v>6.6256000000000004</v>
      </c>
      <c r="BB35" s="15">
        <f t="shared" ref="BB35:BC35" si="111">+BB34/BB36</f>
        <v>1.1310679611650485</v>
      </c>
      <c r="BC35" s="15">
        <f t="shared" si="111"/>
        <v>1.7258964143426294</v>
      </c>
      <c r="BD35" s="15">
        <f t="shared" ref="BD35:BK35" si="112">+BD34/BD36</f>
        <v>3.8469428007889546</v>
      </c>
      <c r="BE35" s="15">
        <f t="shared" si="112"/>
        <v>0.22086158755484642</v>
      </c>
      <c r="BF35" s="15">
        <f t="shared" si="112"/>
        <v>1.1932237369687249</v>
      </c>
      <c r="BG35" s="15">
        <f t="shared" si="112"/>
        <v>2.9382357684244478</v>
      </c>
      <c r="BH35" s="15">
        <f t="shared" si="112"/>
        <v>4.6602297368818828</v>
      </c>
      <c r="BI35" s="15">
        <f t="shared" si="112"/>
        <v>6.9019168953069761</v>
      </c>
      <c r="BJ35" s="15">
        <f t="shared" si="112"/>
        <v>9.7655020679598561</v>
      </c>
      <c r="BK35" s="15">
        <f t="shared" si="112"/>
        <v>13.800160966737801</v>
      </c>
      <c r="BL35" s="15">
        <f t="shared" ref="BL35:BM35" si="113">+BL34/BL36</f>
        <v>18.009839337617294</v>
      </c>
      <c r="BM35" s="15">
        <f t="shared" si="113"/>
        <v>23.500441855086297</v>
      </c>
      <c r="BN35" s="15"/>
    </row>
    <row r="36" spans="2:161" x14ac:dyDescent="0.25">
      <c r="B36" t="s">
        <v>13</v>
      </c>
      <c r="C36" s="5">
        <f>616*4</f>
        <v>2464</v>
      </c>
      <c r="D36" s="5">
        <f>616*4</f>
        <v>2464</v>
      </c>
      <c r="E36" s="5">
        <f>618*4</f>
        <v>2472</v>
      </c>
      <c r="F36" s="5">
        <f>+BB36</f>
        <v>2472</v>
      </c>
      <c r="G36" s="5">
        <f>622*4</f>
        <v>2488</v>
      </c>
      <c r="H36" s="5">
        <v>2504</v>
      </c>
      <c r="I36" s="5">
        <f>630*4</f>
        <v>2520</v>
      </c>
      <c r="J36" s="5">
        <v>2524</v>
      </c>
      <c r="K36" s="5">
        <v>2528</v>
      </c>
      <c r="L36" s="5">
        <v>2532</v>
      </c>
      <c r="M36" s="5">
        <v>2538</v>
      </c>
      <c r="N36" s="5">
        <v>2545</v>
      </c>
      <c r="O36" s="5">
        <v>2537</v>
      </c>
      <c r="P36" s="5">
        <v>2516</v>
      </c>
      <c r="Q36" s="5">
        <v>2499</v>
      </c>
      <c r="R36" s="5">
        <f>+BE36</f>
        <v>25070</v>
      </c>
      <c r="S36" s="5">
        <f>2490*10</f>
        <v>24900</v>
      </c>
      <c r="T36" s="5">
        <v>24994</v>
      </c>
      <c r="U36" s="5">
        <v>2494</v>
      </c>
      <c r="V36" s="2">
        <f>2490*10</f>
        <v>24900</v>
      </c>
      <c r="W36" s="2">
        <v>2489</v>
      </c>
      <c r="X36" s="2">
        <v>24848</v>
      </c>
      <c r="Y36" s="2">
        <v>24774</v>
      </c>
      <c r="Z36" s="2">
        <v>24706</v>
      </c>
      <c r="AA36" s="2">
        <v>24611</v>
      </c>
      <c r="AB36" s="2">
        <f>+AA36</f>
        <v>24611</v>
      </c>
      <c r="AC36" s="2">
        <f>+AB36</f>
        <v>24611</v>
      </c>
      <c r="AD36" s="2">
        <f>+AC36</f>
        <v>24611</v>
      </c>
      <c r="AE36" s="2"/>
      <c r="AF36" s="2"/>
      <c r="AG36" s="2"/>
      <c r="AH36" s="2">
        <v>168.393</v>
      </c>
      <c r="AI36" s="2">
        <v>168.393</v>
      </c>
      <c r="AJ36" s="2">
        <v>168.393</v>
      </c>
      <c r="AK36" s="2">
        <v>168.393</v>
      </c>
      <c r="AL36" s="2">
        <v>172.70699999999999</v>
      </c>
      <c r="AM36" s="2">
        <v>176.55799999999999</v>
      </c>
      <c r="AN36" s="2">
        <v>509.07</v>
      </c>
      <c r="AO36" s="2">
        <v>587.25599999999997</v>
      </c>
      <c r="AP36" s="2">
        <v>606.73199999999997</v>
      </c>
      <c r="AQ36" s="2">
        <v>548.12599999999998</v>
      </c>
      <c r="AR36" s="2">
        <v>549.57399999999996</v>
      </c>
      <c r="AS36" s="2">
        <v>588.68399999999997</v>
      </c>
      <c r="AT36" s="2">
        <v>616.37099999999998</v>
      </c>
      <c r="AU36" s="2">
        <v>624.95699999999999</v>
      </c>
      <c r="AV36" s="2">
        <v>595</v>
      </c>
      <c r="AW36" s="2">
        <v>563</v>
      </c>
      <c r="AX36" s="2">
        <v>569</v>
      </c>
      <c r="AY36" s="2">
        <v>649</v>
      </c>
      <c r="AZ36" s="2">
        <v>632</v>
      </c>
      <c r="BA36" s="2">
        <v>625</v>
      </c>
      <c r="BB36" s="2">
        <v>2472</v>
      </c>
      <c r="BC36" s="2">
        <v>2510</v>
      </c>
      <c r="BD36" s="2">
        <v>2535</v>
      </c>
      <c r="BE36" s="2">
        <v>25070</v>
      </c>
      <c r="BF36" s="2">
        <v>24940</v>
      </c>
      <c r="BG36" s="2">
        <v>24804</v>
      </c>
      <c r="BH36" s="2">
        <f>AVERAGE(AA36:AD36)</f>
        <v>24611</v>
      </c>
      <c r="BI36" s="2">
        <f>+BH36</f>
        <v>24611</v>
      </c>
      <c r="BJ36" s="2">
        <f>+BI36</f>
        <v>24611</v>
      </c>
      <c r="BK36" s="2">
        <f>+BJ36</f>
        <v>24611</v>
      </c>
      <c r="BL36" s="2">
        <f t="shared" ref="BL36:BM36" si="114">+BK36</f>
        <v>24611</v>
      </c>
      <c r="BM36" s="2">
        <f t="shared" si="114"/>
        <v>24611</v>
      </c>
      <c r="BN36" s="2"/>
    </row>
    <row r="38" spans="2:161" s="11" customFormat="1" ht="13" x14ac:dyDescent="0.3">
      <c r="B38" s="11" t="s">
        <v>71</v>
      </c>
      <c r="C38" s="29"/>
      <c r="D38" s="29"/>
      <c r="E38" s="29"/>
      <c r="F38" s="29"/>
      <c r="G38" s="17">
        <f t="shared" ref="G38" si="115">+G24/C24-1</f>
        <v>0.38738738738738743</v>
      </c>
      <c r="H38" s="17">
        <f t="shared" ref="H38" si="116">+H24/D24-1</f>
        <v>0.49903063202791786</v>
      </c>
      <c r="I38" s="17">
        <f t="shared" ref="I38" si="117">+I24/E24-1</f>
        <v>0.56801592568015935</v>
      </c>
      <c r="J38" s="17">
        <f t="shared" ref="J38" si="118">+J24/F24-1</f>
        <v>0.61127214170692423</v>
      </c>
      <c r="K38" s="17">
        <f t="shared" ref="K38:M38" si="119">+K24/G24-1</f>
        <v>0.83798701298701306</v>
      </c>
      <c r="L38" s="17">
        <f t="shared" si="119"/>
        <v>0.68313502327987585</v>
      </c>
      <c r="M38" s="17">
        <f t="shared" si="119"/>
        <v>0.50296233601354201</v>
      </c>
      <c r="N38" s="17">
        <f t="shared" ref="N38:V38" si="120">+N24/J24-1</f>
        <v>0.52768338996602049</v>
      </c>
      <c r="O38" s="17">
        <f t="shared" si="120"/>
        <v>0.46405228758169925</v>
      </c>
      <c r="P38" s="17">
        <f t="shared" si="120"/>
        <v>3.0275088366374714E-2</v>
      </c>
      <c r="Q38" s="17">
        <f t="shared" si="120"/>
        <v>-0.16500070392791777</v>
      </c>
      <c r="R38" s="17">
        <f t="shared" si="120"/>
        <v>-0.20829517205285886</v>
      </c>
      <c r="S38" s="17">
        <f t="shared" si="120"/>
        <v>-0.13223938223938225</v>
      </c>
      <c r="T38" s="17">
        <f t="shared" si="120"/>
        <v>1.0147673031026252</v>
      </c>
      <c r="U38" s="17">
        <f t="shared" si="120"/>
        <v>2.0551340414769852</v>
      </c>
      <c r="V38" s="17">
        <f t="shared" si="120"/>
        <v>2.6527846636919516</v>
      </c>
      <c r="W38" s="17">
        <f>+W24/S24-1</f>
        <v>2.6212458286985538</v>
      </c>
      <c r="X38" s="17">
        <f t="shared" ref="X38" si="121">+X24/T24-1</f>
        <v>1.2240319834160065</v>
      </c>
      <c r="Y38" s="17">
        <f t="shared" ref="Y38" si="122">+Y24/U24-1</f>
        <v>0.93609271523178816</v>
      </c>
      <c r="Z38" s="17">
        <f t="shared" ref="Z38:AA38" si="123">+Z24/V24-1</f>
        <v>0.77944170474596208</v>
      </c>
      <c r="AA38" s="17">
        <f t="shared" si="123"/>
        <v>0.69182921210259551</v>
      </c>
      <c r="AB38" s="17">
        <f t="shared" ref="AB38" si="124">+AB24/X24-1</f>
        <v>0.5560252996005326</v>
      </c>
      <c r="AC38" s="17">
        <f t="shared" ref="AC38" si="125">+AC24/Y24-1</f>
        <v>0.52300324952967325</v>
      </c>
      <c r="AD38" s="17">
        <f t="shared" ref="AD38" si="126">+AD24/Z24-1</f>
        <v>0.34714414583915998</v>
      </c>
      <c r="AE38" s="17"/>
      <c r="AF38" s="17"/>
      <c r="AG38" s="17"/>
      <c r="AH38" s="17"/>
      <c r="AI38" s="17"/>
      <c r="AJ38" s="17"/>
      <c r="AK38" s="17"/>
      <c r="AL38" s="17">
        <f t="shared" ref="AL38:AN38" si="127">+AL24/AK24-1</f>
        <v>-4.5302121504288917E-2</v>
      </c>
      <c r="AM38" s="17">
        <f t="shared" si="127"/>
        <v>0.10262953627235039</v>
      </c>
      <c r="AN38" s="17">
        <f t="shared" si="127"/>
        <v>0.18191442628056365</v>
      </c>
      <c r="AO38" s="17">
        <f t="shared" ref="AO38" si="128">+AO24/AN24-1</f>
        <v>0.29174045234073365</v>
      </c>
      <c r="AP38" s="17">
        <f t="shared" ref="AP38" si="129">+AP24/AO24-1</f>
        <v>0.33534238951032824</v>
      </c>
      <c r="AQ38" s="17">
        <f t="shared" ref="AQ38" si="130">+AQ24/AP24-1</f>
        <v>-0.16423230661857646</v>
      </c>
      <c r="AR38" s="17">
        <f t="shared" ref="AR38" si="131">+AR24/AQ24-1</f>
        <v>-2.8735197565797566E-2</v>
      </c>
      <c r="AS38" s="17">
        <f t="shared" ref="AS38" si="132">+AS24/AR24-1</f>
        <v>6.5193923242380381E-2</v>
      </c>
      <c r="AT38" s="17">
        <f t="shared" ref="AT38:BM38" si="133">+AT24/AS24-1</f>
        <v>0.12830407960468571</v>
      </c>
      <c r="AU38" s="17">
        <f t="shared" si="133"/>
        <v>7.0593782282331041E-2</v>
      </c>
      <c r="AV38" s="17">
        <f t="shared" si="133"/>
        <v>-3.5082575203397748E-2</v>
      </c>
      <c r="AW38" s="17">
        <f t="shared" si="133"/>
        <v>0.13365617433414045</v>
      </c>
      <c r="AX38" s="17">
        <f t="shared" si="133"/>
        <v>7.0055531824006811E-2</v>
      </c>
      <c r="AY38" s="17">
        <f t="shared" si="133"/>
        <v>0.37924151696606789</v>
      </c>
      <c r="AZ38" s="17">
        <f t="shared" si="133"/>
        <v>0.40578871201157751</v>
      </c>
      <c r="BA38" s="17">
        <f t="shared" si="133"/>
        <v>0.20609429689108505</v>
      </c>
      <c r="BB38" s="17">
        <f t="shared" si="133"/>
        <v>-6.8111983612154314E-2</v>
      </c>
      <c r="BC38" s="17">
        <f t="shared" si="133"/>
        <v>0.52729437625938824</v>
      </c>
      <c r="BD38" s="17">
        <f t="shared" si="133"/>
        <v>0.61397301349325328</v>
      </c>
      <c r="BE38" s="17">
        <f t="shared" si="133"/>
        <v>2.378032920893336E-3</v>
      </c>
      <c r="BF38" s="17">
        <f t="shared" si="133"/>
        <v>1.2582941023835117</v>
      </c>
      <c r="BG38" s="17">
        <f t="shared" si="133"/>
        <v>1.1420340763599355</v>
      </c>
      <c r="BH38" s="17">
        <f>+BH24/BG24-1</f>
        <v>0.51129548112217149</v>
      </c>
      <c r="BI38" s="17">
        <f t="shared" si="133"/>
        <v>0.5</v>
      </c>
      <c r="BJ38" s="17">
        <f t="shared" si="133"/>
        <v>0.39999999999999991</v>
      </c>
      <c r="BK38" s="17">
        <f t="shared" si="133"/>
        <v>0.39999999999999991</v>
      </c>
      <c r="BL38" s="17">
        <f t="shared" si="133"/>
        <v>0.30000000000000004</v>
      </c>
      <c r="BM38" s="17">
        <f t="shared" si="133"/>
        <v>0.30000000000000004</v>
      </c>
      <c r="BN38" s="17"/>
      <c r="BO38" s="17"/>
    </row>
    <row r="39" spans="2:161" x14ac:dyDescent="0.25">
      <c r="B39" t="s">
        <v>72</v>
      </c>
      <c r="D39" s="7">
        <f t="shared" ref="D39" si="134">+D24/C24-1</f>
        <v>0.16171171171171173</v>
      </c>
      <c r="E39" s="7">
        <f t="shared" ref="E39" si="135">+E24/D24-1</f>
        <v>0.16867002714230317</v>
      </c>
      <c r="F39" s="7">
        <f t="shared" ref="F39" si="136">+F24/E24-1</f>
        <v>3.0192435301924281E-2</v>
      </c>
      <c r="G39" s="10">
        <f t="shared" ref="G39:H39" si="137">+G24/F24-1</f>
        <v>-8.0515297906602612E-3</v>
      </c>
      <c r="H39" s="10">
        <f t="shared" si="137"/>
        <v>0.2551948051948052</v>
      </c>
      <c r="I39" s="10">
        <f t="shared" ref="I39" si="138">+I24/H24-1</f>
        <v>0.22245214692188298</v>
      </c>
      <c r="J39" s="10">
        <f t="shared" ref="J39" si="139">+J24/I24-1</f>
        <v>5.8611933982225972E-2</v>
      </c>
      <c r="K39" s="10">
        <f t="shared" ref="K39:V39" si="140">+K24/J24-1</f>
        <v>0.13152108734759138</v>
      </c>
      <c r="L39" s="10">
        <f t="shared" si="140"/>
        <v>0.14944356120826718</v>
      </c>
      <c r="M39" s="10">
        <f t="shared" si="140"/>
        <v>9.1593668357153879E-2</v>
      </c>
      <c r="N39" s="10">
        <f t="shared" si="140"/>
        <v>7.6024215120371608E-2</v>
      </c>
      <c r="O39" s="10">
        <f t="shared" si="140"/>
        <v>8.4390945963626951E-2</v>
      </c>
      <c r="P39" s="10">
        <f t="shared" si="140"/>
        <v>-0.19111969111969107</v>
      </c>
      <c r="Q39" s="10">
        <f t="shared" si="140"/>
        <v>-0.11530429594272074</v>
      </c>
      <c r="R39" s="10">
        <f t="shared" si="140"/>
        <v>2.0232675771370667E-2</v>
      </c>
      <c r="S39" s="10">
        <f t="shared" si="140"/>
        <v>0.1885638737398776</v>
      </c>
      <c r="T39" s="10">
        <f t="shared" si="140"/>
        <v>0.87805895439377091</v>
      </c>
      <c r="U39" s="10">
        <f t="shared" si="140"/>
        <v>0.34152661582882948</v>
      </c>
      <c r="V39" s="10">
        <f t="shared" si="140"/>
        <v>0.21981236203090515</v>
      </c>
      <c r="W39" s="10">
        <f>+W24/V24-1</f>
        <v>0.17830158801972584</v>
      </c>
      <c r="X39" s="10">
        <f t="shared" ref="X39" si="141">+X24/W24-1</f>
        <v>0.1534326524343419</v>
      </c>
      <c r="Y39" s="10">
        <f t="shared" ref="Y39" si="142">+Y24/X24-1</f>
        <v>0.16784287616511318</v>
      </c>
      <c r="Z39" s="10">
        <f t="shared" ref="Z39" si="143">+Z24/Y24-1</f>
        <v>0.12111624194743742</v>
      </c>
      <c r="AA39" s="10">
        <f t="shared" ref="AA39" si="144">+AA24/Z24-1</f>
        <v>0.12028679667437903</v>
      </c>
      <c r="AB39" s="10">
        <f t="shared" ref="AB39" si="145">+AB24/AA24-1</f>
        <v>6.0846080522899637E-2</v>
      </c>
      <c r="AC39" s="10">
        <f t="shared" ref="AC39" si="146">+AC24/AB24-1</f>
        <v>0.14305885373210958</v>
      </c>
      <c r="AD39" s="10">
        <f t="shared" ref="AD39" si="147">+AD24/AC24-1</f>
        <v>-8.3375182481751908E-3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2:161" x14ac:dyDescent="0.25">
      <c r="B40" t="s">
        <v>73</v>
      </c>
      <c r="D40" s="10"/>
      <c r="E40" s="10">
        <f t="shared" ref="E40" si="148">+E22/D22-1</f>
        <v>0.10839694656488552</v>
      </c>
      <c r="F40" s="10">
        <f t="shared" ref="F40" si="149">+F22/E22-1</f>
        <v>0.33333333333333326</v>
      </c>
      <c r="G40" s="10">
        <f t="shared" ref="G40" si="150">+G22/F22-1</f>
        <v>0.17871900826446274</v>
      </c>
      <c r="H40" s="10">
        <f t="shared" ref="H40" si="151">+H22/G22-1</f>
        <v>0.5354951796669587</v>
      </c>
      <c r="I40" s="10">
        <f t="shared" ref="I40" si="152">+I22/H22-1</f>
        <v>8.4474885844748826E-2</v>
      </c>
      <c r="J40" s="10">
        <f t="shared" ref="J40" si="153">+J22/I22-1</f>
        <v>1.5789473684211242E-3</v>
      </c>
      <c r="K40" s="10">
        <f t="shared" ref="K40" si="154">+K22/J22-1</f>
        <v>7.7246452968996238E-2</v>
      </c>
      <c r="L40" s="10">
        <f t="shared" ref="L40:V40" si="155">+L22/K22-1</f>
        <v>0.15414634146341455</v>
      </c>
      <c r="M40" s="10">
        <f t="shared" si="155"/>
        <v>0.24091293322062546</v>
      </c>
      <c r="N40" s="10">
        <f t="shared" si="155"/>
        <v>0.11035422343324242</v>
      </c>
      <c r="O40" s="10">
        <f t="shared" si="155"/>
        <v>0.15030674846625769</v>
      </c>
      <c r="P40" s="10">
        <f t="shared" si="155"/>
        <v>1.4933333333333243E-2</v>
      </c>
      <c r="Q40" s="10">
        <f t="shared" si="155"/>
        <v>7.0940620073567384E-3</v>
      </c>
      <c r="R40" s="10">
        <f t="shared" si="155"/>
        <v>-5.5570049569527824E-2</v>
      </c>
      <c r="S40" s="10">
        <f t="shared" si="155"/>
        <v>0.18342541436464099</v>
      </c>
      <c r="T40" s="10">
        <f t="shared" si="155"/>
        <v>1.4096638655462184</v>
      </c>
      <c r="U40" s="10">
        <f t="shared" si="155"/>
        <v>0.40598663179308336</v>
      </c>
      <c r="V40" s="10">
        <f t="shared" si="155"/>
        <v>0.2680170869505305</v>
      </c>
      <c r="W40" s="10">
        <f>+W22/V22-1</f>
        <v>0.22598348185177142</v>
      </c>
      <c r="X40" s="10">
        <f t="shared" ref="X40" si="156">+X22/W22-1</f>
        <v>0.16438416877188322</v>
      </c>
      <c r="Y40" s="10">
        <f t="shared" ref="Y40" si="157">+Y22/X22-1</f>
        <v>0.17124695493300846</v>
      </c>
      <c r="Z40" s="10">
        <f t="shared" ref="Z40" si="158">+Z22/Y22-1</f>
        <v>0.15628351369796234</v>
      </c>
      <c r="AA40" s="10">
        <f t="shared" ref="AA40" si="159">+AA22/Z22-1</f>
        <v>9.9269252388982654E-2</v>
      </c>
      <c r="AB40" s="10">
        <f t="shared" ref="AB40" si="160">+AB22/AA22-1</f>
        <v>5.0726119860912355E-2</v>
      </c>
      <c r="AC40" s="10">
        <f t="shared" ref="AC40" si="161">+AC22/AB22-1</f>
        <v>4.8262604633054096E-2</v>
      </c>
      <c r="AD40" s="10">
        <f t="shared" ref="AD40" si="162">+AD22/AC22-1</f>
        <v>0.11498767392303533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2:161" x14ac:dyDescent="0.25">
      <c r="B41" t="s">
        <v>5</v>
      </c>
      <c r="C41" s="7">
        <f t="shared" ref="C41:F41" si="163">C26/C24</f>
        <v>0.58378378378378382</v>
      </c>
      <c r="D41" s="7">
        <f t="shared" si="163"/>
        <v>0.59751841799146954</v>
      </c>
      <c r="E41" s="7">
        <f t="shared" si="163"/>
        <v>0.63570006635700071</v>
      </c>
      <c r="F41" s="7">
        <f t="shared" si="163"/>
        <v>0.64895330112721417</v>
      </c>
      <c r="G41" s="7">
        <f t="shared" ref="G41:H41" si="164">G26/G24</f>
        <v>0.6506493506493507</v>
      </c>
      <c r="H41" s="7">
        <f t="shared" si="164"/>
        <v>0.58846352819451631</v>
      </c>
      <c r="I41" s="7">
        <f t="shared" ref="I41:U41" si="165">I26/I24</f>
        <v>0.62632247143461706</v>
      </c>
      <c r="J41" s="7">
        <f t="shared" si="165"/>
        <v>0.6310213871676994</v>
      </c>
      <c r="K41" s="7">
        <f t="shared" si="165"/>
        <v>0.6410528175234057</v>
      </c>
      <c r="L41" s="7">
        <f t="shared" si="165"/>
        <v>0.64776394651913327</v>
      </c>
      <c r="M41" s="7">
        <f t="shared" si="165"/>
        <v>0.65197803744896521</v>
      </c>
      <c r="N41" s="7">
        <f t="shared" si="165"/>
        <v>0.65406254088708626</v>
      </c>
      <c r="O41" s="7">
        <f t="shared" si="165"/>
        <v>0.65528474903474898</v>
      </c>
      <c r="P41" s="7">
        <f t="shared" si="165"/>
        <v>0.43481503579952269</v>
      </c>
      <c r="Q41" s="7">
        <f t="shared" si="165"/>
        <v>0.53566009104704093</v>
      </c>
      <c r="R41" s="7">
        <f t="shared" si="165"/>
        <v>0.63344901669145592</v>
      </c>
      <c r="S41" s="7">
        <f t="shared" si="165"/>
        <v>0.64627363737486099</v>
      </c>
      <c r="T41" s="7">
        <f t="shared" si="165"/>
        <v>0.7005256533649219</v>
      </c>
      <c r="U41" s="7">
        <f t="shared" si="165"/>
        <v>0.73951434878587197</v>
      </c>
      <c r="V41" s="7">
        <f t="shared" ref="V41:X41" si="166">V26/V24</f>
        <v>0.75967063294575399</v>
      </c>
      <c r="W41" s="7">
        <f t="shared" si="166"/>
        <v>0.78352019659038552</v>
      </c>
      <c r="X41" s="7">
        <f t="shared" si="166"/>
        <v>0.75146471371504664</v>
      </c>
      <c r="Y41" s="7">
        <f t="shared" ref="Y41:AD41" si="167">Y26/Y24</f>
        <v>0.74556752750698363</v>
      </c>
      <c r="Z41" s="7">
        <f t="shared" si="167"/>
        <v>0.73028908494571709</v>
      </c>
      <c r="AA41" s="7">
        <f t="shared" si="167"/>
        <v>0.76</v>
      </c>
      <c r="AB41" s="7">
        <f t="shared" si="167"/>
        <v>0.76</v>
      </c>
      <c r="AC41" s="7">
        <f t="shared" si="167"/>
        <v>0.76</v>
      </c>
      <c r="AD41" s="7">
        <f t="shared" si="167"/>
        <v>0.76</v>
      </c>
      <c r="AE41" s="7"/>
      <c r="AF41" s="7"/>
      <c r="AG41" s="7"/>
      <c r="AH41" s="7">
        <f t="shared" ref="AH41" si="168">AH26/AH24</f>
        <v>0.62125205270957662</v>
      </c>
      <c r="AI41" s="7">
        <f t="shared" ref="AI41:AJ41" si="169">AI26/AI24</f>
        <v>0.62886935848892367</v>
      </c>
      <c r="AJ41" s="7">
        <f t="shared" si="169"/>
        <v>0.6208477580029077</v>
      </c>
      <c r="AK41" s="7">
        <f t="shared" ref="AK41:AR41" si="170">AK26/AK24</f>
        <v>0.30489246362952205</v>
      </c>
      <c r="AL41" s="7">
        <f t="shared" si="170"/>
        <v>0.29012285066197824</v>
      </c>
      <c r="AM41" s="7">
        <f t="shared" si="170"/>
        <v>0.3231220581950644</v>
      </c>
      <c r="AN41" s="7">
        <f t="shared" si="170"/>
        <v>0.38306098404377342</v>
      </c>
      <c r="AO41" s="7">
        <f t="shared" si="170"/>
        <v>0.42376866830402143</v>
      </c>
      <c r="AP41" s="7">
        <f t="shared" si="170"/>
        <v>0.45616004451103742</v>
      </c>
      <c r="AQ41" s="7">
        <f t="shared" si="170"/>
        <v>0.34286637785672341</v>
      </c>
      <c r="AR41" s="7">
        <f t="shared" si="170"/>
        <v>0.35380804432359475</v>
      </c>
      <c r="AS41" s="7">
        <f t="shared" ref="AS41" si="171">AS26/AS24</f>
        <v>0.39767629636591112</v>
      </c>
      <c r="AT41" s="7">
        <f t="shared" ref="AT41:AU41" si="172">AT26/AT24</f>
        <v>0.51439544964519135</v>
      </c>
      <c r="AU41" s="7">
        <f t="shared" si="172"/>
        <v>0.52015427464260089</v>
      </c>
      <c r="AV41" s="7">
        <f t="shared" ref="AV41:BM41" si="173">AV26/AV24</f>
        <v>0.54915254237288136</v>
      </c>
      <c r="AW41" s="7">
        <f t="shared" si="173"/>
        <v>0.55510465612985904</v>
      </c>
      <c r="AX41" s="7">
        <f t="shared" si="173"/>
        <v>0.56107784431137719</v>
      </c>
      <c r="AY41" s="7">
        <f t="shared" si="173"/>
        <v>0.58798842257597683</v>
      </c>
      <c r="AZ41" s="7">
        <f t="shared" si="173"/>
        <v>0.59934115709285563</v>
      </c>
      <c r="BA41" s="7">
        <f t="shared" si="173"/>
        <v>0.61206896551724133</v>
      </c>
      <c r="BB41" s="7">
        <f t="shared" si="173"/>
        <v>0.61989375343469499</v>
      </c>
      <c r="BC41" s="7">
        <f t="shared" si="173"/>
        <v>0.62344827586206897</v>
      </c>
      <c r="BD41" s="7">
        <f t="shared" si="173"/>
        <v>0.64924014416824583</v>
      </c>
      <c r="BE41" s="7">
        <f t="shared" si="173"/>
        <v>0.56933684249545913</v>
      </c>
      <c r="BF41" s="7">
        <f t="shared" si="173"/>
        <v>0.72717573290436954</v>
      </c>
      <c r="BG41" s="7">
        <f t="shared" si="173"/>
        <v>0.74989463359310937</v>
      </c>
      <c r="BH41" s="7">
        <f t="shared" si="173"/>
        <v>0.76000000000000012</v>
      </c>
      <c r="BI41" s="7">
        <f t="shared" si="173"/>
        <v>0.78</v>
      </c>
      <c r="BJ41" s="7">
        <f t="shared" si="173"/>
        <v>0.78000000000000014</v>
      </c>
      <c r="BK41" s="7">
        <f t="shared" si="173"/>
        <v>0.78</v>
      </c>
      <c r="BL41" s="7">
        <f t="shared" si="173"/>
        <v>0.78</v>
      </c>
      <c r="BM41" s="7">
        <f t="shared" si="173"/>
        <v>0.78</v>
      </c>
      <c r="BO41" t="s">
        <v>167</v>
      </c>
      <c r="BP41" s="10">
        <v>0.01</v>
      </c>
    </row>
    <row r="42" spans="2:161" x14ac:dyDescent="0.25">
      <c r="B42" t="s">
        <v>24</v>
      </c>
      <c r="C42" s="7">
        <f t="shared" ref="C42:F42" si="174">C22/C24</f>
        <v>0.28558558558558561</v>
      </c>
      <c r="D42" s="7">
        <f t="shared" si="174"/>
        <v>0.25397440868553706</v>
      </c>
      <c r="E42" s="7">
        <f t="shared" si="174"/>
        <v>0.24087591240875914</v>
      </c>
      <c r="F42" s="7">
        <f t="shared" si="174"/>
        <v>0.3117552334943639</v>
      </c>
      <c r="G42" s="7">
        <f t="shared" ref="G42:I42" si="175">G22/G24</f>
        <v>0.37045454545454548</v>
      </c>
      <c r="H42" s="7">
        <f t="shared" si="175"/>
        <v>0.45318158303155714</v>
      </c>
      <c r="I42" s="7">
        <f t="shared" si="175"/>
        <v>0.40203131612357174</v>
      </c>
      <c r="J42" s="7">
        <f t="shared" ref="J42:O42" si="176">J22/J24</f>
        <v>0.38037177693383972</v>
      </c>
      <c r="K42" s="7">
        <f t="shared" si="176"/>
        <v>0.36212683271506801</v>
      </c>
      <c r="L42" s="7">
        <f t="shared" si="176"/>
        <v>0.36360842169970803</v>
      </c>
      <c r="M42" s="7">
        <f t="shared" si="176"/>
        <v>0.41334647332113189</v>
      </c>
      <c r="N42" s="7">
        <f t="shared" si="176"/>
        <v>0.42653408347507521</v>
      </c>
      <c r="O42" s="7">
        <f t="shared" si="176"/>
        <v>0.45246138996138996</v>
      </c>
      <c r="P42" s="7">
        <f t="shared" ref="P42:U42" si="177">P22/P24</f>
        <v>0.56772076372315039</v>
      </c>
      <c r="Q42" s="7">
        <f t="shared" si="177"/>
        <v>0.64626538526386779</v>
      </c>
      <c r="R42" s="7">
        <f t="shared" si="177"/>
        <v>0.59824822343414308</v>
      </c>
      <c r="S42" s="7">
        <f t="shared" si="177"/>
        <v>0.59566184649610676</v>
      </c>
      <c r="T42" s="7">
        <f t="shared" si="177"/>
        <v>0.76427037832235134</v>
      </c>
      <c r="U42" s="7">
        <f t="shared" si="177"/>
        <v>0.80099337748344368</v>
      </c>
      <c r="V42" s="7">
        <f t="shared" ref="V42:AD42" si="178">V22/V24</f>
        <v>0.8326471519703208</v>
      </c>
      <c r="W42" s="7">
        <f>W22/W24</f>
        <v>0.86634157579480875</v>
      </c>
      <c r="X42" s="7">
        <f t="shared" si="178"/>
        <v>0.87456724367509986</v>
      </c>
      <c r="Y42" s="7">
        <f t="shared" si="178"/>
        <v>0.87711646998460746</v>
      </c>
      <c r="Z42" s="7">
        <f t="shared" si="178"/>
        <v>0.90462993567415018</v>
      </c>
      <c r="AA42" s="7">
        <f t="shared" si="178"/>
        <v>0.88765829966864873</v>
      </c>
      <c r="AB42" s="7">
        <f t="shared" si="178"/>
        <v>0.87919046702180004</v>
      </c>
      <c r="AC42" s="7">
        <f t="shared" si="178"/>
        <v>0.80627737226277363</v>
      </c>
      <c r="AD42" s="7">
        <f t="shared" si="178"/>
        <v>0.90654768974211308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BO42" t="s">
        <v>165</v>
      </c>
      <c r="BP42" s="10">
        <v>0.09</v>
      </c>
    </row>
    <row r="43" spans="2:161" x14ac:dyDescent="0.25">
      <c r="BO43" t="s">
        <v>166</v>
      </c>
      <c r="BP43" s="2">
        <f>NPV(BP42,BH34:FE34)+Main!K5-Main!K6</f>
        <v>5703553.926836011</v>
      </c>
    </row>
    <row r="44" spans="2:161" x14ac:dyDescent="0.25">
      <c r="B44" t="s">
        <v>163</v>
      </c>
      <c r="F44" s="2"/>
      <c r="G44" s="2">
        <f>+G45-G58</f>
        <v>9395</v>
      </c>
      <c r="H44" s="2">
        <f>+H45-H58</f>
        <v>4021</v>
      </c>
      <c r="I44" s="2">
        <f>+I45-I58</f>
        <v>3178</v>
      </c>
      <c r="J44" s="2">
        <f>+J45-J58</f>
        <v>4598</v>
      </c>
      <c r="K44" s="2">
        <f>+K45-K58</f>
        <v>5704</v>
      </c>
      <c r="L44" s="2">
        <f t="shared" ref="L44:M44" si="179">+L45-L58</f>
        <v>7711</v>
      </c>
      <c r="M44" s="2">
        <f t="shared" si="179"/>
        <v>8354</v>
      </c>
      <c r="N44" s="2">
        <f t="shared" ref="N44:V44" si="180">+N45-N58</f>
        <v>10262</v>
      </c>
      <c r="O44" s="2">
        <f t="shared" si="180"/>
        <v>9391</v>
      </c>
      <c r="P44" s="2">
        <f t="shared" si="180"/>
        <v>6088</v>
      </c>
      <c r="Q44" s="2">
        <f t="shared" si="180"/>
        <v>2193</v>
      </c>
      <c r="R44" s="2">
        <f t="shared" si="180"/>
        <v>2343</v>
      </c>
      <c r="S44" s="2">
        <f t="shared" si="180"/>
        <v>4366</v>
      </c>
      <c r="T44" s="2">
        <f t="shared" si="180"/>
        <v>6318</v>
      </c>
      <c r="U44" s="2">
        <f t="shared" si="180"/>
        <v>8575</v>
      </c>
      <c r="V44" s="2">
        <f t="shared" si="180"/>
        <v>16275</v>
      </c>
      <c r="W44" s="2">
        <f t="shared" ref="W44:AA44" si="181">+W45-W58</f>
        <v>21728</v>
      </c>
      <c r="X44" s="2">
        <f t="shared" si="181"/>
        <v>26339</v>
      </c>
      <c r="Y44" s="2">
        <f t="shared" si="181"/>
        <v>30025</v>
      </c>
      <c r="Z44" s="2">
        <f t="shared" si="181"/>
        <v>34747</v>
      </c>
      <c r="AA44" s="2">
        <f t="shared" si="181"/>
        <v>45227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BC44" s="2">
        <f>+BC45-BC58</f>
        <v>4598</v>
      </c>
      <c r="BD44" s="2">
        <f>+BD45-BD58</f>
        <v>10262</v>
      </c>
      <c r="BE44" s="2">
        <f>+BE45-BE58</f>
        <v>2343</v>
      </c>
      <c r="BF44" s="2">
        <f>+BF45-BF58</f>
        <v>16275</v>
      </c>
      <c r="BG44" s="2">
        <f>+BG45-BG58</f>
        <v>34747</v>
      </c>
      <c r="BO44" t="s">
        <v>13</v>
      </c>
      <c r="BP44" s="15">
        <f>BP43/Main!K3</f>
        <v>231.74815841843122</v>
      </c>
    </row>
    <row r="45" spans="2:161" s="2" customFormat="1" x14ac:dyDescent="0.25">
      <c r="B45" s="2" t="s">
        <v>38</v>
      </c>
      <c r="C45" s="5"/>
      <c r="D45" s="5"/>
      <c r="E45" s="5"/>
      <c r="F45" s="5"/>
      <c r="G45" s="5">
        <f>15494+860</f>
        <v>16354</v>
      </c>
      <c r="H45" s="5">
        <f>3274+7707</f>
        <v>10981</v>
      </c>
      <c r="I45" s="5">
        <f>2251+7888</f>
        <v>10139</v>
      </c>
      <c r="J45" s="5">
        <f>847+10714</f>
        <v>11561</v>
      </c>
      <c r="K45" s="5">
        <f>978+11689</f>
        <v>12667</v>
      </c>
      <c r="L45" s="5">
        <f>5628+14026</f>
        <v>19654</v>
      </c>
      <c r="M45" s="5">
        <f>1288+18010</f>
        <v>19298</v>
      </c>
      <c r="N45" s="5">
        <f>1990+19218</f>
        <v>21208</v>
      </c>
      <c r="O45" s="5">
        <f>3887+16451</f>
        <v>20338</v>
      </c>
      <c r="P45" s="5">
        <f>3013+14024</f>
        <v>17037</v>
      </c>
      <c r="Q45" s="5">
        <f>2800+10343</f>
        <v>13143</v>
      </c>
      <c r="R45" s="5">
        <f>3389+9907</f>
        <v>13296</v>
      </c>
      <c r="S45" s="2">
        <f>5079+10241</f>
        <v>15320</v>
      </c>
      <c r="T45" s="2">
        <f>5783+10240</f>
        <v>16023</v>
      </c>
      <c r="U45" s="2">
        <f>5519+12762</f>
        <v>18281</v>
      </c>
      <c r="V45" s="2">
        <f>7280+18704</f>
        <v>25984</v>
      </c>
      <c r="W45" s="2">
        <f>7587+23851</f>
        <v>31438</v>
      </c>
      <c r="X45" s="2">
        <f>8563+26237</f>
        <v>34800</v>
      </c>
      <c r="Y45" s="2">
        <f>9107+29380</f>
        <v>38487</v>
      </c>
      <c r="Z45" s="2">
        <v>43210</v>
      </c>
      <c r="AA45" s="2">
        <f>15234+38457</f>
        <v>53691</v>
      </c>
      <c r="BC45" s="2">
        <f>+J45</f>
        <v>11561</v>
      </c>
      <c r="BD45" s="2">
        <f>+N45</f>
        <v>21208</v>
      </c>
      <c r="BE45" s="2">
        <f>+R45</f>
        <v>13296</v>
      </c>
      <c r="BF45" s="2">
        <f>+V45</f>
        <v>25984</v>
      </c>
      <c r="BG45" s="2">
        <f>+Z45</f>
        <v>43210</v>
      </c>
    </row>
    <row r="46" spans="2:161" s="2" customFormat="1" x14ac:dyDescent="0.25">
      <c r="B46" s="2" t="s">
        <v>39</v>
      </c>
      <c r="C46" s="5"/>
      <c r="D46" s="5"/>
      <c r="E46" s="5"/>
      <c r="F46" s="5"/>
      <c r="G46" s="5">
        <v>1907</v>
      </c>
      <c r="H46" s="5">
        <v>2084</v>
      </c>
      <c r="I46" s="5">
        <v>2546</v>
      </c>
      <c r="J46" s="5">
        <v>2429</v>
      </c>
      <c r="K46" s="5">
        <v>3024</v>
      </c>
      <c r="L46" s="5">
        <v>3586</v>
      </c>
      <c r="M46" s="5">
        <v>3954</v>
      </c>
      <c r="N46" s="5">
        <v>4650</v>
      </c>
      <c r="O46" s="5">
        <v>5438</v>
      </c>
      <c r="P46" s="5">
        <v>5317</v>
      </c>
      <c r="Q46" s="5">
        <v>4908</v>
      </c>
      <c r="R46" s="5">
        <v>3827</v>
      </c>
      <c r="S46" s="2">
        <v>4080</v>
      </c>
      <c r="T46" s="2">
        <v>7066</v>
      </c>
      <c r="U46" s="2">
        <v>8309</v>
      </c>
      <c r="V46" s="2">
        <v>9999</v>
      </c>
      <c r="W46" s="2">
        <v>12365</v>
      </c>
      <c r="X46" s="2">
        <v>14132</v>
      </c>
      <c r="Y46" s="2">
        <v>17693</v>
      </c>
      <c r="Z46" s="2">
        <v>23065</v>
      </c>
      <c r="AA46" s="2">
        <v>22132</v>
      </c>
      <c r="BC46" s="2">
        <f t="shared" ref="BC46:BC53" si="182">+J46</f>
        <v>2429</v>
      </c>
      <c r="BD46" s="2">
        <f t="shared" ref="BD46:BD53" si="183">+N46</f>
        <v>4650</v>
      </c>
      <c r="BE46" s="2">
        <f t="shared" ref="BE46:BE53" si="184">+R46</f>
        <v>3827</v>
      </c>
      <c r="BF46" s="2">
        <f t="shared" ref="BF46:BF53" si="185">+V46</f>
        <v>9999</v>
      </c>
      <c r="BG46" s="2">
        <f t="shared" ref="BG46:BG53" si="186">+Z46</f>
        <v>23065</v>
      </c>
    </row>
    <row r="47" spans="2:161" s="2" customFormat="1" x14ac:dyDescent="0.25">
      <c r="B47" s="2" t="s">
        <v>40</v>
      </c>
      <c r="C47" s="5"/>
      <c r="D47" s="5"/>
      <c r="E47" s="5"/>
      <c r="F47" s="5"/>
      <c r="G47" s="5">
        <v>1128</v>
      </c>
      <c r="H47" s="5">
        <v>1401</v>
      </c>
      <c r="I47" s="5">
        <v>1495</v>
      </c>
      <c r="J47" s="5">
        <v>1826</v>
      </c>
      <c r="K47" s="5">
        <v>1992</v>
      </c>
      <c r="L47" s="5">
        <v>2114</v>
      </c>
      <c r="M47" s="5">
        <v>2233</v>
      </c>
      <c r="N47" s="5">
        <v>2605</v>
      </c>
      <c r="O47" s="5">
        <v>3163</v>
      </c>
      <c r="P47" s="5">
        <v>3889</v>
      </c>
      <c r="Q47" s="5">
        <v>4454</v>
      </c>
      <c r="R47" s="5">
        <v>5159</v>
      </c>
      <c r="S47" s="2">
        <v>4611</v>
      </c>
      <c r="T47" s="2">
        <v>4319</v>
      </c>
      <c r="U47" s="2">
        <v>4779</v>
      </c>
      <c r="V47" s="2">
        <v>5282</v>
      </c>
      <c r="W47" s="2">
        <v>5864</v>
      </c>
      <c r="X47" s="2">
        <v>6675</v>
      </c>
      <c r="Y47" s="2">
        <v>7654</v>
      </c>
      <c r="Z47" s="2">
        <v>10080</v>
      </c>
      <c r="AA47" s="2">
        <v>11333</v>
      </c>
      <c r="BC47" s="2">
        <f t="shared" si="182"/>
        <v>1826</v>
      </c>
      <c r="BD47" s="2">
        <f t="shared" si="183"/>
        <v>2605</v>
      </c>
      <c r="BE47" s="2">
        <f t="shared" si="184"/>
        <v>5159</v>
      </c>
      <c r="BF47" s="2">
        <f t="shared" si="185"/>
        <v>5282</v>
      </c>
      <c r="BG47" s="2">
        <f t="shared" si="186"/>
        <v>10080</v>
      </c>
    </row>
    <row r="48" spans="2:161" s="2" customFormat="1" x14ac:dyDescent="0.25">
      <c r="B48" s="2" t="s">
        <v>41</v>
      </c>
      <c r="C48" s="5"/>
      <c r="D48" s="5"/>
      <c r="E48" s="5"/>
      <c r="F48" s="5"/>
      <c r="G48" s="5">
        <v>195</v>
      </c>
      <c r="H48" s="5">
        <v>215</v>
      </c>
      <c r="I48" s="5">
        <v>213</v>
      </c>
      <c r="J48" s="5">
        <v>239</v>
      </c>
      <c r="K48" s="5">
        <v>444</v>
      </c>
      <c r="L48" s="5">
        <v>452</v>
      </c>
      <c r="M48" s="5">
        <v>321</v>
      </c>
      <c r="N48" s="5">
        <v>366</v>
      </c>
      <c r="O48" s="5">
        <v>636</v>
      </c>
      <c r="P48" s="5">
        <v>1175</v>
      </c>
      <c r="Q48" s="5">
        <v>718</v>
      </c>
      <c r="R48" s="5">
        <v>791</v>
      </c>
      <c r="S48" s="2">
        <v>872</v>
      </c>
      <c r="T48" s="2">
        <v>1389</v>
      </c>
      <c r="U48" s="2">
        <v>1289</v>
      </c>
      <c r="V48" s="2">
        <v>3080</v>
      </c>
      <c r="W48" s="2">
        <v>4062</v>
      </c>
      <c r="X48" s="2">
        <v>4026</v>
      </c>
      <c r="Y48" s="2">
        <v>3806</v>
      </c>
      <c r="Z48" s="2">
        <v>3771</v>
      </c>
      <c r="AA48" s="2">
        <v>2779</v>
      </c>
      <c r="BC48" s="2">
        <f t="shared" si="182"/>
        <v>239</v>
      </c>
      <c r="BD48" s="2">
        <f t="shared" si="183"/>
        <v>366</v>
      </c>
      <c r="BE48" s="2">
        <f t="shared" si="184"/>
        <v>791</v>
      </c>
      <c r="BF48" s="2">
        <f t="shared" si="185"/>
        <v>3080</v>
      </c>
      <c r="BG48" s="2">
        <f t="shared" si="186"/>
        <v>3771</v>
      </c>
    </row>
    <row r="49" spans="2:59" s="2" customFormat="1" x14ac:dyDescent="0.25">
      <c r="B49" s="2" t="s">
        <v>42</v>
      </c>
      <c r="C49" s="5"/>
      <c r="D49" s="5"/>
      <c r="E49" s="5"/>
      <c r="F49" s="5"/>
      <c r="G49" s="5">
        <v>1715</v>
      </c>
      <c r="H49" s="5">
        <v>1964</v>
      </c>
      <c r="I49" s="5">
        <v>2059</v>
      </c>
      <c r="J49" s="5">
        <v>2149</v>
      </c>
      <c r="K49" s="5">
        <v>2268</v>
      </c>
      <c r="L49" s="5">
        <v>2364</v>
      </c>
      <c r="M49" s="5">
        <v>2509</v>
      </c>
      <c r="N49" s="5">
        <v>2778</v>
      </c>
      <c r="O49" s="5">
        <v>2916</v>
      </c>
      <c r="P49" s="5">
        <v>3233</v>
      </c>
      <c r="Q49" s="5">
        <v>3774</v>
      </c>
      <c r="R49" s="5">
        <v>3807</v>
      </c>
      <c r="S49" s="2">
        <v>3740</v>
      </c>
      <c r="T49" s="2">
        <v>3799</v>
      </c>
      <c r="U49" s="2">
        <v>3844</v>
      </c>
      <c r="V49" s="2">
        <v>3914</v>
      </c>
      <c r="W49" s="2">
        <v>4006</v>
      </c>
      <c r="X49" s="2">
        <v>4885</v>
      </c>
      <c r="Y49" s="2">
        <v>5343</v>
      </c>
      <c r="Z49" s="2">
        <v>6283</v>
      </c>
      <c r="AA49" s="2">
        <v>7136</v>
      </c>
      <c r="BC49" s="2">
        <f t="shared" si="182"/>
        <v>2149</v>
      </c>
      <c r="BD49" s="2">
        <f t="shared" si="183"/>
        <v>2778</v>
      </c>
      <c r="BE49" s="2">
        <f t="shared" si="184"/>
        <v>3807</v>
      </c>
      <c r="BF49" s="2">
        <f t="shared" si="185"/>
        <v>3914</v>
      </c>
      <c r="BG49" s="2">
        <f t="shared" si="186"/>
        <v>6283</v>
      </c>
    </row>
    <row r="50" spans="2:59" s="2" customFormat="1" x14ac:dyDescent="0.25">
      <c r="B50" s="2" t="s">
        <v>43</v>
      </c>
      <c r="C50" s="5"/>
      <c r="D50" s="5"/>
      <c r="E50" s="5"/>
      <c r="F50" s="5"/>
      <c r="G50" s="5">
        <v>595</v>
      </c>
      <c r="H50" s="5">
        <v>701</v>
      </c>
      <c r="I50" s="5">
        <v>681</v>
      </c>
      <c r="J50" s="5">
        <v>707</v>
      </c>
      <c r="K50" s="5">
        <v>727</v>
      </c>
      <c r="L50" s="5">
        <v>801</v>
      </c>
      <c r="M50" s="5">
        <v>830</v>
      </c>
      <c r="N50" s="5">
        <v>829</v>
      </c>
      <c r="O50" s="5">
        <v>856</v>
      </c>
      <c r="P50" s="5">
        <v>852</v>
      </c>
      <c r="Q50" s="5">
        <v>927</v>
      </c>
      <c r="R50" s="5">
        <v>1038</v>
      </c>
      <c r="S50" s="2">
        <v>1094</v>
      </c>
      <c r="T50" s="2">
        <v>1235</v>
      </c>
      <c r="U50" s="2">
        <v>1316</v>
      </c>
      <c r="V50" s="2">
        <v>1346</v>
      </c>
      <c r="W50" s="2">
        <v>1532</v>
      </c>
      <c r="X50" s="2">
        <v>1556</v>
      </c>
      <c r="Y50" s="2">
        <v>1755</v>
      </c>
      <c r="Z50" s="2">
        <v>1793</v>
      </c>
      <c r="AA50" s="2">
        <v>1810</v>
      </c>
      <c r="BC50" s="2">
        <f t="shared" si="182"/>
        <v>707</v>
      </c>
      <c r="BD50" s="2">
        <f t="shared" si="183"/>
        <v>829</v>
      </c>
      <c r="BE50" s="2">
        <f t="shared" si="184"/>
        <v>1038</v>
      </c>
      <c r="BF50" s="2">
        <f t="shared" si="185"/>
        <v>1346</v>
      </c>
      <c r="BG50" s="2">
        <f t="shared" si="186"/>
        <v>1793</v>
      </c>
    </row>
    <row r="51" spans="2:59" s="2" customFormat="1" x14ac:dyDescent="0.25">
      <c r="B51" s="2" t="s">
        <v>44</v>
      </c>
      <c r="C51" s="5"/>
      <c r="D51" s="5"/>
      <c r="E51" s="5"/>
      <c r="F51" s="5"/>
      <c r="G51" s="5">
        <f>628+80</f>
        <v>708</v>
      </c>
      <c r="H51" s="5">
        <f>4193+2854</f>
        <v>7047</v>
      </c>
      <c r="I51" s="5">
        <f>4193+2861</f>
        <v>7054</v>
      </c>
      <c r="J51" s="5">
        <f>4193+2737</f>
        <v>6930</v>
      </c>
      <c r="K51" s="5">
        <f>4193+2613</f>
        <v>6806</v>
      </c>
      <c r="L51" s="5">
        <f>4193+2478</f>
        <v>6671</v>
      </c>
      <c r="M51" s="5">
        <f>4302+2454</f>
        <v>6756</v>
      </c>
      <c r="N51" s="5">
        <f>4349+2339</f>
        <v>6688</v>
      </c>
      <c r="O51" s="5">
        <f>4365+2211</f>
        <v>6576</v>
      </c>
      <c r="P51" s="5">
        <f>4372+2036</f>
        <v>6408</v>
      </c>
      <c r="Q51" s="5">
        <f>4372+1850</f>
        <v>6222</v>
      </c>
      <c r="R51" s="5">
        <f>4372+1676</f>
        <v>6048</v>
      </c>
      <c r="S51" s="2">
        <f>4430+1541</f>
        <v>5971</v>
      </c>
      <c r="T51" s="2">
        <f>4430+1395</f>
        <v>5825</v>
      </c>
      <c r="U51" s="2">
        <f>4430+1251</f>
        <v>5681</v>
      </c>
      <c r="V51" s="2">
        <f>4430+1112</f>
        <v>5542</v>
      </c>
      <c r="W51" s="2">
        <f>4453+986</f>
        <v>5439</v>
      </c>
      <c r="X51" s="2">
        <f>4622+952</f>
        <v>5574</v>
      </c>
      <c r="Y51" s="2">
        <f>4724+838</f>
        <v>5562</v>
      </c>
      <c r="Z51" s="2">
        <f>5188+807</f>
        <v>5995</v>
      </c>
      <c r="AA51" s="2">
        <f>5498+769</f>
        <v>6267</v>
      </c>
      <c r="BC51" s="2">
        <f t="shared" si="182"/>
        <v>6930</v>
      </c>
      <c r="BD51" s="2">
        <f t="shared" si="183"/>
        <v>6688</v>
      </c>
      <c r="BE51" s="2">
        <f t="shared" si="184"/>
        <v>6048</v>
      </c>
      <c r="BF51" s="2">
        <f t="shared" si="185"/>
        <v>5542</v>
      </c>
      <c r="BG51" s="2">
        <f t="shared" si="186"/>
        <v>5995</v>
      </c>
    </row>
    <row r="52" spans="2:59" s="2" customFormat="1" x14ac:dyDescent="0.25">
      <c r="B52" s="2" t="s">
        <v>9</v>
      </c>
      <c r="C52" s="5"/>
      <c r="D52" s="5"/>
      <c r="E52" s="5"/>
      <c r="F52" s="5"/>
      <c r="G52" s="5">
        <v>533</v>
      </c>
      <c r="H52" s="5">
        <v>630</v>
      </c>
      <c r="I52" s="5">
        <v>666</v>
      </c>
      <c r="J52" s="5">
        <v>806</v>
      </c>
      <c r="K52" s="5">
        <v>778</v>
      </c>
      <c r="L52" s="5">
        <v>958</v>
      </c>
      <c r="M52" s="5">
        <v>970</v>
      </c>
      <c r="N52" s="5">
        <v>1222</v>
      </c>
      <c r="O52" s="5">
        <v>1784</v>
      </c>
      <c r="P52" s="5">
        <v>2225</v>
      </c>
      <c r="Q52" s="5">
        <v>2762</v>
      </c>
      <c r="R52" s="5">
        <v>3396</v>
      </c>
      <c r="S52" s="2">
        <v>4568</v>
      </c>
      <c r="T52" s="2">
        <v>5398</v>
      </c>
      <c r="U52" s="2">
        <v>5982</v>
      </c>
      <c r="V52" s="2">
        <v>6081</v>
      </c>
      <c r="W52" s="2">
        <v>7798</v>
      </c>
      <c r="X52" s="2">
        <v>9578</v>
      </c>
      <c r="Y52" s="2">
        <v>10276</v>
      </c>
      <c r="Z52" s="2">
        <v>10979</v>
      </c>
      <c r="AA52" s="2">
        <v>13318</v>
      </c>
      <c r="BC52" s="2">
        <f t="shared" si="182"/>
        <v>806</v>
      </c>
      <c r="BD52" s="2">
        <f t="shared" si="183"/>
        <v>1222</v>
      </c>
      <c r="BE52" s="2">
        <f t="shared" si="184"/>
        <v>3396</v>
      </c>
      <c r="BF52" s="2">
        <f t="shared" si="185"/>
        <v>6081</v>
      </c>
      <c r="BG52" s="2">
        <f t="shared" si="186"/>
        <v>10979</v>
      </c>
    </row>
    <row r="53" spans="2:59" s="2" customFormat="1" x14ac:dyDescent="0.25">
      <c r="B53" s="2" t="s">
        <v>45</v>
      </c>
      <c r="C53" s="5"/>
      <c r="D53" s="5"/>
      <c r="E53" s="5"/>
      <c r="F53" s="5"/>
      <c r="G53" s="5">
        <v>119</v>
      </c>
      <c r="H53" s="5">
        <v>157</v>
      </c>
      <c r="I53" s="5">
        <v>2028</v>
      </c>
      <c r="J53" s="5">
        <v>2144</v>
      </c>
      <c r="K53" s="5">
        <v>2090</v>
      </c>
      <c r="L53" s="5">
        <v>2050</v>
      </c>
      <c r="M53" s="5">
        <v>3761</v>
      </c>
      <c r="N53" s="5">
        <v>3841</v>
      </c>
      <c r="O53" s="5">
        <v>3505</v>
      </c>
      <c r="P53" s="5">
        <v>3340</v>
      </c>
      <c r="Q53" s="5">
        <v>3580</v>
      </c>
      <c r="R53" s="5">
        <v>3820</v>
      </c>
      <c r="S53" s="2">
        <v>4204</v>
      </c>
      <c r="T53" s="2">
        <v>4501</v>
      </c>
      <c r="U53" s="2">
        <v>4667</v>
      </c>
      <c r="V53" s="2">
        <v>4500</v>
      </c>
      <c r="W53" s="2">
        <v>4568</v>
      </c>
      <c r="X53" s="2">
        <v>4001</v>
      </c>
      <c r="Y53" s="2">
        <v>5437</v>
      </c>
      <c r="Z53" s="2">
        <v>6425</v>
      </c>
      <c r="AA53" s="2">
        <v>6788</v>
      </c>
      <c r="BC53" s="2">
        <f t="shared" si="182"/>
        <v>2144</v>
      </c>
      <c r="BD53" s="2">
        <f t="shared" si="183"/>
        <v>3841</v>
      </c>
      <c r="BE53" s="2">
        <f t="shared" si="184"/>
        <v>3820</v>
      </c>
      <c r="BF53" s="2">
        <f t="shared" si="185"/>
        <v>4500</v>
      </c>
      <c r="BG53" s="2">
        <f t="shared" si="186"/>
        <v>6425</v>
      </c>
    </row>
    <row r="54" spans="2:59" s="2" customFormat="1" x14ac:dyDescent="0.25">
      <c r="B54" s="2" t="s">
        <v>37</v>
      </c>
      <c r="C54" s="5"/>
      <c r="D54" s="5"/>
      <c r="E54" s="5"/>
      <c r="G54" s="2">
        <f t="shared" ref="G54:M54" si="187">SUM(G45:G53)</f>
        <v>23254</v>
      </c>
      <c r="H54" s="2">
        <f t="shared" si="187"/>
        <v>25180</v>
      </c>
      <c r="I54" s="2">
        <f t="shared" si="187"/>
        <v>26881</v>
      </c>
      <c r="J54" s="2">
        <f t="shared" si="187"/>
        <v>28791</v>
      </c>
      <c r="K54" s="2">
        <f t="shared" si="187"/>
        <v>30796</v>
      </c>
      <c r="L54" s="2">
        <f t="shared" si="187"/>
        <v>38650</v>
      </c>
      <c r="M54" s="2">
        <f t="shared" si="187"/>
        <v>40632</v>
      </c>
      <c r="N54" s="2">
        <f t="shared" ref="N54:Q54" si="188">SUM(N45:N53)</f>
        <v>44187</v>
      </c>
      <c r="O54" s="2">
        <f t="shared" si="188"/>
        <v>45212</v>
      </c>
      <c r="P54" s="2">
        <f t="shared" si="188"/>
        <v>43476</v>
      </c>
      <c r="Q54" s="2">
        <f t="shared" si="188"/>
        <v>40488</v>
      </c>
      <c r="R54" s="2">
        <f t="shared" ref="R54:S54" si="189">SUM(R45:R53)</f>
        <v>41182</v>
      </c>
      <c r="S54" s="2">
        <f t="shared" si="189"/>
        <v>44460</v>
      </c>
      <c r="T54" s="2">
        <f t="shared" ref="T54:AA54" si="190">SUM(T45:T53)</f>
        <v>49555</v>
      </c>
      <c r="U54" s="2">
        <f t="shared" si="190"/>
        <v>54148</v>
      </c>
      <c r="V54" s="2">
        <f t="shared" si="190"/>
        <v>65728</v>
      </c>
      <c r="W54" s="2">
        <f t="shared" si="190"/>
        <v>77072</v>
      </c>
      <c r="X54" s="2">
        <f t="shared" si="190"/>
        <v>85227</v>
      </c>
      <c r="Y54" s="2">
        <f t="shared" si="190"/>
        <v>96013</v>
      </c>
      <c r="Z54" s="2">
        <f t="shared" si="190"/>
        <v>111601</v>
      </c>
      <c r="AA54" s="2">
        <f t="shared" si="190"/>
        <v>125254</v>
      </c>
      <c r="BC54" s="2">
        <f>SUM(BC45:BC53)</f>
        <v>28791</v>
      </c>
      <c r="BD54" s="2">
        <f>SUM(BD45:BD53)</f>
        <v>44187</v>
      </c>
      <c r="BE54" s="2">
        <f>SUM(BE45:BE53)</f>
        <v>41182</v>
      </c>
      <c r="BF54" s="2">
        <f>SUM(BF45:BF53)</f>
        <v>65728</v>
      </c>
      <c r="BG54" s="2">
        <f>SUM(BG45:BG53)</f>
        <v>111601</v>
      </c>
    </row>
    <row r="55" spans="2:59" s="2" customForma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59" s="2" customFormat="1" x14ac:dyDescent="0.25">
      <c r="B56" s="2" t="s">
        <v>36</v>
      </c>
      <c r="C56" s="5"/>
      <c r="D56" s="5"/>
      <c r="E56" s="5"/>
      <c r="F56" s="5"/>
      <c r="G56" s="5">
        <v>761</v>
      </c>
      <c r="H56" s="5">
        <v>893</v>
      </c>
      <c r="I56" s="5">
        <v>1097</v>
      </c>
      <c r="J56" s="5">
        <v>1201</v>
      </c>
      <c r="K56" s="5">
        <v>1218</v>
      </c>
      <c r="L56" s="5">
        <v>1474</v>
      </c>
      <c r="M56" s="5">
        <v>1664</v>
      </c>
      <c r="N56" s="5">
        <v>1783</v>
      </c>
      <c r="O56" s="5">
        <v>1999</v>
      </c>
      <c r="P56" s="5">
        <v>2421</v>
      </c>
      <c r="Q56" s="5">
        <v>1491</v>
      </c>
      <c r="R56" s="5">
        <v>1193</v>
      </c>
      <c r="S56" s="2">
        <v>1141</v>
      </c>
      <c r="T56" s="2">
        <v>1929</v>
      </c>
      <c r="U56" s="2">
        <v>2380</v>
      </c>
      <c r="V56" s="2">
        <v>2699</v>
      </c>
      <c r="W56" s="2">
        <v>2715</v>
      </c>
      <c r="X56" s="2">
        <v>3680</v>
      </c>
      <c r="Y56" s="2">
        <v>5353</v>
      </c>
      <c r="Z56" s="2">
        <v>6310</v>
      </c>
      <c r="AA56" s="2">
        <v>7331</v>
      </c>
      <c r="BC56" s="2">
        <f t="shared" ref="BC56:BC61" si="191">+J56</f>
        <v>1201</v>
      </c>
      <c r="BD56" s="2">
        <f t="shared" ref="BD56:BD61" si="192">+N56</f>
        <v>1783</v>
      </c>
      <c r="BE56" s="2">
        <f t="shared" ref="BE56:BE61" si="193">+R56</f>
        <v>1193</v>
      </c>
      <c r="BF56" s="2">
        <f t="shared" ref="BF56:BF61" si="194">+V56</f>
        <v>2699</v>
      </c>
      <c r="BG56" s="2">
        <f t="shared" ref="BG56:BG61" si="195">+Z56</f>
        <v>6310</v>
      </c>
    </row>
    <row r="57" spans="2:59" s="2" customFormat="1" x14ac:dyDescent="0.25">
      <c r="B57" s="2" t="s">
        <v>35</v>
      </c>
      <c r="C57" s="5"/>
      <c r="D57" s="5"/>
      <c r="E57" s="5"/>
      <c r="F57" s="5"/>
      <c r="G57" s="5">
        <v>1142</v>
      </c>
      <c r="H57" s="5">
        <v>1517</v>
      </c>
      <c r="I57" s="5">
        <v>1574</v>
      </c>
      <c r="J57" s="5">
        <v>1725</v>
      </c>
      <c r="K57" s="5">
        <v>1787</v>
      </c>
      <c r="L57" s="5">
        <v>1974</v>
      </c>
      <c r="M57" s="5">
        <v>1948</v>
      </c>
      <c r="N57" s="5">
        <v>2552</v>
      </c>
      <c r="O57" s="5">
        <v>3563</v>
      </c>
      <c r="P57" s="5">
        <v>3903</v>
      </c>
      <c r="Q57" s="5">
        <v>4115</v>
      </c>
      <c r="R57" s="5">
        <v>4120</v>
      </c>
      <c r="S57" s="2">
        <v>4869</v>
      </c>
      <c r="T57" s="2">
        <v>7156</v>
      </c>
      <c r="U57" s="2">
        <v>5472</v>
      </c>
      <c r="V57" s="2">
        <v>6682</v>
      </c>
      <c r="W57" s="2">
        <v>11258</v>
      </c>
      <c r="X57" s="2">
        <v>10289</v>
      </c>
      <c r="Y57" s="2">
        <v>11126</v>
      </c>
      <c r="Z57" s="2">
        <v>11737</v>
      </c>
      <c r="AA57" s="2">
        <v>19211</v>
      </c>
      <c r="BC57" s="2">
        <f t="shared" si="191"/>
        <v>1725</v>
      </c>
      <c r="BD57" s="2">
        <f t="shared" si="192"/>
        <v>2552</v>
      </c>
      <c r="BE57" s="2">
        <f t="shared" si="193"/>
        <v>4120</v>
      </c>
      <c r="BF57" s="2">
        <f t="shared" si="194"/>
        <v>6682</v>
      </c>
      <c r="BG57" s="2">
        <f t="shared" si="195"/>
        <v>11737</v>
      </c>
    </row>
    <row r="58" spans="2:59" s="2" customFormat="1" x14ac:dyDescent="0.25">
      <c r="B58" s="2" t="s">
        <v>34</v>
      </c>
      <c r="C58" s="5"/>
      <c r="D58" s="5"/>
      <c r="E58" s="5"/>
      <c r="F58" s="5"/>
      <c r="G58" s="5">
        <v>6959</v>
      </c>
      <c r="H58" s="5">
        <v>6960</v>
      </c>
      <c r="I58" s="5">
        <f>998+5963</f>
        <v>6961</v>
      </c>
      <c r="J58" s="5">
        <f>999+5964</f>
        <v>6963</v>
      </c>
      <c r="K58" s="5">
        <f>999+5964</f>
        <v>6963</v>
      </c>
      <c r="L58" s="5">
        <f>1000+10943</f>
        <v>11943</v>
      </c>
      <c r="M58" s="5">
        <v>10944</v>
      </c>
      <c r="N58" s="5">
        <v>10946</v>
      </c>
      <c r="O58" s="5">
        <v>10947</v>
      </c>
      <c r="P58" s="5">
        <f>1249+9700</f>
        <v>10949</v>
      </c>
      <c r="Q58" s="5">
        <f>1249+9701</f>
        <v>10950</v>
      </c>
      <c r="R58" s="5">
        <f>1250+9703</f>
        <v>10953</v>
      </c>
      <c r="S58" s="2">
        <f>1250+9704</f>
        <v>10954</v>
      </c>
      <c r="T58" s="2">
        <f>1249+8456</f>
        <v>9705</v>
      </c>
      <c r="U58" s="2">
        <f>1249+8457</f>
        <v>9706</v>
      </c>
      <c r="V58" s="2">
        <f>1250+8459</f>
        <v>9709</v>
      </c>
      <c r="W58" s="2">
        <f>1250+8460</f>
        <v>9710</v>
      </c>
      <c r="X58" s="2">
        <v>8461</v>
      </c>
      <c r="Y58" s="2">
        <v>8462</v>
      </c>
      <c r="Z58" s="2">
        <v>8463</v>
      </c>
      <c r="AA58" s="2">
        <v>8464</v>
      </c>
      <c r="BC58" s="2">
        <f t="shared" si="191"/>
        <v>6963</v>
      </c>
      <c r="BD58" s="2">
        <f t="shared" si="192"/>
        <v>10946</v>
      </c>
      <c r="BE58" s="2">
        <f t="shared" si="193"/>
        <v>10953</v>
      </c>
      <c r="BF58" s="2">
        <f t="shared" si="194"/>
        <v>9709</v>
      </c>
      <c r="BG58" s="2">
        <f t="shared" si="195"/>
        <v>8463</v>
      </c>
    </row>
    <row r="59" spans="2:59" s="2" customFormat="1" x14ac:dyDescent="0.25">
      <c r="B59" s="2" t="s">
        <v>33</v>
      </c>
      <c r="C59" s="5"/>
      <c r="D59" s="5"/>
      <c r="E59" s="5"/>
      <c r="F59" s="5"/>
      <c r="G59" s="5">
        <v>519</v>
      </c>
      <c r="H59" s="5">
        <v>611</v>
      </c>
      <c r="I59" s="5">
        <v>604</v>
      </c>
      <c r="J59" s="5">
        <v>634</v>
      </c>
      <c r="K59" s="5">
        <v>640</v>
      </c>
      <c r="L59" s="5">
        <v>716</v>
      </c>
      <c r="M59" s="5">
        <v>743</v>
      </c>
      <c r="N59" s="5">
        <v>741</v>
      </c>
      <c r="O59" s="5">
        <v>752</v>
      </c>
      <c r="P59" s="5">
        <v>743</v>
      </c>
      <c r="Q59" s="5">
        <v>798</v>
      </c>
      <c r="R59" s="5">
        <v>902</v>
      </c>
      <c r="S59" s="2">
        <f>939</f>
        <v>939</v>
      </c>
      <c r="T59" s="2">
        <v>1041</v>
      </c>
      <c r="U59" s="2">
        <v>1091</v>
      </c>
      <c r="V59" s="2">
        <v>1119</v>
      </c>
      <c r="W59" s="2">
        <v>1281</v>
      </c>
      <c r="X59" s="2">
        <v>1304</v>
      </c>
      <c r="Y59" s="2">
        <v>1490</v>
      </c>
      <c r="Z59" s="2">
        <v>1519</v>
      </c>
      <c r="AA59" s="2">
        <v>1521</v>
      </c>
      <c r="BC59" s="2">
        <f t="shared" si="191"/>
        <v>634</v>
      </c>
      <c r="BD59" s="2">
        <f t="shared" si="192"/>
        <v>741</v>
      </c>
      <c r="BE59" s="2">
        <f t="shared" si="193"/>
        <v>902</v>
      </c>
      <c r="BF59" s="2">
        <f t="shared" si="194"/>
        <v>1119</v>
      </c>
      <c r="BG59" s="2">
        <f t="shared" si="195"/>
        <v>1519</v>
      </c>
    </row>
    <row r="60" spans="2:59" s="2" customFormat="1" x14ac:dyDescent="0.25">
      <c r="B60" s="2" t="s">
        <v>32</v>
      </c>
      <c r="C60" s="5"/>
      <c r="D60" s="5"/>
      <c r="E60" s="5"/>
      <c r="F60" s="5"/>
      <c r="G60" s="5">
        <v>774</v>
      </c>
      <c r="H60" s="5">
        <v>1285</v>
      </c>
      <c r="I60" s="5">
        <v>1311</v>
      </c>
      <c r="J60" s="5">
        <v>1375</v>
      </c>
      <c r="K60" s="5">
        <v>1414</v>
      </c>
      <c r="L60" s="5">
        <v>1396</v>
      </c>
      <c r="M60" s="5">
        <v>1535</v>
      </c>
      <c r="N60" s="5">
        <v>1553</v>
      </c>
      <c r="O60" s="5">
        <v>1631</v>
      </c>
      <c r="P60" s="5">
        <v>1609</v>
      </c>
      <c r="Q60" s="5">
        <v>1785</v>
      </c>
      <c r="R60" s="5">
        <v>1913</v>
      </c>
      <c r="S60" s="2">
        <v>2037</v>
      </c>
      <c r="T60" s="2">
        <v>2223</v>
      </c>
      <c r="U60" s="2">
        <v>2234</v>
      </c>
      <c r="V60" s="2">
        <v>2541</v>
      </c>
      <c r="W60" s="2">
        <v>2966</v>
      </c>
      <c r="X60" s="2">
        <v>3336</v>
      </c>
      <c r="Y60" s="2">
        <v>3683</v>
      </c>
      <c r="Z60" s="2">
        <v>4245</v>
      </c>
      <c r="AA60" s="2">
        <v>4884</v>
      </c>
      <c r="BC60" s="2">
        <f t="shared" si="191"/>
        <v>1375</v>
      </c>
      <c r="BD60" s="2">
        <f t="shared" si="192"/>
        <v>1553</v>
      </c>
      <c r="BE60" s="2">
        <f t="shared" si="193"/>
        <v>1913</v>
      </c>
      <c r="BF60" s="2">
        <f t="shared" si="194"/>
        <v>2541</v>
      </c>
      <c r="BG60" s="2">
        <f t="shared" si="195"/>
        <v>4245</v>
      </c>
    </row>
    <row r="61" spans="2:59" s="2" customFormat="1" x14ac:dyDescent="0.25">
      <c r="B61" s="2" t="s">
        <v>31</v>
      </c>
      <c r="C61" s="5"/>
      <c r="D61" s="5"/>
      <c r="E61" s="5"/>
      <c r="F61" s="5"/>
      <c r="G61" s="5">
        <v>13099</v>
      </c>
      <c r="H61" s="5">
        <v>13914</v>
      </c>
      <c r="I61" s="5">
        <v>15334</v>
      </c>
      <c r="J61" s="5">
        <v>16893</v>
      </c>
      <c r="K61" s="5">
        <v>18774</v>
      </c>
      <c r="L61" s="5">
        <v>21147</v>
      </c>
      <c r="M61" s="5">
        <v>23798</v>
      </c>
      <c r="N61" s="5">
        <v>26612</v>
      </c>
      <c r="O61" s="5">
        <v>26320</v>
      </c>
      <c r="P61" s="5">
        <v>23851</v>
      </c>
      <c r="Q61" s="5">
        <v>21349</v>
      </c>
      <c r="R61" s="5">
        <v>22101</v>
      </c>
      <c r="S61" s="2">
        <v>24520</v>
      </c>
      <c r="T61" s="2">
        <v>27501</v>
      </c>
      <c r="U61" s="2">
        <v>33265</v>
      </c>
      <c r="V61" s="2">
        <v>42978</v>
      </c>
      <c r="W61" s="2">
        <v>49142</v>
      </c>
      <c r="X61" s="2">
        <v>58157</v>
      </c>
      <c r="Y61" s="2">
        <v>65899</v>
      </c>
      <c r="Z61" s="2">
        <v>79327</v>
      </c>
      <c r="AA61" s="2">
        <v>83843</v>
      </c>
      <c r="BC61" s="2">
        <f t="shared" si="191"/>
        <v>16893</v>
      </c>
      <c r="BD61" s="2">
        <f t="shared" si="192"/>
        <v>26612</v>
      </c>
      <c r="BE61" s="2">
        <f t="shared" si="193"/>
        <v>22101</v>
      </c>
      <c r="BF61" s="2">
        <f t="shared" si="194"/>
        <v>42978</v>
      </c>
      <c r="BG61" s="2">
        <f t="shared" si="195"/>
        <v>79327</v>
      </c>
    </row>
    <row r="62" spans="2:59" s="2" customFormat="1" x14ac:dyDescent="0.25">
      <c r="B62" s="2" t="s">
        <v>30</v>
      </c>
      <c r="C62" s="5"/>
      <c r="D62" s="5"/>
      <c r="E62" s="5"/>
      <c r="F62" s="2">
        <f t="shared" ref="F62" si="196">SUM(F56:F61)</f>
        <v>0</v>
      </c>
      <c r="G62" s="2">
        <f t="shared" ref="G62:M62" si="197">SUM(G56:G61)</f>
        <v>23254</v>
      </c>
      <c r="H62" s="2">
        <f t="shared" si="197"/>
        <v>25180</v>
      </c>
      <c r="I62" s="2">
        <f t="shared" si="197"/>
        <v>26881</v>
      </c>
      <c r="J62" s="2">
        <f t="shared" si="197"/>
        <v>28791</v>
      </c>
      <c r="K62" s="2">
        <f t="shared" si="197"/>
        <v>30796</v>
      </c>
      <c r="L62" s="2">
        <f t="shared" si="197"/>
        <v>38650</v>
      </c>
      <c r="M62" s="2">
        <f t="shared" si="197"/>
        <v>40632</v>
      </c>
      <c r="N62" s="2">
        <f t="shared" ref="N62:Q62" si="198">SUM(N56:N61)</f>
        <v>44187</v>
      </c>
      <c r="O62" s="2">
        <f t="shared" si="198"/>
        <v>45212</v>
      </c>
      <c r="P62" s="2">
        <f t="shared" si="198"/>
        <v>43476</v>
      </c>
      <c r="Q62" s="2">
        <f t="shared" si="198"/>
        <v>40488</v>
      </c>
      <c r="R62" s="2">
        <f t="shared" ref="R62:S62" si="199">SUM(R56:R61)</f>
        <v>41182</v>
      </c>
      <c r="S62" s="2">
        <f t="shared" si="199"/>
        <v>44460</v>
      </c>
      <c r="T62" s="2">
        <f t="shared" ref="T62:AA62" si="200">SUM(T56:T61)</f>
        <v>49555</v>
      </c>
      <c r="U62" s="2">
        <f t="shared" si="200"/>
        <v>54148</v>
      </c>
      <c r="V62" s="2">
        <f t="shared" si="200"/>
        <v>65728</v>
      </c>
      <c r="W62" s="2">
        <f t="shared" si="200"/>
        <v>77072</v>
      </c>
      <c r="X62" s="2">
        <f t="shared" si="200"/>
        <v>85227</v>
      </c>
      <c r="Y62" s="2">
        <f t="shared" si="200"/>
        <v>96013</v>
      </c>
      <c r="Z62" s="2">
        <f t="shared" si="200"/>
        <v>111601</v>
      </c>
      <c r="AA62" s="2">
        <f t="shared" si="200"/>
        <v>125254</v>
      </c>
      <c r="BC62" s="2">
        <f>SUM(BC56:BC61)</f>
        <v>28791</v>
      </c>
      <c r="BD62" s="2">
        <f>SUM(BD56:BD61)</f>
        <v>44187</v>
      </c>
      <c r="BE62" s="2">
        <f>SUM(BE56:BE61)</f>
        <v>41182</v>
      </c>
      <c r="BF62" s="2">
        <f>SUM(BF56:BF61)</f>
        <v>65728</v>
      </c>
      <c r="BG62" s="2">
        <f>SUM(BG56:BG61)</f>
        <v>111601</v>
      </c>
    </row>
    <row r="63" spans="2:59" x14ac:dyDescent="0.25">
      <c r="S63" s="5"/>
      <c r="T63" s="2"/>
      <c r="U63" s="2"/>
    </row>
    <row r="64" spans="2:59" s="2" customFormat="1" x14ac:dyDescent="0.25">
      <c r="B64" s="2" t="s">
        <v>173</v>
      </c>
      <c r="C64" s="5"/>
      <c r="D64" s="5"/>
      <c r="E64" s="5"/>
      <c r="F64" s="5">
        <f t="shared" ref="F64:K64" si="201">F34</f>
        <v>951</v>
      </c>
      <c r="G64" s="5">
        <f t="shared" si="201"/>
        <v>917</v>
      </c>
      <c r="H64" s="5">
        <f t="shared" si="201"/>
        <v>622</v>
      </c>
      <c r="I64" s="5">
        <f t="shared" si="201"/>
        <v>1336</v>
      </c>
      <c r="J64" s="5">
        <f t="shared" si="201"/>
        <v>1457</v>
      </c>
      <c r="K64" s="5">
        <f t="shared" si="201"/>
        <v>1912</v>
      </c>
      <c r="L64" s="5">
        <f t="shared" ref="L64:R64" si="202">L34</f>
        <v>2374</v>
      </c>
      <c r="M64" s="5">
        <f t="shared" si="202"/>
        <v>2464</v>
      </c>
      <c r="N64" s="5">
        <f t="shared" si="202"/>
        <v>3003</v>
      </c>
      <c r="O64" s="5">
        <f t="shared" si="202"/>
        <v>2971</v>
      </c>
      <c r="P64" s="5">
        <f t="shared" si="202"/>
        <v>656</v>
      </c>
      <c r="Q64" s="5">
        <f t="shared" si="202"/>
        <v>680</v>
      </c>
      <c r="R64" s="5">
        <f t="shared" si="202"/>
        <v>1227</v>
      </c>
      <c r="S64" s="5">
        <f t="shared" ref="S64:AA64" si="203">S34</f>
        <v>2043</v>
      </c>
      <c r="T64" s="5">
        <f t="shared" si="203"/>
        <v>6188</v>
      </c>
      <c r="U64" s="5">
        <f t="shared" si="203"/>
        <v>9243</v>
      </c>
      <c r="V64" s="5">
        <f t="shared" si="203"/>
        <v>12285</v>
      </c>
      <c r="W64" s="5">
        <f t="shared" si="203"/>
        <v>14881</v>
      </c>
      <c r="X64" s="5">
        <f t="shared" si="203"/>
        <v>16599</v>
      </c>
      <c r="Y64" s="5">
        <f t="shared" si="203"/>
        <v>19309</v>
      </c>
      <c r="Z64" s="5">
        <f t="shared" si="203"/>
        <v>22091</v>
      </c>
      <c r="AA64" s="5">
        <f t="shared" si="203"/>
        <v>25902.662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BA64" s="2">
        <f>Model!BA34</f>
        <v>4141</v>
      </c>
      <c r="BB64" s="2">
        <f>Model!BB34</f>
        <v>2796</v>
      </c>
      <c r="BC64" s="2">
        <f>Model!BC34</f>
        <v>4332</v>
      </c>
      <c r="BD64" s="2">
        <f>Model!BD34</f>
        <v>9752</v>
      </c>
      <c r="BE64" s="2">
        <f>Model!BE34</f>
        <v>5537</v>
      </c>
      <c r="BF64" s="2">
        <f>Model!BF34</f>
        <v>29759</v>
      </c>
      <c r="BG64" s="2">
        <f>Model!BG34</f>
        <v>72880</v>
      </c>
    </row>
    <row r="65" spans="2:59" s="2" customFormat="1" x14ac:dyDescent="0.25">
      <c r="B65" s="2" t="s">
        <v>176</v>
      </c>
      <c r="C65" s="5"/>
      <c r="D65" s="5"/>
      <c r="E65" s="5"/>
      <c r="F65" s="5"/>
      <c r="G65" s="5">
        <v>917</v>
      </c>
      <c r="H65" s="5">
        <f>1539-G65</f>
        <v>622</v>
      </c>
      <c r="I65" s="5">
        <f>2875-H65-G65</f>
        <v>1336</v>
      </c>
      <c r="J65" s="5">
        <f>+BC65-I65-H65-G65</f>
        <v>1457</v>
      </c>
      <c r="K65" s="5">
        <v>1912</v>
      </c>
      <c r="L65" s="5">
        <f>4285-K65</f>
        <v>2373</v>
      </c>
      <c r="M65" s="5">
        <f>6749-L65-K65</f>
        <v>2464</v>
      </c>
      <c r="N65" s="5">
        <f>9752-M65-L65-K65</f>
        <v>3003</v>
      </c>
      <c r="O65" s="5">
        <v>1618</v>
      </c>
      <c r="P65" s="5">
        <f>2274-O65</f>
        <v>656</v>
      </c>
      <c r="Q65" s="5">
        <f>2954-P65-O65</f>
        <v>680</v>
      </c>
      <c r="R65" s="5">
        <f>4368-Q65-P65-O65</f>
        <v>1414</v>
      </c>
      <c r="S65" s="5">
        <v>2043</v>
      </c>
      <c r="T65" s="5">
        <f>8232-S65</f>
        <v>6189</v>
      </c>
      <c r="U65" s="5">
        <f>17475-T65-S65</f>
        <v>9243</v>
      </c>
      <c r="V65" s="5">
        <v>12285</v>
      </c>
      <c r="W65" s="5">
        <v>14881</v>
      </c>
      <c r="X65" s="5">
        <f>31480-W65</f>
        <v>16599</v>
      </c>
      <c r="Y65" s="5">
        <f>50789-X65-W65</f>
        <v>19309</v>
      </c>
      <c r="Z65" s="2">
        <v>22091</v>
      </c>
      <c r="AA65" s="2">
        <v>18775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BA65" s="2">
        <v>4141</v>
      </c>
      <c r="BB65" s="2">
        <v>2796</v>
      </c>
      <c r="BC65" s="2">
        <v>4332</v>
      </c>
      <c r="BD65" s="2">
        <f t="shared" ref="BD65:BD72" si="204">SUM(K65:N65)</f>
        <v>9752</v>
      </c>
      <c r="BE65" s="2">
        <f>SUM(O65:R65)</f>
        <v>4368</v>
      </c>
      <c r="BF65" s="2">
        <f>SUM(S65:V65)</f>
        <v>29760</v>
      </c>
      <c r="BG65" s="2">
        <f>SUM(W65:Z65)</f>
        <v>72880</v>
      </c>
    </row>
    <row r="66" spans="2:59" s="2" customFormat="1" x14ac:dyDescent="0.25">
      <c r="B66" s="2" t="s">
        <v>174</v>
      </c>
      <c r="C66" s="5"/>
      <c r="D66" s="5"/>
      <c r="E66" s="5"/>
      <c r="F66" s="5"/>
      <c r="G66" s="5">
        <v>0</v>
      </c>
      <c r="H66" s="5">
        <v>0</v>
      </c>
      <c r="I66" s="5">
        <v>0</v>
      </c>
      <c r="J66" s="5">
        <f t="shared" ref="J66:J72" si="205">+BC66-I66-H66-G66</f>
        <v>0</v>
      </c>
      <c r="K66" s="5">
        <v>0</v>
      </c>
      <c r="L66" s="5">
        <v>0</v>
      </c>
      <c r="M66" s="5">
        <v>0</v>
      </c>
      <c r="N66" s="5">
        <v>0</v>
      </c>
      <c r="O66" s="5">
        <v>1353</v>
      </c>
      <c r="P66" s="5">
        <f>1353-O66</f>
        <v>0</v>
      </c>
      <c r="Q66" s="5">
        <f>1353-P66-O66</f>
        <v>0</v>
      </c>
      <c r="R66" s="5">
        <f>1353-Q66-P66-O66</f>
        <v>0</v>
      </c>
      <c r="S66" s="5"/>
      <c r="T66" s="5"/>
      <c r="U66" s="5"/>
      <c r="V66" s="5"/>
      <c r="W66" s="5"/>
      <c r="X66" s="5"/>
      <c r="Y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BA66" s="2">
        <v>0</v>
      </c>
      <c r="BB66" s="2">
        <v>0</v>
      </c>
      <c r="BC66" s="2">
        <v>0</v>
      </c>
      <c r="BD66" s="2">
        <f t="shared" si="204"/>
        <v>0</v>
      </c>
      <c r="BE66" s="2">
        <f t="shared" ref="BE66:BE72" si="206">SUM(O66:R66)</f>
        <v>1353</v>
      </c>
      <c r="BF66" s="2">
        <f t="shared" ref="BF66:BF72" si="207">SUM(S66:V66)</f>
        <v>0</v>
      </c>
      <c r="BG66" s="2">
        <f t="shared" ref="BG66:BG72" si="208">SUM(W66:Z66)</f>
        <v>0</v>
      </c>
    </row>
    <row r="67" spans="2:59" s="2" customFormat="1" x14ac:dyDescent="0.25">
      <c r="B67" s="2" t="s">
        <v>53</v>
      </c>
      <c r="C67" s="5"/>
      <c r="D67" s="5"/>
      <c r="E67" s="5"/>
      <c r="F67" s="5"/>
      <c r="G67" s="5">
        <v>224</v>
      </c>
      <c r="H67" s="5">
        <f>598-G67</f>
        <v>374</v>
      </c>
      <c r="I67" s="5">
        <f>981-H67-G67</f>
        <v>383</v>
      </c>
      <c r="J67" s="5">
        <f t="shared" si="205"/>
        <v>416</v>
      </c>
      <c r="K67" s="5">
        <v>429</v>
      </c>
      <c r="L67" s="5">
        <f>894-K67</f>
        <v>465</v>
      </c>
      <c r="M67" s="5">
        <f>1453-L67-K67</f>
        <v>559</v>
      </c>
      <c r="N67" s="5">
        <f>2004-M67-L67-K67</f>
        <v>551</v>
      </c>
      <c r="O67" s="5">
        <v>578</v>
      </c>
      <c r="P67" s="5">
        <f>1226-O67</f>
        <v>648</v>
      </c>
      <c r="Q67" s="5">
        <f>1971-P67-O67</f>
        <v>745</v>
      </c>
      <c r="R67" s="5">
        <f>2709-Q67-P67-O67</f>
        <v>738</v>
      </c>
      <c r="S67" s="5">
        <v>735</v>
      </c>
      <c r="T67" s="2">
        <f>1576-S67</f>
        <v>841</v>
      </c>
      <c r="U67" s="2">
        <f>2555-T67-S67</f>
        <v>979</v>
      </c>
      <c r="V67" s="2">
        <f>3549-U67-T67-S67</f>
        <v>994</v>
      </c>
      <c r="W67" s="2">
        <v>1011</v>
      </c>
      <c r="X67" s="2">
        <f>2164-W67</f>
        <v>1153</v>
      </c>
      <c r="Y67" s="2">
        <f>3416-X67-W67</f>
        <v>1252</v>
      </c>
      <c r="Z67" s="2">
        <v>1321</v>
      </c>
      <c r="AA67" s="2">
        <v>1474</v>
      </c>
      <c r="BA67" s="2">
        <v>557</v>
      </c>
      <c r="BB67" s="2">
        <v>844</v>
      </c>
      <c r="BC67" s="2">
        <v>1397</v>
      </c>
      <c r="BD67" s="2">
        <f t="shared" si="204"/>
        <v>2004</v>
      </c>
      <c r="BE67" s="2">
        <f t="shared" si="206"/>
        <v>2709</v>
      </c>
      <c r="BF67" s="2">
        <f t="shared" si="207"/>
        <v>3549</v>
      </c>
      <c r="BG67" s="2">
        <f t="shared" si="208"/>
        <v>4737</v>
      </c>
    </row>
    <row r="68" spans="2:59" s="2" customFormat="1" x14ac:dyDescent="0.25">
      <c r="B68" s="2" t="s">
        <v>55</v>
      </c>
      <c r="C68" s="5"/>
      <c r="D68" s="5"/>
      <c r="E68" s="5"/>
      <c r="F68" s="5"/>
      <c r="G68" s="5">
        <v>107</v>
      </c>
      <c r="H68" s="5">
        <f>511-G68</f>
        <v>404</v>
      </c>
      <c r="I68" s="5">
        <f>810-H68-G68</f>
        <v>299</v>
      </c>
      <c r="J68" s="5">
        <f t="shared" si="205"/>
        <v>288</v>
      </c>
      <c r="K68" s="5">
        <v>281</v>
      </c>
      <c r="L68" s="5">
        <f>567-K68</f>
        <v>286</v>
      </c>
      <c r="M68" s="5">
        <f>865-L68-K68</f>
        <v>298</v>
      </c>
      <c r="N68" s="5">
        <f>1174-M68-L68-K68</f>
        <v>309</v>
      </c>
      <c r="O68" s="5">
        <v>334</v>
      </c>
      <c r="P68" s="5">
        <f>712-O68</f>
        <v>378</v>
      </c>
      <c r="Q68" s="5">
        <f>1118-P68-O68</f>
        <v>406</v>
      </c>
      <c r="R68" s="5">
        <f>1544-Q68-P68-O68</f>
        <v>426</v>
      </c>
      <c r="S68" s="5">
        <v>384</v>
      </c>
      <c r="T68" s="2">
        <f>749-S68</f>
        <v>365</v>
      </c>
      <c r="U68" s="2">
        <f>1121-T68-S68</f>
        <v>372</v>
      </c>
      <c r="V68" s="2">
        <f>1508-U68-T68-S68</f>
        <v>387</v>
      </c>
      <c r="W68" s="2">
        <v>410</v>
      </c>
      <c r="X68" s="2">
        <f>843-W68</f>
        <v>433</v>
      </c>
      <c r="Y68" s="2">
        <f>1321-X68-W68</f>
        <v>478</v>
      </c>
      <c r="Z68" s="2">
        <v>543</v>
      </c>
      <c r="AA68" s="2">
        <v>611</v>
      </c>
      <c r="BA68" s="2">
        <v>262</v>
      </c>
      <c r="BB68" s="2">
        <v>381</v>
      </c>
      <c r="BC68" s="2">
        <v>1098</v>
      </c>
      <c r="BD68" s="2">
        <f t="shared" si="204"/>
        <v>1174</v>
      </c>
      <c r="BE68" s="2">
        <f t="shared" si="206"/>
        <v>1544</v>
      </c>
      <c r="BF68" s="2">
        <f t="shared" si="207"/>
        <v>1508</v>
      </c>
      <c r="BG68" s="2">
        <f t="shared" si="208"/>
        <v>1864</v>
      </c>
    </row>
    <row r="69" spans="2:59" s="2" customFormat="1" x14ac:dyDescent="0.25">
      <c r="B69" s="2" t="s">
        <v>56</v>
      </c>
      <c r="C69" s="5"/>
      <c r="D69" s="5"/>
      <c r="E69" s="5"/>
      <c r="F69" s="5"/>
      <c r="G69" s="5">
        <v>0</v>
      </c>
      <c r="H69" s="5">
        <v>0</v>
      </c>
      <c r="I69" s="5">
        <v>0</v>
      </c>
      <c r="J69" s="5">
        <f t="shared" si="205"/>
        <v>0</v>
      </c>
      <c r="K69" s="5">
        <v>-133</v>
      </c>
      <c r="L69" s="5">
        <f>-133-K69</f>
        <v>0</v>
      </c>
      <c r="M69" s="5">
        <f>-152-L69-K69</f>
        <v>-19</v>
      </c>
      <c r="N69" s="5">
        <f>-100-M69-L69-K69</f>
        <v>52</v>
      </c>
      <c r="O69" s="5">
        <v>17</v>
      </c>
      <c r="P69" s="5">
        <f>24-O69</f>
        <v>7</v>
      </c>
      <c r="Q69" s="5">
        <f>35-P69-O69</f>
        <v>11</v>
      </c>
      <c r="R69" s="5">
        <f>45-Q69-P69-O69</f>
        <v>10</v>
      </c>
      <c r="S69" s="5">
        <v>14</v>
      </c>
      <c r="T69" s="2">
        <f>-45-S69</f>
        <v>-59</v>
      </c>
      <c r="U69" s="2">
        <f>24-T69-S69</f>
        <v>69</v>
      </c>
      <c r="V69" s="2">
        <f>-238-U69-T69-S69</f>
        <v>-262</v>
      </c>
      <c r="W69" s="2">
        <v>-69</v>
      </c>
      <c r="X69" s="2">
        <f>-264-W69</f>
        <v>-195</v>
      </c>
      <c r="Y69" s="2">
        <f>-302-X69-W69</f>
        <v>-38</v>
      </c>
      <c r="Z69" s="2">
        <v>-727</v>
      </c>
      <c r="AA69" s="2">
        <v>175</v>
      </c>
      <c r="BA69" s="2">
        <v>0</v>
      </c>
      <c r="BB69" s="2">
        <v>0</v>
      </c>
      <c r="BC69" s="2">
        <v>0</v>
      </c>
      <c r="BD69" s="2">
        <f t="shared" si="204"/>
        <v>-100</v>
      </c>
      <c r="BE69" s="2">
        <f t="shared" si="206"/>
        <v>45</v>
      </c>
      <c r="BF69" s="2">
        <f t="shared" si="207"/>
        <v>-238</v>
      </c>
      <c r="BG69" s="2">
        <f t="shared" si="208"/>
        <v>-1029</v>
      </c>
    </row>
    <row r="70" spans="2:59" s="2" customFormat="1" x14ac:dyDescent="0.25">
      <c r="B70" s="2" t="s">
        <v>57</v>
      </c>
      <c r="C70" s="5"/>
      <c r="D70" s="5"/>
      <c r="E70" s="5"/>
      <c r="F70" s="5"/>
      <c r="G70" s="5">
        <v>16</v>
      </c>
      <c r="H70" s="5">
        <f>-64-G70</f>
        <v>-80</v>
      </c>
      <c r="I70" s="5">
        <f>-117-H70-G70</f>
        <v>-53</v>
      </c>
      <c r="J70" s="5">
        <f t="shared" si="205"/>
        <v>-165</v>
      </c>
      <c r="K70" s="5">
        <v>24</v>
      </c>
      <c r="L70" s="5">
        <f>-161-K70</f>
        <v>-185</v>
      </c>
      <c r="M70" s="5">
        <f>-182-L70-K70</f>
        <v>-21</v>
      </c>
      <c r="N70" s="5">
        <f>-406-M70-L70-K70</f>
        <v>-224</v>
      </c>
      <c r="O70" s="5">
        <v>-542</v>
      </c>
      <c r="P70" s="5">
        <f>-985-O70</f>
        <v>-443</v>
      </c>
      <c r="Q70" s="5">
        <f>-1517-P70-O70</f>
        <v>-532</v>
      </c>
      <c r="R70" s="5">
        <f>-2164-Q70-P70-O70</f>
        <v>-647</v>
      </c>
      <c r="S70" s="5">
        <v>-1135</v>
      </c>
      <c r="T70" s="2">
        <f>-1881-S70</f>
        <v>-746</v>
      </c>
      <c r="U70" s="2">
        <f>-2411-T70-S70</f>
        <v>-530</v>
      </c>
      <c r="V70" s="2">
        <f>-2489-U70-T70-S70</f>
        <v>-78</v>
      </c>
      <c r="W70" s="2">
        <v>-1577</v>
      </c>
      <c r="X70" s="2">
        <f>-3276-W70</f>
        <v>-1699</v>
      </c>
      <c r="Y70" s="2">
        <f>-3879-X70-W70</f>
        <v>-603</v>
      </c>
      <c r="Z70" s="2">
        <v>-598</v>
      </c>
      <c r="AA70" s="2">
        <v>-2177</v>
      </c>
      <c r="BA70" s="2">
        <v>-315</v>
      </c>
      <c r="BB70" s="2">
        <v>18</v>
      </c>
      <c r="BC70" s="2">
        <v>-282</v>
      </c>
      <c r="BD70" s="2">
        <f t="shared" si="204"/>
        <v>-406</v>
      </c>
      <c r="BE70" s="2">
        <f t="shared" si="206"/>
        <v>-2164</v>
      </c>
      <c r="BF70" s="2">
        <f t="shared" si="207"/>
        <v>-2489</v>
      </c>
      <c r="BG70" s="2">
        <f t="shared" si="208"/>
        <v>-4477</v>
      </c>
    </row>
    <row r="71" spans="2:59" s="2" customFormat="1" x14ac:dyDescent="0.25">
      <c r="B71" s="2" t="s">
        <v>46</v>
      </c>
      <c r="C71" s="5"/>
      <c r="D71" s="5"/>
      <c r="E71" s="5"/>
      <c r="F71" s="5"/>
      <c r="G71" s="5">
        <v>4</v>
      </c>
      <c r="H71" s="5">
        <f>-5-G71</f>
        <v>-9</v>
      </c>
      <c r="I71" s="5">
        <f>-2-H71-G71</f>
        <v>3</v>
      </c>
      <c r="J71" s="5">
        <f t="shared" si="205"/>
        <v>-18</v>
      </c>
      <c r="K71" s="5">
        <v>-3</v>
      </c>
      <c r="L71" s="5">
        <f>16-K71</f>
        <v>19</v>
      </c>
      <c r="M71" s="5">
        <f>25-L71-K71</f>
        <v>9</v>
      </c>
      <c r="N71" s="5">
        <f>47-M71-L71-K71</f>
        <v>22</v>
      </c>
      <c r="O71" s="5">
        <v>23</v>
      </c>
      <c r="P71" s="5">
        <f>18-O71</f>
        <v>-5</v>
      </c>
      <c r="Q71" s="5">
        <f>-27-P71-O71</f>
        <v>-45</v>
      </c>
      <c r="R71" s="5">
        <f>-7-Q71-P71-O71</f>
        <v>20</v>
      </c>
      <c r="S71" s="5">
        <v>-34</v>
      </c>
      <c r="T71" s="2">
        <f>-102-S71</f>
        <v>-68</v>
      </c>
      <c r="U71" s="2">
        <f>-170-T71-S71</f>
        <v>-68</v>
      </c>
      <c r="V71" s="2">
        <f>-278-U71-T71-S71</f>
        <v>-108</v>
      </c>
      <c r="W71" s="2">
        <v>-145</v>
      </c>
      <c r="X71" s="2">
        <f>-288-W71</f>
        <v>-143</v>
      </c>
      <c r="Y71" s="2">
        <f>-365-X71-W71</f>
        <v>-77</v>
      </c>
      <c r="Z71" s="2">
        <v>-138</v>
      </c>
      <c r="AA71" s="2">
        <v>-98</v>
      </c>
      <c r="BA71" s="2">
        <v>-45</v>
      </c>
      <c r="BB71" s="2">
        <v>5</v>
      </c>
      <c r="BC71" s="2">
        <v>-20</v>
      </c>
      <c r="BD71" s="2">
        <f t="shared" si="204"/>
        <v>47</v>
      </c>
      <c r="BE71" s="2">
        <f t="shared" si="206"/>
        <v>-7</v>
      </c>
      <c r="BF71" s="2">
        <f t="shared" si="207"/>
        <v>-278</v>
      </c>
      <c r="BG71" s="2">
        <f t="shared" si="208"/>
        <v>-503</v>
      </c>
    </row>
    <row r="72" spans="2:59" s="2" customFormat="1" x14ac:dyDescent="0.25">
      <c r="B72" s="2" t="s">
        <v>58</v>
      </c>
      <c r="C72" s="5"/>
      <c r="D72" s="5"/>
      <c r="E72" s="5"/>
      <c r="F72" s="5"/>
      <c r="G72" s="5">
        <f>-249-151-8+71-32+10</f>
        <v>-359</v>
      </c>
      <c r="H72" s="5">
        <f>-205-97+34+63+81+21-G72</f>
        <v>256</v>
      </c>
      <c r="I72" s="5">
        <f>-667-190-409+289+111+74-H72-G72</f>
        <v>-689</v>
      </c>
      <c r="J72" s="5">
        <f t="shared" si="205"/>
        <v>89</v>
      </c>
      <c r="K72" s="5">
        <f>-595-159+2+70-1+47</f>
        <v>-636</v>
      </c>
      <c r="L72" s="5">
        <f>-1157-282+18+279+132+98-K72</f>
        <v>-276</v>
      </c>
      <c r="M72" s="5">
        <f>-1523-400-1557+474+70+253-L72-K72</f>
        <v>-1771</v>
      </c>
      <c r="N72" s="5">
        <f>-2215-774-1715+568+581+192-M72-L72-K72</f>
        <v>-680</v>
      </c>
      <c r="O72" s="5">
        <f>-788-560-1261+255+634+70</f>
        <v>-1650</v>
      </c>
      <c r="P72" s="5">
        <f>-668-1285-1554+559+1267+60-O72</f>
        <v>29</v>
      </c>
      <c r="Q72" s="5">
        <f>-258-1848-1307-358+1175+102-P72-O72</f>
        <v>-873</v>
      </c>
      <c r="R72" s="5">
        <f>822-2554-1517-551+1341+252-Q72-P72-O72</f>
        <v>287</v>
      </c>
      <c r="S72" s="5">
        <f>-252+566-215+11+689+105</f>
        <v>904</v>
      </c>
      <c r="T72" s="2">
        <f>-3239+861-592+789+2675+236-S72</f>
        <v>-174</v>
      </c>
      <c r="U72" s="2">
        <f>-4482+405-337+1250+953+208-T72-S72</f>
        <v>-2733</v>
      </c>
      <c r="V72" s="2">
        <f>-6172-98-1522+1531+2025+514-U72-T72-S72</f>
        <v>-1719</v>
      </c>
      <c r="W72" s="2">
        <f>-2366-577-726-22+4202+323</f>
        <v>834</v>
      </c>
      <c r="X72" s="2">
        <f>-4133-1380-12+801+3314+584-W72</f>
        <v>-1660</v>
      </c>
      <c r="Y72" s="2">
        <f>-7694-2357-726+2490+3918+849-X72-W72</f>
        <v>-2694</v>
      </c>
      <c r="Z72" s="2">
        <f>-5370-2424+331+867+360+372</f>
        <v>-5864</v>
      </c>
      <c r="AA72" s="2">
        <f>933-1258+560+941+7128+350</f>
        <v>8654</v>
      </c>
      <c r="BA72" s="2">
        <f>-149-776-55-135+256+2</f>
        <v>-857</v>
      </c>
      <c r="BB72" s="2">
        <f>-233+597+77+194+54+28</f>
        <v>717</v>
      </c>
      <c r="BC72" s="2">
        <f>-550-524-394+363+239+163</f>
        <v>-703</v>
      </c>
      <c r="BD72" s="2">
        <f t="shared" si="204"/>
        <v>-3363</v>
      </c>
      <c r="BE72" s="2">
        <f t="shared" si="206"/>
        <v>-2207</v>
      </c>
      <c r="BF72" s="2">
        <f t="shared" si="207"/>
        <v>-3722</v>
      </c>
      <c r="BG72" s="2">
        <f t="shared" si="208"/>
        <v>-9384</v>
      </c>
    </row>
    <row r="73" spans="2:59" s="2" customFormat="1" x14ac:dyDescent="0.25">
      <c r="B73" s="2" t="s">
        <v>54</v>
      </c>
      <c r="C73" s="5"/>
      <c r="D73" s="5"/>
      <c r="E73" s="5"/>
      <c r="F73" s="5"/>
      <c r="G73" s="5">
        <f t="shared" ref="G73:AA73" si="209">SUM(G65:G72)</f>
        <v>909</v>
      </c>
      <c r="H73" s="5">
        <f t="shared" si="209"/>
        <v>1567</v>
      </c>
      <c r="I73" s="5">
        <f t="shared" si="209"/>
        <v>1279</v>
      </c>
      <c r="J73" s="5">
        <f t="shared" si="209"/>
        <v>2067</v>
      </c>
      <c r="K73" s="5">
        <f t="shared" si="209"/>
        <v>1874</v>
      </c>
      <c r="L73" s="5">
        <f t="shared" si="209"/>
        <v>2682</v>
      </c>
      <c r="M73" s="5">
        <f t="shared" si="209"/>
        <v>1519</v>
      </c>
      <c r="N73" s="5">
        <f t="shared" si="209"/>
        <v>3033</v>
      </c>
      <c r="O73" s="5">
        <f t="shared" si="209"/>
        <v>1731</v>
      </c>
      <c r="P73" s="5">
        <f t="shared" si="209"/>
        <v>1270</v>
      </c>
      <c r="Q73" s="5">
        <f t="shared" si="209"/>
        <v>392</v>
      </c>
      <c r="R73" s="5">
        <f t="shared" si="209"/>
        <v>2248</v>
      </c>
      <c r="S73" s="5">
        <f t="shared" si="209"/>
        <v>2911</v>
      </c>
      <c r="T73" s="5">
        <f t="shared" si="209"/>
        <v>6348</v>
      </c>
      <c r="U73" s="5">
        <f t="shared" si="209"/>
        <v>7332</v>
      </c>
      <c r="V73" s="5">
        <f t="shared" si="209"/>
        <v>11499</v>
      </c>
      <c r="W73" s="5">
        <f t="shared" si="209"/>
        <v>15345</v>
      </c>
      <c r="X73" s="5">
        <f t="shared" si="209"/>
        <v>14488</v>
      </c>
      <c r="Y73" s="5">
        <f t="shared" si="209"/>
        <v>17627</v>
      </c>
      <c r="Z73" s="5">
        <f t="shared" si="209"/>
        <v>16628</v>
      </c>
      <c r="AA73" s="5">
        <f t="shared" si="209"/>
        <v>27414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BA73" s="2">
        <f t="shared" ref="BA73:BG73" si="210">SUM(BA65:BA72)</f>
        <v>3743</v>
      </c>
      <c r="BB73" s="2">
        <f t="shared" si="210"/>
        <v>4761</v>
      </c>
      <c r="BC73" s="2">
        <f t="shared" si="210"/>
        <v>5822</v>
      </c>
      <c r="BD73" s="2">
        <f t="shared" si="210"/>
        <v>9108</v>
      </c>
      <c r="BE73" s="2">
        <f t="shared" si="210"/>
        <v>5641</v>
      </c>
      <c r="BF73" s="2">
        <f t="shared" si="210"/>
        <v>28090</v>
      </c>
      <c r="BG73" s="2">
        <f t="shared" si="210"/>
        <v>64088</v>
      </c>
    </row>
    <row r="74" spans="2:59" x14ac:dyDescent="0.25">
      <c r="O74" s="5"/>
      <c r="S74" s="5"/>
      <c r="T74" s="2"/>
      <c r="U74" s="2"/>
    </row>
    <row r="75" spans="2:59" s="2" customFormat="1" x14ac:dyDescent="0.25">
      <c r="B75" s="2" t="s">
        <v>59</v>
      </c>
      <c r="C75" s="5"/>
      <c r="D75" s="5"/>
      <c r="E75" s="5"/>
      <c r="F75" s="5"/>
      <c r="G75" s="5">
        <f>1-861-6</f>
        <v>-866</v>
      </c>
      <c r="H75" s="5">
        <f>1032+259-8286-G75-7</f>
        <v>-6136</v>
      </c>
      <c r="I75" s="5">
        <f>5165+502-12840-4-H75-G75</f>
        <v>-175</v>
      </c>
      <c r="J75" s="5">
        <f t="shared" ref="J75:J77" si="211">+BC75-I75-H75-G75</f>
        <v>-2846</v>
      </c>
      <c r="K75" s="5">
        <f>3140+358-4470-2</f>
        <v>-974</v>
      </c>
      <c r="L75" s="5">
        <f>5236+705-9268-K75+3</f>
        <v>-2350</v>
      </c>
      <c r="M75" s="5">
        <f>7780+916-16020-14-L75-K75</f>
        <v>-4014</v>
      </c>
      <c r="N75" s="5">
        <f>15197+1023-24787-M75-L75-K75-24</f>
        <v>-1253</v>
      </c>
      <c r="O75" s="5">
        <f>5947+1029-3932-35</f>
        <v>3009</v>
      </c>
      <c r="P75" s="5">
        <f>10983+1731-7576-65-O75</f>
        <v>2064</v>
      </c>
      <c r="Q75" s="5">
        <f>16792+1806-9764-83-P75-O75</f>
        <v>3678</v>
      </c>
      <c r="R75" s="5">
        <f>19425+1806-11897-77-Q75-P75-O75</f>
        <v>506</v>
      </c>
      <c r="S75" s="5">
        <f>2512-2801-221</f>
        <v>-510</v>
      </c>
      <c r="T75" s="2">
        <f>5111-5343-S75-435</f>
        <v>-157</v>
      </c>
      <c r="U75" s="2">
        <f>8001-10688-T75-S75-872</f>
        <v>-2892</v>
      </c>
      <c r="V75" s="2">
        <f>9732+50-18211-U75-T75-S75-985</f>
        <v>-5855</v>
      </c>
      <c r="W75" s="2">
        <f>4004+149-9303-135</f>
        <v>-5285</v>
      </c>
      <c r="X75" s="2">
        <f>8098+164-15047-W75-534+105</f>
        <v>-1929</v>
      </c>
      <c r="Y75" s="2">
        <f>9485+318+171-19565-X75-W75-1008</f>
        <v>-3385</v>
      </c>
      <c r="Z75" s="2">
        <f>1710+177-7010-478+22</f>
        <v>-5579</v>
      </c>
      <c r="AA75" s="2">
        <f>3122+467-6546-649</f>
        <v>-3606</v>
      </c>
      <c r="BA75" s="2">
        <f>7232+428-11148-9</f>
        <v>-3497</v>
      </c>
      <c r="BB75" s="2">
        <f>4744+3365-1461-10</f>
        <v>6638</v>
      </c>
      <c r="BC75" s="2">
        <f>8792+527-19308-34</f>
        <v>-10023</v>
      </c>
      <c r="BD75" s="2">
        <f>SUM(K75:N75)</f>
        <v>-8591</v>
      </c>
      <c r="BE75" s="2">
        <f t="shared" ref="BE75:BE77" si="212">SUM(O75:R75)</f>
        <v>9257</v>
      </c>
      <c r="BF75" s="2">
        <f t="shared" ref="BF75:BF80" si="213">SUM(S75:V75)</f>
        <v>-9414</v>
      </c>
      <c r="BG75" s="2">
        <f t="shared" ref="BG75:BG80" si="214">SUM(W75:Z75)</f>
        <v>-16178</v>
      </c>
    </row>
    <row r="76" spans="2:59" s="2" customFormat="1" x14ac:dyDescent="0.25">
      <c r="B76" s="2" t="s">
        <v>60</v>
      </c>
      <c r="C76" s="5"/>
      <c r="D76" s="5"/>
      <c r="E76" s="5"/>
      <c r="F76" s="5"/>
      <c r="G76" s="5">
        <v>-155</v>
      </c>
      <c r="H76" s="5">
        <f>-372-G76</f>
        <v>-217</v>
      </c>
      <c r="I76" s="5">
        <f>-845-H76-G76</f>
        <v>-473</v>
      </c>
      <c r="J76" s="5">
        <f t="shared" si="211"/>
        <v>-283</v>
      </c>
      <c r="K76" s="5">
        <v>-298</v>
      </c>
      <c r="L76" s="5">
        <f>-481-K76</f>
        <v>-183</v>
      </c>
      <c r="M76" s="5">
        <f>-703-L76-K76</f>
        <v>-222</v>
      </c>
      <c r="N76" s="5">
        <f>-976-M76-L76-K76</f>
        <v>-273</v>
      </c>
      <c r="O76" s="5">
        <v>-361</v>
      </c>
      <c r="P76" s="5">
        <f>-794-O76</f>
        <v>-433</v>
      </c>
      <c r="Q76" s="5">
        <f>-1324-P76-O76</f>
        <v>-530</v>
      </c>
      <c r="R76" s="5">
        <f>-1833-Q76-P76-O76</f>
        <v>-509</v>
      </c>
      <c r="S76" s="5">
        <v>-248</v>
      </c>
      <c r="T76" s="2">
        <f>-537-S76</f>
        <v>-289</v>
      </c>
      <c r="U76" s="2">
        <f>-815-T76-S76</f>
        <v>-278</v>
      </c>
      <c r="V76" s="2">
        <f>-1069-U76-T76-S76</f>
        <v>-254</v>
      </c>
      <c r="W76" s="2">
        <v>-369</v>
      </c>
      <c r="X76" s="2">
        <f>-1346-W76</f>
        <v>-977</v>
      </c>
      <c r="Y76" s="2">
        <f>-2159-X76-W76</f>
        <v>-813</v>
      </c>
      <c r="Z76" s="2">
        <v>-1077</v>
      </c>
      <c r="AA76" s="2">
        <v>-1227</v>
      </c>
      <c r="BA76" s="2">
        <v>-600</v>
      </c>
      <c r="BB76" s="2">
        <v>-489</v>
      </c>
      <c r="BC76" s="2">
        <v>-1128</v>
      </c>
      <c r="BD76" s="2">
        <f>SUM(K76:N76)</f>
        <v>-976</v>
      </c>
      <c r="BE76" s="2">
        <f t="shared" si="212"/>
        <v>-1833</v>
      </c>
      <c r="BF76" s="2">
        <f t="shared" si="213"/>
        <v>-1069</v>
      </c>
      <c r="BG76" s="2">
        <f t="shared" si="214"/>
        <v>-3236</v>
      </c>
    </row>
    <row r="77" spans="2:59" s="2" customFormat="1" x14ac:dyDescent="0.25">
      <c r="B77" s="2" t="s">
        <v>61</v>
      </c>
      <c r="C77" s="5"/>
      <c r="D77" s="5"/>
      <c r="E77" s="5"/>
      <c r="F77" s="5"/>
      <c r="G77" s="5">
        <v>-34</v>
      </c>
      <c r="H77" s="5">
        <f>-7171-G77</f>
        <v>-7137</v>
      </c>
      <c r="I77" s="5">
        <f>-8524-H77-G77</f>
        <v>-1353</v>
      </c>
      <c r="J77" s="5">
        <f t="shared" si="211"/>
        <v>0</v>
      </c>
      <c r="K77" s="5">
        <v>0</v>
      </c>
      <c r="L77" s="5">
        <v>0</v>
      </c>
      <c r="M77" s="5">
        <f>-203-L77-K77</f>
        <v>-203</v>
      </c>
      <c r="N77" s="5">
        <f>-263-M77-L77-K77</f>
        <v>-60</v>
      </c>
      <c r="O77" s="5">
        <v>-36</v>
      </c>
      <c r="P77" s="5">
        <f>-49-O77</f>
        <v>-13</v>
      </c>
      <c r="Q77" s="5">
        <f>-49-P77-O77</f>
        <v>0</v>
      </c>
      <c r="R77" s="5">
        <f>-49-Q77-P77-O77</f>
        <v>0</v>
      </c>
      <c r="S77" s="5">
        <v>-83</v>
      </c>
      <c r="T77" s="2">
        <f>-83-S77</f>
        <v>0</v>
      </c>
      <c r="U77" s="2">
        <f>-83-T77-S77</f>
        <v>0</v>
      </c>
      <c r="V77" s="2">
        <f>-83-U77-T77-S77</f>
        <v>0</v>
      </c>
      <c r="W77" s="2">
        <v>-39</v>
      </c>
      <c r="X77" s="2">
        <f>-317-W77</f>
        <v>-278</v>
      </c>
      <c r="Y77" s="2">
        <f>-465-X77-W77</f>
        <v>-148</v>
      </c>
      <c r="Z77" s="2">
        <v>-542</v>
      </c>
      <c r="AA77" s="2">
        <v>-383</v>
      </c>
      <c r="BA77" s="2">
        <v>0</v>
      </c>
      <c r="BB77" s="2">
        <v>-4</v>
      </c>
      <c r="BC77" s="2">
        <v>-8524</v>
      </c>
      <c r="BD77" s="2">
        <f>SUM(K77:N77)</f>
        <v>-263</v>
      </c>
      <c r="BE77" s="2">
        <f t="shared" si="212"/>
        <v>-49</v>
      </c>
      <c r="BF77" s="2">
        <f t="shared" si="213"/>
        <v>-83</v>
      </c>
      <c r="BG77" s="2">
        <f t="shared" si="214"/>
        <v>-1007</v>
      </c>
    </row>
    <row r="78" spans="2:59" s="2" customFormat="1" x14ac:dyDescent="0.25">
      <c r="B78" s="2" t="s">
        <v>62</v>
      </c>
      <c r="C78" s="5"/>
      <c r="D78" s="5"/>
      <c r="E78" s="5"/>
      <c r="F78" s="5"/>
      <c r="G78" s="5">
        <f t="shared" ref="G78:N78" si="215">SUM(G75:G77)</f>
        <v>-1055</v>
      </c>
      <c r="H78" s="5">
        <f t="shared" si="215"/>
        <v>-13490</v>
      </c>
      <c r="I78" s="5">
        <f t="shared" si="215"/>
        <v>-2001</v>
      </c>
      <c r="J78" s="5">
        <f t="shared" si="215"/>
        <v>-3129</v>
      </c>
      <c r="K78" s="5">
        <f t="shared" si="215"/>
        <v>-1272</v>
      </c>
      <c r="L78" s="5">
        <f t="shared" si="215"/>
        <v>-2533</v>
      </c>
      <c r="M78" s="5">
        <f t="shared" si="215"/>
        <v>-4439</v>
      </c>
      <c r="N78" s="5">
        <f t="shared" si="215"/>
        <v>-1586</v>
      </c>
      <c r="O78" s="5">
        <f t="shared" ref="O78:S78" si="216">SUM(O75:O77)</f>
        <v>2612</v>
      </c>
      <c r="P78" s="5">
        <f t="shared" si="216"/>
        <v>1618</v>
      </c>
      <c r="Q78" s="5">
        <f t="shared" si="216"/>
        <v>3148</v>
      </c>
      <c r="R78" s="5">
        <f t="shared" si="216"/>
        <v>-3</v>
      </c>
      <c r="S78" s="5">
        <f t="shared" si="216"/>
        <v>-841</v>
      </c>
      <c r="T78" s="5">
        <f t="shared" ref="T78:AA78" si="217">SUM(T75:T77)</f>
        <v>-446</v>
      </c>
      <c r="U78" s="5">
        <f t="shared" si="217"/>
        <v>-3170</v>
      </c>
      <c r="V78" s="5">
        <f t="shared" si="217"/>
        <v>-6109</v>
      </c>
      <c r="W78" s="5">
        <f t="shared" si="217"/>
        <v>-5693</v>
      </c>
      <c r="X78" s="5">
        <f t="shared" si="217"/>
        <v>-3184</v>
      </c>
      <c r="Y78" s="5">
        <f t="shared" si="217"/>
        <v>-4346</v>
      </c>
      <c r="Z78" s="5">
        <f t="shared" si="217"/>
        <v>-7198</v>
      </c>
      <c r="AA78" s="5">
        <f t="shared" si="217"/>
        <v>-5216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BA78" s="2">
        <f t="shared" ref="BA78:BB78" si="218">SUM(BA75:BA77)</f>
        <v>-4097</v>
      </c>
      <c r="BB78" s="2">
        <f t="shared" si="218"/>
        <v>6145</v>
      </c>
      <c r="BC78" s="2">
        <f>SUM(BC75:BC77)</f>
        <v>-19675</v>
      </c>
      <c r="BD78" s="2">
        <f>SUM(BD75:BD77)</f>
        <v>-9830</v>
      </c>
      <c r="BE78" s="2">
        <f>SUM(BE75:BE77)</f>
        <v>7375</v>
      </c>
      <c r="BF78" s="2">
        <f>SUM(BF75:BF77)</f>
        <v>-10566</v>
      </c>
      <c r="BG78" s="2">
        <f>SUM(BG75:BG77)</f>
        <v>-20421</v>
      </c>
    </row>
    <row r="79" spans="2:59" x14ac:dyDescent="0.25">
      <c r="O79" s="5"/>
    </row>
    <row r="80" spans="2:59" s="2" customFormat="1" x14ac:dyDescent="0.25">
      <c r="B80" s="2" t="s">
        <v>65</v>
      </c>
      <c r="C80" s="5"/>
      <c r="D80" s="5"/>
      <c r="E80" s="5"/>
      <c r="F80" s="5"/>
      <c r="G80" s="5">
        <v>88</v>
      </c>
      <c r="H80" s="5">
        <f>94-G80</f>
        <v>6</v>
      </c>
      <c r="I80" s="5">
        <f>190-H80-G80</f>
        <v>96</v>
      </c>
      <c r="J80" s="5">
        <f t="shared" ref="J80:J85" si="219">+BC80-I80-H80-G80</f>
        <v>4</v>
      </c>
      <c r="K80" s="5">
        <v>126</v>
      </c>
      <c r="L80" s="5">
        <f>128-K80</f>
        <v>2</v>
      </c>
      <c r="M80" s="5">
        <f>277-L80-K80</f>
        <v>149</v>
      </c>
      <c r="N80" s="5">
        <f>281-M80-L80-K80</f>
        <v>4</v>
      </c>
      <c r="O80" s="5">
        <v>204</v>
      </c>
      <c r="P80" s="5">
        <f>205-O80</f>
        <v>1</v>
      </c>
      <c r="Q80" s="5">
        <f>349-P80-O80</f>
        <v>144</v>
      </c>
      <c r="R80" s="5">
        <f>355-Q80-P80-O80</f>
        <v>6</v>
      </c>
      <c r="S80" s="5">
        <f>246</f>
        <v>246</v>
      </c>
      <c r="T80" s="2">
        <f>247-S80</f>
        <v>1</v>
      </c>
      <c r="U80" s="2">
        <f>403-T80-S80</f>
        <v>156</v>
      </c>
      <c r="V80" s="2">
        <f>403-U80-T80-S80</f>
        <v>0</v>
      </c>
      <c r="W80" s="2">
        <v>285</v>
      </c>
      <c r="X80" s="2">
        <f>285-W80</f>
        <v>0</v>
      </c>
      <c r="Y80" s="2">
        <f>489-X80-W80</f>
        <v>204</v>
      </c>
      <c r="Z80" s="2">
        <v>0</v>
      </c>
      <c r="AA80" s="2">
        <v>370</v>
      </c>
      <c r="BA80" s="2">
        <v>137</v>
      </c>
      <c r="BB80" s="2">
        <v>149</v>
      </c>
      <c r="BC80" s="2">
        <v>194</v>
      </c>
      <c r="BD80" s="2">
        <f t="shared" ref="BD80:BD85" si="220">SUM(K80:N80)</f>
        <v>281</v>
      </c>
      <c r="BE80" s="2">
        <f t="shared" ref="BE80:BE85" si="221">SUM(O80:R80)</f>
        <v>355</v>
      </c>
      <c r="BF80" s="2">
        <f t="shared" si="213"/>
        <v>403</v>
      </c>
      <c r="BG80" s="2">
        <f t="shared" si="214"/>
        <v>489</v>
      </c>
    </row>
    <row r="81" spans="2:69" s="2" customFormat="1" x14ac:dyDescent="0.25">
      <c r="B81" s="2" t="s">
        <v>66</v>
      </c>
      <c r="C81" s="5"/>
      <c r="D81" s="5"/>
      <c r="E81" s="5"/>
      <c r="F81" s="5"/>
      <c r="G81" s="5">
        <v>-222</v>
      </c>
      <c r="H81" s="5">
        <f>-418-G81</f>
        <v>-196</v>
      </c>
      <c r="I81" s="5">
        <f>-716-H81-G81</f>
        <v>-298</v>
      </c>
      <c r="J81" s="5">
        <f t="shared" si="219"/>
        <v>-226</v>
      </c>
      <c r="K81" s="5">
        <v>-477</v>
      </c>
      <c r="L81" s="5">
        <f>-843-K81</f>
        <v>-366</v>
      </c>
      <c r="M81" s="5">
        <f>-1282-L81-K81</f>
        <v>-439</v>
      </c>
      <c r="N81" s="5">
        <f>-1904-M81-L81-K81</f>
        <v>-622</v>
      </c>
      <c r="O81" s="5">
        <v>-532</v>
      </c>
      <c r="P81" s="5">
        <f>-837-O81</f>
        <v>-305</v>
      </c>
      <c r="Q81" s="5">
        <f>-1131-P81-O81</f>
        <v>-294</v>
      </c>
      <c r="R81" s="5">
        <f>-1475-Q81-P81-O81</f>
        <v>-344</v>
      </c>
      <c r="S81" s="5">
        <v>-507</v>
      </c>
      <c r="T81" s="2">
        <f>-1179-S81</f>
        <v>-672</v>
      </c>
      <c r="U81" s="2">
        <f>-1942-T81-S81</f>
        <v>-763</v>
      </c>
      <c r="V81" s="2">
        <f>-2783-U81-T81-S81</f>
        <v>-841</v>
      </c>
      <c r="W81" s="2">
        <v>-1752</v>
      </c>
      <c r="X81" s="2">
        <f>-3389-W81</f>
        <v>-1637</v>
      </c>
      <c r="Y81" s="2">
        <f>-5068-X81-W81</f>
        <v>-1679</v>
      </c>
      <c r="Z81" s="2">
        <v>-1861</v>
      </c>
      <c r="AA81" s="2">
        <v>-1532</v>
      </c>
      <c r="BA81" s="2">
        <v>-1032</v>
      </c>
      <c r="BB81" s="2">
        <v>-551</v>
      </c>
      <c r="BC81" s="2">
        <v>-942</v>
      </c>
      <c r="BD81" s="2">
        <f t="shared" si="220"/>
        <v>-1904</v>
      </c>
      <c r="BE81" s="2">
        <f t="shared" si="221"/>
        <v>-1475</v>
      </c>
      <c r="BF81" s="2">
        <f t="shared" ref="BF81:BF85" si="222">SUM(S81:V81)</f>
        <v>-2783</v>
      </c>
      <c r="BG81" s="2">
        <f t="shared" ref="BG81:BG85" si="223">SUM(W81:Z81)</f>
        <v>-6929</v>
      </c>
    </row>
    <row r="82" spans="2:69" s="2" customFormat="1" x14ac:dyDescent="0.25">
      <c r="B82" s="2" t="s">
        <v>67</v>
      </c>
      <c r="C82" s="5"/>
      <c r="D82" s="5"/>
      <c r="E82" s="5"/>
      <c r="F82" s="5"/>
      <c r="G82" s="5">
        <v>-98</v>
      </c>
      <c r="H82" s="5">
        <f>-197-G82</f>
        <v>-99</v>
      </c>
      <c r="I82" s="5">
        <f>-296-H82-G82</f>
        <v>-99</v>
      </c>
      <c r="J82" s="5">
        <f t="shared" si="219"/>
        <v>-99</v>
      </c>
      <c r="K82" s="5">
        <v>-99</v>
      </c>
      <c r="L82" s="5">
        <f>-198-K82</f>
        <v>-99</v>
      </c>
      <c r="M82" s="5">
        <f>-298-L82-K82</f>
        <v>-100</v>
      </c>
      <c r="N82" s="5">
        <f>-399-M82-L82-K82</f>
        <v>-101</v>
      </c>
      <c r="O82" s="5">
        <v>-100</v>
      </c>
      <c r="P82" s="5">
        <f>-200-O82</f>
        <v>-100</v>
      </c>
      <c r="Q82" s="5">
        <f>-300-P82-O82</f>
        <v>-100</v>
      </c>
      <c r="R82" s="5">
        <f>-398-Q82-P82-O82</f>
        <v>-98</v>
      </c>
      <c r="S82" s="5">
        <v>-99</v>
      </c>
      <c r="T82" s="2">
        <f>-199-S82</f>
        <v>-100</v>
      </c>
      <c r="U82" s="2">
        <f>-296-T82-S82</f>
        <v>-97</v>
      </c>
      <c r="V82" s="2">
        <f>-395-U82-T82-S82</f>
        <v>-99</v>
      </c>
      <c r="W82" s="2">
        <v>-98</v>
      </c>
      <c r="X82" s="2">
        <f>-344-W82</f>
        <v>-246</v>
      </c>
      <c r="Y82" s="2">
        <f>-589-X82-W82</f>
        <v>-245</v>
      </c>
      <c r="Z82" s="2">
        <v>-245</v>
      </c>
      <c r="AA82" s="2">
        <v>-244</v>
      </c>
      <c r="BA82" s="2">
        <v>-371</v>
      </c>
      <c r="BB82" s="2">
        <v>-390</v>
      </c>
      <c r="BC82" s="2">
        <v>-395</v>
      </c>
      <c r="BD82" s="2">
        <f t="shared" si="220"/>
        <v>-399</v>
      </c>
      <c r="BE82" s="2">
        <f t="shared" si="221"/>
        <v>-398</v>
      </c>
      <c r="BF82" s="2">
        <f t="shared" si="222"/>
        <v>-395</v>
      </c>
      <c r="BG82" s="2">
        <f t="shared" si="223"/>
        <v>-834</v>
      </c>
    </row>
    <row r="83" spans="2:69" s="2" customFormat="1" x14ac:dyDescent="0.25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>
        <v>0</v>
      </c>
      <c r="J83" s="5">
        <f t="shared" si="219"/>
        <v>0</v>
      </c>
      <c r="K83" s="5">
        <v>0</v>
      </c>
      <c r="L83" s="5">
        <v>0</v>
      </c>
      <c r="M83" s="5">
        <v>0</v>
      </c>
      <c r="N83" s="5">
        <v>0</v>
      </c>
      <c r="O83" s="5">
        <v>-1996</v>
      </c>
      <c r="P83" s="5">
        <f>-5341-O83</f>
        <v>-3345</v>
      </c>
      <c r="Q83" s="5">
        <f>-8826-P83-O83</f>
        <v>-3485</v>
      </c>
      <c r="R83" s="5">
        <f>-10039-Q83-P83-O83</f>
        <v>-1213</v>
      </c>
      <c r="S83" s="5">
        <v>0</v>
      </c>
      <c r="T83" s="2">
        <f>-3067-S83</f>
        <v>-3067</v>
      </c>
      <c r="U83" s="2">
        <f>-6874-T83-S83</f>
        <v>-3807</v>
      </c>
      <c r="V83" s="2">
        <f>-9533-U83-T83-S83</f>
        <v>-2659</v>
      </c>
      <c r="W83" s="2">
        <v>-7740</v>
      </c>
      <c r="X83" s="2">
        <f>-14898-W83</f>
        <v>-7158</v>
      </c>
      <c r="Y83" s="2">
        <f>-25895-X83-W83</f>
        <v>-10997</v>
      </c>
      <c r="Z83" s="2">
        <v>-7810</v>
      </c>
      <c r="AA83" s="2">
        <v>-14095</v>
      </c>
      <c r="BA83" s="2">
        <v>-1579</v>
      </c>
      <c r="BB83" s="2">
        <v>0</v>
      </c>
      <c r="BC83" s="2">
        <v>0</v>
      </c>
      <c r="BD83" s="2">
        <f t="shared" si="220"/>
        <v>0</v>
      </c>
      <c r="BE83" s="2">
        <f t="shared" si="221"/>
        <v>-10039</v>
      </c>
      <c r="BF83" s="2">
        <f t="shared" si="222"/>
        <v>-9533</v>
      </c>
      <c r="BG83" s="2">
        <f t="shared" si="223"/>
        <v>-33705</v>
      </c>
    </row>
    <row r="84" spans="2:69" s="2" customFormat="1" x14ac:dyDescent="0.25">
      <c r="B84" s="2" t="s">
        <v>34</v>
      </c>
      <c r="C84" s="5"/>
      <c r="D84" s="5"/>
      <c r="E84" s="5"/>
      <c r="F84" s="5"/>
      <c r="G84" s="5">
        <f>4979-3</f>
        <v>4976</v>
      </c>
      <c r="H84" s="5">
        <f>4971-3-G84</f>
        <v>-8</v>
      </c>
      <c r="I84" s="5">
        <f>4971-3-H84-G84</f>
        <v>0</v>
      </c>
      <c r="J84" s="5">
        <f t="shared" si="219"/>
        <v>-4</v>
      </c>
      <c r="K84" s="5">
        <v>0</v>
      </c>
      <c r="L84" s="5">
        <f>4985-K84</f>
        <v>4985</v>
      </c>
      <c r="M84" s="5">
        <f>4977-1000-L84-K84</f>
        <v>-1008</v>
      </c>
      <c r="N84" s="5">
        <f>4977-1000-M84-L84-K84</f>
        <v>0</v>
      </c>
      <c r="O84" s="5">
        <v>-22</v>
      </c>
      <c r="P84" s="5">
        <f>0-O84</f>
        <v>22</v>
      </c>
      <c r="Q84" s="5">
        <f>1-P84-O84</f>
        <v>1</v>
      </c>
      <c r="R84" s="5">
        <f>-2-Q84-P84-O84</f>
        <v>-3</v>
      </c>
      <c r="S84" s="5">
        <v>0</v>
      </c>
      <c r="T84" s="2">
        <f>-1250-S84</f>
        <v>-1250</v>
      </c>
      <c r="U84" s="2">
        <f>-1250-T84-S84</f>
        <v>0</v>
      </c>
      <c r="V84" s="2">
        <f>-1250-U84-T84-S84</f>
        <v>0</v>
      </c>
      <c r="W84" s="2">
        <v>0</v>
      </c>
      <c r="X84" s="2">
        <v>-1250</v>
      </c>
      <c r="Y84" s="2">
        <f>-1250-X84-W84</f>
        <v>0</v>
      </c>
      <c r="Z84" s="2">
        <v>0</v>
      </c>
      <c r="AA84" s="2">
        <v>0</v>
      </c>
      <c r="BA84" s="2">
        <f>-16-5</f>
        <v>-21</v>
      </c>
      <c r="BB84" s="2">
        <v>0</v>
      </c>
      <c r="BC84" s="2">
        <f>4968-4</f>
        <v>4964</v>
      </c>
      <c r="BD84" s="2">
        <f t="shared" si="220"/>
        <v>3977</v>
      </c>
      <c r="BE84" s="2">
        <f t="shared" si="221"/>
        <v>-2</v>
      </c>
      <c r="BF84" s="2">
        <f t="shared" si="222"/>
        <v>-1250</v>
      </c>
      <c r="BG84" s="2">
        <f t="shared" si="223"/>
        <v>-1250</v>
      </c>
    </row>
    <row r="85" spans="2:69" s="2" customFormat="1" x14ac:dyDescent="0.25">
      <c r="B85" s="2" t="s">
        <v>68</v>
      </c>
      <c r="C85" s="5"/>
      <c r="D85" s="5"/>
      <c r="E85" s="5"/>
      <c r="F85" s="5"/>
      <c r="G85" s="5">
        <v>0</v>
      </c>
      <c r="H85" s="5">
        <v>0</v>
      </c>
      <c r="I85" s="5">
        <v>0</v>
      </c>
      <c r="J85" s="5">
        <f t="shared" si="219"/>
        <v>-17</v>
      </c>
      <c r="K85" s="5">
        <f>-19-2</f>
        <v>-21</v>
      </c>
      <c r="L85" s="5">
        <f>-40-2-K85</f>
        <v>-21</v>
      </c>
      <c r="M85" s="5">
        <f>-62-2-L85-K85</f>
        <v>-22</v>
      </c>
      <c r="N85" s="5">
        <f>-83-M85-L85-K85-7</f>
        <v>-26</v>
      </c>
      <c r="O85" s="5">
        <v>0</v>
      </c>
      <c r="P85" s="5">
        <f>-36+1-O85</f>
        <v>-35</v>
      </c>
      <c r="Q85" s="5">
        <f>-54-P85-O85</f>
        <v>-19</v>
      </c>
      <c r="R85" s="5">
        <f>-58-Q85-P85-O85</f>
        <v>-4</v>
      </c>
      <c r="S85" s="5">
        <v>-20</v>
      </c>
      <c r="T85" s="2">
        <f>-31-S85</f>
        <v>-11</v>
      </c>
      <c r="U85" s="2">
        <f>-44-T85-S85</f>
        <v>-13</v>
      </c>
      <c r="V85" s="2">
        <f>-74-U85-T85-S85</f>
        <v>-30</v>
      </c>
      <c r="W85" s="2">
        <v>-40</v>
      </c>
      <c r="X85" s="2">
        <f>-69-W85</f>
        <v>-29</v>
      </c>
      <c r="Y85" s="2">
        <f>-97-X85-W85</f>
        <v>-28</v>
      </c>
      <c r="Z85" s="2">
        <v>-32</v>
      </c>
      <c r="AA85" s="2">
        <v>-52</v>
      </c>
      <c r="BA85" s="2">
        <v>0</v>
      </c>
      <c r="BB85" s="2">
        <v>0</v>
      </c>
      <c r="BC85" s="2">
        <v>-17</v>
      </c>
      <c r="BD85" s="2">
        <f t="shared" si="220"/>
        <v>-90</v>
      </c>
      <c r="BE85" s="2">
        <f t="shared" si="221"/>
        <v>-58</v>
      </c>
      <c r="BF85" s="2">
        <f t="shared" si="222"/>
        <v>-74</v>
      </c>
      <c r="BG85" s="2">
        <f t="shared" si="223"/>
        <v>-129</v>
      </c>
    </row>
    <row r="86" spans="2:69" s="2" customFormat="1" x14ac:dyDescent="0.25">
      <c r="B86" s="2" t="s">
        <v>64</v>
      </c>
      <c r="C86" s="5"/>
      <c r="D86" s="5"/>
      <c r="E86" s="5"/>
      <c r="F86" s="5"/>
      <c r="G86" s="5">
        <f t="shared" ref="G86:N86" si="224">SUM(G80:G85)</f>
        <v>4744</v>
      </c>
      <c r="H86" s="5">
        <f t="shared" si="224"/>
        <v>-297</v>
      </c>
      <c r="I86" s="5">
        <f t="shared" si="224"/>
        <v>-301</v>
      </c>
      <c r="J86" s="5">
        <f t="shared" si="224"/>
        <v>-342</v>
      </c>
      <c r="K86" s="5">
        <f t="shared" si="224"/>
        <v>-471</v>
      </c>
      <c r="L86" s="5">
        <f t="shared" si="224"/>
        <v>4501</v>
      </c>
      <c r="M86" s="5">
        <f t="shared" si="224"/>
        <v>-1420</v>
      </c>
      <c r="N86" s="5">
        <f t="shared" si="224"/>
        <v>-745</v>
      </c>
      <c r="O86" s="5">
        <f t="shared" ref="O86:S86" si="225">SUM(O80:O85)</f>
        <v>-2446</v>
      </c>
      <c r="P86" s="5">
        <f t="shared" si="225"/>
        <v>-3762</v>
      </c>
      <c r="Q86" s="5">
        <f t="shared" si="225"/>
        <v>-3753</v>
      </c>
      <c r="R86" s="5">
        <f t="shared" si="225"/>
        <v>-1656</v>
      </c>
      <c r="S86" s="5">
        <f t="shared" si="225"/>
        <v>-380</v>
      </c>
      <c r="T86" s="5">
        <f t="shared" ref="T86:AA86" si="226">SUM(T80:T85)</f>
        <v>-5099</v>
      </c>
      <c r="U86" s="5">
        <f t="shared" si="226"/>
        <v>-4524</v>
      </c>
      <c r="V86" s="5">
        <f t="shared" si="226"/>
        <v>-3629</v>
      </c>
      <c r="W86" s="5">
        <f t="shared" si="226"/>
        <v>-9345</v>
      </c>
      <c r="X86" s="5">
        <f t="shared" si="226"/>
        <v>-10320</v>
      </c>
      <c r="Y86" s="5">
        <f t="shared" si="226"/>
        <v>-12745</v>
      </c>
      <c r="Z86" s="5">
        <f t="shared" si="226"/>
        <v>-9948</v>
      </c>
      <c r="AA86" s="5">
        <f t="shared" si="226"/>
        <v>-15553</v>
      </c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BA86" s="2">
        <f t="shared" ref="BA86:BG86" si="227">SUM(BA80:BA85)</f>
        <v>-2866</v>
      </c>
      <c r="BB86" s="2">
        <f t="shared" si="227"/>
        <v>-792</v>
      </c>
      <c r="BC86" s="2">
        <f t="shared" si="227"/>
        <v>3804</v>
      </c>
      <c r="BD86" s="2">
        <f t="shared" si="227"/>
        <v>1865</v>
      </c>
      <c r="BE86" s="2">
        <f t="shared" si="227"/>
        <v>-11617</v>
      </c>
      <c r="BF86" s="2">
        <f t="shared" si="227"/>
        <v>-13632</v>
      </c>
      <c r="BG86" s="2">
        <f t="shared" si="227"/>
        <v>-42358</v>
      </c>
    </row>
    <row r="87" spans="2:69" x14ac:dyDescent="0.25">
      <c r="B87" t="s">
        <v>63</v>
      </c>
      <c r="F87" s="5"/>
      <c r="G87" s="5">
        <f t="shared" ref="G87:N87" si="228">G86+G78+G73</f>
        <v>4598</v>
      </c>
      <c r="H87" s="5">
        <f t="shared" si="228"/>
        <v>-12220</v>
      </c>
      <c r="I87" s="5">
        <f t="shared" si="228"/>
        <v>-1023</v>
      </c>
      <c r="J87" s="5">
        <f t="shared" si="228"/>
        <v>-1404</v>
      </c>
      <c r="K87" s="5">
        <f t="shared" si="228"/>
        <v>131</v>
      </c>
      <c r="L87" s="5">
        <f t="shared" si="228"/>
        <v>4650</v>
      </c>
      <c r="M87" s="5">
        <f t="shared" si="228"/>
        <v>-4340</v>
      </c>
      <c r="N87" s="5">
        <f t="shared" si="228"/>
        <v>702</v>
      </c>
      <c r="O87" s="5">
        <f t="shared" ref="O87:R87" si="229">O86+O78+O73</f>
        <v>1897</v>
      </c>
      <c r="P87" s="5">
        <f t="shared" si="229"/>
        <v>-874</v>
      </c>
      <c r="Q87" s="5">
        <f t="shared" si="229"/>
        <v>-213</v>
      </c>
      <c r="R87" s="5">
        <f t="shared" si="229"/>
        <v>589</v>
      </c>
      <c r="S87" s="5">
        <f t="shared" ref="S87:AA87" si="230">S86+S78+S73</f>
        <v>1690</v>
      </c>
      <c r="T87" s="5">
        <f t="shared" si="230"/>
        <v>803</v>
      </c>
      <c r="U87" s="5">
        <f t="shared" si="230"/>
        <v>-362</v>
      </c>
      <c r="V87" s="5">
        <f t="shared" si="230"/>
        <v>1761</v>
      </c>
      <c r="W87" s="5">
        <f t="shared" si="230"/>
        <v>307</v>
      </c>
      <c r="X87" s="5">
        <f t="shared" si="230"/>
        <v>984</v>
      </c>
      <c r="Y87" s="5">
        <f t="shared" si="230"/>
        <v>536</v>
      </c>
      <c r="Z87" s="5">
        <f t="shared" si="230"/>
        <v>-518</v>
      </c>
      <c r="AA87" s="5">
        <f t="shared" si="230"/>
        <v>6645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BA87" s="5"/>
      <c r="BB87" s="5">
        <f t="shared" ref="BB87:BE87" si="231">BB86+BB78+BB73</f>
        <v>10114</v>
      </c>
      <c r="BC87" s="5">
        <f t="shared" si="231"/>
        <v>-10049</v>
      </c>
      <c r="BD87" s="5">
        <f t="shared" si="231"/>
        <v>1143</v>
      </c>
      <c r="BE87" s="5">
        <f t="shared" si="231"/>
        <v>1399</v>
      </c>
      <c r="BF87" s="5">
        <f>BF86+BF78+BF73</f>
        <v>3892</v>
      </c>
      <c r="BG87" s="5">
        <f>BG86+BG78+BG73</f>
        <v>1309</v>
      </c>
    </row>
    <row r="89" spans="2:69" x14ac:dyDescent="0.25">
      <c r="B89" t="s">
        <v>70</v>
      </c>
      <c r="F89" s="5"/>
      <c r="G89" s="5">
        <f t="shared" ref="G89:N89" si="232">(G46/G24)*90</f>
        <v>55.72402597402597</v>
      </c>
      <c r="H89" s="5">
        <f t="shared" si="232"/>
        <v>48.51526125193999</v>
      </c>
      <c r="I89" s="5">
        <f t="shared" si="232"/>
        <v>48.484976724502751</v>
      </c>
      <c r="J89" s="5">
        <f t="shared" si="232"/>
        <v>43.695782530481715</v>
      </c>
      <c r="K89" s="5">
        <f t="shared" si="232"/>
        <v>48.076311605723369</v>
      </c>
      <c r="L89" s="5">
        <f t="shared" si="232"/>
        <v>49.598893499308438</v>
      </c>
      <c r="M89" s="5">
        <f t="shared" si="232"/>
        <v>50.099957764324934</v>
      </c>
      <c r="N89" s="5">
        <f t="shared" si="232"/>
        <v>54.755985869423007</v>
      </c>
      <c r="O89" s="5">
        <f t="shared" ref="O89:AA89" si="233">(O46/O24)*90</f>
        <v>59.051640926640928</v>
      </c>
      <c r="P89" s="5">
        <f t="shared" si="233"/>
        <v>71.379773269689736</v>
      </c>
      <c r="Q89" s="5">
        <f t="shared" si="233"/>
        <v>74.476479514415786</v>
      </c>
      <c r="R89" s="5">
        <f t="shared" si="233"/>
        <v>56.921170054536439</v>
      </c>
      <c r="S89" s="5">
        <f t="shared" si="233"/>
        <v>51.056729699666299</v>
      </c>
      <c r="T89" s="5">
        <f t="shared" si="233"/>
        <v>47.082253646257499</v>
      </c>
      <c r="U89" s="5">
        <f t="shared" si="233"/>
        <v>41.269867549668874</v>
      </c>
      <c r="V89" s="5">
        <f t="shared" si="233"/>
        <v>40.714382662986928</v>
      </c>
      <c r="W89" s="5">
        <f t="shared" si="233"/>
        <v>42.729611426816156</v>
      </c>
      <c r="X89" s="5">
        <f t="shared" si="233"/>
        <v>42.339547270306255</v>
      </c>
      <c r="Y89" s="5">
        <f t="shared" si="233"/>
        <v>45.389943560800411</v>
      </c>
      <c r="Z89" s="5">
        <f t="shared" si="233"/>
        <v>52.778978413973704</v>
      </c>
      <c r="AA89" s="5">
        <f t="shared" si="233"/>
        <v>45.206300213335751</v>
      </c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1" spans="2:69" x14ac:dyDescent="0.25">
      <c r="B91" t="s">
        <v>220</v>
      </c>
      <c r="BG91" s="15">
        <v>2.99</v>
      </c>
      <c r="BH91" s="15">
        <v>4.43</v>
      </c>
      <c r="BI91" s="15">
        <v>5.65</v>
      </c>
      <c r="BJ91" s="15">
        <v>6.46</v>
      </c>
      <c r="BK91" s="15">
        <v>7.63</v>
      </c>
      <c r="BL91" s="15">
        <v>7.75</v>
      </c>
      <c r="BM91" s="15">
        <v>7.53</v>
      </c>
      <c r="BN91" s="15">
        <v>8.26</v>
      </c>
      <c r="BO91" s="15">
        <v>9.3000000000000007</v>
      </c>
      <c r="BP91" s="15">
        <v>10.48</v>
      </c>
      <c r="BQ91" s="15">
        <v>11.8</v>
      </c>
    </row>
    <row r="92" spans="2:69" x14ac:dyDescent="0.25">
      <c r="B92" t="s">
        <v>147</v>
      </c>
      <c r="W92">
        <v>5.65</v>
      </c>
      <c r="X92">
        <v>6.03</v>
      </c>
      <c r="Y92">
        <v>6.58</v>
      </c>
      <c r="Z92">
        <v>7.19</v>
      </c>
      <c r="BG92">
        <v>25.36</v>
      </c>
      <c r="BH92">
        <v>31.51</v>
      </c>
      <c r="BI92">
        <v>34.94</v>
      </c>
      <c r="BJ92">
        <v>37.049999999999997</v>
      </c>
      <c r="BK92">
        <v>36.58</v>
      </c>
      <c r="BL92">
        <v>44.15</v>
      </c>
      <c r="BM92">
        <v>49.91</v>
      </c>
      <c r="BN92">
        <v>81.459999999999994</v>
      </c>
      <c r="BO92">
        <v>92.67</v>
      </c>
      <c r="BP92">
        <v>105.45</v>
      </c>
    </row>
    <row r="93" spans="2:69" x14ac:dyDescent="0.25">
      <c r="B93" t="s">
        <v>219</v>
      </c>
      <c r="BG93">
        <v>130.5</v>
      </c>
      <c r="BH93">
        <v>201.73</v>
      </c>
      <c r="BI93">
        <v>249.74</v>
      </c>
      <c r="BJ93">
        <v>284.48</v>
      </c>
      <c r="BK93">
        <v>299.11</v>
      </c>
      <c r="BL93">
        <v>379.34</v>
      </c>
      <c r="BM93">
        <v>436.34</v>
      </c>
      <c r="BN93">
        <v>590.87</v>
      </c>
    </row>
    <row r="94" spans="2:69" x14ac:dyDescent="0.25">
      <c r="B94" t="s">
        <v>148</v>
      </c>
      <c r="W94" s="14">
        <v>24.69</v>
      </c>
      <c r="X94" s="14">
        <v>26.8</v>
      </c>
      <c r="Y94" s="14">
        <v>29.36</v>
      </c>
      <c r="Z94" s="14">
        <v>31.95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6" spans="2:69" x14ac:dyDescent="0.25">
      <c r="B96" t="s">
        <v>76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>
        <v>16</v>
      </c>
      <c r="U96" s="5">
        <v>25</v>
      </c>
      <c r="V96" s="5">
        <v>50</v>
      </c>
      <c r="W96" s="5">
        <v>50</v>
      </c>
      <c r="X96" s="5">
        <v>60</v>
      </c>
      <c r="Y96" s="5">
        <v>70</v>
      </c>
      <c r="Z96" s="5">
        <v>50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BG96" s="2">
        <f>SUM(W96:Z96)</f>
        <v>230</v>
      </c>
    </row>
    <row r="97" spans="2:59" x14ac:dyDescent="0.25">
      <c r="B97" t="s">
        <v>77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5">
        <v>15</v>
      </c>
      <c r="U97" s="5">
        <v>25</v>
      </c>
      <c r="V97" s="5">
        <v>25</v>
      </c>
      <c r="W97" s="5">
        <v>25</v>
      </c>
      <c r="X97" s="5">
        <v>25</v>
      </c>
      <c r="Y97" s="5">
        <v>25</v>
      </c>
      <c r="Z97" s="5">
        <v>25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BG97" s="2">
        <f t="shared" ref="BG97:BG115" si="234">SUM(W97:Z97)</f>
        <v>100</v>
      </c>
    </row>
    <row r="98" spans="2:59" x14ac:dyDescent="0.25">
      <c r="B98" t="s">
        <v>87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5">
        <v>15</v>
      </c>
      <c r="U98" s="5">
        <v>25</v>
      </c>
      <c r="V98" s="5">
        <v>50</v>
      </c>
      <c r="W98" s="5">
        <v>50</v>
      </c>
      <c r="X98" s="5">
        <v>50</v>
      </c>
      <c r="Y98" s="5">
        <v>50</v>
      </c>
      <c r="Z98" s="5">
        <v>50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BG98" s="2">
        <f t="shared" si="234"/>
        <v>200</v>
      </c>
    </row>
    <row r="99" spans="2:59" x14ac:dyDescent="0.25">
      <c r="B99" t="s">
        <v>78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5">
        <v>25</v>
      </c>
      <c r="U99" s="5">
        <v>25</v>
      </c>
      <c r="V99" s="5">
        <v>50</v>
      </c>
      <c r="W99" s="5">
        <v>50</v>
      </c>
      <c r="X99" s="5">
        <v>50</v>
      </c>
      <c r="Y99" s="5">
        <v>50</v>
      </c>
      <c r="Z99" s="5">
        <v>50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BG99" s="2">
        <f t="shared" si="234"/>
        <v>200</v>
      </c>
    </row>
    <row r="100" spans="2:59" x14ac:dyDescent="0.25">
      <c r="B100" t="s">
        <v>79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5">
        <v>16</v>
      </c>
      <c r="U100" s="5">
        <v>20</v>
      </c>
      <c r="V100" s="5">
        <v>25</v>
      </c>
      <c r="W100" s="5">
        <v>25</v>
      </c>
      <c r="X100" s="5">
        <v>25</v>
      </c>
      <c r="Y100" s="5">
        <v>25</v>
      </c>
      <c r="Z100" s="5">
        <v>25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BG100" s="2">
        <f t="shared" si="234"/>
        <v>100</v>
      </c>
    </row>
    <row r="101" spans="2:59" x14ac:dyDescent="0.25">
      <c r="B101" t="s">
        <v>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>
        <v>25</v>
      </c>
      <c r="U101" s="5">
        <v>30</v>
      </c>
      <c r="V101" s="5">
        <v>75</v>
      </c>
      <c r="W101" s="5">
        <v>100</v>
      </c>
      <c r="X101" s="5">
        <v>100</v>
      </c>
      <c r="Y101" s="5">
        <v>100</v>
      </c>
      <c r="Z101" s="5">
        <v>100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BG101" s="2">
        <f t="shared" si="234"/>
        <v>400</v>
      </c>
    </row>
    <row r="102" spans="2:59" x14ac:dyDescent="0.25">
      <c r="B102" t="s">
        <v>80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5">
        <v>6</v>
      </c>
      <c r="U102" s="5">
        <v>5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BG102" s="2">
        <f t="shared" si="234"/>
        <v>0</v>
      </c>
    </row>
    <row r="103" spans="2:59" x14ac:dyDescent="0.25">
      <c r="B103" t="s">
        <v>81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5">
        <v>15</v>
      </c>
      <c r="U103" s="5">
        <v>30</v>
      </c>
      <c r="V103" s="5">
        <v>40</v>
      </c>
      <c r="W103" s="5">
        <v>100</v>
      </c>
      <c r="X103" s="5">
        <v>100</v>
      </c>
      <c r="Y103" s="5">
        <v>100</v>
      </c>
      <c r="Z103" s="5">
        <v>100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BG103" s="2">
        <f t="shared" si="234"/>
        <v>400</v>
      </c>
    </row>
    <row r="104" spans="2:59" x14ac:dyDescent="0.25">
      <c r="B104" t="s">
        <v>89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5">
        <v>7</v>
      </c>
      <c r="U104" s="5">
        <v>25</v>
      </c>
      <c r="V104" s="5">
        <v>25</v>
      </c>
      <c r="W104" s="5">
        <v>25</v>
      </c>
      <c r="X104" s="5">
        <v>25</v>
      </c>
      <c r="Y104" s="5">
        <v>25</v>
      </c>
      <c r="Z104" s="5">
        <v>25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BG104" s="2">
        <f t="shared" si="234"/>
        <v>100</v>
      </c>
    </row>
    <row r="105" spans="2:59" ht="13" x14ac:dyDescent="0.3">
      <c r="B105" s="11" t="s">
        <v>82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5">
        <v>10</v>
      </c>
      <c r="U105" s="5">
        <v>20</v>
      </c>
      <c r="V105" s="5">
        <v>20</v>
      </c>
      <c r="W105" s="5">
        <v>25</v>
      </c>
      <c r="X105" s="5">
        <v>25</v>
      </c>
      <c r="Y105" s="5">
        <v>25</v>
      </c>
      <c r="Z105" s="5">
        <v>25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BG105" s="2">
        <f t="shared" si="234"/>
        <v>100</v>
      </c>
    </row>
    <row r="106" spans="2:59" x14ac:dyDescent="0.25">
      <c r="B106" t="s">
        <v>83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5">
        <v>10</v>
      </c>
      <c r="U106" s="5">
        <v>20</v>
      </c>
      <c r="V106" s="5">
        <v>20</v>
      </c>
      <c r="W106" s="5">
        <v>30</v>
      </c>
      <c r="X106" s="5">
        <v>50</v>
      </c>
      <c r="Y106" s="5">
        <v>60</v>
      </c>
      <c r="Z106" s="5">
        <v>70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BG106" s="2">
        <f t="shared" si="234"/>
        <v>210</v>
      </c>
    </row>
    <row r="107" spans="2:59" x14ac:dyDescent="0.25">
      <c r="B107" t="s">
        <v>164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5">
        <v>6</v>
      </c>
      <c r="U107" s="5">
        <v>5</v>
      </c>
      <c r="V107" s="5">
        <v>0</v>
      </c>
      <c r="W107" s="5">
        <v>0</v>
      </c>
      <c r="X107" s="5">
        <v>20</v>
      </c>
      <c r="Y107" s="5">
        <v>30</v>
      </c>
      <c r="Z107" s="5">
        <v>40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BG107" s="2">
        <f t="shared" si="234"/>
        <v>90</v>
      </c>
    </row>
    <row r="108" spans="2:59" x14ac:dyDescent="0.25">
      <c r="B108" t="s">
        <v>84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5">
        <v>5</v>
      </c>
      <c r="U108" s="5">
        <v>5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BG108" s="2">
        <f t="shared" si="234"/>
        <v>0</v>
      </c>
    </row>
    <row r="109" spans="2:59" x14ac:dyDescent="0.25">
      <c r="B109" t="s">
        <v>85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5">
        <v>25</v>
      </c>
      <c r="U109" s="5">
        <v>30</v>
      </c>
      <c r="V109" s="5">
        <v>35</v>
      </c>
      <c r="W109" s="5">
        <v>15</v>
      </c>
      <c r="X109" s="5">
        <v>20</v>
      </c>
      <c r="Y109" s="5">
        <v>30</v>
      </c>
      <c r="Z109" s="5">
        <v>30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BG109" s="2">
        <f t="shared" si="234"/>
        <v>95</v>
      </c>
    </row>
    <row r="110" spans="2:59" x14ac:dyDescent="0.25">
      <c r="B110" t="s">
        <v>86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5">
        <v>25</v>
      </c>
      <c r="U110" s="5">
        <v>30</v>
      </c>
      <c r="V110" s="5">
        <v>20</v>
      </c>
      <c r="W110" s="5">
        <v>15</v>
      </c>
      <c r="X110" s="5">
        <v>20</v>
      </c>
      <c r="Y110" s="5">
        <v>25</v>
      </c>
      <c r="Z110" s="5">
        <v>25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BG110" s="2">
        <f t="shared" si="234"/>
        <v>85</v>
      </c>
    </row>
    <row r="111" spans="2:59" x14ac:dyDescent="0.25">
      <c r="B111" t="s">
        <v>90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5">
        <v>5</v>
      </c>
      <c r="U111" s="5">
        <v>5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BG111" s="2">
        <f t="shared" si="234"/>
        <v>0</v>
      </c>
    </row>
    <row r="112" spans="2:59" x14ac:dyDescent="0.25">
      <c r="B112" t="s">
        <v>93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5">
        <v>15</v>
      </c>
      <c r="U112" s="5">
        <v>20</v>
      </c>
      <c r="V112" s="5">
        <v>20</v>
      </c>
      <c r="W112" s="5">
        <v>40</v>
      </c>
      <c r="X112" s="5">
        <v>50</v>
      </c>
      <c r="Y112" s="5">
        <v>50</v>
      </c>
      <c r="Z112" s="5">
        <v>50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BG112" s="2">
        <f t="shared" si="234"/>
        <v>190</v>
      </c>
    </row>
    <row r="113" spans="2:59" x14ac:dyDescent="0.25">
      <c r="B113" t="s">
        <v>94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5">
        <v>5</v>
      </c>
      <c r="U113" s="5">
        <v>5</v>
      </c>
      <c r="V113" s="5">
        <v>5</v>
      </c>
      <c r="W113" s="5">
        <v>10</v>
      </c>
      <c r="X113" s="5">
        <v>50</v>
      </c>
      <c r="Y113" s="5">
        <v>50</v>
      </c>
      <c r="Z113" s="5">
        <v>50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BG113" s="2">
        <f t="shared" si="234"/>
        <v>160</v>
      </c>
    </row>
    <row r="114" spans="2:59" x14ac:dyDescent="0.25">
      <c r="B114" t="s">
        <v>91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5">
        <v>6</v>
      </c>
      <c r="U114" s="5">
        <v>5</v>
      </c>
      <c r="V114" s="5">
        <v>0</v>
      </c>
      <c r="W114" s="5">
        <v>5</v>
      </c>
      <c r="X114" s="5">
        <v>10</v>
      </c>
      <c r="Y114" s="5">
        <v>10</v>
      </c>
      <c r="Z114" s="5">
        <v>10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BG114" s="2">
        <f t="shared" si="234"/>
        <v>35</v>
      </c>
    </row>
    <row r="115" spans="2:59" x14ac:dyDescent="0.25">
      <c r="B115" t="s">
        <v>92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5">
        <v>6</v>
      </c>
      <c r="U115" s="5">
        <v>5</v>
      </c>
      <c r="V115" s="5">
        <v>0</v>
      </c>
      <c r="W115" s="5">
        <v>5</v>
      </c>
      <c r="X115" s="5">
        <v>10</v>
      </c>
      <c r="Y115" s="5">
        <v>10</v>
      </c>
      <c r="Z115" s="5">
        <v>10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BG115" s="2">
        <f t="shared" si="234"/>
        <v>35</v>
      </c>
    </row>
    <row r="116" spans="2:59" s="11" customFormat="1" ht="13" x14ac:dyDescent="0.3">
      <c r="B116" s="11" t="s">
        <v>95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9">
        <f>SUM(T96:T115)</f>
        <v>258</v>
      </c>
      <c r="U116" s="9">
        <f>SUM(U96:U115)</f>
        <v>360</v>
      </c>
      <c r="V116" s="9">
        <f t="shared" ref="V116:Z116" si="235">SUM(V96:V115)</f>
        <v>460</v>
      </c>
      <c r="W116" s="9">
        <f t="shared" si="235"/>
        <v>570</v>
      </c>
      <c r="X116" s="9">
        <f t="shared" si="235"/>
        <v>690</v>
      </c>
      <c r="Y116" s="9">
        <f t="shared" si="235"/>
        <v>735</v>
      </c>
      <c r="Z116" s="9">
        <f t="shared" si="235"/>
        <v>735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BG116" s="8">
        <f>SUM(BG96:BG115)</f>
        <v>2730</v>
      </c>
    </row>
    <row r="117" spans="2:59" s="11" customFormat="1" ht="13" x14ac:dyDescent="0.3">
      <c r="B117" s="11" t="s">
        <v>160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9"/>
      <c r="U117" s="9"/>
      <c r="V117" s="9">
        <f>+V97+V98+V100+V101+V103+V104+V105+V106</f>
        <v>280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59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59" s="11" customFormat="1" ht="13" x14ac:dyDescent="0.3">
      <c r="B119" s="11" t="s">
        <v>74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9">
        <f>+T22/T120</f>
        <v>258.07499999999999</v>
      </c>
      <c r="U119" s="9">
        <f>+U22/U120</f>
        <v>362.85</v>
      </c>
      <c r="V119" s="9">
        <f>+V22/V120</f>
        <v>460.1</v>
      </c>
      <c r="W119" s="9">
        <f>+W22/W120</f>
        <v>564.07500000000005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59" x14ac:dyDescent="0.25">
      <c r="B120" t="s">
        <v>75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5">
        <v>40</v>
      </c>
      <c r="U120" s="5">
        <v>40</v>
      </c>
      <c r="V120" s="5">
        <v>40</v>
      </c>
      <c r="W120" s="5">
        <v>40</v>
      </c>
      <c r="X120" s="5">
        <f>+W120</f>
        <v>40</v>
      </c>
      <c r="Y120" s="5">
        <f>+X120</f>
        <v>40</v>
      </c>
      <c r="Z120" s="5">
        <v>50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3" spans="2:59" x14ac:dyDescent="0.25">
      <c r="B123" t="s">
        <v>252</v>
      </c>
      <c r="U123" s="2">
        <f t="shared" ref="U123:AA123" si="236">+U124-U125</f>
        <v>880.00714285714275</v>
      </c>
      <c r="V123" s="2">
        <f t="shared" si="236"/>
        <v>-647.79285714285652</v>
      </c>
      <c r="W123" s="2">
        <f t="shared" si="236"/>
        <v>-2786.8428571428558</v>
      </c>
      <c r="X123" s="2">
        <f t="shared" si="236"/>
        <v>-2171.2428571428572</v>
      </c>
      <c r="Y123" s="2">
        <f t="shared" si="236"/>
        <v>-1903.9499999999971</v>
      </c>
      <c r="Z123" s="2">
        <f t="shared" si="236"/>
        <v>-361.90000000000146</v>
      </c>
      <c r="AA123" s="2">
        <f t="shared" si="236"/>
        <v>481.70000000000437</v>
      </c>
    </row>
    <row r="124" spans="2:59" x14ac:dyDescent="0.25">
      <c r="B124" t="s">
        <v>251</v>
      </c>
      <c r="U124" s="2">
        <f t="shared" ref="U124:Z124" si="237">+U127*0.45</f>
        <v>19000.007142857143</v>
      </c>
      <c r="V124" s="2">
        <f t="shared" si="237"/>
        <v>21455.207142857143</v>
      </c>
      <c r="W124" s="2">
        <f t="shared" si="237"/>
        <v>23257.157142857144</v>
      </c>
      <c r="X124" s="2">
        <f t="shared" si="237"/>
        <v>27868.757142857143</v>
      </c>
      <c r="Y124" s="2">
        <f t="shared" si="237"/>
        <v>33178.050000000003</v>
      </c>
      <c r="Z124" s="2">
        <f t="shared" si="237"/>
        <v>38969.1</v>
      </c>
      <c r="AA124" s="2">
        <f>+AA127*0.45</f>
        <v>44543.700000000004</v>
      </c>
    </row>
    <row r="125" spans="2:59" x14ac:dyDescent="0.25">
      <c r="B125" t="s">
        <v>1</v>
      </c>
      <c r="S125" s="2">
        <f t="shared" ref="S125:AB125" si="238">S24</f>
        <v>7192</v>
      </c>
      <c r="T125" s="2">
        <f t="shared" si="238"/>
        <v>13507</v>
      </c>
      <c r="U125" s="2">
        <f t="shared" si="238"/>
        <v>18120</v>
      </c>
      <c r="V125" s="2">
        <f t="shared" si="238"/>
        <v>22103</v>
      </c>
      <c r="W125" s="2">
        <f t="shared" si="238"/>
        <v>26044</v>
      </c>
      <c r="X125" s="2">
        <f t="shared" si="238"/>
        <v>30040</v>
      </c>
      <c r="Y125" s="2">
        <f t="shared" si="238"/>
        <v>35082</v>
      </c>
      <c r="Z125" s="2">
        <f t="shared" si="238"/>
        <v>39331</v>
      </c>
      <c r="AA125" s="2">
        <f t="shared" si="238"/>
        <v>44062</v>
      </c>
      <c r="AB125" s="2">
        <f t="shared" si="238"/>
        <v>46743</v>
      </c>
      <c r="AC125" s="2">
        <f>+AC127*0.39</f>
        <v>51197.951999999997</v>
      </c>
      <c r="AD125" s="2">
        <f>+AD127*0.39</f>
        <v>52984.526400000002</v>
      </c>
    </row>
    <row r="126" spans="2:59" x14ac:dyDescent="0.25">
      <c r="B126" t="s">
        <v>22</v>
      </c>
      <c r="S126" s="5">
        <f t="shared" ref="S126:AB126" si="239">S22</f>
        <v>4284</v>
      </c>
      <c r="T126" s="5">
        <f t="shared" si="239"/>
        <v>10323</v>
      </c>
      <c r="U126" s="5">
        <f t="shared" si="239"/>
        <v>14514</v>
      </c>
      <c r="V126" s="5">
        <f t="shared" si="239"/>
        <v>18404</v>
      </c>
      <c r="W126" s="5">
        <f t="shared" si="239"/>
        <v>22563</v>
      </c>
      <c r="X126" s="5">
        <f t="shared" si="239"/>
        <v>26272</v>
      </c>
      <c r="Y126" s="5">
        <f t="shared" si="239"/>
        <v>30771</v>
      </c>
      <c r="Z126" s="5">
        <f t="shared" si="239"/>
        <v>35580</v>
      </c>
      <c r="AA126" s="5">
        <f t="shared" si="239"/>
        <v>39112</v>
      </c>
      <c r="AB126" s="5">
        <f t="shared" si="239"/>
        <v>41096</v>
      </c>
      <c r="AC126" s="5">
        <f>+AC127*0.35</f>
        <v>45946.87999999999</v>
      </c>
      <c r="AD126" s="5">
        <f>+AD127*0.35</f>
        <v>47550.216</v>
      </c>
    </row>
    <row r="127" spans="2:59" s="11" customFormat="1" ht="13" x14ac:dyDescent="0.3">
      <c r="B127" s="11" t="s">
        <v>201</v>
      </c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8">
        <f>SUM(S128:S136)</f>
        <v>36225.571428571428</v>
      </c>
      <c r="T127" s="8">
        <f t="shared" ref="T127:AD127" si="240">SUM(T128:T136)</f>
        <v>40929.238095238092</v>
      </c>
      <c r="U127" s="8">
        <f t="shared" si="240"/>
        <v>42222.238095238092</v>
      </c>
      <c r="V127" s="8">
        <f t="shared" si="240"/>
        <v>47678.238095238092</v>
      </c>
      <c r="W127" s="8">
        <f t="shared" si="240"/>
        <v>51682.571428571428</v>
      </c>
      <c r="X127" s="8">
        <f t="shared" si="240"/>
        <v>61930.571428571428</v>
      </c>
      <c r="Y127" s="8">
        <f t="shared" si="240"/>
        <v>73729</v>
      </c>
      <c r="Z127" s="8">
        <f t="shared" si="240"/>
        <v>86598</v>
      </c>
      <c r="AA127" s="8">
        <f t="shared" si="240"/>
        <v>98986</v>
      </c>
      <c r="AB127" s="8">
        <f t="shared" si="240"/>
        <v>118779</v>
      </c>
      <c r="AC127" s="8">
        <f t="shared" si="240"/>
        <v>131276.79999999999</v>
      </c>
      <c r="AD127" s="8">
        <f t="shared" si="240"/>
        <v>135857.76</v>
      </c>
    </row>
    <row r="128" spans="2:59" s="2" customFormat="1" x14ac:dyDescent="0.25">
      <c r="B128" s="2" t="s">
        <v>197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>
        <v>0</v>
      </c>
      <c r="T128" s="2">
        <v>0</v>
      </c>
      <c r="U128" s="2">
        <v>0</v>
      </c>
      <c r="V128" s="2">
        <v>125</v>
      </c>
      <c r="W128" s="2">
        <v>125</v>
      </c>
      <c r="X128" s="2">
        <v>1500</v>
      </c>
      <c r="Y128" s="2">
        <f t="shared" ref="Y128:AD128" si="241">+X128+500</f>
        <v>2000</v>
      </c>
      <c r="Z128" s="2">
        <f t="shared" si="241"/>
        <v>2500</v>
      </c>
      <c r="AA128" s="2">
        <f t="shared" si="241"/>
        <v>3000</v>
      </c>
      <c r="AB128" s="2">
        <f t="shared" si="241"/>
        <v>3500</v>
      </c>
      <c r="AC128" s="2">
        <f t="shared" si="241"/>
        <v>4000</v>
      </c>
      <c r="AD128" s="2">
        <f t="shared" si="241"/>
        <v>4500</v>
      </c>
    </row>
    <row r="129" spans="2:59" s="2" customFormat="1" x14ac:dyDescent="0.25">
      <c r="B129" s="2" t="s">
        <v>91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>
        <v>450</v>
      </c>
      <c r="T129" s="2">
        <v>4000</v>
      </c>
      <c r="U129" s="2">
        <v>2000</v>
      </c>
      <c r="V129" s="2">
        <v>750</v>
      </c>
      <c r="W129" s="2">
        <v>1000</v>
      </c>
      <c r="X129" s="2">
        <v>1000</v>
      </c>
      <c r="Y129" s="2">
        <v>4000</v>
      </c>
      <c r="Z129" s="2">
        <v>1000</v>
      </c>
      <c r="AA129" s="2">
        <v>3000</v>
      </c>
      <c r="AB129" s="2">
        <v>3000</v>
      </c>
      <c r="AC129" s="2">
        <v>3000</v>
      </c>
      <c r="AD129" s="2">
        <v>3000</v>
      </c>
    </row>
    <row r="130" spans="2:59" s="2" customFormat="1" x14ac:dyDescent="0.25">
      <c r="B130" s="2" t="s">
        <v>198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2">
        <v>6607</v>
      </c>
      <c r="T130" s="2">
        <v>8943</v>
      </c>
      <c r="U130" s="2">
        <v>9917</v>
      </c>
      <c r="V130" s="2">
        <v>9735</v>
      </c>
      <c r="W130" s="2">
        <v>10952</v>
      </c>
      <c r="X130" s="2">
        <v>13873</v>
      </c>
      <c r="Y130" s="2">
        <v>14923</v>
      </c>
      <c r="Z130" s="2">
        <v>15804</v>
      </c>
      <c r="AA130" s="2">
        <v>16745</v>
      </c>
      <c r="AB130" s="2">
        <v>17079</v>
      </c>
      <c r="AC130" s="2">
        <f>+Y130*1.6</f>
        <v>23876.800000000003</v>
      </c>
      <c r="AD130" s="2">
        <f>+Z130*1.44</f>
        <v>22757.759999999998</v>
      </c>
    </row>
    <row r="131" spans="2:59" x14ac:dyDescent="0.25">
      <c r="B131" t="s">
        <v>199</v>
      </c>
      <c r="S131" s="5">
        <v>6289</v>
      </c>
      <c r="T131" s="5">
        <f>13177-S131</f>
        <v>6888</v>
      </c>
      <c r="U131" s="5">
        <v>8055</v>
      </c>
      <c r="V131" s="5">
        <v>11019</v>
      </c>
      <c r="W131" s="5">
        <v>12012</v>
      </c>
      <c r="X131" s="5">
        <f>25198-W131</f>
        <v>13186</v>
      </c>
      <c r="Y131" s="5">
        <f>38259-X131-W131</f>
        <v>13061</v>
      </c>
      <c r="Z131" s="5">
        <f>52535-Y131-X131-W131</f>
        <v>14276</v>
      </c>
      <c r="AA131" s="2">
        <v>17197</v>
      </c>
      <c r="AB131" s="2">
        <v>22446</v>
      </c>
      <c r="AC131" s="2">
        <f>+AB131+500</f>
        <v>22946</v>
      </c>
      <c r="AD131" s="2">
        <f>+AC131+500</f>
        <v>23446</v>
      </c>
    </row>
    <row r="132" spans="2:59" x14ac:dyDescent="0.25">
      <c r="B132" t="s">
        <v>200</v>
      </c>
      <c r="S132" s="2">
        <v>14207</v>
      </c>
      <c r="T132" s="2">
        <v>11455</v>
      </c>
      <c r="U132" s="2">
        <v>12479</v>
      </c>
      <c r="V132" s="2">
        <v>14588</v>
      </c>
      <c r="W132" s="2">
        <v>14925</v>
      </c>
      <c r="X132" s="2">
        <v>17620</v>
      </c>
      <c r="Y132" s="2">
        <v>22620</v>
      </c>
      <c r="Z132" s="2">
        <v>27834</v>
      </c>
      <c r="AA132" s="2">
        <v>25019</v>
      </c>
      <c r="AB132" s="2">
        <v>32183</v>
      </c>
      <c r="AC132" s="2">
        <f>+AB132</f>
        <v>32183</v>
      </c>
      <c r="AD132" s="2">
        <f>+AC132</f>
        <v>32183</v>
      </c>
    </row>
    <row r="133" spans="2:59" x14ac:dyDescent="0.25">
      <c r="B133" t="s">
        <v>78</v>
      </c>
      <c r="R133" s="5">
        <v>1428.5714285714287</v>
      </c>
      <c r="S133" s="5">
        <v>1428.5714285714287</v>
      </c>
      <c r="T133" s="5">
        <v>1428.5714285714287</v>
      </c>
      <c r="U133" s="5">
        <v>1428.5714285714287</v>
      </c>
      <c r="V133" s="5">
        <v>1428.5714285714287</v>
      </c>
      <c r="W133" s="5">
        <f>+V133+300</f>
        <v>1728.5714285714287</v>
      </c>
      <c r="X133" s="5">
        <f>+W133+300</f>
        <v>2028.5714285714287</v>
      </c>
      <c r="Y133" s="2">
        <v>2650</v>
      </c>
      <c r="Z133" s="2">
        <v>2650</v>
      </c>
      <c r="AA133" s="2">
        <v>7000</v>
      </c>
      <c r="AB133" s="2">
        <v>10000</v>
      </c>
      <c r="AC133" s="2">
        <f>+AB133+2000</f>
        <v>12000</v>
      </c>
      <c r="AD133" s="2">
        <f>+AC133+2000</f>
        <v>14000</v>
      </c>
    </row>
    <row r="134" spans="2:59" x14ac:dyDescent="0.25">
      <c r="B134" t="s">
        <v>202</v>
      </c>
      <c r="R134" s="5">
        <v>100</v>
      </c>
      <c r="S134" s="5">
        <f>200+221</f>
        <v>421</v>
      </c>
      <c r="T134" s="2">
        <v>766.66666666666663</v>
      </c>
      <c r="U134" s="2">
        <v>766.66666666666663</v>
      </c>
      <c r="V134" s="2">
        <v>766.66666666666663</v>
      </c>
      <c r="W134" s="2">
        <v>1742</v>
      </c>
      <c r="X134" s="2">
        <v>2247</v>
      </c>
      <c r="Y134" s="2">
        <f>+X134</f>
        <v>2247</v>
      </c>
      <c r="Z134" s="2">
        <f>+Y134</f>
        <v>2247</v>
      </c>
      <c r="AA134" s="2">
        <v>1407</v>
      </c>
      <c r="AB134" s="2">
        <v>2453</v>
      </c>
      <c r="AC134" s="2">
        <f>+AB134+200</f>
        <v>2653</v>
      </c>
      <c r="AD134" s="2">
        <f>+AC134+200</f>
        <v>2853</v>
      </c>
    </row>
    <row r="135" spans="2:59" x14ac:dyDescent="0.25">
      <c r="B135" t="s">
        <v>203</v>
      </c>
      <c r="S135" s="5">
        <v>6823</v>
      </c>
      <c r="T135" s="5">
        <v>6134</v>
      </c>
      <c r="U135" s="5">
        <v>6496</v>
      </c>
      <c r="V135" s="2">
        <v>7592</v>
      </c>
      <c r="W135" s="2">
        <v>6400</v>
      </c>
      <c r="X135" s="2">
        <v>8173</v>
      </c>
      <c r="Y135" s="2">
        <v>8258</v>
      </c>
      <c r="Z135" s="2">
        <v>14425</v>
      </c>
      <c r="AA135" s="2">
        <v>16538</v>
      </c>
      <c r="AB135" s="2">
        <f>+AA135+2000</f>
        <v>18538</v>
      </c>
      <c r="AC135" s="2">
        <f>+AB135+2000</f>
        <v>20538</v>
      </c>
      <c r="AD135" s="2">
        <f>+AC135+2000</f>
        <v>22538</v>
      </c>
    </row>
    <row r="136" spans="2:59" x14ac:dyDescent="0.25">
      <c r="B136" t="s">
        <v>204</v>
      </c>
      <c r="T136" s="2">
        <v>1314</v>
      </c>
      <c r="U136" s="2">
        <v>1080</v>
      </c>
      <c r="V136" s="2">
        <v>1674</v>
      </c>
      <c r="W136" s="2">
        <v>2798</v>
      </c>
      <c r="X136" s="2">
        <v>2303</v>
      </c>
      <c r="Y136" s="2">
        <v>3970</v>
      </c>
      <c r="Z136" s="2">
        <v>5862</v>
      </c>
      <c r="AA136" s="2">
        <v>9080</v>
      </c>
      <c r="AB136" s="2">
        <f>+AA136+500</f>
        <v>9580</v>
      </c>
      <c r="AC136" s="2">
        <f>+AB136+500</f>
        <v>10080</v>
      </c>
      <c r="AD136" s="2">
        <f>+AC136+500</f>
        <v>10580</v>
      </c>
    </row>
    <row r="138" spans="2:59" x14ac:dyDescent="0.25">
      <c r="B138" t="s">
        <v>205</v>
      </c>
      <c r="S138" s="7">
        <f>+S126/S127</f>
        <v>0.11825900409734245</v>
      </c>
      <c r="T138" s="7">
        <f t="shared" ref="T138:Z138" si="242">+T126/T127</f>
        <v>0.25221578706106013</v>
      </c>
      <c r="U138" s="7">
        <f>+U126/U127</f>
        <v>0.34375250234868338</v>
      </c>
      <c r="V138" s="7">
        <f t="shared" si="242"/>
        <v>0.38600419678339826</v>
      </c>
      <c r="W138" s="7">
        <f t="shared" si="242"/>
        <v>0.43656883503142813</v>
      </c>
      <c r="X138" s="7">
        <f t="shared" si="242"/>
        <v>0.42421698030513433</v>
      </c>
      <c r="Y138" s="7">
        <f t="shared" si="242"/>
        <v>0.41735273772870918</v>
      </c>
      <c r="Z138" s="7">
        <f t="shared" si="242"/>
        <v>0.41086399224000553</v>
      </c>
      <c r="AA138" s="7">
        <f>+AA126/AA127</f>
        <v>0.39512658355727071</v>
      </c>
      <c r="AB138" s="7">
        <f t="shared" ref="AB138:AD138" si="243">+AB126/AB127</f>
        <v>0.34598708525917882</v>
      </c>
      <c r="AC138" s="7">
        <f t="shared" si="243"/>
        <v>0.35</v>
      </c>
      <c r="AD138" s="7">
        <f t="shared" si="243"/>
        <v>0.35</v>
      </c>
    </row>
    <row r="139" spans="2:59" x14ac:dyDescent="0.25">
      <c r="B139" t="s">
        <v>206</v>
      </c>
      <c r="S139" s="7">
        <f>+S125/S127</f>
        <v>0.19853379025865708</v>
      </c>
      <c r="T139" s="7">
        <f>+T125/T127</f>
        <v>0.33000858624757717</v>
      </c>
      <c r="U139" s="7">
        <f t="shared" ref="U139:Z139" si="244">+U125/U127</f>
        <v>0.42915773339934837</v>
      </c>
      <c r="V139" s="7">
        <f t="shared" si="244"/>
        <v>0.46358676165526252</v>
      </c>
      <c r="W139" s="7">
        <f t="shared" si="244"/>
        <v>0.50392229488802531</v>
      </c>
      <c r="X139" s="7">
        <f t="shared" si="244"/>
        <v>0.48505930604317277</v>
      </c>
      <c r="Y139" s="7">
        <f t="shared" si="244"/>
        <v>0.47582362435405334</v>
      </c>
      <c r="Z139" s="7">
        <f t="shared" si="244"/>
        <v>0.45417908034827592</v>
      </c>
      <c r="AA139" s="7">
        <f>+AA125/AA127</f>
        <v>0.44513365526438081</v>
      </c>
      <c r="AB139" s="7">
        <f>+AB125/AB127</f>
        <v>0.39352915919480719</v>
      </c>
      <c r="AC139" s="7">
        <f t="shared" ref="AC139:AD139" si="245">+AC125/AC127</f>
        <v>0.39</v>
      </c>
      <c r="AD139" s="7">
        <f t="shared" si="245"/>
        <v>0.39</v>
      </c>
    </row>
    <row r="140" spans="2:59" x14ac:dyDescent="0.25">
      <c r="AA140" s="10"/>
    </row>
    <row r="141" spans="2:59" x14ac:dyDescent="0.25">
      <c r="AA141" s="10"/>
    </row>
    <row r="142" spans="2:59" s="2" customFormat="1" x14ac:dyDescent="0.25">
      <c r="B142" s="2" t="s">
        <v>221</v>
      </c>
      <c r="C142" s="5">
        <v>165</v>
      </c>
      <c r="D142" s="5">
        <v>188</v>
      </c>
      <c r="E142" s="5">
        <v>236</v>
      </c>
      <c r="F142" s="5">
        <f>+BB142-E142-D142-C142</f>
        <v>297</v>
      </c>
      <c r="G142" s="5">
        <v>497</v>
      </c>
      <c r="H142" s="5">
        <v>944</v>
      </c>
      <c r="I142" s="5">
        <v>890</v>
      </c>
      <c r="J142" s="5">
        <f>3214-I142-H142-G142</f>
        <v>883</v>
      </c>
      <c r="K142" s="5">
        <v>768</v>
      </c>
      <c r="L142" s="5">
        <v>996</v>
      </c>
      <c r="M142" s="5">
        <v>1126</v>
      </c>
      <c r="N142" s="5">
        <f>4349-M142-L142-K142</f>
        <v>1459</v>
      </c>
      <c r="O142" s="5">
        <v>1932</v>
      </c>
      <c r="P142" s="5">
        <v>1988</v>
      </c>
      <c r="Q142" s="5">
        <v>2148</v>
      </c>
      <c r="R142" s="5">
        <f>8292-Q142-P142-O142</f>
        <v>2224</v>
      </c>
      <c r="S142" s="5">
        <v>2385</v>
      </c>
      <c r="T142" s="2">
        <v>6043</v>
      </c>
      <c r="U142" s="2">
        <v>6302</v>
      </c>
      <c r="V142" s="2">
        <f>26966-U142-T142-S142</f>
        <v>12236</v>
      </c>
      <c r="W142" s="2">
        <v>13496</v>
      </c>
      <c r="X142" s="2">
        <v>13022</v>
      </c>
      <c r="Y142" s="2">
        <v>14800</v>
      </c>
      <c r="Z142" s="2">
        <f>61257-Y142-X142-W142</f>
        <v>19939</v>
      </c>
      <c r="AA142" s="2">
        <v>20739</v>
      </c>
      <c r="BA142" s="2">
        <v>1506</v>
      </c>
      <c r="BB142" s="2">
        <v>886</v>
      </c>
      <c r="BC142" s="2">
        <f>SUM(G142:J142)</f>
        <v>3214</v>
      </c>
      <c r="BD142" s="2">
        <f>SUM(K142:N142)</f>
        <v>4349</v>
      </c>
      <c r="BE142" s="2">
        <f t="shared" ref="BE142:BE146" si="246">SUM(O142:R142)</f>
        <v>8292</v>
      </c>
      <c r="BF142" s="2">
        <f t="shared" ref="BF142:BF146" si="247">SUM(S142:V142)</f>
        <v>26966</v>
      </c>
      <c r="BG142" s="2">
        <f t="shared" ref="BG142:BG146" si="248">SUM(W142:Z142)</f>
        <v>61257</v>
      </c>
    </row>
    <row r="143" spans="2:59" s="2" customFormat="1" x14ac:dyDescent="0.25">
      <c r="B143" s="2" t="s">
        <v>222</v>
      </c>
      <c r="C143" s="5">
        <v>698</v>
      </c>
      <c r="D143" s="5">
        <v>635</v>
      </c>
      <c r="E143" s="5">
        <v>838</v>
      </c>
      <c r="F143" s="5">
        <f>+BB143-E143-D143-C143</f>
        <v>854</v>
      </c>
      <c r="G143" s="5">
        <v>813</v>
      </c>
      <c r="H143" s="5">
        <v>954</v>
      </c>
      <c r="I143" s="5">
        <v>1296</v>
      </c>
      <c r="J143" s="5">
        <f>4531-I143-H143-G143</f>
        <v>1468</v>
      </c>
      <c r="K143" s="5">
        <v>1784</v>
      </c>
      <c r="L143" s="5">
        <v>1961</v>
      </c>
      <c r="M143" s="5">
        <v>2187</v>
      </c>
      <c r="N143" s="5">
        <f>8544-M143-L143-K143</f>
        <v>2612</v>
      </c>
      <c r="O143" s="5">
        <v>2777</v>
      </c>
      <c r="P143" s="5">
        <v>1204</v>
      </c>
      <c r="Q143" s="5">
        <v>1153</v>
      </c>
      <c r="R143" s="5">
        <f>6986-Q143-P143-O143</f>
        <v>1852</v>
      </c>
      <c r="S143" s="5">
        <v>1796</v>
      </c>
      <c r="T143" s="2">
        <v>2839</v>
      </c>
      <c r="U143" s="2">
        <v>4333</v>
      </c>
      <c r="V143" s="2">
        <f>13405-U143-T143-S143</f>
        <v>4437</v>
      </c>
      <c r="W143" s="2">
        <v>4373</v>
      </c>
      <c r="X143" s="2">
        <v>5740</v>
      </c>
      <c r="Y143" s="2">
        <v>5153</v>
      </c>
      <c r="Z143" s="2">
        <f>20573-Y143-X143-W143</f>
        <v>5307</v>
      </c>
      <c r="AA143" s="2">
        <v>7158</v>
      </c>
      <c r="BA143" s="2">
        <v>3360</v>
      </c>
      <c r="BB143" s="2">
        <v>3025</v>
      </c>
      <c r="BC143" s="2">
        <f>SUM(G143:J143)</f>
        <v>4531</v>
      </c>
      <c r="BD143" s="2">
        <f>SUM(K143:N143)</f>
        <v>8544</v>
      </c>
      <c r="BE143" s="2">
        <f t="shared" si="246"/>
        <v>6986</v>
      </c>
      <c r="BF143" s="2">
        <f t="shared" si="247"/>
        <v>13405</v>
      </c>
      <c r="BG143" s="2">
        <f t="shared" si="248"/>
        <v>20573</v>
      </c>
    </row>
    <row r="144" spans="2:59" s="2" customFormat="1" x14ac:dyDescent="0.25">
      <c r="B144" s="2" t="s">
        <v>223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>
        <v>762</v>
      </c>
      <c r="T144" s="2">
        <v>1042</v>
      </c>
      <c r="U144" s="2">
        <v>2702</v>
      </c>
      <c r="V144" s="2">
        <f>6831-U144-T144-S144</f>
        <v>2325</v>
      </c>
      <c r="W144" s="2">
        <v>4037</v>
      </c>
      <c r="X144" s="2">
        <v>5622</v>
      </c>
      <c r="Y144" s="2">
        <v>7697</v>
      </c>
      <c r="Z144" s="2">
        <f>23684-Y144-X144-W144</f>
        <v>6328</v>
      </c>
      <c r="AA144" s="2">
        <v>9017</v>
      </c>
      <c r="BF144" s="2">
        <f t="shared" si="247"/>
        <v>6831</v>
      </c>
      <c r="BG144" s="2">
        <f t="shared" si="248"/>
        <v>23684</v>
      </c>
    </row>
    <row r="145" spans="2:59" s="2" customFormat="1" x14ac:dyDescent="0.25">
      <c r="B145" s="2" t="s">
        <v>224</v>
      </c>
      <c r="C145" s="5">
        <v>553</v>
      </c>
      <c r="D145" s="5">
        <v>583</v>
      </c>
      <c r="E145" s="5">
        <v>758</v>
      </c>
      <c r="F145" s="5">
        <f>+BB145-E145-D145-C145</f>
        <v>837</v>
      </c>
      <c r="G145" s="5">
        <v>758</v>
      </c>
      <c r="H145" s="5">
        <v>855</v>
      </c>
      <c r="I145" s="5">
        <v>1113</v>
      </c>
      <c r="J145" s="5">
        <f>3886-I145-H145-G145</f>
        <v>1160</v>
      </c>
      <c r="K145" s="5">
        <v>1391</v>
      </c>
      <c r="L145" s="5">
        <v>1720</v>
      </c>
      <c r="M145" s="5">
        <v>2017</v>
      </c>
      <c r="N145" s="5">
        <f>7111-M145-L145-K145</f>
        <v>1983</v>
      </c>
      <c r="O145" s="5">
        <v>2081</v>
      </c>
      <c r="P145" s="5">
        <v>1602</v>
      </c>
      <c r="Q145" s="5">
        <v>1148</v>
      </c>
      <c r="R145" s="5">
        <f>5785-Q145-P145-O145</f>
        <v>954</v>
      </c>
      <c r="S145" s="5">
        <v>1590</v>
      </c>
      <c r="T145" s="2">
        <v>2740</v>
      </c>
      <c r="U145" s="2">
        <v>4030</v>
      </c>
      <c r="V145" s="2">
        <f>10306-U145-T145-S145</f>
        <v>1946</v>
      </c>
      <c r="W145" s="2">
        <v>2491</v>
      </c>
      <c r="X145" s="2">
        <v>3667</v>
      </c>
      <c r="Y145" s="2">
        <v>5416</v>
      </c>
      <c r="Z145" s="2">
        <f>17108-Y145-X145-W145</f>
        <v>5534</v>
      </c>
      <c r="AA145" s="2">
        <v>5522</v>
      </c>
      <c r="BA145" s="2">
        <v>2801</v>
      </c>
      <c r="BB145" s="2">
        <v>2731</v>
      </c>
      <c r="BC145" s="2">
        <f>SUM(G145:J145)</f>
        <v>3886</v>
      </c>
      <c r="BD145" s="2">
        <f>SUM(K145:N145)</f>
        <v>7111</v>
      </c>
      <c r="BE145" s="2">
        <f t="shared" si="246"/>
        <v>5785</v>
      </c>
      <c r="BF145" s="2">
        <f t="shared" si="247"/>
        <v>10306</v>
      </c>
      <c r="BG145" s="2">
        <f t="shared" si="248"/>
        <v>17108</v>
      </c>
    </row>
    <row r="146" spans="2:59" s="2" customFormat="1" x14ac:dyDescent="0.25">
      <c r="B146" s="2" t="s">
        <v>46</v>
      </c>
      <c r="C146" s="5">
        <f>422+133+249</f>
        <v>804</v>
      </c>
      <c r="D146" s="5">
        <f>756+288+129</f>
        <v>1173</v>
      </c>
      <c r="E146" s="5">
        <f>805+216+161</f>
        <v>1182</v>
      </c>
      <c r="F146" s="5">
        <f>+BB146-E146-D146-C146</f>
        <v>1117</v>
      </c>
      <c r="G146" s="5">
        <f>254+151+607</f>
        <v>1012</v>
      </c>
      <c r="H146" s="5">
        <f>240+175+698</f>
        <v>1113</v>
      </c>
      <c r="I146" s="5">
        <f>955+247+225</f>
        <v>1427</v>
      </c>
      <c r="J146" s="5">
        <f>3093+1118+833-I146-H146-G146</f>
        <v>1492</v>
      </c>
      <c r="K146" s="5">
        <v>1718</v>
      </c>
      <c r="L146" s="5">
        <v>1830</v>
      </c>
      <c r="M146" s="5">
        <v>1773</v>
      </c>
      <c r="N146" s="5">
        <f>6910-M146-L146-K146</f>
        <v>1589</v>
      </c>
      <c r="O146" s="5">
        <f>1044+454</f>
        <v>1498</v>
      </c>
      <c r="P146" s="5">
        <v>1910</v>
      </c>
      <c r="Q146" s="5">
        <f>536+946</f>
        <v>1482</v>
      </c>
      <c r="R146" s="5">
        <f>3623-Q146-P146-O146+2288</f>
        <v>1021</v>
      </c>
      <c r="S146" s="5">
        <v>659</v>
      </c>
      <c r="T146" s="2">
        <v>843</v>
      </c>
      <c r="U146" s="2">
        <v>753</v>
      </c>
      <c r="V146" s="2">
        <f>3414-U146-T146-S146</f>
        <v>1159</v>
      </c>
      <c r="W146" s="2">
        <v>1647</v>
      </c>
      <c r="X146" s="2">
        <v>1989</v>
      </c>
      <c r="Y146" s="2">
        <v>2016</v>
      </c>
      <c r="Z146" s="2">
        <f>7875-Y146-X146-W146</f>
        <v>2223</v>
      </c>
      <c r="AA146" s="2">
        <v>1626</v>
      </c>
      <c r="BA146" s="2">
        <f>2368+914+767</f>
        <v>4049</v>
      </c>
      <c r="BB146" s="2">
        <f>2685+992+599</f>
        <v>4276</v>
      </c>
      <c r="BC146" s="2">
        <f>SUM(G146:J146)</f>
        <v>5044</v>
      </c>
      <c r="BD146" s="2">
        <f>SUM(K146:N146)</f>
        <v>6910</v>
      </c>
      <c r="BE146" s="2">
        <f t="shared" si="246"/>
        <v>5911</v>
      </c>
      <c r="BF146" s="2">
        <f t="shared" si="247"/>
        <v>3414</v>
      </c>
      <c r="BG146" s="2">
        <f t="shared" si="248"/>
        <v>7875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5" x14ac:dyDescent="0.25"/>
  <cols>
    <col min="1" max="1" width="4.54296875" bestFit="1" customWidth="1"/>
    <col min="2" max="2" width="12.54296875" bestFit="1" customWidth="1"/>
    <col min="5" max="5" width="12.54296875" bestFit="1" customWidth="1"/>
    <col min="9" max="9" width="14.1796875" customWidth="1"/>
  </cols>
  <sheetData>
    <row r="1" spans="1:10" x14ac:dyDescent="0.25">
      <c r="A1" s="18" t="s">
        <v>0</v>
      </c>
      <c r="I1" s="34">
        <v>0.18063657407407407</v>
      </c>
    </row>
    <row r="2" spans="1:10" x14ac:dyDescent="0.25">
      <c r="G2" t="s">
        <v>217</v>
      </c>
      <c r="I2" s="34">
        <v>0.1807175925925926</v>
      </c>
    </row>
    <row r="3" spans="1:10" x14ac:dyDescent="0.25">
      <c r="I3" s="34">
        <v>0.18059027777777778</v>
      </c>
    </row>
    <row r="4" spans="1:10" ht="13" x14ac:dyDescent="0.3">
      <c r="B4" t="s">
        <v>207</v>
      </c>
      <c r="C4" s="11">
        <v>38250</v>
      </c>
      <c r="E4" t="s">
        <v>208</v>
      </c>
      <c r="F4" s="11">
        <v>42260</v>
      </c>
      <c r="I4" t="s">
        <v>209</v>
      </c>
      <c r="J4" s="15">
        <v>132</v>
      </c>
    </row>
    <row r="5" spans="1:10" x14ac:dyDescent="0.25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210</v>
      </c>
      <c r="J5" s="16">
        <v>1.4999999999999999E-2</v>
      </c>
    </row>
    <row r="6" spans="1:10" x14ac:dyDescent="0.25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211</v>
      </c>
      <c r="J6">
        <v>6.35</v>
      </c>
    </row>
    <row r="7" spans="1:10" x14ac:dyDescent="0.25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212</v>
      </c>
      <c r="J7" s="15">
        <v>5.6</v>
      </c>
    </row>
    <row r="8" spans="1:10" x14ac:dyDescent="0.25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213</v>
      </c>
      <c r="J8" s="15">
        <f>+J7+J6</f>
        <v>11.95</v>
      </c>
    </row>
    <row r="9" spans="1:10" x14ac:dyDescent="0.25">
      <c r="B9">
        <f>+C4</f>
        <v>38250</v>
      </c>
      <c r="C9" s="10">
        <v>-0.1</v>
      </c>
      <c r="E9">
        <v>42260</v>
      </c>
      <c r="F9" s="10">
        <v>-0.05</v>
      </c>
      <c r="I9" t="s">
        <v>214</v>
      </c>
      <c r="J9">
        <f>+J5*J4</f>
        <v>1.98</v>
      </c>
    </row>
    <row r="10" spans="1:10" ht="13" x14ac:dyDescent="0.3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ht="13" x14ac:dyDescent="0.3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5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216</v>
      </c>
      <c r="J12" s="15">
        <v>3.2</v>
      </c>
    </row>
    <row r="13" spans="1:10" x14ac:dyDescent="0.25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215</v>
      </c>
      <c r="J13" s="15">
        <v>2.92</v>
      </c>
    </row>
    <row r="14" spans="1:10" x14ac:dyDescent="0.25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213</v>
      </c>
      <c r="J14" s="15">
        <f>+J12+J13</f>
        <v>6.12</v>
      </c>
    </row>
    <row r="15" spans="1:10" x14ac:dyDescent="0.25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214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5" x14ac:dyDescent="0.25"/>
  <cols>
    <col min="1" max="1" width="5" bestFit="1" customWidth="1"/>
    <col min="2" max="2" width="16.81640625" customWidth="1"/>
    <col min="6" max="6" width="11.81640625" bestFit="1" customWidth="1"/>
  </cols>
  <sheetData>
    <row r="1" spans="1:11" x14ac:dyDescent="0.25">
      <c r="A1" t="s">
        <v>0</v>
      </c>
    </row>
    <row r="4" spans="1:11" x14ac:dyDescent="0.25">
      <c r="B4" t="s">
        <v>149</v>
      </c>
      <c r="F4" t="s">
        <v>154</v>
      </c>
    </row>
    <row r="5" spans="1:11" x14ac:dyDescent="0.25">
      <c r="B5" t="s">
        <v>150</v>
      </c>
      <c r="C5">
        <v>24690</v>
      </c>
      <c r="F5" t="s">
        <v>150</v>
      </c>
      <c r="G5">
        <v>26820</v>
      </c>
    </row>
    <row r="6" spans="1:11" x14ac:dyDescent="0.25">
      <c r="B6" t="s">
        <v>151</v>
      </c>
      <c r="C6">
        <v>23520</v>
      </c>
    </row>
    <row r="7" spans="1:11" x14ac:dyDescent="0.25">
      <c r="B7" t="s">
        <v>152</v>
      </c>
      <c r="C7">
        <v>24480</v>
      </c>
    </row>
    <row r="10" spans="1:11" x14ac:dyDescent="0.25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5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ht="13" x14ac:dyDescent="0.3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ht="13" x14ac:dyDescent="0.3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ht="13" x14ac:dyDescent="0.3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ht="13" x14ac:dyDescent="0.3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ht="13" x14ac:dyDescent="0.3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5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5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5">
      <c r="B20" t="s">
        <v>155</v>
      </c>
      <c r="C20" s="15">
        <v>954</v>
      </c>
    </row>
    <row r="21" spans="2:11" x14ac:dyDescent="0.25">
      <c r="B21" t="s">
        <v>156</v>
      </c>
      <c r="C21" s="15">
        <v>39</v>
      </c>
    </row>
    <row r="22" spans="2:11" x14ac:dyDescent="0.25">
      <c r="B22" t="s">
        <v>157</v>
      </c>
      <c r="C22" s="15">
        <v>40</v>
      </c>
    </row>
    <row r="23" spans="2:11" x14ac:dyDescent="0.25">
      <c r="B23" t="s">
        <v>158</v>
      </c>
      <c r="C23" s="15">
        <f>C21+C22</f>
        <v>79</v>
      </c>
    </row>
    <row r="24" spans="2:11" x14ac:dyDescent="0.25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2025-08-28T17:48:52Z</dcterms:modified>
</cp:coreProperties>
</file>