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20_MergeAll" sheetId="1" r:id="rId4"/>
  </sheets>
  <definedNames>
    <definedName name="_20_MergeAll">'_20_MergeAll'!$A$1:$G$5043</definedName>
  </definedNames>
  <calcPr/>
  <extLst>
    <ext uri="GoogleSheetsCustomDataVersion2">
      <go:sheetsCustomData xmlns:go="http://customooxmlschemas.google.com/" r:id="rId5" roundtripDataChecksum="dg995Gbss68aPVzwiUAPCg0Zi58YBiRY5I54Gem+kbw="/>
    </ext>
  </extLst>
</workbook>
</file>

<file path=xl/sharedStrings.xml><?xml version="1.0" encoding="utf-8"?>
<sst xmlns="http://schemas.openxmlformats.org/spreadsheetml/2006/main" count="35304" uniqueCount="25116">
  <si>
    <t>Domain</t>
  </si>
  <si>
    <t>Code</t>
  </si>
  <si>
    <t>xxTESTCD</t>
  </si>
  <si>
    <t>xxTEST</t>
  </si>
  <si>
    <t>CDISC Synonym(s)</t>
  </si>
  <si>
    <t>CDISC Definition</t>
  </si>
  <si>
    <t>NCI Preferred Term</t>
  </si>
  <si>
    <t>xxTEST_J</t>
  </si>
  <si>
    <t>CDISC Synonym(s)_J</t>
  </si>
  <si>
    <t>CDISC Definition_J</t>
  </si>
  <si>
    <t>NCI Preferred Term_J</t>
  </si>
  <si>
    <t>LB</t>
  </si>
  <si>
    <t>C100429</t>
  </si>
  <si>
    <t>A1AGLP</t>
  </si>
  <si>
    <t>Alpha-1 Acid Glycoprotein</t>
  </si>
  <si>
    <t>A measurement of the alpha-1 acid glycoprotein in a biological specimen.</t>
  </si>
  <si>
    <t>Alpha-1 Acid Glycoprotein Measurement</t>
  </si>
  <si>
    <t>C181404</t>
  </si>
  <si>
    <t>A1ANTRPF</t>
  </si>
  <si>
    <t>Alpha-1 Antitrypsin, Functional</t>
  </si>
  <si>
    <t>A measurement of the functional alpha-1 antitrypsin in a biological specimen.</t>
  </si>
  <si>
    <t>Functional Alpha-1 Antitrypsin Measurement</t>
  </si>
  <si>
    <t>C80167</t>
  </si>
  <si>
    <t>A1ANTRYP</t>
  </si>
  <si>
    <t>Alpha-1 Antitrypsin</t>
  </si>
  <si>
    <t>Alpha-1 Antitrypsin; Serum Trypsin Inhibitor</t>
  </si>
  <si>
    <t>A measurement of the alpha-1 antitrypsin in a biological specimen.</t>
  </si>
  <si>
    <t>Alpha-1 Antitrypsin Measurement</t>
  </si>
  <si>
    <t>C186022</t>
  </si>
  <si>
    <t>A1MCGEXR</t>
  </si>
  <si>
    <t>Alpha-1 Microglobulin Excretion Rate</t>
  </si>
  <si>
    <t>A measurement of the amount of alpha-1 microglobulin being excreted in a biological specimen over a defined amount of time (e.g. one hour).</t>
  </si>
  <si>
    <t>Alpha-1 Microglobulin Excretion Rate Measurement</t>
  </si>
  <si>
    <t>C100462</t>
  </si>
  <si>
    <t>A1MCREAT</t>
  </si>
  <si>
    <t>Alpha-1 Microglobulin/Creatinine</t>
  </si>
  <si>
    <t>A relative measurement (ratio or percentage) of the alpha-1 microglobulin to creatinine in a biological specimen.</t>
  </si>
  <si>
    <t>Alpha-1 Microglobulin to Creatinine Ratio Measurement</t>
  </si>
  <si>
    <t>C100461</t>
  </si>
  <si>
    <t>A1MICG</t>
  </si>
  <si>
    <t>Alpha-1 Microglobulin</t>
  </si>
  <si>
    <t>Alpha-1 Microglobulin; Protein HC</t>
  </si>
  <si>
    <t>A measurement of the alpha-1 microglobulin in a biological specimen.</t>
  </si>
  <si>
    <t>Alpha-1 Microglobulin Measurement</t>
  </si>
  <si>
    <t>C80168</t>
  </si>
  <si>
    <t>A2MACG</t>
  </si>
  <si>
    <t>Alpha-2 Macroglobulin</t>
  </si>
  <si>
    <t>A measurement of the alpha-2 macroglobulin in a biological specimen.</t>
  </si>
  <si>
    <t>Alpha-2 Macroglobulin Measurement</t>
  </si>
  <si>
    <t>C172524</t>
  </si>
  <si>
    <t>A73OXC</t>
  </si>
  <si>
    <t>7-alpha-Hydroxy-4-cholesten-3-one</t>
  </si>
  <si>
    <t>7-Alpha hydroxy-4-cholesten-3-one; 7-alpha-Hydroxy-4-cholesten-3-one</t>
  </si>
  <si>
    <t>A measurement of the 7-alpha-hydroxy-4-cholesten-3-one in a biological specimen.</t>
  </si>
  <si>
    <t>7-alpha-Hydroxy-4-cholesten-3-one Measurement</t>
  </si>
  <si>
    <t>C154761</t>
  </si>
  <si>
    <t>AAMAPAC</t>
  </si>
  <si>
    <t>Alpha-Aminoadipic Acid</t>
  </si>
  <si>
    <t>Alpha-Aminoadipate; Alpha-Aminoadipic Acid</t>
  </si>
  <si>
    <t>A measurement of the alpha-aminoadipic acid in a biological specimen.</t>
  </si>
  <si>
    <t>Alpha-Aminoadipic Acid Measurement</t>
  </si>
  <si>
    <t>C154759</t>
  </si>
  <si>
    <t>AAMBTAC</t>
  </si>
  <si>
    <t>Alpha-Aminobutyric Acid</t>
  </si>
  <si>
    <t>Alpha-aminobutyrate; Alpha-Aminobutyric Acid; Homoalanine</t>
  </si>
  <si>
    <t>A measurement of the alpha-aminobutyric acid in a biological specimen.</t>
  </si>
  <si>
    <t>Alpha-Aminobutyric Acid Measurement</t>
  </si>
  <si>
    <t>MB</t>
  </si>
  <si>
    <t>C209632</t>
  </si>
  <si>
    <t>AAN</t>
  </si>
  <si>
    <t>Acinetobacter anitratus</t>
  </si>
  <si>
    <t>A measurement of Acinetobacter anitratus in a biological specimen.</t>
  </si>
  <si>
    <t>Acinetobacter anitratus Measurement</t>
  </si>
  <si>
    <t>C100430</t>
  </si>
  <si>
    <t>AAP</t>
  </si>
  <si>
    <t>Alanine Aminopeptidase</t>
  </si>
  <si>
    <t>A measurement of the alanine aminopeptidase in a biological specimen.</t>
  </si>
  <si>
    <t>Alanine Aminopeptidase Measurement</t>
  </si>
  <si>
    <t>C221574</t>
  </si>
  <si>
    <t>AARGS</t>
  </si>
  <si>
    <t>Aggrecan Ala-Arg-Gly-Ser Neoepitope</t>
  </si>
  <si>
    <t>Aggrecan Ala-Arg-Gly-Ser Neoepitope; Aggrecan Alanine-Arginine-Glycine-Serine Neoepitope; ARGS; ARGS-Aggrecan</t>
  </si>
  <si>
    <t>A measurement of the aggrecan alanine-arginine-glycine-serine neoepitope (ARGS) in a biological specimen.</t>
  </si>
  <si>
    <t>Aggrecan Alanine-Arginine-Glycine-Serine Neoepitope Measurement</t>
  </si>
  <si>
    <t>C189527</t>
  </si>
  <si>
    <t>AATZPL</t>
  </si>
  <si>
    <t>Alpha-1 Antitrypsin Z-Polymer</t>
  </si>
  <si>
    <t>AAT Z-Polymer; Alpha-1 Antitrypsin Z-Polymer</t>
  </si>
  <si>
    <t>A measurement of the polymers of Z-variant alpha-1 antitrypsin in a biological specimen.</t>
  </si>
  <si>
    <t>Alpha-1 Antitrypsin Z-Polymer Measurement</t>
  </si>
  <si>
    <t>CV</t>
  </si>
  <si>
    <t>C122038</t>
  </si>
  <si>
    <t>AAUGIX</t>
  </si>
  <si>
    <t>Aortic Augmentation Index</t>
  </si>
  <si>
    <t>The augmentation pressure divided by the aortic pulse pressure (aortic systolic minus aortic diastolic pressure) multiplied by 100, expressed as a percentage.</t>
  </si>
  <si>
    <t>Aortic Augmentation Index Measurement</t>
  </si>
  <si>
    <t>C122083</t>
  </si>
  <si>
    <t>AAUGIX75</t>
  </si>
  <si>
    <t>Aortic Augmentation Index at 75bpm</t>
  </si>
  <si>
    <t>The aortic augmentation index normalized to a heart rate of 75 beats per minute.</t>
  </si>
  <si>
    <t>C122084</t>
  </si>
  <si>
    <t>AAUGPR</t>
  </si>
  <si>
    <t>Aortic Augmentation Pressure</t>
  </si>
  <si>
    <t>The difference between the second pressure peak in the aortic wave, secondary to the pressure wave reflection from the sites of peripheral arterial impedance mismatch (P2) and the first pressure peak in the aortic wave form, secondary to ventricular eject</t>
  </si>
  <si>
    <t>C122085</t>
  </si>
  <si>
    <t>AAUGPRP1</t>
  </si>
  <si>
    <t>Aortic Augmentation Pressure Peak P1</t>
  </si>
  <si>
    <t>The first pressure peak in the aortic wave form secondary to ventricular ejection.</t>
  </si>
  <si>
    <t>Augmentation Pressure Point P1</t>
  </si>
  <si>
    <t>C122086</t>
  </si>
  <si>
    <t>AAUGPRP2</t>
  </si>
  <si>
    <t>Aortic Augmentation Pressure Peak P2</t>
  </si>
  <si>
    <t>The second pressure peak in the aortic waveform secondary to pressure wave reflection from the periphery.</t>
  </si>
  <si>
    <t>Augmentation Pressure Point P2</t>
  </si>
  <si>
    <t>C199923</t>
  </si>
  <si>
    <t>AB42AB40</t>
  </si>
  <si>
    <t>Amyloid Beta 1-42/Amyloid Beta 1-40</t>
  </si>
  <si>
    <t>A relative measurement (ratio) of the amyloid beta 1-42 to amyloid beta 1-40 in a biological specimen.</t>
  </si>
  <si>
    <t>Amyloid Beta 1-42 to Amyloid Beta 1-40 Ratio Measurement</t>
  </si>
  <si>
    <t>C221591</t>
  </si>
  <si>
    <t>ABA</t>
  </si>
  <si>
    <t>Acinetobacter baumannii</t>
  </si>
  <si>
    <t>A measurement of Acinetobacter baumannii in a biological specimen.</t>
  </si>
  <si>
    <t>Acinetobacter baumannii Measurement</t>
  </si>
  <si>
    <t>C184526</t>
  </si>
  <si>
    <t>ABFBCA</t>
  </si>
  <si>
    <t>AB-FUBINACA</t>
  </si>
  <si>
    <t>A measurement of the synthetic cannabinoid AB-FUBINACA in a biological specimen.</t>
  </si>
  <si>
    <t>AB-FUBINACA Measurement</t>
  </si>
  <si>
    <t>VS</t>
  </si>
  <si>
    <t>C87304</t>
  </si>
  <si>
    <t>ABI</t>
  </si>
  <si>
    <t>Ankle-Brachial Index</t>
  </si>
  <si>
    <t>The ratio of ankle systolic pressure to brachial systolic pressure, used to assess arterial insufficiency in the lower extremities.</t>
  </si>
  <si>
    <t>MI</t>
  </si>
  <si>
    <t>C111124</t>
  </si>
  <si>
    <t>ABNCE</t>
  </si>
  <si>
    <t>Abnormal Cells</t>
  </si>
  <si>
    <t>A measurement of the abnormal cells in a biological specimen.</t>
  </si>
  <si>
    <t>Abnormal Cell Count</t>
  </si>
  <si>
    <t>C150835</t>
  </si>
  <si>
    <t>ABNCECE</t>
  </si>
  <si>
    <t>Abnormal Cells/Total Cells</t>
  </si>
  <si>
    <t>A relative measurement (ratio or percentage) of abnormal cells to total cells in a biological specimen.</t>
  </si>
  <si>
    <t>Abnormal Cells to Total Cells Ratio Measurement</t>
  </si>
  <si>
    <t>C150834</t>
  </si>
  <si>
    <t>ABNCELE</t>
  </si>
  <si>
    <t>Abnormal Cells/Leukocytes</t>
  </si>
  <si>
    <t>A relative measurement (ratio or percentage) of abnormal cells to leukocytes in a biological specimen.</t>
  </si>
  <si>
    <t>Abnormal Cells to Leukocytes Ratio Measurement</t>
  </si>
  <si>
    <t>C125939</t>
  </si>
  <si>
    <t>ABO</t>
  </si>
  <si>
    <t>ABO Blood Group</t>
  </si>
  <si>
    <t>The characterization of the blood type of an individual by testing for the presence of A antigen and B antigen on the surface of red blood cells.</t>
  </si>
  <si>
    <t>ABO Blood Group Determination</t>
  </si>
  <si>
    <t>C135397</t>
  </si>
  <si>
    <t>ABOA1</t>
  </si>
  <si>
    <t>ABO A1 Subtype</t>
  </si>
  <si>
    <t>The characterization of the ABO blood group A1 subtype in an individual. (NCI)</t>
  </si>
  <si>
    <t>ABO A1 Subtype Determination</t>
  </si>
  <si>
    <t>RP</t>
  </si>
  <si>
    <t>C106550</t>
  </si>
  <si>
    <t>ABORTN</t>
  </si>
  <si>
    <t>Number of Abortions</t>
  </si>
  <si>
    <t>A measurement of the total number of instances in which there has been a spontaneous termination of pregnancy (miscarriage) or elective termination of pregnancy.</t>
  </si>
  <si>
    <t>C204641</t>
  </si>
  <si>
    <t>ABP4</t>
  </si>
  <si>
    <t>4-Aminobiphenyl</t>
  </si>
  <si>
    <t>4-ABP; 4-Aminobiphenyl</t>
  </si>
  <si>
    <t>A measurement of the 4-aminobiphenyl in a specimen.</t>
  </si>
  <si>
    <t>4-Aminobiphenyl Measurement</t>
  </si>
  <si>
    <t>C184527</t>
  </si>
  <si>
    <t>ABPNCA</t>
  </si>
  <si>
    <t>AB-PINACA</t>
  </si>
  <si>
    <t>A measurement of the synthetic cannabinoid AB-PINACA in a biological specimen.</t>
  </si>
  <si>
    <t>AB-PINACA Measurement</t>
  </si>
  <si>
    <t>NV</t>
  </si>
  <si>
    <t>C181572</t>
  </si>
  <si>
    <t>ABRIAL</t>
  </si>
  <si>
    <t>ABR Wave I, Absolute Latency</t>
  </si>
  <si>
    <t>ABR Wave I, Absolute Latency; Auditory Brainstem Response Wave I, Absolute Latency</t>
  </si>
  <si>
    <t>A measurement of the absolute latency of the auditory brainstem response wave I of the auditory evoked potential waveform.</t>
  </si>
  <si>
    <t>Auditory Brainstem Response Wave I, Absolute Latency</t>
  </si>
  <si>
    <t>C181574</t>
  </si>
  <si>
    <t>ABRVA</t>
  </si>
  <si>
    <t>ABR Wave V, Amplitude</t>
  </si>
  <si>
    <t>ABR Wave V, Amplitude; Auditory Brainstem Response Wave V, Amplitude</t>
  </si>
  <si>
    <t>A measurement of the magnitude, or height, of the auditory brainstem response wave V of the auditory evoked potential waveform.</t>
  </si>
  <si>
    <t>Auditory Brainstem Response Wave V, Amplitude</t>
  </si>
  <si>
    <t>C181573</t>
  </si>
  <si>
    <t>ABRVAL</t>
  </si>
  <si>
    <t>ABR Wave V, Absolute Latency</t>
  </si>
  <si>
    <t>ABR Wave V, Absolute Latency; Auditory Brainstem Response Wave V, Absolute Latency</t>
  </si>
  <si>
    <t>A measurement of the absolute latency of the auditory brainstem response wave V of the auditory evoked potential waveform.</t>
  </si>
  <si>
    <t>Auditory Brainstem Response Wave V, Absolute Latency</t>
  </si>
  <si>
    <t>C181575</t>
  </si>
  <si>
    <t>ABRVP</t>
  </si>
  <si>
    <t>ABR Wave V, Presence</t>
  </si>
  <si>
    <t>ABR Wave V, Presence; Auditory Brainstem Response Wave V, Presence</t>
  </si>
  <si>
    <t>An assessment of the presence of the auditory brainstem response wave V of the auditory evoked potential waveform.</t>
  </si>
  <si>
    <t>Auditory Brainstem Response Wave V, Presence</t>
  </si>
  <si>
    <t>IS</t>
  </si>
  <si>
    <t>C181399</t>
  </si>
  <si>
    <t>ABSCCL</t>
  </si>
  <si>
    <t>Antibody-secreting Cells</t>
  </si>
  <si>
    <t>A measurement of the antibody-secreting cells in a biological specimen.</t>
  </si>
  <si>
    <t>Antibody-secreting Cells Measurement</t>
  </si>
  <si>
    <t>C103346</t>
  </si>
  <si>
    <t>ABSKNF</t>
  </si>
  <si>
    <t>Abdominal Skinfold Thickness</t>
  </si>
  <si>
    <t>A measurement for determining the subcutaneous fat layer thickness whereby a pinch of skin approximately five centimeters to the right of the umbilicus is measured using calipers. (NCI)</t>
  </si>
  <si>
    <t>C74699</t>
  </si>
  <si>
    <t>ACANT</t>
  </si>
  <si>
    <t>Acanthocytes</t>
  </si>
  <si>
    <t>A measurement of the acanthocytes in a biological specimen.</t>
  </si>
  <si>
    <t>Acanthocyte Count</t>
  </si>
  <si>
    <t>C74633</t>
  </si>
  <si>
    <t>ACANTRBC</t>
  </si>
  <si>
    <t>Acanthocytes/Erythrocytes</t>
  </si>
  <si>
    <t>A relative measurement (ratio or percentage) of acanthocytes to all erythrocytes in a biological specimen.</t>
  </si>
  <si>
    <t>Acanthocyte to Erythrocyte Ratio Measurement</t>
  </si>
  <si>
    <t>C191309</t>
  </si>
  <si>
    <t>ACBCM</t>
  </si>
  <si>
    <t>A. calcoaceticus-baumannii Complex</t>
  </si>
  <si>
    <t>A. calcoaceticus-baumannii Complex; Acinetobacter calcoaceticus-baumannii Complex</t>
  </si>
  <si>
    <t>A measurement of the Acinetobacter calcoaceticus-baumannii complex in a biological specimen.</t>
  </si>
  <si>
    <t>Acinetobacter calcoaceticus/baumannii Complex Measurement</t>
  </si>
  <si>
    <t>C191308</t>
  </si>
  <si>
    <t>ACBCMDNA</t>
  </si>
  <si>
    <t>A. calcoaceticus-baumannii Complex DNA</t>
  </si>
  <si>
    <t>A. calcoaceticus-baumannii Complex DNA; Acinetobacter calcoaceticus-baumannii Complex DNA</t>
  </si>
  <si>
    <t>A measurement of Acinetobacter Calcoaceticus-Baumannii complex DNA in a biological specimen.</t>
  </si>
  <si>
    <t>Acinetobacter calcoaceticus/baumannii Complex DNA Measurement</t>
  </si>
  <si>
    <t>TR</t>
  </si>
  <si>
    <t>C214746</t>
  </si>
  <si>
    <t>ACBSPPD</t>
  </si>
  <si>
    <t>Absolute Change Baseline in Sum of PPD</t>
  </si>
  <si>
    <t>The current sum of products of perpendicular diameters minus the baseline sum of products of perpendicular diameters.</t>
  </si>
  <si>
    <t>Absolute Change From Baseline in Sum of Products of Perpendicular Diameter</t>
  </si>
  <si>
    <t>C221549</t>
  </si>
  <si>
    <t>ACC</t>
  </si>
  <si>
    <t>Acetyl-CoA Carboxylase</t>
  </si>
  <si>
    <t>ACC; Acetyl-CoA Carboxylase</t>
  </si>
  <si>
    <t>A measurement of the total acetyl-CoA carboxylase in a biological specimen.</t>
  </si>
  <si>
    <t>Acetyl-CoA Carboxylase Measurement</t>
  </si>
  <si>
    <t>C221550</t>
  </si>
  <si>
    <t>ACCP</t>
  </si>
  <si>
    <t>Phosphorylated Acetyl-CoA Carboxylase</t>
  </si>
  <si>
    <t>pACC; pAcetyl-CoA Carboxylase; Phosphorylated Acetyl-CoA Carboxylase</t>
  </si>
  <si>
    <t>A measurement of the phosphorylated acetyl-CoA carboxylase in a biological specimen.</t>
  </si>
  <si>
    <t>Phosphorylated Acetyl-CoA Carboxylase Measurement</t>
  </si>
  <si>
    <t>C221551</t>
  </si>
  <si>
    <t>ACCPACC</t>
  </si>
  <si>
    <t>pAcetyl-CoA Carboxylase/ACC</t>
  </si>
  <si>
    <t>pACC/ACC; pAcetyl-CoA Carboxylase/ACC; Phosphorylated Acetyl-CoA Carboxylase/Acetyl-CoA Carboxylase</t>
  </si>
  <si>
    <t>A relative measurement (ratio or percentage) of the phosphorylated acetyl-CoA carboxylase to total acetyl-CoA carboxylase in a biological specimen.</t>
  </si>
  <si>
    <t>Phosphorylated Acetyl-CoA Carboxylase to Acetyl-CoA Carboxylase Ratio Measurement</t>
  </si>
  <si>
    <t>C181485</t>
  </si>
  <si>
    <t>ACDOBOD</t>
  </si>
  <si>
    <t>Acidophil Body</t>
  </si>
  <si>
    <t>Acidophil Bodies; Acidophil Body</t>
  </si>
  <si>
    <t>An evaluation of acidophil bodies in a biological specimen.</t>
  </si>
  <si>
    <t>Acidophil Body Assessment</t>
  </si>
  <si>
    <t>C80169</t>
  </si>
  <si>
    <t>ACE</t>
  </si>
  <si>
    <t>Angiotensin Converting Enzyme</t>
  </si>
  <si>
    <t>A measurement of the angiotensin converting enzyme in a biological specimen.</t>
  </si>
  <si>
    <t>Angiotensin Converting Enzyme Measurement</t>
  </si>
  <si>
    <t>C135398</t>
  </si>
  <si>
    <t>ACETAMIN</t>
  </si>
  <si>
    <t>Acetaminophen</t>
  </si>
  <si>
    <t>Acetaminophen; Paracetamol</t>
  </si>
  <si>
    <t>A measurement of the acetaminophen in a biological specimen.</t>
  </si>
  <si>
    <t>Acetaminophen Measurement</t>
  </si>
  <si>
    <t>C92247</t>
  </si>
  <si>
    <t>ACETOAC</t>
  </si>
  <si>
    <t>Acetoacetic Acid</t>
  </si>
  <si>
    <t>Acetoacetate; Acetoacetic Acid</t>
  </si>
  <si>
    <t>A measurement of the acetoacetic acid in a biological specimen.</t>
  </si>
  <si>
    <t>Acetoacetic Acid Measurement</t>
  </si>
  <si>
    <t>C147288</t>
  </si>
  <si>
    <t>ACETONE</t>
  </si>
  <si>
    <t>Acetone</t>
  </si>
  <si>
    <t>A measurement of the acetone in a specimen.</t>
  </si>
  <si>
    <t>Acetone Measurement</t>
  </si>
  <si>
    <t>C74838</t>
  </si>
  <si>
    <t>ACH</t>
  </si>
  <si>
    <t>Acetylcholine</t>
  </si>
  <si>
    <t>A measurement of the acetylcholine hormone in a biological specimen.</t>
  </si>
  <si>
    <t>Acetylcholine Measurement</t>
  </si>
  <si>
    <t>C96560</t>
  </si>
  <si>
    <t>ACHE</t>
  </si>
  <si>
    <t>Acetylcholinesterase</t>
  </si>
  <si>
    <t>A measurement of the acetylcholinesterase in a biological specimen.</t>
  </si>
  <si>
    <t>Acetylcholinesterase Measurement</t>
  </si>
  <si>
    <t>C103347</t>
  </si>
  <si>
    <t>ACHNAD</t>
  </si>
  <si>
    <t>Absolute Change From Nadir</t>
  </si>
  <si>
    <t>The current value minus the lowest value previously recorded.</t>
  </si>
  <si>
    <t>C179755</t>
  </si>
  <si>
    <t>ACINETOB</t>
  </si>
  <si>
    <t>Acinetobacter</t>
  </si>
  <si>
    <t>A measurement of the organisms that are not assigned to the species level but are assigned to the Acinetobacter genus level in a biological specimen.</t>
  </si>
  <si>
    <t>Acinetobacter Measurement</t>
  </si>
  <si>
    <t>C135506</t>
  </si>
  <si>
    <t>ACNDOREN</t>
  </si>
  <si>
    <t>Absolute Change Nadir in Organ Enlarge</t>
  </si>
  <si>
    <t>Absolute Change Nadir in Organ Enlarge; Absolute Change Nadir in Organ Enlargement</t>
  </si>
  <si>
    <t>The current organ enlargement minus the lowest organ enlargement previously recorded. (NCI)</t>
  </si>
  <si>
    <t>Absolute Change from Nadir in Organ Enlargement</t>
  </si>
  <si>
    <t>C112218</t>
  </si>
  <si>
    <t>ACNSD</t>
  </si>
  <si>
    <t>Absolute Change Nadir in Sum of Diam</t>
  </si>
  <si>
    <t>The current sum of diameters minus the lowest sum of diameters previously recorded.</t>
  </si>
  <si>
    <t>Absolute Change from Nadir in Sum of Diameter</t>
  </si>
  <si>
    <t>C214747</t>
  </si>
  <si>
    <t>ACNSPPD</t>
  </si>
  <si>
    <t>Absolute Change Nadir in Sum of PPD</t>
  </si>
  <si>
    <t>The current sum of products of perpendicular diameters minus the lowest sum of products of perpendicular diameters previously recorded.</t>
  </si>
  <si>
    <t>Absolute Change From Nadir in Sum of Products of Perpendicular Diameter</t>
  </si>
  <si>
    <t>C80163</t>
  </si>
  <si>
    <t>ACPHOS</t>
  </si>
  <si>
    <t>Acid Phosphatase</t>
  </si>
  <si>
    <t>A measurement of the acid phosphatase in a biological specimen.</t>
  </si>
  <si>
    <t>Acid Phosphatase Measurement</t>
  </si>
  <si>
    <t>C147488</t>
  </si>
  <si>
    <t>ACPPDNLD</t>
  </si>
  <si>
    <t>Absolute Change From PPD Nadir in LDIAM</t>
  </si>
  <si>
    <t>The absolute change (positive or negative) in the longest diameter of the lesion from the timepoint at which the product of perpendicular diameters of the lesion is the smallest.</t>
  </si>
  <si>
    <t>Absolute Change in Longest Diameter From Nadir Product of Perpendicular Diameters Timepoint</t>
  </si>
  <si>
    <t>C147489</t>
  </si>
  <si>
    <t>ACPPDNLP</t>
  </si>
  <si>
    <t>Absolute Change From PPD Nadir in LPERP</t>
  </si>
  <si>
    <t>The absolute change (positive or negative) in the longest perpendicular of the lesion from the timepoint at which the product of perpendicular diameters of the lesion is the smallest.</t>
  </si>
  <si>
    <t>Absolute Change in Longest Perpendicular from Nadir Product of Perpendicular Diameters Timepoint</t>
  </si>
  <si>
    <t>C139033</t>
  </si>
  <si>
    <t>ACRCTIND</t>
  </si>
  <si>
    <t>Aortic Coarctation Indicator</t>
  </si>
  <si>
    <t>An indication as to whether there is coarctation of the aorta.</t>
  </si>
  <si>
    <t>C139037</t>
  </si>
  <si>
    <t>ACRCTSEV</t>
  </si>
  <si>
    <t>Aortic Coarctation Severity</t>
  </si>
  <si>
    <t>The assessment of the severity of aortic coarctation.</t>
  </si>
  <si>
    <t>C147289</t>
  </si>
  <si>
    <t>ACRNCRNF</t>
  </si>
  <si>
    <t>Acylcarnitine/Carnitine, Free</t>
  </si>
  <si>
    <t>A relative measurement (ratio or percentage) of the acylcarnitine to free carnitine in a biological specimen.</t>
  </si>
  <si>
    <t>Acylcarnitine to Free Carnitine Ratio Measurement</t>
  </si>
  <si>
    <t>C204643</t>
  </si>
  <si>
    <t>ACROLEIN</t>
  </si>
  <si>
    <t>Acrolein</t>
  </si>
  <si>
    <t>A measurement of the acrolein in a specimen.</t>
  </si>
  <si>
    <t>Acrolein Measurement</t>
  </si>
  <si>
    <t>C204644</t>
  </si>
  <si>
    <t>ACRYNTRL</t>
  </si>
  <si>
    <t>Acrylonitrile</t>
  </si>
  <si>
    <t>A measurement of the acrylonitrile in a specimen.</t>
  </si>
  <si>
    <t>Acrylonitrile Measurement</t>
  </si>
  <si>
    <t>C189522</t>
  </si>
  <si>
    <t>ACSPGM</t>
  </si>
  <si>
    <t>Acid Sphingomyelinase</t>
  </si>
  <si>
    <t>A measurement of the acid sphingomyelinase in a biological specimen.</t>
  </si>
  <si>
    <t>Sphingomyelin Phosphodiesterase Measurement</t>
  </si>
  <si>
    <t>C221517</t>
  </si>
  <si>
    <t>ACSPRCAT</t>
  </si>
  <si>
    <t>Acute Coronary Syndrome Presentation Cat</t>
  </si>
  <si>
    <t>Acute Coronary Syndrome Presentation Cat; Acute Coronary Syndrome Presentation Category</t>
  </si>
  <si>
    <t>A classification of the compilation of symptoms and/or clinical manifestation of acute coronary syndrome.</t>
  </si>
  <si>
    <t>Acute Coronary Syndrome Presentation Category</t>
  </si>
  <si>
    <t>C103348</t>
  </si>
  <si>
    <t>ACT</t>
  </si>
  <si>
    <t>Activated Coagulation Time</t>
  </si>
  <si>
    <t>Activated Clotting Time; Activated Coagulation Time</t>
  </si>
  <si>
    <t>A measurement of the inhibition of blood coagulation in response to anticoagulant therapies.</t>
  </si>
  <si>
    <t>C189521</t>
  </si>
  <si>
    <t>ACTACEXR</t>
  </si>
  <si>
    <t>Acetoacetic Acid Excretion Rate</t>
  </si>
  <si>
    <t>Acetoacetate Excretion Rate; Acetoacetic Acid Excretion Rate</t>
  </si>
  <si>
    <t>A measurement of the amount of acetoacetic acid being excreted in a biological specimen over a defined period of time (e.g. one hour).</t>
  </si>
  <si>
    <t>Acetoacetic Acid Excretion Rate Measurement</t>
  </si>
  <si>
    <t>C204642</t>
  </si>
  <si>
    <t>ACTALD</t>
  </si>
  <si>
    <t>Acetaldehyde</t>
  </si>
  <si>
    <t>A measurement of the acetaldehyde in a specimen.</t>
  </si>
  <si>
    <t>Acetaldehyde Measurement</t>
  </si>
  <si>
    <t>C184510</t>
  </si>
  <si>
    <t>ACTB</t>
  </si>
  <si>
    <t>Beta-Actin</t>
  </si>
  <si>
    <t>Actin Beta; B-Actin; Beta-Actin</t>
  </si>
  <si>
    <t>A measurement of the beta-actin in a biological specimen.</t>
  </si>
  <si>
    <t>Beta-Actin Measurement</t>
  </si>
  <si>
    <t>C74780</t>
  </si>
  <si>
    <t>ACTH</t>
  </si>
  <si>
    <t>Adrenocorticotropic Hormone</t>
  </si>
  <si>
    <t>Adrenocorticotropic Hormone; Corticotropin</t>
  </si>
  <si>
    <t>A measurement of the adrenocorticotropic hormone in a biological specimen.</t>
  </si>
  <si>
    <t>Adrenocorticotropic Hormone Measurement</t>
  </si>
  <si>
    <t>TS</t>
  </si>
  <si>
    <t>C98703</t>
  </si>
  <si>
    <t>ACTSUB</t>
  </si>
  <si>
    <t>Actual Number of Subjects</t>
  </si>
  <si>
    <t>Actual number of subjects enrolled; may include subjects who were not randomized.</t>
  </si>
  <si>
    <t>Actual Subject Number</t>
  </si>
  <si>
    <t>C202385</t>
  </si>
  <si>
    <t>ACTVNA</t>
  </si>
  <si>
    <t>Activin A</t>
  </si>
  <si>
    <t>A measurement of the activin A (a homodimer consisting of Inhibin Subunit Beta A) in a biological specimen.</t>
  </si>
  <si>
    <t>Activin A Measurement</t>
  </si>
  <si>
    <t>C202386</t>
  </si>
  <si>
    <t>ACTVNAB</t>
  </si>
  <si>
    <t>Activin AB</t>
  </si>
  <si>
    <t>A measurement of the activin AB (a heterodimer consisting of Inhibin Subunit Beta A and Inhibin Subunit Beta B) in a biological specimen.</t>
  </si>
  <si>
    <t>Activin AB Measurement</t>
  </si>
  <si>
    <t>C202387</t>
  </si>
  <si>
    <t>ACTVNB</t>
  </si>
  <si>
    <t>Activin B</t>
  </si>
  <si>
    <t>A measurement of the activin B (a homodimer consisting of Inhibin Subunit Beta B) in a biological specimen.</t>
  </si>
  <si>
    <t>Activin B Measurement</t>
  </si>
  <si>
    <t>C156535</t>
  </si>
  <si>
    <t>ACYCRNTN</t>
  </si>
  <si>
    <t>Acylcarnitine</t>
  </si>
  <si>
    <t>A measurement of the acylcarnitine in a biological specimen.</t>
  </si>
  <si>
    <t>Acylcarnitine Measurement</t>
  </si>
  <si>
    <t>C156534</t>
  </si>
  <si>
    <t>ACYGLYCN</t>
  </si>
  <si>
    <t>Acylglycine</t>
  </si>
  <si>
    <t>A measurement of the acylglycine in a biological specimen.</t>
  </si>
  <si>
    <t>Acylglycine Measurement</t>
  </si>
  <si>
    <t>C92286</t>
  </si>
  <si>
    <t>ACYLCAOX</t>
  </si>
  <si>
    <t>Acyl Coenzyme A Oxidase</t>
  </si>
  <si>
    <t>Acyl CoA Oxidase; Acyl Coenzyme A Oxidase; Fatty Acyl Coenzyme A Oxidase</t>
  </si>
  <si>
    <t>A measurement of the acyl coenzyme A oxidase in a biological specimen.</t>
  </si>
  <si>
    <t>Acyl Coenzyme A Oxidase Measurement</t>
  </si>
  <si>
    <t>C147272</t>
  </si>
  <si>
    <t>ADA_BAB</t>
  </si>
  <si>
    <t>Binding Antidrug Antibody</t>
  </si>
  <si>
    <t>A measurement of the binding antidrug antibody in a biological specimen. A binding antidrug antibody is an antibody that binds to a test article, and/or portion(s) of the test article.</t>
  </si>
  <si>
    <t>Binding Antidrug Antibody Measurement</t>
  </si>
  <si>
    <t>C147273</t>
  </si>
  <si>
    <t>ADA_NAB</t>
  </si>
  <si>
    <t>Neutralizing Binding Antidrug Antibody</t>
  </si>
  <si>
    <t>A measurement of the neutralizing binding antidrug antibody in a biological specimen. A neutralizing binding antidrug antibody is a type of ADA that binds to the functional portion of a test article leading to diminished or negated pharmacological activit</t>
  </si>
  <si>
    <t>Neutralizing Binding Antidrug Antibody Measurement</t>
  </si>
  <si>
    <t>C147274</t>
  </si>
  <si>
    <t>ADA_NX</t>
  </si>
  <si>
    <t>Neutraliz Cross-React Bind Antidrug AB</t>
  </si>
  <si>
    <t>Neutraliz Cross-React Bind Antidrug AB; Neutralizing Cross-Reactive Binding Antidrug Antibody</t>
  </si>
  <si>
    <t>A measurement of the neutralizing cross-reactive binding antidrug antibody in a biological specimen. A neutralizing cross-reactive binding antidrug antibody is a type of ADA that binds to an endogenous molecule that is structurally similar to an analogue</t>
  </si>
  <si>
    <t>Neutralizing Cross-Reacting Binding Antidrug Antibody Measurement</t>
  </si>
  <si>
    <t>C147275</t>
  </si>
  <si>
    <t>ADA_X</t>
  </si>
  <si>
    <t>Cross-Reactive Binding Antidrug Antibody</t>
  </si>
  <si>
    <t>A measurement of the cross-reactive binding antidrug antibody in a biological specimen. A cross-reactive binding antidrug antibody is a type of ADA that binds to the endogenous molecule that is structurally similar to an analogue test article.</t>
  </si>
  <si>
    <t>Cross-Reactive Binding Antidrug Antibody Measurement</t>
  </si>
  <si>
    <t>C147290</t>
  </si>
  <si>
    <t>ADAM8</t>
  </si>
  <si>
    <t>ADAM Metallopeptidase Domain 8</t>
  </si>
  <si>
    <t>A Disintegrin And Metalloproteinase Domain 8; ADAM Metallopeptidase Domain 8; Soluble CD156a</t>
  </si>
  <si>
    <t>A measurement of the ADAM metallopeptidase domain 8 protein in a biological specimen.</t>
  </si>
  <si>
    <t>ADAM Metallopeptidase Domain 8 Measurement</t>
  </si>
  <si>
    <t>C187684</t>
  </si>
  <si>
    <t>ADAMTS13</t>
  </si>
  <si>
    <t>A Disintegrin-Like And Metalloprotease (Reprolysin Type) With Thrombospondin Type 1 Motif, 13; ADAM Metallopeptidase With Thrombospondin Type 1 Motif 13; von Willebrand Coagulation Factor Cleaving Protease ADAMTS13</t>
  </si>
  <si>
    <t>A measurement of the von Willebrand coagulation factor cleaving protease, ADAMTS13, in a biological specimen.</t>
  </si>
  <si>
    <t>von Willebrand Coagulation Factor Cleaving Protease Measurement</t>
  </si>
  <si>
    <t>C146995</t>
  </si>
  <si>
    <t>ADAPT</t>
  </si>
  <si>
    <t>Adaptive Design</t>
  </si>
  <si>
    <t>Indicate if the study includes a prospectively planned opportunity for modification of one or more specified aspects of the study design and hypotheses based on analysis of data (usually interim data) from subjects in the study.</t>
  </si>
  <si>
    <t>Adaptive Study Design Indicator</t>
  </si>
  <si>
    <t>C181362</t>
  </si>
  <si>
    <t>ADBIGA</t>
  </si>
  <si>
    <t>Binding Antidrug IgA Antibody</t>
  </si>
  <si>
    <t>A measurement of the binding antidrug IgA antibody in a biological specimen.</t>
  </si>
  <si>
    <t>Binding Antidrug IgA Antibody Measurement</t>
  </si>
  <si>
    <t>C181363</t>
  </si>
  <si>
    <t>ADBIGE</t>
  </si>
  <si>
    <t>Binding Antidrug IgE Antibody</t>
  </si>
  <si>
    <t>A measurement of the binding antidrug IgE antibody in a biological specimen.</t>
  </si>
  <si>
    <t>Binding Antidrug IgE Antibody Measurement</t>
  </si>
  <si>
    <t>C181188</t>
  </si>
  <si>
    <t>ADBIGG</t>
  </si>
  <si>
    <t>Binding Antidrug IgG Antibody</t>
  </si>
  <si>
    <t>A measurement of the binding antidrug IgG antibody in a biological specimen.</t>
  </si>
  <si>
    <t>Binding Antidrug IgG Antibody Measurement</t>
  </si>
  <si>
    <t>C181366</t>
  </si>
  <si>
    <t>ADBIGG1</t>
  </si>
  <si>
    <t>Binding Antidrug IgG1 Antibody</t>
  </si>
  <si>
    <t>A measurement of the binding antidrug IgG1 antibody in a biological specimen.</t>
  </si>
  <si>
    <t>Binding Antidrug IgG1 Antibody Measurement</t>
  </si>
  <si>
    <t>C181367</t>
  </si>
  <si>
    <t>ADBIGG2</t>
  </si>
  <si>
    <t>Binding Antidrug IgG2 Antibody</t>
  </si>
  <si>
    <t>A measurement of the binding antidrug IgG2 antibody in a biological specimen.</t>
  </si>
  <si>
    <t>Binding Antidrug IgG2 Antibody Measurement</t>
  </si>
  <si>
    <t>C181368</t>
  </si>
  <si>
    <t>ADBIGG3</t>
  </si>
  <si>
    <t>Binding Antidrug IgG3 Antibody</t>
  </si>
  <si>
    <t>A measurement of the binding antidrug IgG3 antibody in a biological specimen.</t>
  </si>
  <si>
    <t>Binding Antidrug IgG3 Antibody Measurement</t>
  </si>
  <si>
    <t>C181369</t>
  </si>
  <si>
    <t>ADBIGG4</t>
  </si>
  <si>
    <t>Binding Antidrug IgG4 Antibody</t>
  </si>
  <si>
    <t>A measurement of the binding antidrug IgG4 antibody in a biological specimen.</t>
  </si>
  <si>
    <t>Binding Antidrug IgG4 Antibody Measurement</t>
  </si>
  <si>
    <t>C181365</t>
  </si>
  <si>
    <t>ADBIGGM</t>
  </si>
  <si>
    <t>Binding Antidrug IgG/IgM Antibody</t>
  </si>
  <si>
    <t>A measurement of the binding antidrug IgG and/or IgM antibody in a biological specimen.</t>
  </si>
  <si>
    <t>Binding Antidrug IgG/IgM Antibody Measurement</t>
  </si>
  <si>
    <t>C181364</t>
  </si>
  <si>
    <t>ADBIGM</t>
  </si>
  <si>
    <t>Binding Antidrug IgM Antibody</t>
  </si>
  <si>
    <t>A measurement of the binding antidrug IgM antibody in a biological specimen.</t>
  </si>
  <si>
    <t>Binding Antidrug IgM Antibody Measurement</t>
  </si>
  <si>
    <t>C184529</t>
  </si>
  <si>
    <t>ADBPNCA</t>
  </si>
  <si>
    <t>ADB-PINACA</t>
  </si>
  <si>
    <t>A measurement of the synthetic cannabinoid ADB-PINACA in a biological specimen.</t>
  </si>
  <si>
    <t>ADB-PINACA Measurement</t>
  </si>
  <si>
    <t>C181378</t>
  </si>
  <si>
    <t>ADBXIGA</t>
  </si>
  <si>
    <t>Cross-Reactive Binding Antidrug IgA AB</t>
  </si>
  <si>
    <t>Cross-Reactive Binding Antidrug IgA AB; Cross-Reactive Binding Antidrug IgA Antibody</t>
  </si>
  <si>
    <t>A measurement of the cross-reactive binding antidrug IgA antibody in a biological specimen.</t>
  </si>
  <si>
    <t>Cross-Reactive Binding Antidrug IgA Antibody Measurement</t>
  </si>
  <si>
    <t>C181379</t>
  </si>
  <si>
    <t>ADBXIGE</t>
  </si>
  <si>
    <t>Cross-Reactive Binding Antidrug IgE AB</t>
  </si>
  <si>
    <t>Cross-Reactive Binding Antidrug IgE AB; Cross-Reactive Binding Antidrug IgE Antibody</t>
  </si>
  <si>
    <t>A measurement of the cross-reactive binding antidrug IgE antibody in a biological specimen.</t>
  </si>
  <si>
    <t>Cross-Reactive Binding Antidrug IgE Antibody Measurement</t>
  </si>
  <si>
    <t>C181190</t>
  </si>
  <si>
    <t>ADBXIGG</t>
  </si>
  <si>
    <t>Cross-Reactive Binding Antidrug IgG AB</t>
  </si>
  <si>
    <t>Cross-Reactive Binding Antidrug IgG AB; Cross-Reactive Binding Antidrug IgG Antibody</t>
  </si>
  <si>
    <t>A measurement of the cross-reactive binding antidrug IgG antibody in a biological specimen.</t>
  </si>
  <si>
    <t>Cross-Reactive Binding Antidrug IgG Antibody Measurement</t>
  </si>
  <si>
    <t>C181382</t>
  </si>
  <si>
    <t>ADBXIGG1</t>
  </si>
  <si>
    <t>Cross-Reactive Binding Antidrug IgG1 AB</t>
  </si>
  <si>
    <t>Cross-Reactive Binding Antidrug IgG1 AB; Cross-Reactive Binding Antidrug IgG1 Antibody</t>
  </si>
  <si>
    <t>A measurement of the cross-reactive binding antidrug IgG1 antibody in a biological specimen.</t>
  </si>
  <si>
    <t>Cross-Reactive Binding Antidrug IgG1 Antibody Measurement</t>
  </si>
  <si>
    <t>C181383</t>
  </si>
  <si>
    <t>ADBXIGG2</t>
  </si>
  <si>
    <t>Cross-Reactive Binding Antidrug IgG2 AB</t>
  </si>
  <si>
    <t>Cross-Reactive Binding Antidrug IgG2 AB; Cross-Reactive Binding Antidrug IgG2 Antibody</t>
  </si>
  <si>
    <t>A measurement of the cross-reactive binding antidrug IgG2 antibody in a biological specimen.</t>
  </si>
  <si>
    <t>Cross-Reactive Binding Antidrug IgG2 Antibody Measurement</t>
  </si>
  <si>
    <t>C181384</t>
  </si>
  <si>
    <t>ADBXIGG3</t>
  </si>
  <si>
    <t>Cross-Reactive Binding Antidrug IgG3 AB</t>
  </si>
  <si>
    <t>Cross-Reactive Binding Antidrug IgG3 AB; Cross-Reactive Binding Antidrug IgG3 Antibody</t>
  </si>
  <si>
    <t>A measurement of the cross-reactive binding antidrug IgG3 antibody in a biological specimen.</t>
  </si>
  <si>
    <t>Cross-Reactive Binding Antidrug IgG3 Antibody Measurement</t>
  </si>
  <si>
    <t>C181385</t>
  </si>
  <si>
    <t>ADBXIGG4</t>
  </si>
  <si>
    <t>Cross-Reactive Binding Antidrug IgG4 AB</t>
  </si>
  <si>
    <t>Cross-Reactive Binding Antidrug IgG4 AB; Cross-Reactive Binding Antidrug IgG4 Antibody</t>
  </si>
  <si>
    <t>A measurement of the cross-reactive binding antidrug IgG4 antibody in a biological specimen.</t>
  </si>
  <si>
    <t>Cross-Reactive Binding Antidrug IgG4 Antibody Measurement</t>
  </si>
  <si>
    <t>C181381</t>
  </si>
  <si>
    <t>ADBXIGGM</t>
  </si>
  <si>
    <t>Cross-Reactive Binding ADA IgG/IgM</t>
  </si>
  <si>
    <t>Cross-Reactive Binding ADA IgG/IgM; Cross-Reactive Binding Antidrug IgG/IgM Antibody</t>
  </si>
  <si>
    <t>A measurement of the cross-reactive binding antidrug IgG and/or IgM antibody in a biological specimen.</t>
  </si>
  <si>
    <t>Cross-Reactive Binding Antidrug Antibody IgG/IgM Measurement</t>
  </si>
  <si>
    <t>C181380</t>
  </si>
  <si>
    <t>ADBXIGM</t>
  </si>
  <si>
    <t>Cross-Reactive Binding Antidrug IgM AB</t>
  </si>
  <si>
    <t>Cross-Reactive Binding Antidrug IgM AB; Cross-Reactive Binding Antidrug IgM Antibody</t>
  </si>
  <si>
    <t>A measurement of the cross-reactive binding antidrug IgM antibody in a biological specimen.</t>
  </si>
  <si>
    <t>Cross-Reactive Binding Antidrug IgM Antibody Measurement</t>
  </si>
  <si>
    <t>C49703</t>
  </si>
  <si>
    <t>ADDON</t>
  </si>
  <si>
    <t>Added on to Existing Treatments</t>
  </si>
  <si>
    <t>The addition of a therapeutic or other study product to the existing regimen in a study, where both entities remain as discrete products.</t>
  </si>
  <si>
    <t>Test Product Added to Existing Treatment</t>
  </si>
  <si>
    <t>RE</t>
  </si>
  <si>
    <t>C189634</t>
  </si>
  <si>
    <t>ADDRELF</t>
  </si>
  <si>
    <t>Additional Disease-Related Findings</t>
  </si>
  <si>
    <t>A determination of additional abnormalities and/or other observations that may be associated with the disease of interest, for which a targeted test has not been identified in the data.</t>
  </si>
  <si>
    <t>C221629</t>
  </si>
  <si>
    <t>ADE</t>
  </si>
  <si>
    <t>Achromobacter denitrificans</t>
  </si>
  <si>
    <t>A measurement of Achromobacter denitrificans in a biological specimen.</t>
  </si>
  <si>
    <t>Achromobacter denitrificans Measurement</t>
  </si>
  <si>
    <t>C154830</t>
  </si>
  <si>
    <t>ADENOVAG</t>
  </si>
  <si>
    <t>Adenovirus Antigen</t>
  </si>
  <si>
    <t>A measurement of the Adenovirus antigen in a biological specimen.</t>
  </si>
  <si>
    <t>Adenovirus Antigen Measurement</t>
  </si>
  <si>
    <t>C171498</t>
  </si>
  <si>
    <t>ADENOVIR</t>
  </si>
  <si>
    <t>Adenoviridae</t>
  </si>
  <si>
    <t>Adenoviridae; Adenovirus</t>
  </si>
  <si>
    <t>A measurement of the adenoviridae in a biological specimen.</t>
  </si>
  <si>
    <t>Adenoviridae Measurement</t>
  </si>
  <si>
    <t>SC</t>
  </si>
  <si>
    <t>C171499</t>
  </si>
  <si>
    <t>ADEVAIND</t>
  </si>
  <si>
    <t>Appropriate Developmental Age Indicator</t>
  </si>
  <si>
    <t>Appropriate Development For Age Indicator; Appropriate Developmental Age Indicator</t>
  </si>
  <si>
    <t>An indication as to whether the subject's chronological age matches their physical, emotional, social, and cognitive functioning.</t>
  </si>
  <si>
    <t>C74847</t>
  </si>
  <si>
    <t>ADH</t>
  </si>
  <si>
    <t>Antidiuretic Hormone</t>
  </si>
  <si>
    <t>Antidiuretic Hormone; Vasopressin</t>
  </si>
  <si>
    <t>A measurement of the antidiuretic hormone in a biological specimen.</t>
  </si>
  <si>
    <t>Antidiuretic Hormone Measurement</t>
  </si>
  <si>
    <t>C178050</t>
  </si>
  <si>
    <t>ADLVRDTC</t>
  </si>
  <si>
    <t>Actual Date of Delivery</t>
  </si>
  <si>
    <t>The date on which the delivery event occurred.</t>
  </si>
  <si>
    <t>C199910</t>
  </si>
  <si>
    <t>ADM</t>
  </si>
  <si>
    <t>Adrenomedullin</t>
  </si>
  <si>
    <t>A measurement of the adrenomedullin in a biological specimen.</t>
  </si>
  <si>
    <t>Adrenomedullin Measurement</t>
  </si>
  <si>
    <t>C158233</t>
  </si>
  <si>
    <t>ADMA</t>
  </si>
  <si>
    <t>Asymmetric Dimethylarginine</t>
  </si>
  <si>
    <t>Asymmetric Dimethylarginine; N,N-dimethylarginine</t>
  </si>
  <si>
    <t>A measurement of asymmetric dimethylarginine in a biological specimen.</t>
  </si>
  <si>
    <t>Asymmetric Dimethylarginine Measurement</t>
  </si>
  <si>
    <t>C187830</t>
  </si>
  <si>
    <t>ADMTS13A</t>
  </si>
  <si>
    <t>ADAMTS13 Activity</t>
  </si>
  <si>
    <t>A Disintegrin-Like And Metalloprotease (Reprolysin Type) With Thrombospondin Type 1 Motif, 13 Activity; ADAM Metallopeptidase With Thrombospondin Type 1 Motif 13 Activity; ADAMTS13 Activity; von Willebrand Coagulation Factor Cleaving Protease ADAMTS13 Act</t>
  </si>
  <si>
    <t>A measurement of the biological activity of von Willebrand coagulation factor cleaving protease, ADAMTS13, in a biological specimen.</t>
  </si>
  <si>
    <t>von Willebrand Coagulation Factor Cleaving Protease Activity Measurement</t>
  </si>
  <si>
    <t>C181370</t>
  </si>
  <si>
    <t>ADNIGA</t>
  </si>
  <si>
    <t>Neutralizing Binding Antidrug IgA AB</t>
  </si>
  <si>
    <t>Neutralizing Binding Antidrug IgA AB; Neutralizing Binding Antidrug IgA Antibody</t>
  </si>
  <si>
    <t>A measurement of the neutralizing binding antidrug IgA antibody in a biological specimen.</t>
  </si>
  <si>
    <t>Neutralizing Binding Antidrug IgA Antibody Measurement</t>
  </si>
  <si>
    <t>C181371</t>
  </si>
  <si>
    <t>ADNIGE</t>
  </si>
  <si>
    <t>Neutralizing Binding Antidrug IgE AB</t>
  </si>
  <si>
    <t>Neutralizing Binding Antidrug IgE AB; Neutralizing Binding Antidrug IgE Antibody</t>
  </si>
  <si>
    <t>A measurement of the neutralizing binding antidrug IgE antibody in a biological specimen.</t>
  </si>
  <si>
    <t>Neutralizing Binding Antidrug IgE Antibody Measurement</t>
  </si>
  <si>
    <t>C181189</t>
  </si>
  <si>
    <t>ADNIGG</t>
  </si>
  <si>
    <t>Neutralizing Binding Antidrug IgG AB</t>
  </si>
  <si>
    <t>Neutralizing Binding Antidrug IgG AB; Neutralizing Binding Antidrug IgG Antibody</t>
  </si>
  <si>
    <t>A measurement of the neutralizing binding antidrug IgG antibody in a biological specimen.</t>
  </si>
  <si>
    <t>Neutralizing Binding Antidrug IgG Antibody Measurement</t>
  </si>
  <si>
    <t>C181374</t>
  </si>
  <si>
    <t>ADNIGG1</t>
  </si>
  <si>
    <t>Neutralizing Binding Antidrug IgG1 AB</t>
  </si>
  <si>
    <t>Neutralizing Binding Antidrug IgG1 AB; Neutralizing Binding Antidrug IgG1 Antibody</t>
  </si>
  <si>
    <t>A measurement of the neutralizing binding antidrug IgG1 antibody in a biological specimen.</t>
  </si>
  <si>
    <t>Neutralizing Binding Antidrug IgG1 Antibody Measurement</t>
  </si>
  <si>
    <t>C181375</t>
  </si>
  <si>
    <t>ADNIGG2</t>
  </si>
  <si>
    <t>Neutralizing Binding Antidrug IgG2 AB</t>
  </si>
  <si>
    <t>Neutralizing Binding Antidrug IgG2 AB; Neutralizing Binding Antidrug IgG2 Antibody</t>
  </si>
  <si>
    <t>A measurement of the neutralizing binding antidrug IgG2 antibody in a biological specimen.</t>
  </si>
  <si>
    <t>Neutralizing Binding Antidrug IgG2 Antibody Measurement</t>
  </si>
  <si>
    <t>C181376</t>
  </si>
  <si>
    <t>ADNIGG3</t>
  </si>
  <si>
    <t>Neutralizing Binding Antidrug IgG3 AB</t>
  </si>
  <si>
    <t>Neutralizing Binding Antidrug IgG3 AB; Neutralizing Binding Antidrug IgG3 Antibody</t>
  </si>
  <si>
    <t>A measurement of the neutralizing binding antidrug IgG3 antibody in a biological specimen.</t>
  </si>
  <si>
    <t>Neutralizing Binding Antidrug IgG3 Antibody Measurement</t>
  </si>
  <si>
    <t>C181377</t>
  </si>
  <si>
    <t>ADNIGG4</t>
  </si>
  <si>
    <t>Neutralizing Binding Antidrug IgG4 AB</t>
  </si>
  <si>
    <t>Neutralizing Binding Antidrug IgG4 AB; Neutralizing Binding Antidrug IgG4 Antibody</t>
  </si>
  <si>
    <t>A measurement of the neutralizing binding antidrug IgG4 antibody in a biological specimen.</t>
  </si>
  <si>
    <t>Neutralizing Binding Antidrug IgG4 Antibody Measurement</t>
  </si>
  <si>
    <t>C181373</t>
  </si>
  <si>
    <t>ADNIGGM</t>
  </si>
  <si>
    <t>Neutralizing Binding Antidrug IgG/IgM AB</t>
  </si>
  <si>
    <t>A measurement of the neutralizing binding antidrug IgG and/or IgM antibody in a biological specimen.</t>
  </si>
  <si>
    <t>Neutralizing Binding Antidrug IgG/IgM Antibody Measurement</t>
  </si>
  <si>
    <t>C181372</t>
  </si>
  <si>
    <t>ADNIGM</t>
  </si>
  <si>
    <t>Neutralizing Binding Antidrug IgM AB</t>
  </si>
  <si>
    <t>Neutralizing Binding Antidrug IgM AB; Neutralizing Binding Antidrug IgM Antibody</t>
  </si>
  <si>
    <t>A measurement of the neutralizing binding antidrug IgM antibody in a biological specimen.</t>
  </si>
  <si>
    <t>Neutralizing Binding Antidrug IgM Antibody Measurement</t>
  </si>
  <si>
    <t>C181386</t>
  </si>
  <si>
    <t>ADNXIGA</t>
  </si>
  <si>
    <t>Neut Cross-Reactive Binding ADA IgA</t>
  </si>
  <si>
    <t>Neut Cross-Reactive Binding ADA IgA; Neutralizing Cross-Reactive Binding Antidrug IgA Antibody</t>
  </si>
  <si>
    <t>A measurement of the neutralizing cross-reactive binding antidrug IgA antibody in a biological specimen.</t>
  </si>
  <si>
    <t>Neutralizing Cross-Reactive Binding Antidrug Antibody IgA Measurement</t>
  </si>
  <si>
    <t>C181387</t>
  </si>
  <si>
    <t>ADNXIGE</t>
  </si>
  <si>
    <t>Neut Cross-Reactive Binding ADA IgE</t>
  </si>
  <si>
    <t>Neut Cross-Reactive Binding ADA IgE; Neutralizing Cross-Reactive Binding Antidrug IgE Antibody</t>
  </si>
  <si>
    <t>A measurement of the neutralizing cross-reactive binding antidrug IgE antibody in a biological specimen.</t>
  </si>
  <si>
    <t>Neutralizing Cross-Reactive Binding Antidrug Antibody IgE Measurement</t>
  </si>
  <si>
    <t>C181191</t>
  </si>
  <si>
    <t>ADNXIGG</t>
  </si>
  <si>
    <t>Neut Cross-Reactive Binding ADA IgG</t>
  </si>
  <si>
    <t>Neut Cross-Reactive Binding ADA IgG; Neutralizing Cross-Reactive Binding Antidrug IgG Antibody</t>
  </si>
  <si>
    <t>A measurement of the neutralizing cross-reactive binding antidrug IgG antibody in a biological specimen.</t>
  </si>
  <si>
    <t>Neutralizing Cross-Reactive Binding Antidrug Antibody IgG Measurement</t>
  </si>
  <si>
    <t>C181390</t>
  </si>
  <si>
    <t>ADNXIGG1</t>
  </si>
  <si>
    <t>Neut Cross-Reactive Binding ADA IgG1</t>
  </si>
  <si>
    <t>Neut Cross-Reactive Binding ADA IgG1; Neutralizing Cross-Reactive Binding Antidrug IgG1 Antibody</t>
  </si>
  <si>
    <t>A measurement of the neutralizing cross-reactive binding antidrug IgG1 antibody in a biological specimen.</t>
  </si>
  <si>
    <t>Neutralizing Cross-Reactive Binding Antidrug Antibody IgG1 Measurement</t>
  </si>
  <si>
    <t>C181391</t>
  </si>
  <si>
    <t>ADNXIGG2</t>
  </si>
  <si>
    <t>Neut Cross-Reactive Binding ADA IgG2</t>
  </si>
  <si>
    <t>Neut Cross-Reactive Binding ADA IgG2; Neutralizing Cross-Reactive Binding Antidrug IgG2 Antibody</t>
  </si>
  <si>
    <t>A measurement of the neutralizing cross-reactive binding antidrug IgG2 antibody in a biological specimen.</t>
  </si>
  <si>
    <t>Neutralizing Cross-Reactive Binding Antidrug Antibody IgG2 Measurement</t>
  </si>
  <si>
    <t>C181392</t>
  </si>
  <si>
    <t>ADNXIGG3</t>
  </si>
  <si>
    <t>Neut Cross-Reactive Binding ADA IgG3</t>
  </si>
  <si>
    <t>Neut Cross-Reactive Binding ADA IgG3; Neutralizing Cross-Reactive Binding Antidrug IgG3 Antibody</t>
  </si>
  <si>
    <t>A measurement of the neutralizing cross-reactive binding antidrug IgG3 antibody in a biological specimen.</t>
  </si>
  <si>
    <t>Neutralizing Cross-Reactive Binding Antidrug Antibody IgG3 Measurement</t>
  </si>
  <si>
    <t>C181393</t>
  </si>
  <si>
    <t>ADNXIGG4</t>
  </si>
  <si>
    <t>Neut Cross-Reactive Binding ADA IgG4</t>
  </si>
  <si>
    <t>Neut Cross-Reactive Binding ADA IgG4; Neutralizing Cross-Reactive Binding Antidrug IgG4 Antibody</t>
  </si>
  <si>
    <t>A measurement of the neutralizing cross-reactive binding antidrug IgG4 antibody in a biological specimen.</t>
  </si>
  <si>
    <t>Neutralizing Cross-Reactive Binding Antidrug Antibody IgG4 Measurement</t>
  </si>
  <si>
    <t>C181389</t>
  </si>
  <si>
    <t>ADNXIGGM</t>
  </si>
  <si>
    <t>Neut Cross-Reactive Binding ADA IgG/IgM</t>
  </si>
  <si>
    <t>Neut Cross-Reactive Binding ADA IgG/IgM; Neutralizing Cross-Reactive Binding Antidrug IgG/IgM Antibody</t>
  </si>
  <si>
    <t>A measurement of the neutralizing cross-reactive binding antidrug IgG and/or IgM antibody in a biological specimen.</t>
  </si>
  <si>
    <t>Neutralizing Cross-Reactive Binding Antidrug Antibody IgG/IgM Measurement</t>
  </si>
  <si>
    <t>C181388</t>
  </si>
  <si>
    <t>ADNXIGM</t>
  </si>
  <si>
    <t>Neut Cross-Reactive Binding ADA IgM</t>
  </si>
  <si>
    <t>Neut Cross-Reactive Binding ADA IgM; Neutralizing Cross-Reactive Binding Antidrug IgM Antibody</t>
  </si>
  <si>
    <t>A measurement of the neutralizing cross-reactive binding antidrug IgM antibody in a biological specimen.</t>
  </si>
  <si>
    <t>Neutralizing Cross-Reactive Binding Antidrug Antibody IgM Measurement</t>
  </si>
  <si>
    <t>C102257</t>
  </si>
  <si>
    <t>ADP</t>
  </si>
  <si>
    <t>Adenosine Diphosphate</t>
  </si>
  <si>
    <t>A measurement of the adenosine diphosphate in a biological specimen.</t>
  </si>
  <si>
    <t>Adenosine Diphosphate Measurement</t>
  </si>
  <si>
    <t>C74839</t>
  </si>
  <si>
    <t>ADPNCTN</t>
  </si>
  <si>
    <t>Adiponectin</t>
  </si>
  <si>
    <t>A measurement of the total adiponectin hormone in a biological specimen.</t>
  </si>
  <si>
    <t>Adiponectin Measurement</t>
  </si>
  <si>
    <t>C132363</t>
  </si>
  <si>
    <t>ADPNHMW</t>
  </si>
  <si>
    <t>Adiponectin, High Molecular Weight</t>
  </si>
  <si>
    <t>A measurement of the high molecular weight adiponectin hormone in a biological specimen.</t>
  </si>
  <si>
    <t>High Molecular Weight Adiponectin Measurement</t>
  </si>
  <si>
    <t>C189362</t>
  </si>
  <si>
    <t>ADRNRAGE</t>
  </si>
  <si>
    <t>Adrenarche Age</t>
  </si>
  <si>
    <t>The age at onset of adrenal androgen-mediated secondary sexual characteristics.</t>
  </si>
  <si>
    <t>C139035</t>
  </si>
  <si>
    <t>ADUCSEV</t>
  </si>
  <si>
    <t>Aortic Ductal Coarctation Severity</t>
  </si>
  <si>
    <t>Aortic Ductal Coarctation Severity; Aortic Juxta-ductal Coarctation Severity</t>
  </si>
  <si>
    <t>The assessment of the severity of ductal aortic coarctation.</t>
  </si>
  <si>
    <t>Aortic Juxta-ductal Coarctation Severity</t>
  </si>
  <si>
    <t>C191310</t>
  </si>
  <si>
    <t>ADVNDNA</t>
  </si>
  <si>
    <t>Adenovirus DNA</t>
  </si>
  <si>
    <t>A measurement of the DNA from any member of the family Adenoviridae in a biological specimen.</t>
  </si>
  <si>
    <t>Adenovirus DNA Measurement</t>
  </si>
  <si>
    <t>C187838</t>
  </si>
  <si>
    <t>ADVNUAC</t>
  </si>
  <si>
    <t>Adenovirus Nucleic Acid</t>
  </si>
  <si>
    <t>A measurement of the nucleic acid from any member of the family Adenoviridae in a biological specimen.</t>
  </si>
  <si>
    <t>Adenovirus Nucleic Acid Measurement</t>
  </si>
  <si>
    <t>C198301</t>
  </si>
  <si>
    <t>AERBACT</t>
  </si>
  <si>
    <t>Aerobic Bacteria</t>
  </si>
  <si>
    <t>A measurement of the aerobic bacteria in a biological specimen.</t>
  </si>
  <si>
    <t>Aerobic Bacteria Measurement</t>
  </si>
  <si>
    <t>C199965</t>
  </si>
  <si>
    <t>AERODNA</t>
  </si>
  <si>
    <t>Aeromonas DNA</t>
  </si>
  <si>
    <t>A measurement of the DNA from any member of the genus Aeromonas in a biological specimen.</t>
  </si>
  <si>
    <t>Aeromonas DNA Measurement</t>
  </si>
  <si>
    <t>C199966</t>
  </si>
  <si>
    <t>AEROMONA</t>
  </si>
  <si>
    <t>Aeromonas</t>
  </si>
  <si>
    <t>A measurement of the organisms that are not assigned to the species level but are assigned to the Aeromonas genus level in a biological specimen.</t>
  </si>
  <si>
    <t>Aeromonas Measurement</t>
  </si>
  <si>
    <t>C98706</t>
  </si>
  <si>
    <t>AFACTXAA</t>
  </si>
  <si>
    <t>Anti-Factor Xa Activity</t>
  </si>
  <si>
    <t>A measurement of the ability of antithrombin to inactivate activated Factor X in a biological specimen. This test is used to monitor low molecular weight or unfractionated heparin levels in a biological specimen.</t>
  </si>
  <si>
    <t>Anti-Factor Xa Activity Measurement</t>
  </si>
  <si>
    <t>C128981</t>
  </si>
  <si>
    <t>AFB</t>
  </si>
  <si>
    <t>Acid-Fast Bacilli</t>
  </si>
  <si>
    <t>A measurement of any rod-shaped bacteria that resist decolorizing by acid after accepting an aqueous stain solution, due to the mycolic acids in their cell walls.</t>
  </si>
  <si>
    <t>Acid-Fast Bacilli Measurement</t>
  </si>
  <si>
    <t>C74732</t>
  </si>
  <si>
    <t>AFP</t>
  </si>
  <si>
    <t>Alpha Fetoprotein</t>
  </si>
  <si>
    <t>Alpha Fetoprotein; Alpha-1-Fetoprotein</t>
  </si>
  <si>
    <t>A measurement of the alpha fetoprotein in a biological specimen.</t>
  </si>
  <si>
    <t>Alpha-fetoprotein Measurement</t>
  </si>
  <si>
    <t>C147291</t>
  </si>
  <si>
    <t>AFPADJBW</t>
  </si>
  <si>
    <t>Alpha Fetoprotein Adj for Body Weight</t>
  </si>
  <si>
    <t>A measurement of alpha fetoprotein, which has been adjusted for body weight, in a biological specimen.</t>
  </si>
  <si>
    <t>Alpha Fetoprotein Adjusted for Body Weight Measurement</t>
  </si>
  <si>
    <t>C96562</t>
  </si>
  <si>
    <t>AFPL1</t>
  </si>
  <si>
    <t>Alpha Fetoprotein L1</t>
  </si>
  <si>
    <t>A measurement of the alpha fetoprotein L1 in a biological specimen.</t>
  </si>
  <si>
    <t>Alpha Fetoprotein L1 Measurement</t>
  </si>
  <si>
    <t>C96563</t>
  </si>
  <si>
    <t>AFPL2</t>
  </si>
  <si>
    <t>Alpha Fetoprotein L2</t>
  </si>
  <si>
    <t>A measurement of the alpha fetoprotein L2 in a biological specimen.</t>
  </si>
  <si>
    <t>Alpha Fetoprotein L2 Measurement</t>
  </si>
  <si>
    <t>C96564</t>
  </si>
  <si>
    <t>AFPL3</t>
  </si>
  <si>
    <t>Alpha Fetoprotein L3</t>
  </si>
  <si>
    <t>A measurement of the alpha fetoprotein L3 in a biological specimen.</t>
  </si>
  <si>
    <t>Alpha Fetoprotein L3 Measurement</t>
  </si>
  <si>
    <t>C96565</t>
  </si>
  <si>
    <t>AFPL3AFP</t>
  </si>
  <si>
    <t>A Fetoprotein L3/A Fetoprotein</t>
  </si>
  <si>
    <t>A relative measurement (ratio or percentage) of alpha fetoprotein L3 to total alpha fetoprotein in a biological specimen.</t>
  </si>
  <si>
    <t>Alpha Fetoprotein L3 to Total Alpha Fetoprotein Ratio Measurement</t>
  </si>
  <si>
    <t>C187840</t>
  </si>
  <si>
    <t>AFU</t>
  </si>
  <si>
    <t>Aspergillus fumigatus</t>
  </si>
  <si>
    <t>A measurement of the Aspergillus fumigatus in a biological specimen.</t>
  </si>
  <si>
    <t>Aspergillus fumigatus Measurement</t>
  </si>
  <si>
    <t>C124334</t>
  </si>
  <si>
    <t>AG1_5</t>
  </si>
  <si>
    <t>1,5-Anhydroglucitol</t>
  </si>
  <si>
    <t>A measurement of the 1,5-anhydroglucitol in a biological specimen.</t>
  </si>
  <si>
    <t>1,5-Anhydroglucitol Measurement</t>
  </si>
  <si>
    <t>DD</t>
  </si>
  <si>
    <t>C135383</t>
  </si>
  <si>
    <t>AGEDTH</t>
  </si>
  <si>
    <t>Age at Death</t>
  </si>
  <si>
    <t>The age at which death occurred. (NCI)</t>
  </si>
  <si>
    <t>C49694</t>
  </si>
  <si>
    <t>AGEMAX</t>
  </si>
  <si>
    <t>Planned Maximum Age of Subjects</t>
  </si>
  <si>
    <t>The anticipated maximum age of the subjects to be entered in a clinical trial. (NCI)</t>
  </si>
  <si>
    <t>C49693</t>
  </si>
  <si>
    <t>AGEMIN</t>
  </si>
  <si>
    <t>Planned Minimum Age of Subjects</t>
  </si>
  <si>
    <t>The anticipated minimum age of the subjects to be entered in a clinical trial. (NCI)</t>
  </si>
  <si>
    <t>C127060</t>
  </si>
  <si>
    <t>AGESTSMK</t>
  </si>
  <si>
    <t>Age Started Smoking</t>
  </si>
  <si>
    <t>The age at which the individual began smoking.</t>
  </si>
  <si>
    <t>Age When First Smoked a Cigarette Question</t>
  </si>
  <si>
    <t>C111126</t>
  </si>
  <si>
    <t>AHBDH</t>
  </si>
  <si>
    <t>Alpha Hydroxybutyrate Dehydrogenase</t>
  </si>
  <si>
    <t>A measurement of the alpha-hydroxybutyrate dehydrogenase in a biological specimen.</t>
  </si>
  <si>
    <t>Alpha Hydroxybutyrate Dehydrogenase Measurement</t>
  </si>
  <si>
    <t>C181418</t>
  </si>
  <si>
    <t>AHTRZLM</t>
  </si>
  <si>
    <t>Alpha-Hydroxytriazolam</t>
  </si>
  <si>
    <t>A measurement of the alpha-hydroxytriazolam a biological specimen.</t>
  </si>
  <si>
    <t>Alpha-Hydroxytriazolam Measurement</t>
  </si>
  <si>
    <t>PP</t>
  </si>
  <si>
    <t>C114234</t>
  </si>
  <si>
    <t>AILAMZ</t>
  </si>
  <si>
    <t>Accumulation Index using Lambda z</t>
  </si>
  <si>
    <t>Predicted accumulation ratio for area under the curve (AUC) calculated using the Lambda z estimated from single dose data.</t>
  </si>
  <si>
    <t>C170620</t>
  </si>
  <si>
    <t>AIRTRAP</t>
  </si>
  <si>
    <t>Air Trapping</t>
  </si>
  <si>
    <t>A measurement of the gas retention in a specified intrapulmonary space at the end of exhalation.</t>
  </si>
  <si>
    <t>Air Trapping Measurement</t>
  </si>
  <si>
    <t>C221592</t>
  </si>
  <si>
    <t>AJO</t>
  </si>
  <si>
    <t>Acinetobacter johnsonii</t>
  </si>
  <si>
    <t>A measurement of Acinetobacter johnsonii in a biological specimen.</t>
  </si>
  <si>
    <t>Acinetobacter johnsonii Measurement</t>
  </si>
  <si>
    <t>C202384</t>
  </si>
  <si>
    <t>AKIRSC</t>
  </si>
  <si>
    <t>Acute Kidney Injury Risk Score</t>
  </si>
  <si>
    <t>Acute Kidney Injury Risk Score; AKI Risk Score</t>
  </si>
  <si>
    <t>A scoring system that evaluates acute kidney injury risk through the assessment of urine test parameter(s), and which may take into account additional factors.</t>
  </si>
  <si>
    <t>C221593</t>
  </si>
  <si>
    <t>ALA</t>
  </si>
  <si>
    <t>Acinetobacter lactucae</t>
  </si>
  <si>
    <t>A measurement of Acinetobacter lactucae in a biological specimen.</t>
  </si>
  <si>
    <t>Acinetobacter lactucae Measurement</t>
  </si>
  <si>
    <t>C122091</t>
  </si>
  <si>
    <t>Alanine</t>
  </si>
  <si>
    <t>A measurement of the alanine in a biological specimen.</t>
  </si>
  <si>
    <t>Alanine Measurement</t>
  </si>
  <si>
    <t>C147292</t>
  </si>
  <si>
    <t>ALA1ALB</t>
  </si>
  <si>
    <t>Apolipoprotein A1/Apolipoprotein B</t>
  </si>
  <si>
    <t>A relative measurement (ratio or percentage) of the Apolipoprotein A1 to Apolipoprotein B in a biological specimen.</t>
  </si>
  <si>
    <t>Apolipoprotein A1 to Apolipoprotein B Ratio Measurement</t>
  </si>
  <si>
    <t>C158222</t>
  </si>
  <si>
    <t>ALAALB</t>
  </si>
  <si>
    <t>Apolipoprotein A/Apolipoprotein B</t>
  </si>
  <si>
    <t>A relative measurement (ratio) of the total apolipoprotein A to apolipoprotein B in a biological specimen.</t>
  </si>
  <si>
    <t>Apolipoprotein A to Apolipoprotein B Ratio Measurement</t>
  </si>
  <si>
    <t>C214530</t>
  </si>
  <si>
    <t>ALAB</t>
  </si>
  <si>
    <t>Alloantibody</t>
  </si>
  <si>
    <t>A measurement of the binding alloantibody in a biological specimen.</t>
  </si>
  <si>
    <t>Alloantibody Measurement</t>
  </si>
  <si>
    <t>C64431</t>
  </si>
  <si>
    <t>ALB</t>
  </si>
  <si>
    <t>Albumin</t>
  </si>
  <si>
    <t>Albumin; Microalbumin</t>
  </si>
  <si>
    <t>A measurement of the albumin protein in a biological specimen.</t>
  </si>
  <si>
    <t>Albumin Measurement</t>
  </si>
  <si>
    <t>C147293</t>
  </si>
  <si>
    <t>ALBC</t>
  </si>
  <si>
    <t>Albumin Clearance</t>
  </si>
  <si>
    <t>A measurement of the albumin clearance in a biological specimen.</t>
  </si>
  <si>
    <t>C74761</t>
  </si>
  <si>
    <t>ALBCREAT</t>
  </si>
  <si>
    <t>Albumin/Creatinine</t>
  </si>
  <si>
    <t>Albumin/Creatinine; Microalbumin/Creatinine Ratio</t>
  </si>
  <si>
    <t>A relative measurement (ratio) of the albumin to the creatinine in a biological specimen.</t>
  </si>
  <si>
    <t>Albumin To Creatinine Protein Ratio Measurement</t>
  </si>
  <si>
    <t>C150814</t>
  </si>
  <si>
    <t>ALBEXR</t>
  </si>
  <si>
    <t>Albumin Excretion Rate</t>
  </si>
  <si>
    <t>A measurement of the amount of albumin excreted in a biological specimen over a defined period of time (e.g. one hour).</t>
  </si>
  <si>
    <t>C158228</t>
  </si>
  <si>
    <t>ALBGALB</t>
  </si>
  <si>
    <t>Glycated Albumin/Albumin</t>
  </si>
  <si>
    <t>A relative measurement (ratio or percentage) of the glycated albumin to total albumin in a biological specimen.</t>
  </si>
  <si>
    <t>Glycated Albumin to Albumin Ratio Measurement</t>
  </si>
  <si>
    <t>C74894</t>
  </si>
  <si>
    <t>ALBGLOB</t>
  </si>
  <si>
    <t>Albumin/Globulin</t>
  </si>
  <si>
    <t>The ratio of albumin to globulin in a biological specimen.</t>
  </si>
  <si>
    <t>Albumin to Globulin Ratio Measurement</t>
  </si>
  <si>
    <t>C122092</t>
  </si>
  <si>
    <t>ALBGLYCA</t>
  </si>
  <si>
    <t>Glycated Albumin</t>
  </si>
  <si>
    <t>A measurement of the glycated albumin present in a biological specimen.</t>
  </si>
  <si>
    <t>Glycated Albumin Measurement</t>
  </si>
  <si>
    <t>C154734</t>
  </si>
  <si>
    <t>ALBIDX</t>
  </si>
  <si>
    <t>Albumin Index</t>
  </si>
  <si>
    <t>A relative measurement (ratio) of the albumin in cerebrospinal fluid to albumin in serum or plasma in a biological specimen.</t>
  </si>
  <si>
    <t>C103453</t>
  </si>
  <si>
    <t>ALBPROT</t>
  </si>
  <si>
    <t>Albumin/Total Protein</t>
  </si>
  <si>
    <t>A relative measurement (ratio or percentage) of the albumin to total protein in a biological specimen.</t>
  </si>
  <si>
    <t>Albumin to Total Protein Ratio Measurement</t>
  </si>
  <si>
    <t>C154743</t>
  </si>
  <si>
    <t>ALDEPX</t>
  </si>
  <si>
    <t>Aldrin Epoxidase</t>
  </si>
  <si>
    <t>A measurement of the aldrin epoxidase in a biological specimen.</t>
  </si>
  <si>
    <t>Aldrin Epoxidase Measurement</t>
  </si>
  <si>
    <t>C74731</t>
  </si>
  <si>
    <t>ALDOLASE</t>
  </si>
  <si>
    <t>Aldolase</t>
  </si>
  <si>
    <t>A measurement of the aldolase enzyme in a biological specimen.</t>
  </si>
  <si>
    <t>Aldolase Measurement</t>
  </si>
  <si>
    <t>C202382</t>
  </si>
  <si>
    <t>ALDSTEXR</t>
  </si>
  <si>
    <t>Aldosterone Excretion Rate</t>
  </si>
  <si>
    <t>A measurement of the amount of aldosterone being excreted in a biological specimen over a defined amount of time (e.g. one hour).</t>
  </si>
  <si>
    <t>C74841</t>
  </si>
  <si>
    <t>ALDSTRN</t>
  </si>
  <si>
    <t>Aldosterone</t>
  </si>
  <si>
    <t>A measurement of the aldosterone hormone in a biological specimen.</t>
  </si>
  <si>
    <t>Aldosterone Measurement</t>
  </si>
  <si>
    <t>C184566</t>
  </si>
  <si>
    <t>ALFNTNL</t>
  </si>
  <si>
    <t>Alfentanil</t>
  </si>
  <si>
    <t>A measurement of the alfentanil in a biological specimen.</t>
  </si>
  <si>
    <t>Alfentanil Measurement</t>
  </si>
  <si>
    <t>C214672</t>
  </si>
  <si>
    <t>ALIGGAB</t>
  </si>
  <si>
    <t>IgG Alloantibody</t>
  </si>
  <si>
    <t>A measurement of the binding IgG alloantibody in a biological specimen.</t>
  </si>
  <si>
    <t>IgG Alloantibody Measurement</t>
  </si>
  <si>
    <t>C154805</t>
  </si>
  <si>
    <t>ALK</t>
  </si>
  <si>
    <t>ALK Protein</t>
  </si>
  <si>
    <t>A measurement of the ALK receptor tyrosine kinase in a biological specimen.</t>
  </si>
  <si>
    <t>ALK Protein Measurement</t>
  </si>
  <si>
    <t>C154762</t>
  </si>
  <si>
    <t>ALLOILE</t>
  </si>
  <si>
    <t>Alloisoleucine</t>
  </si>
  <si>
    <t>A measurement of the alloisoleucine in a biological specimen.</t>
  </si>
  <si>
    <t>Alloisoleucine Measurement</t>
  </si>
  <si>
    <t>C184519</t>
  </si>
  <si>
    <t>ALOX5</t>
  </si>
  <si>
    <t>Arachidonate 5-Lipoxygenase</t>
  </si>
  <si>
    <t>5-Lipoxygenase; 5-LO; 5-LOX; ALOX5; Arachidonate 5-Lipoxygenase</t>
  </si>
  <si>
    <t>A measurement of the arachidonate 5-lipoxygenase in a biological specimen.</t>
  </si>
  <si>
    <t>Arachidonate 5-Lipoxygenase Measurement</t>
  </si>
  <si>
    <t>C64432</t>
  </si>
  <si>
    <t>ALP</t>
  </si>
  <si>
    <t>Alkaline Phosphatase</t>
  </si>
  <si>
    <t>A measurement of the alkaline phosphatase in a biological specimen.</t>
  </si>
  <si>
    <t>Alkaline Phosphatase Measurement</t>
  </si>
  <si>
    <t>C147294</t>
  </si>
  <si>
    <t>ALPBALP</t>
  </si>
  <si>
    <t>Alk Phos, Bone/Total Alk Phos</t>
  </si>
  <si>
    <t>Alk Phos, Bone/Total Alk Phos; Alkaline Phosphatase, Bone/Total Alkaline Phosphatase</t>
  </si>
  <si>
    <t>A relative measurement (ratio or percentage) of the bone specific alkaline phosphatase isoform to total alkaline phosphatase in a biological specimen.</t>
  </si>
  <si>
    <t>Bone Alkaline Phosphatase to Total Alkaline Phosphatase Ratio Measurement</t>
  </si>
  <si>
    <t>C221548</t>
  </si>
  <si>
    <t>ALPBIALP</t>
  </si>
  <si>
    <t>Alk Phos, Biliary/Total Alk Phos</t>
  </si>
  <si>
    <t>Alk Phos, Bile/Total Alk Phos; Alk Phos, Biliary/Total Alk Phos</t>
  </si>
  <si>
    <t>A relative measurement (ratio or percentage) of the biliary specific alkaline phosphatase isoform to total alkaline phosphatase in a biological specimen.</t>
  </si>
  <si>
    <t>Biliary Alkaline Phosphatase to Alkaline Phosphatase Ratio Measurement</t>
  </si>
  <si>
    <t>C92287</t>
  </si>
  <si>
    <t>ALPBS</t>
  </si>
  <si>
    <t>Bone Specific Alkaline Phosphatase</t>
  </si>
  <si>
    <t>A measurement of the bone specific alkaline phosphatase isoform in a biological specimen.</t>
  </si>
  <si>
    <t>Bone Specific Alkaline Phosphatase Measurement</t>
  </si>
  <si>
    <t>C79438</t>
  </si>
  <si>
    <t>ALPCREAT</t>
  </si>
  <si>
    <t>Alkaline Phosphatase/Creatinine</t>
  </si>
  <si>
    <t>A relative measurement (ratio or percentage) of the alkaline phosphatase to creatinine in a biological specimen.</t>
  </si>
  <si>
    <t>Alkaline Phosphatase to Creatinine Ratio Measurement</t>
  </si>
  <si>
    <t>C165942</t>
  </si>
  <si>
    <t>ALPEXR</t>
  </si>
  <si>
    <t>Alkaline Phosphatase Excretion Rate</t>
  </si>
  <si>
    <t>A measurement of the amount of alkaline phosphatase being excreted in a biological specimen over a defined amount of time (e.g. one hour).</t>
  </si>
  <si>
    <t>MK</t>
  </si>
  <si>
    <t>C191306</t>
  </si>
  <si>
    <t>ALPHANGL</t>
  </si>
  <si>
    <t>Alpha Angle</t>
  </si>
  <si>
    <t>Alpha Angle; Alpha Angle of the Hip</t>
  </si>
  <si>
    <t>A measurement of the angle between the line from the center of the femoral head to the center of the femoral neck at its narrowest point and the line from the center of the femoral head to a point where the distance from the bone to the center of the head</t>
  </si>
  <si>
    <t>Alpha Angle of the Hip</t>
  </si>
  <si>
    <t>C147295</t>
  </si>
  <si>
    <t>ALPIALP</t>
  </si>
  <si>
    <t>Alk Phos, Intestinal/Total Alk Phos</t>
  </si>
  <si>
    <t>Alk Phos, Intestinal/Total Alk Phos; Alkaline Phosphatase, Intestinal/Total Alkaline Phosphatase</t>
  </si>
  <si>
    <t>A relative measurement (ratio or percentage) of the intestinal specific alkaline phosphatase isoform to total alkaline phosphatase in a biological specimen.</t>
  </si>
  <si>
    <t>Intestinal Alkaline Phosphatase to Total Alkaline Phosphatase Ratio Measurement</t>
  </si>
  <si>
    <t>C119266</t>
  </si>
  <si>
    <t>ALPIS</t>
  </si>
  <si>
    <t>Intestinal Specific Alkaline Phosphatase</t>
  </si>
  <si>
    <t>A measurement of the intestinal specific alkaline phosphatase isoform in a biological specimen.</t>
  </si>
  <si>
    <t>Intestinal Specific Alkaline Phosphatase Measurement</t>
  </si>
  <si>
    <t>C139091</t>
  </si>
  <si>
    <t>ALPISOE</t>
  </si>
  <si>
    <t>Alkaline Phosphatase Isoenzyme</t>
  </si>
  <si>
    <t>A measurement of the alkaline phosphatase isoenzyme in a biological specimen.</t>
  </si>
  <si>
    <t>Alkaline Phosphatase Isoenzyme Measurement</t>
  </si>
  <si>
    <t>C147296</t>
  </si>
  <si>
    <t>ALPLALP</t>
  </si>
  <si>
    <t>Alk Phos, Liver/Total Alk Phos</t>
  </si>
  <si>
    <t>Alk Phos, Liver/Total Alk Phos; Alkaline Phosphatase, Liver/Total Alkaline Phosphatase</t>
  </si>
  <si>
    <t>A relative measurement (ratio or percentage) of the liver specific alkaline phosphatase isoform to total alkaline phosphatase in a biological specimen.</t>
  </si>
  <si>
    <t>Liver Alkaline Phosphatase to Total Alkaline Phosphatase Ratio Measurement</t>
  </si>
  <si>
    <t>C189497</t>
  </si>
  <si>
    <t>ALPLBALP</t>
  </si>
  <si>
    <t>Alk Phos, Liver + Bone/Total Alk Phos</t>
  </si>
  <si>
    <t>A relative measurement (ratio or percentage) of the liver and bone specific alkaline phosphatase isoforms to total alkaline phosphatase in a biological specimen.</t>
  </si>
  <si>
    <t>Liver and Bone Specific Alkaline Phosphatase Isoform to Alkaline Phosphatase Ratio Measurement</t>
  </si>
  <si>
    <t>C119267</t>
  </si>
  <si>
    <t>ALPLS</t>
  </si>
  <si>
    <t>Liver Specific Alkaline Phosphatase</t>
  </si>
  <si>
    <t>A measurement of the liver specific alkaline phosphatase isoform in a biological specimen.</t>
  </si>
  <si>
    <t>Liver Specific Alkaline Phosphatase Measurement</t>
  </si>
  <si>
    <t>C221547</t>
  </si>
  <si>
    <t>ALPMALP</t>
  </si>
  <si>
    <t>Alk Phos, Macro/Total Alk Phos</t>
  </si>
  <si>
    <t>Alk Phos, Macro/Total Alk Phos; Alk Phos, Macrohepatic/Total Alk Phos</t>
  </si>
  <si>
    <t>A relative measurement (ratio or percentage) of the macrohepatic specific alkaline phosphatase isoform to total alkaline phosphatase in a biological specimen.</t>
  </si>
  <si>
    <t>Macrohepatic Alkaline Phosphatase to Alkaline Phosphatase Ratio Measurement</t>
  </si>
  <si>
    <t>C184508</t>
  </si>
  <si>
    <t>ALPPALP</t>
  </si>
  <si>
    <t>Alk Phos, Placental/Total Alk Phos</t>
  </si>
  <si>
    <t>Alk Phos, Placental/Total Alk Phos; Alkaline Phosphatase, Placental/Total Alkaline Phosphatase</t>
  </si>
  <si>
    <t>A relative measurement (ratio or percentage) of the placental specific alkaline phosphatase isoform to total alkaline phosphatase in a biological specimen.</t>
  </si>
  <si>
    <t>Placental Alkaline Phosphatase to Total Alkaline Phosphatase Measurement</t>
  </si>
  <si>
    <t>C184509</t>
  </si>
  <si>
    <t>ALPPS</t>
  </si>
  <si>
    <t>Placental Specific Alkaline Phosphatase</t>
  </si>
  <si>
    <t>A measurement of the placental specific alkaline phosphatase isoform in a biological specimen.</t>
  </si>
  <si>
    <t>Placental Specific Alkaline Phosphatase Measurement</t>
  </si>
  <si>
    <t>C75370</t>
  </si>
  <si>
    <t>ALPRZLM</t>
  </si>
  <si>
    <t>Alprazolam</t>
  </si>
  <si>
    <t>A measurement of the alprazolam present in a biological specimen.</t>
  </si>
  <si>
    <t>Alprazolam Measurement</t>
  </si>
  <si>
    <t>C163419</t>
  </si>
  <si>
    <t>ALS</t>
  </si>
  <si>
    <t>Acid Labile Subunit</t>
  </si>
  <si>
    <t>Acid Labile Subunit; ALS; IGFALS; Insulin Like Growth Factor Binding Protein Acid Labile Subunit</t>
  </si>
  <si>
    <t>A measurement of the acid labile subunit in a biological specimen.</t>
  </si>
  <si>
    <t>Acid Labile Subunit Measurement</t>
  </si>
  <si>
    <t>C64433</t>
  </si>
  <si>
    <t>ALT</t>
  </si>
  <si>
    <t>Alanine Aminotransferase</t>
  </si>
  <si>
    <t>Alanine Aminotransferase; SGPT</t>
  </si>
  <si>
    <t>A measurement of the alanine aminotransferase in a biological specimen.</t>
  </si>
  <si>
    <t>Alanine Aminotransferase Measurement</t>
  </si>
  <si>
    <t>C106498</t>
  </si>
  <si>
    <t>ALTAST</t>
  </si>
  <si>
    <t>ALT/AST</t>
  </si>
  <si>
    <t>A relative measurement (ratio or percentage) of the alanine aminotransferase (ALT) to aspartate aminotransferase (AST) present in a sample.</t>
  </si>
  <si>
    <t>Alanine Aminotransferase to Aspartate Aminotransferase Ratio Measurement</t>
  </si>
  <si>
    <t>C103349</t>
  </si>
  <si>
    <t>ALTCPHRL</t>
  </si>
  <si>
    <t>Alpha Tocopherol</t>
  </si>
  <si>
    <t>A measurement of the alpha tocopherol in a biological specimen.</t>
  </si>
  <si>
    <t>Alpha Tocopherol Measurement</t>
  </si>
  <si>
    <t>C111127</t>
  </si>
  <si>
    <t>ALUMINUM</t>
  </si>
  <si>
    <t>Aluminum</t>
  </si>
  <si>
    <t>Al; Aluminum</t>
  </si>
  <si>
    <t>A measurement of aluminum in a biological specimen.</t>
  </si>
  <si>
    <t>Aluminum Measurement</t>
  </si>
  <si>
    <t>C156584</t>
  </si>
  <si>
    <t>ALVVOL</t>
  </si>
  <si>
    <t>Alveolar Volume</t>
  </si>
  <si>
    <t>Alveolar Volume; VA</t>
  </si>
  <si>
    <t>The quantity of gas that enters the alveoli during inspiration.</t>
  </si>
  <si>
    <t>C209633</t>
  </si>
  <si>
    <t>ALW</t>
  </si>
  <si>
    <t>Acinetobacter lwoffii</t>
  </si>
  <si>
    <t>A measurement of the Acinetobacter lwoffii in a biological specimen.</t>
  </si>
  <si>
    <t>Acinetobacter Iwoffii Measurement</t>
  </si>
  <si>
    <t>C184539</t>
  </si>
  <si>
    <t>AM2201</t>
  </si>
  <si>
    <t>AM-2201</t>
  </si>
  <si>
    <t>AM-2201; AM2201</t>
  </si>
  <si>
    <t>A measurement of the synthetic cannabinoid AM-2201 in a biological specimen.</t>
  </si>
  <si>
    <t>AM-2201 Measurement</t>
  </si>
  <si>
    <t>C184538</t>
  </si>
  <si>
    <t>AM694N5H</t>
  </si>
  <si>
    <t>AM694 N-5-hydroxypentyl</t>
  </si>
  <si>
    <t>A measurement of the synthetic cannabinoid metabolite AM694 N-5-hydroxypentyl in a biological specimen.</t>
  </si>
  <si>
    <t>AM694 N-5-hydroxypentyl Measurement</t>
  </si>
  <si>
    <t>C132364</t>
  </si>
  <si>
    <t>AMACR</t>
  </si>
  <si>
    <t>Alpha-Methylacyl Coenzyme A Racemase</t>
  </si>
  <si>
    <t>A measurement of the alpha-methylacyl coenzyme A racemase in a biological specimen.</t>
  </si>
  <si>
    <t>Alpha-Methylacyl Coenzyme A Racemase Measurement</t>
  </si>
  <si>
    <t>C75363</t>
  </si>
  <si>
    <t>AMBRBTL</t>
  </si>
  <si>
    <t>Amobarbital</t>
  </si>
  <si>
    <t>A measurement of the amobarbital present in a biological specimen.</t>
  </si>
  <si>
    <t>Amobarbital Measurement</t>
  </si>
  <si>
    <t>C132365</t>
  </si>
  <si>
    <t>AMCRMRNA</t>
  </si>
  <si>
    <t>AMACR mRNA</t>
  </si>
  <si>
    <t>A measurement of the alpha-methylacyl coenzyme A racemase mRNA in a biological specimen.</t>
  </si>
  <si>
    <t>Alpha-Methylacyl Coenzyme A Racemase mRNA Measurement</t>
  </si>
  <si>
    <t>C204695</t>
  </si>
  <si>
    <t>AMENSIND</t>
  </si>
  <si>
    <t>Actively Menstruating Indicator</t>
  </si>
  <si>
    <t>An indication as to whether the subject is menstruating at the time the question is asked.</t>
  </si>
  <si>
    <t>C120625</t>
  </si>
  <si>
    <t>AMH</t>
  </si>
  <si>
    <t>Anti-Mullerian Hormone</t>
  </si>
  <si>
    <t>A measurement of the anti-Mullerian hormone in a biological specimen.</t>
  </si>
  <si>
    <t>Anti-Mullerian Hormone Measurement</t>
  </si>
  <si>
    <t>EG</t>
  </si>
  <si>
    <t>C116140</t>
  </si>
  <si>
    <t>AMIEGCHG</t>
  </si>
  <si>
    <t>Acute Myocardial Ischemia ECG Change</t>
  </si>
  <si>
    <t>An electrocardiographic finding assessment of new or presumed new significant ST-segment-T wave (ST-T) changes or new left bundle branch block consistent with acute myocardial ischemia. (Thygesen K, Alpert JS, Jaffe AS, Simoons ML, et al.; Joint ESC/ACCF/</t>
  </si>
  <si>
    <t>Acute Myocardial Ischemia by ECG Assessment</t>
  </si>
  <si>
    <t>C186023</t>
  </si>
  <si>
    <t>AMITRPTL</t>
  </si>
  <si>
    <t>Amitriptyline</t>
  </si>
  <si>
    <t>A measurement of the amitriptyline in a biological specimen.</t>
  </si>
  <si>
    <t>Amitriptyline Measurement</t>
  </si>
  <si>
    <t>C74799</t>
  </si>
  <si>
    <t>AMMONIA</t>
  </si>
  <si>
    <t>Ammonia</t>
  </si>
  <si>
    <t>Ammonia; NH3</t>
  </si>
  <si>
    <t>A measurement of the ammonia in a specimen.</t>
  </si>
  <si>
    <t>Ammonia Measurement</t>
  </si>
  <si>
    <t>C186024</t>
  </si>
  <si>
    <t>AMNM</t>
  </si>
  <si>
    <t>Ammonium</t>
  </si>
  <si>
    <t>Ammonium; Ammonium Ion; NH4+</t>
  </si>
  <si>
    <t>A measurement of the ammonium ion (NH4+) in a biological specimen.</t>
  </si>
  <si>
    <t>Ammonium Measurement</t>
  </si>
  <si>
    <t>C186025</t>
  </si>
  <si>
    <t>AMNMCRT</t>
  </si>
  <si>
    <t>Ammonium/Creatinine</t>
  </si>
  <si>
    <t>A relative measurement (ratio) of ammonium to creatinine in a biological specimen.</t>
  </si>
  <si>
    <t>Ammonium to Creatinine Ratio Measurement</t>
  </si>
  <si>
    <t>C81183</t>
  </si>
  <si>
    <t>AMNOACID</t>
  </si>
  <si>
    <t>Amino Acids</t>
  </si>
  <si>
    <t>AA; Amino Acids</t>
  </si>
  <si>
    <t>A measurement of the total amino acids in a biological specimen.</t>
  </si>
  <si>
    <t>Amino Acid Measurement</t>
  </si>
  <si>
    <t>C204639</t>
  </si>
  <si>
    <t>AMNPHTH1</t>
  </si>
  <si>
    <t>1-Aminonaphthalene</t>
  </si>
  <si>
    <t>1-Aminonaphthalene; 1-Naphthylamine</t>
  </si>
  <si>
    <t>A measurement of the 1-aminonaphthalene in a specimen.</t>
  </si>
  <si>
    <t>1-Aminonaphthalene Measurement</t>
  </si>
  <si>
    <t>C204640</t>
  </si>
  <si>
    <t>AMNPHTH2</t>
  </si>
  <si>
    <t>2-Aminonaphthalene</t>
  </si>
  <si>
    <t>2-Aminonaphthalene; 2-Naphthylamine</t>
  </si>
  <si>
    <t>A measurement of the 2-aminonaphthalene in a specimen.</t>
  </si>
  <si>
    <t>2-Aminonaphthalene Measurement</t>
  </si>
  <si>
    <t>C74666</t>
  </si>
  <si>
    <t>AMORPHSD</t>
  </si>
  <si>
    <t>Amorphous Sediment</t>
  </si>
  <si>
    <t>Amorphous Debris; Amorphous Sediment</t>
  </si>
  <si>
    <t>A measurement of the amorphous sediment present in a biological specimen.</t>
  </si>
  <si>
    <t>Amorphous Sediment Measurement</t>
  </si>
  <si>
    <t>C75347</t>
  </si>
  <si>
    <t>AMPEA</t>
  </si>
  <si>
    <t>Alpha-Methylphenethylamine</t>
  </si>
  <si>
    <t>Alpha-Methylphenethylamine; Amphetamine</t>
  </si>
  <si>
    <t>A measurement of the alpha-methylphenethylamine in a biological specimen.</t>
  </si>
  <si>
    <t>Amphetamine Measurement</t>
  </si>
  <si>
    <t>C74687</t>
  </si>
  <si>
    <t>AMPHET</t>
  </si>
  <si>
    <t>Amphetamine</t>
  </si>
  <si>
    <t>Amphetamine; Amphetamines</t>
  </si>
  <si>
    <t>A measurement of any amphetamine class drug present in a biological specimen.</t>
  </si>
  <si>
    <t>Amphetamine Drug Class Measurement</t>
  </si>
  <si>
    <t>C102262</t>
  </si>
  <si>
    <t>AMPHETD</t>
  </si>
  <si>
    <t>Dextroamphetamine</t>
  </si>
  <si>
    <t>d-amphetamine; Dextroamphetamine</t>
  </si>
  <si>
    <t>A measurement of the dextroamphetamine in a biological specimen.</t>
  </si>
  <si>
    <t>Dextroamphetamine Measurement</t>
  </si>
  <si>
    <t>C181513</t>
  </si>
  <si>
    <t>AMSS</t>
  </si>
  <si>
    <t>Amt of Analyte at Steady State</t>
  </si>
  <si>
    <t>The amount of analyte in the body at steady state.</t>
  </si>
  <si>
    <t>Amount of Analyte at Steady State</t>
  </si>
  <si>
    <t>C181514</t>
  </si>
  <si>
    <t>AMTT</t>
  </si>
  <si>
    <t>Amt of Analyte at Time T</t>
  </si>
  <si>
    <t>The amount of analyte in the body at any time t.</t>
  </si>
  <si>
    <t>Amount of Analyte at Time T</t>
  </si>
  <si>
    <t>C64434</t>
  </si>
  <si>
    <t>AMYLASE</t>
  </si>
  <si>
    <t>Amylase</t>
  </si>
  <si>
    <t>A measurement of the total enzyme amylase in a biological specimen.</t>
  </si>
  <si>
    <t>Amylase Measurement</t>
  </si>
  <si>
    <t>C111243</t>
  </si>
  <si>
    <t>AMYLASEM</t>
  </si>
  <si>
    <t>Macroamylase</t>
  </si>
  <si>
    <t>A measurement of macroamylase in a biological specimen.</t>
  </si>
  <si>
    <t>Macroamylase Measurement</t>
  </si>
  <si>
    <t>C98767</t>
  </si>
  <si>
    <t>AMYLASEP</t>
  </si>
  <si>
    <t>Amylase, Pancreatic</t>
  </si>
  <si>
    <t>Amylase, Pancreatic; Pancreatic Amylase Isoenzyme</t>
  </si>
  <si>
    <t>A measurement of the pancreatic enzyme amylase in a biological specimen.</t>
  </si>
  <si>
    <t>Pancreatic Amylase Measurement</t>
  </si>
  <si>
    <t>C98780</t>
  </si>
  <si>
    <t>AMYLASES</t>
  </si>
  <si>
    <t>Amylase, Salivary</t>
  </si>
  <si>
    <t>Amylase, Salivary; Salivary Amylase Isoenzyme</t>
  </si>
  <si>
    <t>A measurement of the salivary enzyme amylase in a biological specimen.</t>
  </si>
  <si>
    <t>Salivary Amylase Measurement</t>
  </si>
  <si>
    <t>C103352</t>
  </si>
  <si>
    <t>AMYLB38</t>
  </si>
  <si>
    <t>Amyloid Beta 1-38</t>
  </si>
  <si>
    <t>Amyloid Beta 1-38; Amyloid Beta 38; Amyloid Beta 38 Protein</t>
  </si>
  <si>
    <t>A measurement of amyloid beta protein which is composed of peptides 1 to 38 in a biological specimen.</t>
  </si>
  <si>
    <t>Amyloid Beta 1-38 Measurement</t>
  </si>
  <si>
    <t>C103353</t>
  </si>
  <si>
    <t>AMYLB40</t>
  </si>
  <si>
    <t>Amyloid Beta 1-40</t>
  </si>
  <si>
    <t>Amyloid Beta 1-40; Amyloid Beta 40; Amyloid Beta 40 Protein</t>
  </si>
  <si>
    <t>A measurement of amyloid beta protein which is composed of peptides 1 to 40 in a biological specimen.</t>
  </si>
  <si>
    <t>Amyloid Beta 1-40 Measurement</t>
  </si>
  <si>
    <t>C184518</t>
  </si>
  <si>
    <t>AMYLB41</t>
  </si>
  <si>
    <t>Amyloid Beta 1-41</t>
  </si>
  <si>
    <t>Amyloid Beta 1-41; Amyloid Beta 41; Amyloid Beta 41 Protein</t>
  </si>
  <si>
    <t>A measurement of amyloid beta protein which is composed of peptides 1 to 41 in a biological specimen.</t>
  </si>
  <si>
    <t>Amyloid Beta 1-41 Measurement</t>
  </si>
  <si>
    <t>C84809</t>
  </si>
  <si>
    <t>AMYLB42</t>
  </si>
  <si>
    <t>Amyloid Beta 1-42</t>
  </si>
  <si>
    <t>Amyloid Beta 1-42; Amyloid Beta 42; Amyloid Beta 42 Protein</t>
  </si>
  <si>
    <t>A measurement of amyloid beta protein which is composed of peptides 1 to 42 in a biological specimen.</t>
  </si>
  <si>
    <t>Beta Amyloid 42 Measurement</t>
  </si>
  <si>
    <t>C125940</t>
  </si>
  <si>
    <t>AMYLOIDA</t>
  </si>
  <si>
    <t>Amyloid A</t>
  </si>
  <si>
    <t>A measurement of the total amyloid A in a biological specimen.</t>
  </si>
  <si>
    <t>Amyloid A Measurement</t>
  </si>
  <si>
    <t>C81999</t>
  </si>
  <si>
    <t>AMYLOIDB</t>
  </si>
  <si>
    <t>Amyloid, Beta</t>
  </si>
  <si>
    <t>Amyloid, Beta; Beta Amyloid</t>
  </si>
  <si>
    <t>A measurement of the total amyloid beta in a biological specimen.</t>
  </si>
  <si>
    <t>Beta Amyloid Measurement</t>
  </si>
  <si>
    <t>C81998</t>
  </si>
  <si>
    <t>AMYLOIDP</t>
  </si>
  <si>
    <t>Amyloid P</t>
  </si>
  <si>
    <t>Amyloid P; Amyloid P Component; SAP; Serum Amyloid P Component</t>
  </si>
  <si>
    <t>A measurement of the total amyloid P in a biological specimen.</t>
  </si>
  <si>
    <t>Amyloid P Measurement</t>
  </si>
  <si>
    <t>C176313</t>
  </si>
  <si>
    <t>ANAB</t>
  </si>
  <si>
    <t>Anti-Neutrophil Antibody</t>
  </si>
  <si>
    <t>Anti-Neutrophil Antibody; Anti-Neutrophil Autoantibody</t>
  </si>
  <si>
    <t>A measurement of the total anti-neutrophil antibody in a biological specimen.</t>
  </si>
  <si>
    <t>Anti-Neutrophil Antibody Measurement</t>
  </si>
  <si>
    <t>C147298</t>
  </si>
  <si>
    <t>ANABASN</t>
  </si>
  <si>
    <t>Anabasine</t>
  </si>
  <si>
    <t>A measurement of the anabasine in a specimen.</t>
  </si>
  <si>
    <t>Anabasine Measurement</t>
  </si>
  <si>
    <t>C147299</t>
  </si>
  <si>
    <t>ANAG</t>
  </si>
  <si>
    <t>Alpha-N-acetylglucosaminidase</t>
  </si>
  <si>
    <t>A measurement of the alpha-N-acetylglucosaminidase in a biological specimen.</t>
  </si>
  <si>
    <t>Alpha-N-acetylglucosaminidase Measurement</t>
  </si>
  <si>
    <t>C187839</t>
  </si>
  <si>
    <t>ANAPDNA</t>
  </si>
  <si>
    <t>Anaplasma DNA</t>
  </si>
  <si>
    <t>A measurement of the DNA from any member of the genus Anaplasma in a biological specimen.</t>
  </si>
  <si>
    <t>Anaplasma DNA Measurement</t>
  </si>
  <si>
    <t>C187668</t>
  </si>
  <si>
    <t>ANAPLASM</t>
  </si>
  <si>
    <t>Anaplasma</t>
  </si>
  <si>
    <t>A measurement of the organisms that are not assigned to the species level but are assigned to the Anaplasma genus level in a biological specimen.</t>
  </si>
  <si>
    <t>Anaplasma Measurement</t>
  </si>
  <si>
    <t>C198302</t>
  </si>
  <si>
    <t>ANARBACT</t>
  </si>
  <si>
    <t>Anaerobic Bacteria</t>
  </si>
  <si>
    <t>A measurement of the anaerobic bacteria in a biological specimen.</t>
  </si>
  <si>
    <t>Anaerobic Bacteria Measurement</t>
  </si>
  <si>
    <t>RS</t>
  </si>
  <si>
    <t>C156564</t>
  </si>
  <si>
    <t>ANATRESP</t>
  </si>
  <si>
    <t>Anatomic Response</t>
  </si>
  <si>
    <t>An assessment of the anatomic response (based on changes in size of anatomic structures) of the disease to the therapy.</t>
  </si>
  <si>
    <t>C120626</t>
  </si>
  <si>
    <t>ANCAB</t>
  </si>
  <si>
    <t>Anti-Neutrophil Cytoplasmic Antibody</t>
  </si>
  <si>
    <t>Anti-Neutrophil Cytoplasmic Antibody; Anti-Neutrophil Cytoplasmic Autoantibody</t>
  </si>
  <si>
    <t>A measurement of the anti-neutrophil cytoplasmic antibody in a biological specimen.</t>
  </si>
  <si>
    <t>Anti-Neutrophil Cytoplasmic Antibody Measurement</t>
  </si>
  <si>
    <t>C163420</t>
  </si>
  <si>
    <t>ANCIGAB</t>
  </si>
  <si>
    <t>Anti-Neutrophil Cytoplasmic IgG Antibody</t>
  </si>
  <si>
    <t>Anti-Neutrophil Cytoplasmic IgG Antibody; Anti-Neutrophil Cytoplasmic IgG Autoantibody</t>
  </si>
  <si>
    <t>A measurement of the anti-neutrophil cytoplasmic IgG antibody in a biological specimen.</t>
  </si>
  <si>
    <t>Anti-Neutrophil Cytoplasmic IgG Antibody Measurement</t>
  </si>
  <si>
    <t>C74842</t>
  </si>
  <si>
    <t>ANDSTNDL</t>
  </si>
  <si>
    <t>Androstenediol</t>
  </si>
  <si>
    <t>A measurement of the androstenediol metabolite in a biological specimen.</t>
  </si>
  <si>
    <t>Androstenediol Metabolite Measurement</t>
  </si>
  <si>
    <t>C74843</t>
  </si>
  <si>
    <t>ANDSTNDN</t>
  </si>
  <si>
    <t>Androstenedione</t>
  </si>
  <si>
    <t>4-Androstenedione; Androstenedione</t>
  </si>
  <si>
    <t>A measurement of the androstenedione hormone in a biological specimen.</t>
  </si>
  <si>
    <t>Androstenedione Measurement</t>
  </si>
  <si>
    <t>C186026</t>
  </si>
  <si>
    <t>ANDSTRN</t>
  </si>
  <si>
    <t>Androsterone</t>
  </si>
  <si>
    <t>A measurement of the androsterone in a biological specimen.</t>
  </si>
  <si>
    <t>Androsterone Measurement</t>
  </si>
  <si>
    <t>C139038</t>
  </si>
  <si>
    <t>ANEURIND</t>
  </si>
  <si>
    <t>Aneurysm Indicator</t>
  </si>
  <si>
    <t>An indication as to whether there is the presence of one or more aneurysms.</t>
  </si>
  <si>
    <t>C91372</t>
  </si>
  <si>
    <t>ANGLBIND</t>
  </si>
  <si>
    <t>Antiglobulin Test, Indirect</t>
  </si>
  <si>
    <t>Antiglobulin Test, Indirect; Indirect Coombs Test</t>
  </si>
  <si>
    <t>A test that uses Coombs' reagent to detect the presence of anti-erythrocyte antibodies in a biological specimen.</t>
  </si>
  <si>
    <t>Indirect Antiglobulin Test</t>
  </si>
  <si>
    <t>C81974</t>
  </si>
  <si>
    <t>ANGLOBDR</t>
  </si>
  <si>
    <t>Antiglobulin Test, Direct</t>
  </si>
  <si>
    <t>Antiglobulin Test Polyspecific, Direct; Antiglobulin Test, Direct; Direct Coombs Test</t>
  </si>
  <si>
    <t>A measurement of the antibody or complement-coated erythrocytes in a biological specimen in vivo.</t>
  </si>
  <si>
    <t>Direct Antiglobulin Test</t>
  </si>
  <si>
    <t>C111128</t>
  </si>
  <si>
    <t>ANGPT1</t>
  </si>
  <si>
    <t>Angiopoietin 1</t>
  </si>
  <si>
    <t>A measurement of angiopoietin 1 in a biological specimen.</t>
  </si>
  <si>
    <t>Angiopoietin 1 Measurement</t>
  </si>
  <si>
    <t>C163421</t>
  </si>
  <si>
    <t>ANGPT2</t>
  </si>
  <si>
    <t>Angiopoietin 2</t>
  </si>
  <si>
    <t>ANG2; Angiopoietin 2</t>
  </si>
  <si>
    <t>A measurement of angiopoietin 2 in a biological specimen.</t>
  </si>
  <si>
    <t>Angiopoietin 2 Measurement</t>
  </si>
  <si>
    <t>C199911</t>
  </si>
  <si>
    <t>ANGPTL4</t>
  </si>
  <si>
    <t>Angiopoietin-Related Protein 4</t>
  </si>
  <si>
    <t>Angiopoietin-Like 4; Angiopoietin-Related Protein 4; ARP4; FIAF; Hepatic Angiopoietin-Related Protein; HFARP; PGAR</t>
  </si>
  <si>
    <t>A measurement of the angiopoietin-related protein 4 in a biological specimen.</t>
  </si>
  <si>
    <t>Angiopoietin-Related Protein 4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</si>
  <si>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</si>
  <si>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</si>
  <si>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</si>
  <si>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</si>
  <si>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</si>
  <si>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</si>
  <si>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</si>
  <si>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</si>
  <si>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</si>
  <si>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</si>
  <si>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</si>
  <si>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</si>
  <si>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Angiotensinogen</t>
  </si>
  <si>
    <t>Angiotensin Precursor; Angiotensinogen</t>
  </si>
  <si>
    <t>A measurement of the angiotensinogen hormone in a biological specimen.</t>
  </si>
  <si>
    <t>Angiotensinogen Measurement</t>
  </si>
  <si>
    <t>C187841</t>
  </si>
  <si>
    <t>ANI</t>
  </si>
  <si>
    <t>Aspergillus niger</t>
  </si>
  <si>
    <t>A measurement of the Aspergillus niger in a biological specimen.</t>
  </si>
  <si>
    <t>Aspergillus niger Measurement</t>
  </si>
  <si>
    <t>C74685</t>
  </si>
  <si>
    <t>ANIONG</t>
  </si>
  <si>
    <t>Anion Gap</t>
  </si>
  <si>
    <t>A computed estimate of the unmeasured anions (those other than the chloride and bicarbonate anions) in a biological specimen.</t>
  </si>
  <si>
    <t>Anion Gap Measurement</t>
  </si>
  <si>
    <t>C147303</t>
  </si>
  <si>
    <t>ANIONG3</t>
  </si>
  <si>
    <t>Anion Gap 3</t>
  </si>
  <si>
    <t>A computed estimate of the unmeasured anions (computed as sodium minus the chloride and bicarbonate) in a biological specimen.</t>
  </si>
  <si>
    <t>Anion Gap 3 Measurement</t>
  </si>
  <si>
    <t>C147304</t>
  </si>
  <si>
    <t>ANIONG4</t>
  </si>
  <si>
    <t>Anion Gap 4</t>
  </si>
  <si>
    <t>A computed estimate of the unmeasured anions (computed as the difference between the sum of serum sodium + serum potassium and the sum of the serum bicarbonate+ chloride) in a biological specimen.</t>
  </si>
  <si>
    <t>Anion Gap 4 Measurement</t>
  </si>
  <si>
    <t>C74797</t>
  </si>
  <si>
    <t>ANISO</t>
  </si>
  <si>
    <t>Anisocytes</t>
  </si>
  <si>
    <t>Anisocytes; Anisocytosis</t>
  </si>
  <si>
    <t>A measurement of the variability in the size of the red blood cells in a whole blood specimen.</t>
  </si>
  <si>
    <t>Anisocyte Measurement</t>
  </si>
  <si>
    <t>C161354</t>
  </si>
  <si>
    <t>ANISOCHR</t>
  </si>
  <si>
    <t>Anisochromia</t>
  </si>
  <si>
    <t>A measurement of the color variation of erythrocytes in a biological specimen.</t>
  </si>
  <si>
    <t>Anisochromia Measurement</t>
  </si>
  <si>
    <t>C184568</t>
  </si>
  <si>
    <t>ANLRDN</t>
  </si>
  <si>
    <t>Anileridine</t>
  </si>
  <si>
    <t>A measurement of the anileridine in a biological specimen.</t>
  </si>
  <si>
    <t>Anileridine Measurement</t>
  </si>
  <si>
    <t>C127535</t>
  </si>
  <si>
    <t>ANNAVEL</t>
  </si>
  <si>
    <t>Annular a' Velocity</t>
  </si>
  <si>
    <t>The peak velocity of the annular motion during late ventricular diastole (the active filling of the ventricle).</t>
  </si>
  <si>
    <t>C127536</t>
  </si>
  <si>
    <t>ANNEVEL</t>
  </si>
  <si>
    <t>Annular e' Velocity</t>
  </si>
  <si>
    <t>The peak velocity of the annular motion during early ventricular diastole (the passive filling of the ventricle).</t>
  </si>
  <si>
    <t>C139045</t>
  </si>
  <si>
    <t>ANNSVEL</t>
  </si>
  <si>
    <t>Annular S' Velocity</t>
  </si>
  <si>
    <t>The peak velocity of the annular motion during ventricular systole.</t>
  </si>
  <si>
    <t>C74886</t>
  </si>
  <si>
    <t>ANP</t>
  </si>
  <si>
    <t>Atrial Natriuretic Peptide</t>
  </si>
  <si>
    <t>Atrial Natriuretic Peptide; Atriopeptin</t>
  </si>
  <si>
    <t>A measurement of the atrial natriuretic peptide in a biological specimen.</t>
  </si>
  <si>
    <t>Atrial Natriuretic Peptide Measurement</t>
  </si>
  <si>
    <t>C172523</t>
  </si>
  <si>
    <t>ANPPROMR</t>
  </si>
  <si>
    <t>Mid-Reg Pro-Atrial Natriuretic Peptide</t>
  </si>
  <si>
    <t>Mid-Reg Pro-Atrial Natriuretic Peptide; Mid-Regional Pro-Atrial Natriuretic Peptide; MR-proANP; MRproANP</t>
  </si>
  <si>
    <t>A measurement of the mid-regional pro-atrial natriuretic peptide in a biological specimen.</t>
  </si>
  <si>
    <t>Mid-Regional Pro-Atrial Natriuretic Peptide Measurement</t>
  </si>
  <si>
    <t>C139088</t>
  </si>
  <si>
    <t>ANPPRONT</t>
  </si>
  <si>
    <t>N-Terminal ProA-type Natriuretic Peptide</t>
  </si>
  <si>
    <t>N-terminal pro-Atrial Natriuretic Peptide; N-Terminal ProA-type Natriuretic Peptide; NT proANP II</t>
  </si>
  <si>
    <t>A measurement of the N-terminal proA-type natriuretic peptide in a biological specimen.</t>
  </si>
  <si>
    <t>N-Terminal ProA-type Natriuretic Peptide Measurement</t>
  </si>
  <si>
    <t>C81958</t>
  </si>
  <si>
    <t>ANTHRMA</t>
  </si>
  <si>
    <t>Antithrombin Activity</t>
  </si>
  <si>
    <t>Antithrombin Activity; Antithrombin III Activity</t>
  </si>
  <si>
    <t>A measurement of the antithrombin activity in a biological specimen.</t>
  </si>
  <si>
    <t>Antithrombin Activity Measurement</t>
  </si>
  <si>
    <t>C81977</t>
  </si>
  <si>
    <t>ANTHRMAG</t>
  </si>
  <si>
    <t>Antithrombin Antigen</t>
  </si>
  <si>
    <t>Antithrombin; Antithrombin Antigen; Antithrombin III; Antithrombin III Antigen</t>
  </si>
  <si>
    <t>A measurement of the antithrombin antigen in a biological specimen.</t>
  </si>
  <si>
    <t>Antithrombin Antigen Measurement</t>
  </si>
  <si>
    <t>C74691</t>
  </si>
  <si>
    <t>ANTIDPRS</t>
  </si>
  <si>
    <t>Antidepressants</t>
  </si>
  <si>
    <t>A measurement of any antidepressant class drug present in a biological specimen.</t>
  </si>
  <si>
    <t>Antidepressant Measurement</t>
  </si>
  <si>
    <t>C172525</t>
  </si>
  <si>
    <t>APAPCYS</t>
  </si>
  <si>
    <t>Acetaminophen-Cysteine Adduct</t>
  </si>
  <si>
    <t>Acetaminophen Protein Adduct; Acetaminophen-Cysteine Adduct; APAP-CYS; APAP-Protein</t>
  </si>
  <si>
    <t>A measurement of the acetaminophen-cysteine adducts in a biological specimen.</t>
  </si>
  <si>
    <t>Acetaminophen-Cysteine Adduct Measurement</t>
  </si>
  <si>
    <t>C221553</t>
  </si>
  <si>
    <t>APAPGLC</t>
  </si>
  <si>
    <t>Acetaminophen-Glucuronide Adduct</t>
  </si>
  <si>
    <t>A measurement of the acetaminophen-glucuronide adducts in a biological specimen.</t>
  </si>
  <si>
    <t>Acetaminophen-Glucuronide Adduct Measurement</t>
  </si>
  <si>
    <t>C221552</t>
  </si>
  <si>
    <t>APAPSULF</t>
  </si>
  <si>
    <t>Acetaminophen-Sulfate Adduct</t>
  </si>
  <si>
    <t>A measurement of the acetaminophen-sulfate adducts in a biological specimen.</t>
  </si>
  <si>
    <t>Acetaminophen-Sulfate Adduct Measurement</t>
  </si>
  <si>
    <t>C221594</t>
  </si>
  <si>
    <t>API</t>
  </si>
  <si>
    <t>Acinetobacter pittii</t>
  </si>
  <si>
    <t>A measurement of Acinetobacter pittii in a biological specimen.</t>
  </si>
  <si>
    <t>Acinetobacter pittii Measurement</t>
  </si>
  <si>
    <t>C161372</t>
  </si>
  <si>
    <t>APLASCPD</t>
  </si>
  <si>
    <t>APTT-LA Screen to Confirm Pct Difference</t>
  </si>
  <si>
    <t>APTT-LA Screen to Confirm Percent Difference; PTT-LA Screen to Confirm Pct Difference</t>
  </si>
  <si>
    <t>A measurement to confirm the presence of Lupus anticoagulants, calculated as [(Screen aPTT - Confirm aPTT)/Screen aPTT]x100.</t>
  </si>
  <si>
    <t>APTT-LA Screen to Confirm Percent Difference</t>
  </si>
  <si>
    <t>C103351</t>
  </si>
  <si>
    <t>APLSMA2</t>
  </si>
  <si>
    <t>Alpha-2 Antiplasmin</t>
  </si>
  <si>
    <t>Alpha-2 Antiplasmin; Alpha-2 Plasmin Inhibitor</t>
  </si>
  <si>
    <t>A measurement of the alpha-2 antiplasmin in a biological specimen.</t>
  </si>
  <si>
    <t>Alpha-2 Antiplasmin Measurement</t>
  </si>
  <si>
    <t>C122094</t>
  </si>
  <si>
    <t>APLSMA2A</t>
  </si>
  <si>
    <t>Alpha-2 Antiplasmin Activity</t>
  </si>
  <si>
    <t>A measurement of the alpha-2 antiplasmin activity in a biological specimen.</t>
  </si>
  <si>
    <t>Alpha-2 Antiplasmin Activity Measurement</t>
  </si>
  <si>
    <t>C124337</t>
  </si>
  <si>
    <t>APOA</t>
  </si>
  <si>
    <t>Apolipoprotein A</t>
  </si>
  <si>
    <t>A measurement of the total apolipoprotein A in a biological specimen.</t>
  </si>
  <si>
    <t>Apolipoprotein A Measurement</t>
  </si>
  <si>
    <t>C74733</t>
  </si>
  <si>
    <t>APOA1</t>
  </si>
  <si>
    <t>Apolipoprotein A1</t>
  </si>
  <si>
    <t>A measurement of the apolipoprotein A1 in a biological specimen.</t>
  </si>
  <si>
    <t>Apolipoprotein A1 Measurement</t>
  </si>
  <si>
    <t>C82000</t>
  </si>
  <si>
    <t>APOA2</t>
  </si>
  <si>
    <t>Apolipoprotein AII</t>
  </si>
  <si>
    <t>A measurement of the apolipoprotein AII in a biological specimen.</t>
  </si>
  <si>
    <t>Apolipoprotein AII Measurement</t>
  </si>
  <si>
    <t>C103354</t>
  </si>
  <si>
    <t>APOA4</t>
  </si>
  <si>
    <t>Apolipoprotein A4</t>
  </si>
  <si>
    <t>A measurement of the apolipoprotein A4 in a biological specimen.</t>
  </si>
  <si>
    <t>Apolipoprotein A4 Measurement</t>
  </si>
  <si>
    <t>C103355</t>
  </si>
  <si>
    <t>APOA5</t>
  </si>
  <si>
    <t>Apolipoprotein A5</t>
  </si>
  <si>
    <t>A measurement of the apolipoprotein A5 in a biological specimen.</t>
  </si>
  <si>
    <t>Apolipoprotein A5 Measurement</t>
  </si>
  <si>
    <t>C74734</t>
  </si>
  <si>
    <t>APOB</t>
  </si>
  <si>
    <t>Apolipoprotein B</t>
  </si>
  <si>
    <t>A measurement of the total apolipoprotein B in a biological specimen.</t>
  </si>
  <si>
    <t>Apolipoprotein B Measurement</t>
  </si>
  <si>
    <t>C120628</t>
  </si>
  <si>
    <t>APOB100</t>
  </si>
  <si>
    <t>Apolipoprotein B100</t>
  </si>
  <si>
    <t>A measurement of the apolipoprotein B100 in a biological specimen.</t>
  </si>
  <si>
    <t>Apolipoprotein B100 Measurement</t>
  </si>
  <si>
    <t>C120629</t>
  </si>
  <si>
    <t>APOB48</t>
  </si>
  <si>
    <t>Apolipoprotein B48</t>
  </si>
  <si>
    <t>A measurement of the apolipoprotein B48 in a biological specimen.</t>
  </si>
  <si>
    <t>Apolipoprotein B48 Measurement</t>
  </si>
  <si>
    <t>C103356</t>
  </si>
  <si>
    <t>APOBAPA1</t>
  </si>
  <si>
    <t>Apolipoprotein B/Apolipoprotein A1</t>
  </si>
  <si>
    <t>A relative measurement (ratio or percentage) of the Apolipoprotein B to Apolipoprotein A1 in a biological specimen.</t>
  </si>
  <si>
    <t>Apolipoprotein B to Apolipoprotein A1 Ratio Measurement</t>
  </si>
  <si>
    <t>C120630</t>
  </si>
  <si>
    <t>APOC1</t>
  </si>
  <si>
    <t>Apolipoprotein CI</t>
  </si>
  <si>
    <t>A measurement of the apolipoprotein CI in a biological specimen.</t>
  </si>
  <si>
    <t>Apolipoprotein CI Measurement</t>
  </si>
  <si>
    <t>C100427</t>
  </si>
  <si>
    <t>APOC2</t>
  </si>
  <si>
    <t>Apolipoprotein C2</t>
  </si>
  <si>
    <t>Apolipoprotein C2; Apolipoprotein CII</t>
  </si>
  <si>
    <t>A measurement of the apolipoprotein C2 in a biological specimen.</t>
  </si>
  <si>
    <t>Apolipoprotein C2 Measurement</t>
  </si>
  <si>
    <t>C82001</t>
  </si>
  <si>
    <t>APOC3</t>
  </si>
  <si>
    <t>Apolipoprotein CIII</t>
  </si>
  <si>
    <t>A measurement of the apolipoprotein CIII in a biological specimen.</t>
  </si>
  <si>
    <t>Apolipoprotein CIII Measurement</t>
  </si>
  <si>
    <t>C181495</t>
  </si>
  <si>
    <t>APOCE</t>
  </si>
  <si>
    <t>Apoptotic Cells</t>
  </si>
  <si>
    <t>A measurement of the apoptotic cells in a biological specimen.</t>
  </si>
  <si>
    <t>Apoptotic Cell Count</t>
  </si>
  <si>
    <t>C181494</t>
  </si>
  <si>
    <t>APOCECE</t>
  </si>
  <si>
    <t>Apoptotic Cells/Total Cells</t>
  </si>
  <si>
    <t>A relative measurement (ratio or percentage) of the apoptotic cells to total cells in a biological specimen.</t>
  </si>
  <si>
    <t>Apoptotic Cell to Total Cell Count</t>
  </si>
  <si>
    <t>C198281</t>
  </si>
  <si>
    <t>APOD</t>
  </si>
  <si>
    <t>Apolipoprotein D</t>
  </si>
  <si>
    <t>A measurement of the apolipoprotein D in a biological specimen.</t>
  </si>
  <si>
    <t>Apolipoprotein D Measurement</t>
  </si>
  <si>
    <t>C82002</t>
  </si>
  <si>
    <t>APOE</t>
  </si>
  <si>
    <t>Apolipoprotein E</t>
  </si>
  <si>
    <t>A measurement of the apolipoprotein E in a biological specimen.</t>
  </si>
  <si>
    <t>Apolipoprotein E Measurement</t>
  </si>
  <si>
    <t>C92293</t>
  </si>
  <si>
    <t>APOE4</t>
  </si>
  <si>
    <t>Apolipoprotein E4</t>
  </si>
  <si>
    <t>A measurement of the apolipoprotein E4 in a biological specimen.</t>
  </si>
  <si>
    <t>Apolipoprotein E4 Measurement</t>
  </si>
  <si>
    <t>C82003</t>
  </si>
  <si>
    <t>APOH</t>
  </si>
  <si>
    <t>Apolipoprotein H</t>
  </si>
  <si>
    <t>A measurement of the apolipoprotein H in a biological specimen.</t>
  </si>
  <si>
    <t>Apolipoprotein H Measurement</t>
  </si>
  <si>
    <t>C100428</t>
  </si>
  <si>
    <t>APOJ</t>
  </si>
  <si>
    <t>Apolipoprotein J</t>
  </si>
  <si>
    <t>Apolipoprotein J; Clusterin</t>
  </si>
  <si>
    <t>A measurement of the apolipoprotein J in a biological specimen.</t>
  </si>
  <si>
    <t>Apolipoprotein J Measurement</t>
  </si>
  <si>
    <t>C111130</t>
  </si>
  <si>
    <t>APOJCRT</t>
  </si>
  <si>
    <t>Apolipoprotein J/Creatinine</t>
  </si>
  <si>
    <t>Apolipoprotein J/Creatinine; Clusterin/Creatinine</t>
  </si>
  <si>
    <t>A relative measurement (ratio or percentage) of the apolipoprotein J to creatinine in a biological specimen.</t>
  </si>
  <si>
    <t>Apolipoprotein J to Creatinine Ratio Measurement</t>
  </si>
  <si>
    <t>C139036</t>
  </si>
  <si>
    <t>APOSCSEV</t>
  </si>
  <si>
    <t>Aortic Postductal Coarctation Severity</t>
  </si>
  <si>
    <t>The assessment of the severity of postductal aortic coarctation.</t>
  </si>
  <si>
    <t>C119268</t>
  </si>
  <si>
    <t>APPA</t>
  </si>
  <si>
    <t>Amyloid Alpha Precursor Protein</t>
  </si>
  <si>
    <t>A measurement of the amyloid alpha precursor protein present in a biological specimen.</t>
  </si>
  <si>
    <t>Amyloid Alpha Precursor Protein Measurement</t>
  </si>
  <si>
    <t>C105438</t>
  </si>
  <si>
    <t>APPB</t>
  </si>
  <si>
    <t>Amyloid Beta Precursor Protein</t>
  </si>
  <si>
    <t>Amyloid Beta Precursor; Amyloid Beta Precursor Protein; Amyloid Precursor Beta; Amyloid Precursor Protein</t>
  </si>
  <si>
    <t>A measurement of the amyloid beta precursor protein present in a biological specimen.</t>
  </si>
  <si>
    <t>Amyloid Beta Precursor Protein Measurement</t>
  </si>
  <si>
    <t>C179695</t>
  </si>
  <si>
    <t>APPEAR</t>
  </si>
  <si>
    <t>Specimen Appearance</t>
  </si>
  <si>
    <t>The outward or visible aspect of a specimen.</t>
  </si>
  <si>
    <t>Specimen Appearance Assessment</t>
  </si>
  <si>
    <t>C204581</t>
  </si>
  <si>
    <t>APPLCNT</t>
  </si>
  <si>
    <t>Applicant</t>
  </si>
  <si>
    <t>Applicant; Applicant Organization; Applicant Organization Name</t>
  </si>
  <si>
    <t>Any party, which may include the tobacco manufacturer and its authorized representative, who is subject to FDA's jurisdiction under chapter IX of the FD&amp;C Act and submits an application to FDA for authority to market a tobacco product. (After PMTA Rule 21</t>
  </si>
  <si>
    <t>US FDA Tobacco Product Applicant</t>
  </si>
  <si>
    <t>C119269</t>
  </si>
  <si>
    <t>APPT</t>
  </si>
  <si>
    <t>Total Amyloid Precursor Protein</t>
  </si>
  <si>
    <t>A measurement of the total amyloid precursor protein present in a biological specimen.</t>
  </si>
  <si>
    <t>Total Amyloid Precursor Protein Measurement</t>
  </si>
  <si>
    <t>C184578</t>
  </si>
  <si>
    <t>APRBRBTL</t>
  </si>
  <si>
    <t>Aprobarbital</t>
  </si>
  <si>
    <t>A measurement of the aprobarbital in a biological specimen.</t>
  </si>
  <si>
    <t>Aprobarbital Measurement</t>
  </si>
  <si>
    <t>C139034</t>
  </si>
  <si>
    <t>APRECSEV</t>
  </si>
  <si>
    <t>Aortic Preductal Coarctation Severity</t>
  </si>
  <si>
    <t>The assessment of the severity of preductal aortic coarctation.</t>
  </si>
  <si>
    <t>C156512</t>
  </si>
  <si>
    <t>APRI</t>
  </si>
  <si>
    <t>AST to Platelet Ratio Index</t>
  </si>
  <si>
    <t>APRI Score; AST to Platelet Ratio Index</t>
  </si>
  <si>
    <t>A calculation that indicates the likely presence of liver cirrhosis and fibrosis, measured as the relative measurement of aspartate aminotransferase (AST) to AST upper limit of normal, divided by the platelet count, and multiplied by 100.</t>
  </si>
  <si>
    <t>Aspartate Aminotransferase to Platelet Ratio Index</t>
  </si>
  <si>
    <t>C111123</t>
  </si>
  <si>
    <t>APRIL</t>
  </si>
  <si>
    <t>A Proliferation-Inducing Ligand</t>
  </si>
  <si>
    <t>A Proliferation-Inducing Ligand; Soluble CD256; TNFSF13; Tumor Necrosis Factor Ligand Superfamily Member 13</t>
  </si>
  <si>
    <t>A measurement of the a proliferation-inducing ligand in a biological specimen.</t>
  </si>
  <si>
    <t>A Proliferation-Inducing Ligand Measurement</t>
  </si>
  <si>
    <t>C100471</t>
  </si>
  <si>
    <t>APROTCRS</t>
  </si>
  <si>
    <t>Activated Protein C Resistance</t>
  </si>
  <si>
    <t>Activated Protein C Resistance; Factor V Leiden Screen</t>
  </si>
  <si>
    <t>A measurement of the resistance in the anticoagulation response to activated protein C in a biological specimen.</t>
  </si>
  <si>
    <t>Activated Protein C Resistance Measurement</t>
  </si>
  <si>
    <t>C139042</t>
  </si>
  <si>
    <t>APSE</t>
  </si>
  <si>
    <t>Annular Plane Systolic Excursion</t>
  </si>
  <si>
    <t>The longitudinal displacement of a cardiac valve annulus toward the apex of the heart.</t>
  </si>
  <si>
    <t>C209578</t>
  </si>
  <si>
    <t>APSSCORE</t>
  </si>
  <si>
    <t>Amyloid Probability Score</t>
  </si>
  <si>
    <t>Amyloid Probability Score; APS; Plasma Amyloid Probability Score</t>
  </si>
  <si>
    <t>A probability score representing the estimated likelihood that the patient is amyloid positive on PET imaging.</t>
  </si>
  <si>
    <t>C38462</t>
  </si>
  <si>
    <t>APTT</t>
  </si>
  <si>
    <t>Activated Partial Thromboplastin Time</t>
  </si>
  <si>
    <t>A measurement of the length of time that it takes for clotting to occur when activating reagents are added to a biological specimen. The test is partial due to the absence of tissue factor (Factor III) from the reaction mixture.</t>
  </si>
  <si>
    <t>C161369</t>
  </si>
  <si>
    <t>APTTLAAC</t>
  </si>
  <si>
    <t>APTT-LA Actual/Control</t>
  </si>
  <si>
    <t>APTT-LA Actual/Control; Lupus Anticoagulant Sensitive APTT Actual/Control</t>
  </si>
  <si>
    <t>A relative measurement (ratio or percentage) of the Lupus anticoagulant sensitive APTT in a subject's specimen when compared to a control specimen.</t>
  </si>
  <si>
    <t>APTT-LA Actual to Control Ratio Measurement</t>
  </si>
  <si>
    <t>C102277</t>
  </si>
  <si>
    <t>APTTLAS</t>
  </si>
  <si>
    <t>Lupus Anticoagulant Sensitive APTT</t>
  </si>
  <si>
    <t>APTT-LA; APTTLA; Lupus Anticoagulant Sensitive APTT</t>
  </si>
  <si>
    <t>A measurement of the length of time that it takes for clotting to occur when a lupus sensitive reagent is added to a plasma specimen.</t>
  </si>
  <si>
    <t>Lupus Anticoagulant Sensitive APTT Measurement</t>
  </si>
  <si>
    <t>C98862</t>
  </si>
  <si>
    <t>APTTSTND</t>
  </si>
  <si>
    <t>Activated PTT/Standard</t>
  </si>
  <si>
    <t>Activated Partial Thromboplastin Time/Standard Thromboplastin Time; Activated PTT/Standard; Activated PTT/Standard PTT</t>
  </si>
  <si>
    <t>A relative measurement (ratio or percentage) of the subject's activated partial thromboplastin time to a standard or control partial thromboplastin time.</t>
  </si>
  <si>
    <t>Activated PTT/Standard Ratio Measurement</t>
  </si>
  <si>
    <t>C102259</t>
  </si>
  <si>
    <t>ARA</t>
  </si>
  <si>
    <t>Arachidonic Acid</t>
  </si>
  <si>
    <t>A measurement of the arachidonic acid present in a biological specimen.</t>
  </si>
  <si>
    <t>Arachidonic Acid Measurement</t>
  </si>
  <si>
    <t>C182150</t>
  </si>
  <si>
    <t>ARAB</t>
  </si>
  <si>
    <t>Allergen-induced Antibody</t>
  </si>
  <si>
    <t>A measurement of the binding allergen-induced antibody in a biological specimen.</t>
  </si>
  <si>
    <t>Allergen-induced Antibody Measurement</t>
  </si>
  <si>
    <t>C102356</t>
  </si>
  <si>
    <t>ARAUC</t>
  </si>
  <si>
    <t>Accumulation Ratio AUCTAU</t>
  </si>
  <si>
    <t>The area under the curve over the dosing interval at steady state divided by the area under the curve over the initial dosing interval.</t>
  </si>
  <si>
    <t>Accumulation Ratio Area Under the Curve</t>
  </si>
  <si>
    <t>C132435</t>
  </si>
  <si>
    <t>ARAUCD</t>
  </si>
  <si>
    <t>Accum Ratio AUCTAU norm by dose</t>
  </si>
  <si>
    <t>The area under the curve (AUCTAU) at steady state divided by the area under the curve (AUCTAU) over the initial dosing interval, each divided by the associated dose.</t>
  </si>
  <si>
    <t>Accumulation Ratio AUC Over Dosing Interval Normalized by Dose</t>
  </si>
  <si>
    <t>C170611</t>
  </si>
  <si>
    <t>ARAUCIFO</t>
  </si>
  <si>
    <t>Accum Ratio AUC Infinity Obs</t>
  </si>
  <si>
    <t>The area under the curve (AUC) extrapolated to infinity, calculated using the observed value of the last non-zero concentration divided by the area under the curve (AUC) extrapolated to infinity, calculated using the observed value of the last non-zero co</t>
  </si>
  <si>
    <t>Accumulation Ratio AUC Infinity Observed</t>
  </si>
  <si>
    <t>C170612</t>
  </si>
  <si>
    <t>ARAUCIFP</t>
  </si>
  <si>
    <t>Accum Ratio AUC Infinity Pred</t>
  </si>
  <si>
    <t>The area under the curve (AUC) extrapolated to infinity, calculated using the predicted value of the last non-zero concentration divided by the area under the curve (AUC) extrapolated to infinity, calculated using the predicted value of the last non-zero</t>
  </si>
  <si>
    <t>Accumulation Ratio AUC Infinity Predicted</t>
  </si>
  <si>
    <t>C132436</t>
  </si>
  <si>
    <t>ARAUCIND</t>
  </si>
  <si>
    <t>Accum Ratio AUC T1 to T2 norm by dose</t>
  </si>
  <si>
    <t>The area under the curve from T1 to T2 at steady state divided by the area under the curve from T1 to T2 during the initial dosing interval, each divided by the associated dose.</t>
  </si>
  <si>
    <t>Accumulation Ratio AUC T1 to T2 Normalized by Dose</t>
  </si>
  <si>
    <t>C122329</t>
  </si>
  <si>
    <t>ARAUCINT</t>
  </si>
  <si>
    <t>Accumulation Ratio AUC from T1 to T2</t>
  </si>
  <si>
    <t>The area under the curve from T1 to T2 at steady state divided by the area under the curve from T1 to T2 during the initial dosing interval.</t>
  </si>
  <si>
    <t>Accumulation Ratio Area Under the Curve from T1 to T2</t>
  </si>
  <si>
    <t>C170613</t>
  </si>
  <si>
    <t>ARAUCIOD</t>
  </si>
  <si>
    <t>Accum Ratio AUCIFO Norm by Dose</t>
  </si>
  <si>
    <t>Accumulation Ratio AUC Infinity Observed Normalized by Dose</t>
  </si>
  <si>
    <t>C170614</t>
  </si>
  <si>
    <t>ARAUCIPD</t>
  </si>
  <si>
    <t>Accum Ratio AUCIFP Norm by Dose</t>
  </si>
  <si>
    <t>Accumulation Ratio AUC Infinity Predicted Normalized by Dose</t>
  </si>
  <si>
    <t>C139129</t>
  </si>
  <si>
    <t>ARAUCLST</t>
  </si>
  <si>
    <t>Accum Ratio AUC to Last Nonzero Conc</t>
  </si>
  <si>
    <t>The area under the curve (AUC) from the time of dosing to the last measurable concentration divided by the area under the curve from the time of dosing to the last measurable concentration during the initial dosing interval.</t>
  </si>
  <si>
    <t>Accumulation Ratio AUC to Last Nonzero Concentration</t>
  </si>
  <si>
    <t>C178037</t>
  </si>
  <si>
    <t>ARCHCHG</t>
  </si>
  <si>
    <t>Architectural Changes</t>
  </si>
  <si>
    <t>An evaluation of tissue architectural changes in a biological specimen.</t>
  </si>
  <si>
    <t>Architectural Changes Assessment</t>
  </si>
  <si>
    <t>C102357</t>
  </si>
  <si>
    <t>ARCMAX</t>
  </si>
  <si>
    <t>Accumulation Ratio Cmax</t>
  </si>
  <si>
    <t>The maximum concentration at steady state divided by the maximum concentration during the initial dosing interval.</t>
  </si>
  <si>
    <t>C132437</t>
  </si>
  <si>
    <t>ARCMAXD</t>
  </si>
  <si>
    <t>Accum Ratio Cmax norm by dose</t>
  </si>
  <si>
    <t>The maximum concentration at steady state divided by the maximum concentration during the initial dosing interval, each divided by the associated dose.</t>
  </si>
  <si>
    <t>Accumulation Ratio Cmax Normalized by Dose</t>
  </si>
  <si>
    <t>C102358</t>
  </si>
  <si>
    <t>ARCMIN</t>
  </si>
  <si>
    <t>Accumulation Ratio Cmin</t>
  </si>
  <si>
    <t>The minimum concentration at steady state divided by the minimum concentration during the initial dosing interval.</t>
  </si>
  <si>
    <t>C132438</t>
  </si>
  <si>
    <t>ARCMIND</t>
  </si>
  <si>
    <t>Accum Ratio Cmin norm by dose</t>
  </si>
  <si>
    <t>The minimum concentration at steady state divided by the minimum concentration during the initial dosing interval, each divided by the associated dose.</t>
  </si>
  <si>
    <t>Accumulation Ratio Cmin Normalized by Dose</t>
  </si>
  <si>
    <t>C132439</t>
  </si>
  <si>
    <t>ARCTROUD</t>
  </si>
  <si>
    <t>Accum Ratio Ctrough norm by dose</t>
  </si>
  <si>
    <t>The trough concentration at steady state divided by the trough concentration during the initial dosing interval, each divided by the associated dose.</t>
  </si>
  <si>
    <t>Accumulation Ratio Ctrough Normalized by Dose</t>
  </si>
  <si>
    <t>C102426</t>
  </si>
  <si>
    <t>ARCTROUG</t>
  </si>
  <si>
    <t>Accumulation Ratio Ctrough</t>
  </si>
  <si>
    <t>The trough concentration at steady state divided by the trough concentration during the initial dosing interval.</t>
  </si>
  <si>
    <t>C25244</t>
  </si>
  <si>
    <t>AREA</t>
  </si>
  <si>
    <t>Area</t>
  </si>
  <si>
    <t>The extent of a 2-dimensional surface enclosed within a boundary. (NCI)</t>
  </si>
  <si>
    <t>C127537</t>
  </si>
  <si>
    <t>AREAEVD</t>
  </si>
  <si>
    <t>Area, End Ventricular Diastole</t>
  </si>
  <si>
    <t>The 2-dimensional surface enclosed within a boundary of a cardiovascular structure and measured at end ventricular diastole.</t>
  </si>
  <si>
    <t>Area at End Ventricular Diastole</t>
  </si>
  <si>
    <t>C127538</t>
  </si>
  <si>
    <t>AREAEVS</t>
  </si>
  <si>
    <t>Area, End Ventricular Systole</t>
  </si>
  <si>
    <t>The 2-dimensional surface enclosed within a boundary of a cardiovascular structure and measured at end ventricular systole.</t>
  </si>
  <si>
    <t>Area at End Ventricular Systole</t>
  </si>
  <si>
    <t>C199888</t>
  </si>
  <si>
    <t>AREG</t>
  </si>
  <si>
    <t>Amphiregulin</t>
  </si>
  <si>
    <t>Amphiregulin; Schwannoma-Derived Growth Factor; SDGF</t>
  </si>
  <si>
    <t>A measurement of the amphiregulin in a biological specimen.</t>
  </si>
  <si>
    <t>Amphiregulin Measurement</t>
  </si>
  <si>
    <t>C122095</t>
  </si>
  <si>
    <t>ARG</t>
  </si>
  <si>
    <t>Arginine</t>
  </si>
  <si>
    <t>A measurement of the arginine in a biological specimen.</t>
  </si>
  <si>
    <t>Arginine Measurement</t>
  </si>
  <si>
    <t>C127539</t>
  </si>
  <si>
    <t>ARGJWLVD</t>
  </si>
  <si>
    <t>Aortic Regur Jet Width LVOT Diam Rt</t>
  </si>
  <si>
    <t>Aortic Regur Jet Width LVOT Diam Rt; Aortic Regurgitant Jet Width to Left Ventricular Outflow Tract Diameter Ratio</t>
  </si>
  <si>
    <t>A relative measurement (ratio) of the aortic regurgitant jet width to left ventricular outflow tract (LVOT) diameter.</t>
  </si>
  <si>
    <t>Aortic Regurgitant Jet Width to Left Ventricular Outflow Tract Diameter Ratio</t>
  </si>
  <si>
    <t>C154763</t>
  </si>
  <si>
    <t>ARGSAC</t>
  </si>
  <si>
    <t>Argininosuccinic Acid</t>
  </si>
  <si>
    <t>Argininosuccinate; Argininosuccinic Acid</t>
  </si>
  <si>
    <t>A measurement of the argininosuccinic acid in a biological specimen.</t>
  </si>
  <si>
    <t>Argininosuccinic Acid Measurement</t>
  </si>
  <si>
    <t>C187776</t>
  </si>
  <si>
    <t>ARIGAAB</t>
  </si>
  <si>
    <t>Allergen-induced IgA Antibody</t>
  </si>
  <si>
    <t>A measurement of the binding allergen-induced IgA antibody in a biological specimen.</t>
  </si>
  <si>
    <t>Allergen-induced IgA Antibody Measurement</t>
  </si>
  <si>
    <t>C181398</t>
  </si>
  <si>
    <t>ARIGEAB</t>
  </si>
  <si>
    <t>Allergen-induced IgE Antibody</t>
  </si>
  <si>
    <t>A measurement of the binding allergen-induced IgE antibody in a biological specimen.</t>
  </si>
  <si>
    <t>Allergen-induced IgE Antibody Measurement</t>
  </si>
  <si>
    <t>C187778</t>
  </si>
  <si>
    <t>ARIGG4AB</t>
  </si>
  <si>
    <t>Allergen-induced IgG4 Antibody</t>
  </si>
  <si>
    <t>A measurement of the binding allergen-induced IgG4 antibody in a biological specimen.</t>
  </si>
  <si>
    <t>Allergen-induced IgG4 Antibody Measurement</t>
  </si>
  <si>
    <t>C187777</t>
  </si>
  <si>
    <t>ARIGGAB</t>
  </si>
  <si>
    <t>Allergen-induced IgG Antibody</t>
  </si>
  <si>
    <t>A measurement of the binding allergen-induced IgG antibody in a biological specimen.</t>
  </si>
  <si>
    <t>Allergen-induced IgG Antibody Measurement</t>
  </si>
  <si>
    <t>C187779</t>
  </si>
  <si>
    <t>ARIGMAB</t>
  </si>
  <si>
    <t>Allergen-induced IgM Antibody</t>
  </si>
  <si>
    <t>A measurement of the binding allergen-induced IgM antibody in a biological specimen.</t>
  </si>
  <si>
    <t>Allergen-induced IgM Antibody Measurement</t>
  </si>
  <si>
    <t>C181553</t>
  </si>
  <si>
    <t>ARMSPAN</t>
  </si>
  <si>
    <t>Arm Span</t>
  </si>
  <si>
    <t>Arm Span; Armspan; Reach; Wingspan</t>
  </si>
  <si>
    <t>A measurement of the length from the tip of the middle finger on one hand to the tip of the middle finger on the other hand with the individual standing against the wall with both arms abducted to 90 degrees, the elbows and wrists extended, and the palms</t>
  </si>
  <si>
    <t>C177974</t>
  </si>
  <si>
    <t>ARPIPZL</t>
  </si>
  <si>
    <t>Aripiprazole</t>
  </si>
  <si>
    <t>A measurement of the aripiprazole in a biological specimen.</t>
  </si>
  <si>
    <t>Aripiprazole Measurement</t>
  </si>
  <si>
    <t>C124338</t>
  </si>
  <si>
    <t>ARR</t>
  </si>
  <si>
    <t>Aldosterone/Renin Activity</t>
  </si>
  <si>
    <t>A relative measurement (ratio) of the aldosterone to renin activity in a biological specimen.</t>
  </si>
  <si>
    <t>Aldosterone to Renin Activity Ratio Measurement</t>
  </si>
  <si>
    <t>C147305</t>
  </si>
  <si>
    <t>ARSENIC</t>
  </si>
  <si>
    <t>Arsenic</t>
  </si>
  <si>
    <t>Arsenic; As</t>
  </si>
  <si>
    <t>A measurement of the arsenic in a specimen.</t>
  </si>
  <si>
    <t>Arsenic Measurement</t>
  </si>
  <si>
    <t>C135463</t>
  </si>
  <si>
    <t>ARTLRHYT</t>
  </si>
  <si>
    <t>Arteriolar Hyaline Thickening</t>
  </si>
  <si>
    <t>An evaluation of the arteriolar hyaline thickening of vessels in a biological specimen.</t>
  </si>
  <si>
    <t>Arteriolar Hyaline Thickening Assessment</t>
  </si>
  <si>
    <t>C184703</t>
  </si>
  <si>
    <t>ARV7</t>
  </si>
  <si>
    <t>Androgen Receptor Variant 7</t>
  </si>
  <si>
    <t>Androgen Receptor Variant 7; AR-V7</t>
  </si>
  <si>
    <t>A measurement of the androgen receptor variant 7 in a biological specimen.</t>
  </si>
  <si>
    <t>Androgen Receptor Variant 7 Measurement</t>
  </si>
  <si>
    <t>C200019</t>
  </si>
  <si>
    <t>ASDCE</t>
  </si>
  <si>
    <t>Total Assessed Cells</t>
  </si>
  <si>
    <t>Total Assessed Cells; Total Cells</t>
  </si>
  <si>
    <t>A measurement of the total number of cells that are observed during the evaluation, or assessed as part of the protocol-defined assay.</t>
  </si>
  <si>
    <t>Total Assessed Cells Count</t>
  </si>
  <si>
    <t>C177985</t>
  </si>
  <si>
    <t>ASENAPN</t>
  </si>
  <si>
    <t>Asenapine</t>
  </si>
  <si>
    <t>A measurement of the asenapine in a biological specimen.</t>
  </si>
  <si>
    <t>Asenapine Measurement</t>
  </si>
  <si>
    <t>C201447</t>
  </si>
  <si>
    <t>ASGMGIND</t>
  </si>
  <si>
    <t>Adequate Surgical Margins Indicator</t>
  </si>
  <si>
    <t>An indication as to whether there is adequate distance of apparently non-tumorous tissue from the resected tumor.</t>
  </si>
  <si>
    <t>Adequate Surgical Margin Indicator</t>
  </si>
  <si>
    <t>C163422</t>
  </si>
  <si>
    <t>ASMACT</t>
  </si>
  <si>
    <t>Alpha-Smooth Muscle Actin</t>
  </si>
  <si>
    <t>Alpha-Actin 2; Alpha-SMA; Alpha-Smooth Muscle Actin</t>
  </si>
  <si>
    <t>A measurement of the alpha-smooth muscle actin in a biological specimen.</t>
  </si>
  <si>
    <t>Alpha-Smooth Muscle Actin Measurement</t>
  </si>
  <si>
    <t>C178018</t>
  </si>
  <si>
    <t>ASMMASS</t>
  </si>
  <si>
    <t>Appendicular Skeletal Muscle Mass</t>
  </si>
  <si>
    <t>Appendicular Skeletal Muscle Mass; ASMM</t>
  </si>
  <si>
    <t>A measurement of the mass of the muscles of the arms and legs.</t>
  </si>
  <si>
    <t>Appendicular Skeletal Muscle Mass Measurement</t>
  </si>
  <si>
    <t>C122096</t>
  </si>
  <si>
    <t>ASN</t>
  </si>
  <si>
    <t>Asparagine</t>
  </si>
  <si>
    <t>A measurement of the asparagine in a biological specimen.</t>
  </si>
  <si>
    <t>Asparagine Measurement</t>
  </si>
  <si>
    <t>C122097</t>
  </si>
  <si>
    <t>ASP</t>
  </si>
  <si>
    <t>Aspartic Acid</t>
  </si>
  <si>
    <t>Aspartate; Aspartic Acid</t>
  </si>
  <si>
    <t>A measurement of the aspartic acid in a biological specimen.</t>
  </si>
  <si>
    <t>Aspartic Acid Measurement</t>
  </si>
  <si>
    <t>C189540</t>
  </si>
  <si>
    <t>ASPAG</t>
  </si>
  <si>
    <t>Aspergillus Antigen</t>
  </si>
  <si>
    <t>A measurement of the antigen from any member of the genus Aspergillus in a biological specimen.</t>
  </si>
  <si>
    <t>Aspergillus Antigen Measurement</t>
  </si>
  <si>
    <t>C198303</t>
  </si>
  <si>
    <t>ASPDNA</t>
  </si>
  <si>
    <t>Aspergillus DNA</t>
  </si>
  <si>
    <t>A measurement of the DNA from any member of the genus Aspergillus in a biological specimen.</t>
  </si>
  <si>
    <t>Aspergillus DNA Measurement</t>
  </si>
  <si>
    <t>C172528</t>
  </si>
  <si>
    <t>ASPERGIL</t>
  </si>
  <si>
    <t>Aspergillus</t>
  </si>
  <si>
    <t>A measurement of the organisms that are not assigned to the species level but are assigned to the Aspergillus genus level in a biological specimen.</t>
  </si>
  <si>
    <t>Aspergillus Measurement</t>
  </si>
  <si>
    <t>SR</t>
  </si>
  <si>
    <t>C112221</t>
  </si>
  <si>
    <t>ASRINDEX</t>
  </si>
  <si>
    <t>Allergen Skin Response Index</t>
  </si>
  <si>
    <t>A relative measurement (ratio or percentage) of the allergen wheal size to the positive control wheal size in an allergen skin test.</t>
  </si>
  <si>
    <t>Allergen Skin Response Index Measurement</t>
  </si>
  <si>
    <t>C112222</t>
  </si>
  <si>
    <t>ASRINT</t>
  </si>
  <si>
    <t>Allergen Skin Response Intensity</t>
  </si>
  <si>
    <t>A semi-quantitative assessment of the intensity of the wheal and flare reaction.</t>
  </si>
  <si>
    <t>Allergen Skin Response Intensity Measurement</t>
  </si>
  <si>
    <t>C92269</t>
  </si>
  <si>
    <t>ASSDNA</t>
  </si>
  <si>
    <t>Anti-Single Stranded DNA IgG</t>
  </si>
  <si>
    <t>A measurement of the anti-single stranded DNA IgG antibody in a biological specimen.</t>
  </si>
  <si>
    <t>Anti-Single Stranded DNA IgG Measurement</t>
  </si>
  <si>
    <t>C64467</t>
  </si>
  <si>
    <t>AST</t>
  </si>
  <si>
    <t>Aspartate Aminotransferase</t>
  </si>
  <si>
    <t>Aspartate Aminotransferase; Aspartate Aminotransferase Antigen; SGOT; SGOT Antigen</t>
  </si>
  <si>
    <t>A measurement of the aspartate aminotransferase in a biological specimen.</t>
  </si>
  <si>
    <t>Aspartate Aminotransferase Measurement</t>
  </si>
  <si>
    <t>C176297</t>
  </si>
  <si>
    <t>ASTALT</t>
  </si>
  <si>
    <t>AST/ALT</t>
  </si>
  <si>
    <t>A relative measurement (ratio or percentage) of the aspartate aminotransferase (AST) to alanine aminotransferase (ALT) present in a sample.</t>
  </si>
  <si>
    <t>Aspartate Aminotransferase to Alanine Aminotransferase Ratio Measurement</t>
  </si>
  <si>
    <t>OE</t>
  </si>
  <si>
    <t>C117889</t>
  </si>
  <si>
    <t>ASTAXIS</t>
  </si>
  <si>
    <t>Astigmatism Axis</t>
  </si>
  <si>
    <t>A measurement of the location, in degrees, of the flatter principal meridian on a 180-degree scale, where 90 degrees designates the vertical meridian and 180 degrees designates the horizontal meridian.</t>
  </si>
  <si>
    <t>C201427</t>
  </si>
  <si>
    <t>ASTC</t>
  </si>
  <si>
    <t>Aspartate Aminotransferase Isoenzyme C</t>
  </si>
  <si>
    <t>Aspartate Aminotransferase Isoenzyme C; Aspartate Aminotransferase Isoenzyme Cytoplasmic; C-AST; cAspAT; Cytoplasmic Isoenzyme of Aspartate Aminotransferase; SGOT Isoenzyme C</t>
  </si>
  <si>
    <t>A measurement of the aspartate aminotransferase isoenzyme C in a biological specimen.</t>
  </si>
  <si>
    <t>Aspartate Aminotransferase Isoenzyme C Measurement</t>
  </si>
  <si>
    <t>C158225</t>
  </si>
  <si>
    <t>ASTCK</t>
  </si>
  <si>
    <t>AST/Creatine Kinase</t>
  </si>
  <si>
    <t>Aspartate Aminotransferase/CPK; Aspartate Aminotransferase/Creatine Kinase; AST/Creatine Kinase</t>
  </si>
  <si>
    <t>A relative measurement (ratio) of the aspartate aminotransferase to creatine kinase in a biological specimen.</t>
  </si>
  <si>
    <t>Aspartate Aminotransferase to Creatine Kinase Ratio Measurement</t>
  </si>
  <si>
    <t>C117830</t>
  </si>
  <si>
    <t>ASTCREAT</t>
  </si>
  <si>
    <t>Aspartate Aminotransferase/Creatinine</t>
  </si>
  <si>
    <t>A relative measurement (ratio or percentage) of the aspartate aminotransferase to creatinine in a biological specimen.</t>
  </si>
  <si>
    <t>Aspartate Aminotransferase to Creatinine Ratio Measurement</t>
  </si>
  <si>
    <t>C186027</t>
  </si>
  <si>
    <t>ASTDLG3A</t>
  </si>
  <si>
    <t>3-Alpha-Androstanediol Glucuronide</t>
  </si>
  <si>
    <t>A measurement of the 3-alpha-androstanediol glucuronide in a biological specimen.</t>
  </si>
  <si>
    <t>3-Alpha-Androstanediol Glucuronide Measurement</t>
  </si>
  <si>
    <t>C201428</t>
  </si>
  <si>
    <t>ASTM</t>
  </si>
  <si>
    <t>Aspartate Aminotransferase Isoenzyme M</t>
  </si>
  <si>
    <t>Aspartate Aminotransferase Isoenzyme M; Aspartate Aminotransferase Isoenzyme Mitochondrial; M-AST; mAspAT; Mitochondrial Isoenzyme of Aspartate Aminotransferase; SGOT Isoenzyme M</t>
  </si>
  <si>
    <t>A measurement of the aspartate aminotransferase isoenzyme M in a biological specimen.</t>
  </si>
  <si>
    <t>Aspartate Aminotransferase Isoenzyme M Measurement</t>
  </si>
  <si>
    <t>C142272</t>
  </si>
  <si>
    <t>ASYNP</t>
  </si>
  <si>
    <t>Alpha Synuclein Protein</t>
  </si>
  <si>
    <t>A measurement of the alpha synuclein protein in a biological specimen.</t>
  </si>
  <si>
    <t>Alpha Synuclein Protein Measurement</t>
  </si>
  <si>
    <t>C181397</t>
  </si>
  <si>
    <t>ATAB</t>
  </si>
  <si>
    <t>Autoantibody</t>
  </si>
  <si>
    <t>A measurement of the binding autoantibody in a biological specimen.</t>
  </si>
  <si>
    <t>Autoantibody Measurement</t>
  </si>
  <si>
    <t>C221667</t>
  </si>
  <si>
    <t>ATFV</t>
  </si>
  <si>
    <t>Non-Adipose Tissue Volume</t>
  </si>
  <si>
    <t>Adipose Tissue-Free Volume; Non-Adipose Tissue Volume</t>
  </si>
  <si>
    <t>A measurement of the volume of total tissue distributed within a specific body region or the entire body, excluding adipose tissue.</t>
  </si>
  <si>
    <t>Non-Adipose Tissue Volume Measurement</t>
  </si>
  <si>
    <t>C147306</t>
  </si>
  <si>
    <t>ATHMBAAC</t>
  </si>
  <si>
    <t>Antithrombin Activity Actual/Control</t>
  </si>
  <si>
    <t>Antithrombin Activity Actual/Antithrombin Activity Control; Antithrombin Activity Actual/Control; Antithrombin Activity Actual/Normal</t>
  </si>
  <si>
    <t>A relative measurement (ratio or percentage) of the biological activity of antithrombin in a subject's specimen when compared to the same activity in a control specimen.</t>
  </si>
  <si>
    <t>Antithrombin Activity Actual to Control Ratio Measurement</t>
  </si>
  <si>
    <t>C170592</t>
  </si>
  <si>
    <t>ATHMBAC</t>
  </si>
  <si>
    <t>Antithrombin Actual/Control</t>
  </si>
  <si>
    <t>Antithrombin Actual/Control; Antithrombin Actual/Normal</t>
  </si>
  <si>
    <t>A relative measurement (ratio or percentage) of the Antithrombin in a subject's specimen when compared to a control specimen.</t>
  </si>
  <si>
    <t>Antithrombin Actual to Control Ratio Measurement</t>
  </si>
  <si>
    <t>C154726</t>
  </si>
  <si>
    <t>ATHPIDX</t>
  </si>
  <si>
    <t>Atherogenic Index of Plasma</t>
  </si>
  <si>
    <t>AIP; Atherogenic Index; Atherogenic Index of Plasma</t>
  </si>
  <si>
    <t>A measurement of the base 10 logarithm of the ratio of molar concentration of plasma triglyceride to high density lipoprotein cholesterol in a biological specimen.</t>
  </si>
  <si>
    <t>C198278</t>
  </si>
  <si>
    <t>ATIGAAB</t>
  </si>
  <si>
    <t>IgA Autoantibody</t>
  </si>
  <si>
    <t>A measurement of the binding IgA autoantibody in a biological specimen.</t>
  </si>
  <si>
    <t>IgA Autoantibody Measurement</t>
  </si>
  <si>
    <t>C204624</t>
  </si>
  <si>
    <t>ATIGG1AB</t>
  </si>
  <si>
    <t>IgG1 Autoantibody</t>
  </si>
  <si>
    <t>A measurement of the binding IgG1 autoantibody in a biological specimen.</t>
  </si>
  <si>
    <t>IgG1 Autoantibody Measurement</t>
  </si>
  <si>
    <t>C204625</t>
  </si>
  <si>
    <t>ATIGG2AB</t>
  </si>
  <si>
    <t>IgG2 Autoantibody</t>
  </si>
  <si>
    <t>A measurement of the binding IgG2 autoantibody in a biological specimen.</t>
  </si>
  <si>
    <t>IgG2 Autoantibody Measurement</t>
  </si>
  <si>
    <t>C204626</t>
  </si>
  <si>
    <t>ATIGG3AB</t>
  </si>
  <si>
    <t>IgG3 Autoantibody</t>
  </si>
  <si>
    <t>A measurement of the binding IgG3 autoantibody in a biological specimen.</t>
  </si>
  <si>
    <t>IgG3 Autoantibody Measurement</t>
  </si>
  <si>
    <t>C198279</t>
  </si>
  <si>
    <t>ATIGGAB</t>
  </si>
  <si>
    <t>IgG Autoantibody</t>
  </si>
  <si>
    <t>A measurement of the binding IgG autoantibody in a biological specimen.</t>
  </si>
  <si>
    <t>IgG Autoantibody Measurement</t>
  </si>
  <si>
    <t>C198280</t>
  </si>
  <si>
    <t>ATIGMAB</t>
  </si>
  <si>
    <t>IgM Autoantibody</t>
  </si>
  <si>
    <t>A measurement of the binding IgM autoantibody in a biological specimen.</t>
  </si>
  <si>
    <t>IgM Autoantibody Measurement</t>
  </si>
  <si>
    <t>C199912</t>
  </si>
  <si>
    <t>ATLKPRTN</t>
  </si>
  <si>
    <t>Antileukoproteinase</t>
  </si>
  <si>
    <t>ALK1; Antileukoproteinase; BLPI; Proteinase Inhibitor WAP4; Secretory Leukocyte Peptidase Inhibitor; Secretory Leukocyte Protease Inhibitor</t>
  </si>
  <si>
    <t>A measurement of the antileukoproteinase in a biological specimen.</t>
  </si>
  <si>
    <t>Antileukoproteinase Measurement</t>
  </si>
  <si>
    <t>C81324</t>
  </si>
  <si>
    <t>ATNRFX</t>
  </si>
  <si>
    <t>Asymmetric Tonic Neck Reflex</t>
  </si>
  <si>
    <t>Asymmetric Tonic Neck Reflex; ATNR</t>
  </si>
  <si>
    <t>An involuntary, primal response in the neonate in which the arm extends to follow the infant's gaze, while the opposing arm and leg flex inward.</t>
  </si>
  <si>
    <t>Tonic Neck Reflex</t>
  </si>
  <si>
    <t>C147307</t>
  </si>
  <si>
    <t>ATP</t>
  </si>
  <si>
    <t>Adenosine Triphosphate</t>
  </si>
  <si>
    <t>A measurement of the adenosine triphosphate in a biological specimen.</t>
  </si>
  <si>
    <t>Adenosine Triphosphate Measurement</t>
  </si>
  <si>
    <t>C103350</t>
  </si>
  <si>
    <t>ATPVITE</t>
  </si>
  <si>
    <t>Alpha Tocopherol/Vitamin E</t>
  </si>
  <si>
    <t>A relative measurement (ratio or percentage) of alpha-tocopherol to the total vitamin E in a biological specimen.</t>
  </si>
  <si>
    <t>Alpha Tocopherol to Vitamin E Ratio Measurement</t>
  </si>
  <si>
    <t>C214726</t>
  </si>
  <si>
    <t>ATROPHY</t>
  </si>
  <si>
    <t>Atrophy</t>
  </si>
  <si>
    <t>An evaluation of atrophy (decrease in size, deterioration, and/or wasting) in a biological specimen or location.</t>
  </si>
  <si>
    <t>Atrophy Assessment</t>
  </si>
  <si>
    <t>C221416</t>
  </si>
  <si>
    <t>ATV</t>
  </si>
  <si>
    <t>Adipose Tissue Volume</t>
  </si>
  <si>
    <t>Adipose Tissue Volume; Total Adipose Tissue Volume</t>
  </si>
  <si>
    <t>A measurement of the volume of total adipose tissue distributed within a specific body region or the entire body.</t>
  </si>
  <si>
    <t>Adipose Tissue Volume Measurement</t>
  </si>
  <si>
    <t>C85564</t>
  </si>
  <si>
    <t>AUCALL</t>
  </si>
  <si>
    <t>AUC All</t>
  </si>
  <si>
    <t>The area under the curve (AUC) from the time of dosing to the time of the last observation, regardless of whether the last concentration is measurable or not.</t>
  </si>
  <si>
    <t>Area Under the Curve All</t>
  </si>
  <si>
    <t>C92362</t>
  </si>
  <si>
    <t>AUCALLB</t>
  </si>
  <si>
    <t>AUC All Norm by BMI</t>
  </si>
  <si>
    <t>The area under the curve (AUC) from the time of dosing to the time of the last observation divided by the body mass index, regardless of whether the last concentration is measurable or not.</t>
  </si>
  <si>
    <t>AUC All Normalized by Body Mass Index</t>
  </si>
  <si>
    <t>C92306</t>
  </si>
  <si>
    <t>AUCALLD</t>
  </si>
  <si>
    <t>AUC All Norm by Dose</t>
  </si>
  <si>
    <t>The area under the curve (AUC) from the time of dosing to the time of the last observation divided by the dose, regardless of whether the last concentration is measurable or not.</t>
  </si>
  <si>
    <t>AUC All Normalized by Dose</t>
  </si>
  <si>
    <t>C92307</t>
  </si>
  <si>
    <t>AUCALLS</t>
  </si>
  <si>
    <t>AUC All Norm by SA</t>
  </si>
  <si>
    <t>The area under the curve (AUC) from the time of dosing to the time of the last observation divided by the surface area, regardless of whether the last concentration is measurable or not.</t>
  </si>
  <si>
    <t>AUC All Normalized by Surface Area</t>
  </si>
  <si>
    <t>C92308</t>
  </si>
  <si>
    <t>AUCALLW</t>
  </si>
  <si>
    <t>AUC All Norm by WT</t>
  </si>
  <si>
    <t>The area under the curve (AUC) from the time of dosing to the time of the last observation divided by the weight, regardless of whether the last concentration is measurable or not.</t>
  </si>
  <si>
    <t>AUC All Normalized by Weight</t>
  </si>
  <si>
    <t>C85761</t>
  </si>
  <si>
    <t>AUCIFO</t>
  </si>
  <si>
    <t>AUC Infinity Obs</t>
  </si>
  <si>
    <t>The area under the curve (AUC) extrapolated to infinity, calculated using the observed value of the last non-zero concentration.</t>
  </si>
  <si>
    <t>Observed Area Under the Curve Infinity</t>
  </si>
  <si>
    <t>C92316</t>
  </si>
  <si>
    <t>AUCIFOB</t>
  </si>
  <si>
    <t>AUC Infinity Obs Norm by BMI</t>
  </si>
  <si>
    <t>The area under the curve (AUC) extrapolated to infinity, calculated using the observed value of the last non-zero concentration, divided by the body mass index.</t>
  </si>
  <si>
    <t>AUC Infinity Observed Normalized by Body Mass Index</t>
  </si>
  <si>
    <t>C96695</t>
  </si>
  <si>
    <t>AUCIFOD</t>
  </si>
  <si>
    <t>AUC Infinity Obs Norm by Dose</t>
  </si>
  <si>
    <t>The area under the curve (AUC) extrapolated to infinity, calculated using the observed value of the last non-zero concentration, divided by the dose.</t>
  </si>
  <si>
    <t>AUC Infinity Observed Normalized by Dose</t>
  </si>
  <si>
    <t>C174345</t>
  </si>
  <si>
    <t>AUCIFODW</t>
  </si>
  <si>
    <t>AUC Infinity Obs Norm by Dose/WT</t>
  </si>
  <si>
    <t>The area under the curve (AUC) extrapolated to infinity, calculated using the observed value of the last non-zero concentration divided by the body weight-adjusted dose.</t>
  </si>
  <si>
    <t>AUC Infinity Observed Normalized by Weight-Adjusted Dose</t>
  </si>
  <si>
    <t>C161413</t>
  </si>
  <si>
    <t>AUCIFOLN</t>
  </si>
  <si>
    <t>AUC Infinity Obs LN Transformed</t>
  </si>
  <si>
    <t>The natural log transformed area under the curve (AUC) extrapolated to infinity, calculated using the observed value of the last non-zero concentration.</t>
  </si>
  <si>
    <t>Natural Log Transformed Observed Area Under the Curve Infinity</t>
  </si>
  <si>
    <t>C92317</t>
  </si>
  <si>
    <t>AUCIFOS</t>
  </si>
  <si>
    <t>AUC Infinity Obs Norm by SA</t>
  </si>
  <si>
    <t>The area under the curve (AUC) extrapolated to infinity, calculated using the observed value of the last non-zero concentration, divided by the surface area.</t>
  </si>
  <si>
    <t>AUC Infinity Observed Normalized by Surface Area</t>
  </si>
  <si>
    <t>C154845</t>
  </si>
  <si>
    <t>AUCIFOUB</t>
  </si>
  <si>
    <t>AUC Infinity Obs, Unbound Drug</t>
  </si>
  <si>
    <t>The portion of observed AUC to infinity, represented by the unbound fraction of drug.</t>
  </si>
  <si>
    <t>Observed Area Under the Curve Infinity of Unbound Drug</t>
  </si>
  <si>
    <t>C92318</t>
  </si>
  <si>
    <t>AUCIFOW</t>
  </si>
  <si>
    <t>AUC Infinity Obs Norm by WT</t>
  </si>
  <si>
    <t>The area under the curve (AUC) extrapolated to infinity, calculated using the observed value of the last non-zero concentration, divided by the weight.</t>
  </si>
  <si>
    <t>AUC Infinity Observed Normalized by Weight</t>
  </si>
  <si>
    <t>C85785</t>
  </si>
  <si>
    <t>AUCIFP</t>
  </si>
  <si>
    <t>AUC Infinity Pred</t>
  </si>
  <si>
    <t>The area under the curve (AUC) extrapolated to infinity, calculated using the predicted value of the last non-zero concentration.</t>
  </si>
  <si>
    <t>Predicted Area Under the Curve Infinity</t>
  </si>
  <si>
    <t>C92319</t>
  </si>
  <si>
    <t>AUCIFPB</t>
  </si>
  <si>
    <t>AUC Infinity Pred Norm by BMI</t>
  </si>
  <si>
    <t>The area under the curve (AUC) extrapolated to infinity, calculated using the predicted value of the last non-zero concentration, divided by the body mass index.</t>
  </si>
  <si>
    <t>AUC Infinity Predicted Normalized by Body Mass Index</t>
  </si>
  <si>
    <t>C85786</t>
  </si>
  <si>
    <t>AUCIFPD</t>
  </si>
  <si>
    <t>AUC Infinity Pred Norm by Dose</t>
  </si>
  <si>
    <t>The area under the curve (AUC) extrapolated to infinity, calculated using the predicted value of the last non-zero concentration, divided by the dose.</t>
  </si>
  <si>
    <t>Predicted Area Under the Curve Infinity by Dose</t>
  </si>
  <si>
    <t>C174349</t>
  </si>
  <si>
    <t>AUCIFPDW</t>
  </si>
  <si>
    <t>AUCIFPDW Norm by Dose/WT</t>
  </si>
  <si>
    <t>AUC Infinity Pred Norm by Dose per Body Weight; AUCIFPDW Norm by Dose/WT</t>
  </si>
  <si>
    <t>The area under the curve (AUC) extrapolated to infinity, calculated using the predicted value of the last non-zero concentration divided by the body weight-adjusted dose.</t>
  </si>
  <si>
    <t>AUC Infinity Predicted Normalized by Weight-Adjusted Dose</t>
  </si>
  <si>
    <t>C92320</t>
  </si>
  <si>
    <t>AUCIFPS</t>
  </si>
  <si>
    <t>AUC Infinity Pred Norm by SA</t>
  </si>
  <si>
    <t>The area under the curve (AUC) extrapolated to infinity, calculated using the predicted value of the last non-zero concentration, divided by the surface area.</t>
  </si>
  <si>
    <t>AUC Infinity Predicted Normalized by Surface Area</t>
  </si>
  <si>
    <t>C154846</t>
  </si>
  <si>
    <t>AUCIFPUB</t>
  </si>
  <si>
    <t>AUC Infinity Pred, Unbound Drug</t>
  </si>
  <si>
    <t>The portion of predicted AUC to infinity, represented by the unbound fraction of drug.</t>
  </si>
  <si>
    <t>Predicted Area Under the Curve Infinity of Unbound Drug</t>
  </si>
  <si>
    <t>C92321</t>
  </si>
  <si>
    <t>AUCIFPW</t>
  </si>
  <si>
    <t>AUC Infinity Pred Norm by WT</t>
  </si>
  <si>
    <t>The area under the curve (AUC) extrapolated to infinity, calculated using the predicted value of the last non-zero concentration, divided by the weight.</t>
  </si>
  <si>
    <t>AUC Infinity Predicted Normalized by Weight</t>
  </si>
  <si>
    <t>C85566</t>
  </si>
  <si>
    <t>AUCINT</t>
  </si>
  <si>
    <t>AUC from T1 to T2</t>
  </si>
  <si>
    <t>The area under the curve (AUC) over the interval from T1 to T2.</t>
  </si>
  <si>
    <t>Area Under the Curve from T1 to T2</t>
  </si>
  <si>
    <t>C92312</t>
  </si>
  <si>
    <t>AUCINTB</t>
  </si>
  <si>
    <t>AUC from T1 to T2 Norm by BMI</t>
  </si>
  <si>
    <t>The area under the curve (AUC) over the interval from T1 to T2 divided by the body mass index.</t>
  </si>
  <si>
    <t>AUC from T1 to T2 Normalized by Body Mass Index</t>
  </si>
  <si>
    <t>C92313</t>
  </si>
  <si>
    <t>AUCINTD</t>
  </si>
  <si>
    <t>AUC from T1 to T2 Norm by Dose</t>
  </si>
  <si>
    <t>The area under the curve (AUC) over the interval from T1 to T2 divided by the dose.</t>
  </si>
  <si>
    <t>AUC from T1 to T2 Normalized by Dose</t>
  </si>
  <si>
    <t>C174348</t>
  </si>
  <si>
    <t>AUCINTDW</t>
  </si>
  <si>
    <t>AUCINT Norm by Dose/WT</t>
  </si>
  <si>
    <t>AUC from T1 to T2 Norm by Dose per Body Weight; AUCINT Norm by Dose/kg WT</t>
  </si>
  <si>
    <t>The area under the curve (AUC) over the interval from T1 to T2 divided by the body weight-adjusted dose.</t>
  </si>
  <si>
    <t>AUC from T1 to T2 Normalized by Weight-Adjusted Dose</t>
  </si>
  <si>
    <t>C92314</t>
  </si>
  <si>
    <t>AUCINTS</t>
  </si>
  <si>
    <t>AUC from T1 to T2 Norm by SA</t>
  </si>
  <si>
    <t>The area under the curve (AUC) over the interval from T1 to T2 divided by the surface area.</t>
  </si>
  <si>
    <t>AUC from T1 to T2 Normalized by Surface Area</t>
  </si>
  <si>
    <t>C92315</t>
  </si>
  <si>
    <t>AUCINTW</t>
  </si>
  <si>
    <t>AUC from T1 to T2 Norm by WT</t>
  </si>
  <si>
    <t>The area under the curve (AUC) over the interval from T1 to T2 divided by the weight.</t>
  </si>
  <si>
    <t>AUC from T1 to T2 Normalized by Weight</t>
  </si>
  <si>
    <t>C85565</t>
  </si>
  <si>
    <t>AUCLST</t>
  </si>
  <si>
    <t>AUC to Last Nonzero Conc</t>
  </si>
  <si>
    <t>The area under the curve (AUC) from the time of dosing to the last measurable concentration.</t>
  </si>
  <si>
    <t>Area Under the Curve From Dosing to Last Concentration</t>
  </si>
  <si>
    <t>C92309</t>
  </si>
  <si>
    <t>AUCLSTB</t>
  </si>
  <si>
    <t>AUC to Last Nonzero Conc Norm by BMI</t>
  </si>
  <si>
    <t>The area under the curve (AUC) from the time of dosing to the last measurable concentration divided by the body mass index.</t>
  </si>
  <si>
    <t>AUC Dosing to Last Concentration Normalized by Body Mass Index</t>
  </si>
  <si>
    <t>C92310</t>
  </si>
  <si>
    <t>AUCLSTD</t>
  </si>
  <si>
    <t>AUC to Last Nonzero Conc Norm by Dose</t>
  </si>
  <si>
    <t>The area under the curve (AUC) from the time of dosing to the last measurable concentration divided by the dose.</t>
  </si>
  <si>
    <t>AUC Dosing to Last Concentration Normalized by Dose</t>
  </si>
  <si>
    <t>C174347</t>
  </si>
  <si>
    <t>AUCLSTDW</t>
  </si>
  <si>
    <t>AUCLST Norm by Dose/WT</t>
  </si>
  <si>
    <t>AUC to Last Nonzero Conc Norm by Dose per Body Weight; AUCLST Norm by Dose/WT</t>
  </si>
  <si>
    <t>The area under the curve (AUC) from the time of dosing to the last measurable concentration divided by the body weight-adjusted dose.</t>
  </si>
  <si>
    <t>AUC Dosing From Dosing to Last Concentration Normalized by Weight-Adjusted Dose</t>
  </si>
  <si>
    <t>C161414</t>
  </si>
  <si>
    <t>AUCLSTLN</t>
  </si>
  <si>
    <t>AUC to Last Nonzero Conc LN Transformed</t>
  </si>
  <si>
    <t>The natural log transformed area under the curve (AUC) from the time of dosing to the last measurable concentration.</t>
  </si>
  <si>
    <t>Natural Log Transformed Area Under the Curve From Dosing to Last Concentration</t>
  </si>
  <si>
    <t>C92311</t>
  </si>
  <si>
    <t>AUCLSTS</t>
  </si>
  <si>
    <t>AUC to Last Nonzero Conc Norm by SA</t>
  </si>
  <si>
    <t>The area under the curve (AUC) from the time of dosing to the last measurable concentration divided by the surface area.</t>
  </si>
  <si>
    <t>AUC Dosing to Last Concentration Normalized by Surface Area</t>
  </si>
  <si>
    <t>C154847</t>
  </si>
  <si>
    <t>AUCLSTUB</t>
  </si>
  <si>
    <t>AUC to Last Nonzero Conc, Unbound Drug</t>
  </si>
  <si>
    <t>The portion of the area under the curve (AUC) from the time of dosing to the last measurable concentration, represented by the unbound fraction of drug.</t>
  </si>
  <si>
    <t>Area Under the Curve From Dosing to Last Concentration of Unbound Drug</t>
  </si>
  <si>
    <t>C92305</t>
  </si>
  <si>
    <t>AUCLSTW</t>
  </si>
  <si>
    <t>AUC to Last Nonzero Conc Norm by WT</t>
  </si>
  <si>
    <t>The area under the curve (AUC) from the time of dosing to the last measurable concentration divided by the weight.</t>
  </si>
  <si>
    <t>AUC Dosing to Last Concentration Normalized by Weight</t>
  </si>
  <si>
    <t>C85763</t>
  </si>
  <si>
    <t>AUCPBEO</t>
  </si>
  <si>
    <t>AUC %Back Extrapolation Obs</t>
  </si>
  <si>
    <t>Applies only for intravascular bolus dosing. The area under the curve (AUC) from the first measured concentration value back extrapolated to the concentration value at time zero as a percentage of the area under the curve extrapolated to infinity using th</t>
  </si>
  <si>
    <t>Observed Area Under the Curve Percent Back Extrapolation</t>
  </si>
  <si>
    <t>C85787</t>
  </si>
  <si>
    <t>AUCPBEP</t>
  </si>
  <si>
    <t>AUC %Back Extrapolation Pred</t>
  </si>
  <si>
    <t>Predicted Area Under the Curve Percent Back Extrapolation</t>
  </si>
  <si>
    <t>C85764</t>
  </si>
  <si>
    <t>AUCPEO</t>
  </si>
  <si>
    <t>AUC %Extrapolation Obs</t>
  </si>
  <si>
    <t>The area under the curve (AUC) from the last observed non-zero concentration value to infinity as a percentage of the area under the curve extrapolated to infinity.</t>
  </si>
  <si>
    <t>Observed Area Under the Curve Percent Extrapolation</t>
  </si>
  <si>
    <t>C85788</t>
  </si>
  <si>
    <t>AUCPEP</t>
  </si>
  <si>
    <t>AUC %Extrapolation Pred</t>
  </si>
  <si>
    <t>The area under the curve (AUC) from the last predicted non-zero concentration value to infinity as a percentage of the area under the curve extrapolated to infinity.</t>
  </si>
  <si>
    <t>Predicted Area Under the Curve Percent Extrapolation</t>
  </si>
  <si>
    <t>C85567</t>
  </si>
  <si>
    <t>AUCTAU</t>
  </si>
  <si>
    <t>AUC Over Dosing Interval</t>
  </si>
  <si>
    <t>The area under the curve (AUC) for the defined interval between doses (TAU).</t>
  </si>
  <si>
    <t>Area Under the Curve Over Dosing Interval</t>
  </si>
  <si>
    <t>C92322</t>
  </si>
  <si>
    <t>AUCTAUB</t>
  </si>
  <si>
    <t>AUC Over Dosing Interval Norm by BMI</t>
  </si>
  <si>
    <t>The area under the curve (AUC) for the defined interval between doses (TAU) divided by the body mass index.</t>
  </si>
  <si>
    <t>AUC Over Dosing Interval Normalized by Body Mass Index</t>
  </si>
  <si>
    <t>C92323</t>
  </si>
  <si>
    <t>AUCTAUD</t>
  </si>
  <si>
    <t>AUC Over Dosing Interval Norm by Dose</t>
  </si>
  <si>
    <t>The area under the curve (AUC) for the defined interval between doses (TAU) divided by the dose.</t>
  </si>
  <si>
    <t>AUC Over Dosing Interval Normalized by Dose</t>
  </si>
  <si>
    <t>C174350</t>
  </si>
  <si>
    <t>AUCTAUDW</t>
  </si>
  <si>
    <t>AUCTAU Norm by Dose/WT</t>
  </si>
  <si>
    <t>AUC Over Dosing Interval Norm by Dose per Body Weight; AUCTAU Norm by Dose/WT</t>
  </si>
  <si>
    <t>The area under the curve (AUC) for the defined interval between doses (TAU) divided by the body weight-adjusted dose.</t>
  </si>
  <si>
    <t>AUC Over Dosing Interval Normalized by Weight-Adjusted Dose</t>
  </si>
  <si>
    <t>C92324</t>
  </si>
  <si>
    <t>AUCTAUS</t>
  </si>
  <si>
    <t>AUC Over Dosing Interval Norm by SA</t>
  </si>
  <si>
    <t>The area under the curve (AUC) for the defined interval between doses (TAU) divided by the surface area.</t>
  </si>
  <si>
    <t>AUC Over Dosing Interval Normalized by Surface Area</t>
  </si>
  <si>
    <t>C92325</t>
  </si>
  <si>
    <t>AUCTAUW</t>
  </si>
  <si>
    <t>AUC Over Dosing Interval Norm by WT</t>
  </si>
  <si>
    <t>The area under the curve (AUC) for the defined interval between doses (TAU) divided by the weight.</t>
  </si>
  <si>
    <t>AUC Over Dosing Interval Normalized by Weight</t>
  </si>
  <si>
    <t>C74657</t>
  </si>
  <si>
    <t>AUERRODS</t>
  </si>
  <si>
    <t>Auer Rods</t>
  </si>
  <si>
    <t>A measurement of the Auer rods (elongated needle structures that are found in the cytoplasm of leukemic blasts and are formed by clumps of azurophilic granular material) in a biological specimen.</t>
  </si>
  <si>
    <t>Auer Rod Measurement</t>
  </si>
  <si>
    <t>C85765</t>
  </si>
  <si>
    <t>AUMCIFO</t>
  </si>
  <si>
    <t>AUMC Infinity Obs</t>
  </si>
  <si>
    <t>The area under the moment curve (AUMC) extrapolated to infinity, calculated using the observed value of the last non-zero concentration.</t>
  </si>
  <si>
    <t>Observed Area Under the First Moment Curve Infinity</t>
  </si>
  <si>
    <t>C92330</t>
  </si>
  <si>
    <t>AUMCIFOB</t>
  </si>
  <si>
    <t>AUMC Infinity Obs Norm by BMI</t>
  </si>
  <si>
    <t>The area under the moment curve (AUMC) extrapolated to infinity, calculated using the observed value of the last non-zero concentration, divided by the body mass index.</t>
  </si>
  <si>
    <t>AUMC Infinity Observed Normalized by Body Mass Index</t>
  </si>
  <si>
    <t>C92331</t>
  </si>
  <si>
    <t>AUMCIFOD</t>
  </si>
  <si>
    <t>AUMC Infinity Obs Norm by Dose</t>
  </si>
  <si>
    <t>The area under the moment curve (AUMC) extrapolated to infinity, calculated using the observed value of the last non-zero concentration, divided by the dose.</t>
  </si>
  <si>
    <t>AUMC Infinity Observed Normalized by Dose</t>
  </si>
  <si>
    <t>C92332</t>
  </si>
  <si>
    <t>AUMCIFOS</t>
  </si>
  <si>
    <t>AUMC Infinity Obs Norm by SA</t>
  </si>
  <si>
    <t>The area under the moment curve (AUMC) extrapolated to infinity, calculated using the observed value of the last non-zero concentration, divided by the surface area.</t>
  </si>
  <si>
    <t>AUMC Infinity Observed Normalized by Surface Area</t>
  </si>
  <si>
    <t>C92333</t>
  </si>
  <si>
    <t>AUMCIFOW</t>
  </si>
  <si>
    <t>AUMC Infinity Obs Norm by WT</t>
  </si>
  <si>
    <t>The area under the moment curve (AUMC) extrapolated to infinity, calculated using the observed value of the last non-zero concentration, divided by the weight.</t>
  </si>
  <si>
    <t>AUMC Infinity Observed Normalized by Weight</t>
  </si>
  <si>
    <t>C85789</t>
  </si>
  <si>
    <t>AUMCIFP</t>
  </si>
  <si>
    <t>AUMC Infinity Pred</t>
  </si>
  <si>
    <t>The area under the moment curve (AUMC) extrapolated to infinity, calculated using the predicted value of the last non-zero concentration.</t>
  </si>
  <si>
    <t>Predicted Area Under the First Moment Curve Infinity</t>
  </si>
  <si>
    <t>C92334</t>
  </si>
  <si>
    <t>AUMCIFPB</t>
  </si>
  <si>
    <t>AUMC Infinity Pred Norm by BMI</t>
  </si>
  <si>
    <t>The area under the moment curve (AUMC) extrapolated to infinity, calculated using the predicted value of the last non-zero concentration, divided by the body mass index.</t>
  </si>
  <si>
    <t>AUMC Infinity Predicted Normalized by Body Mass Index</t>
  </si>
  <si>
    <t>C92335</t>
  </si>
  <si>
    <t>AUMCIFPD</t>
  </si>
  <si>
    <t>AUMC Infinity Pred Norm by Dose</t>
  </si>
  <si>
    <t>The area under the moment curve (AUMC) extrapolated to infinity, calculated using the predicted value of the last non-zero concentration, divided by the dose.</t>
  </si>
  <si>
    <t>AUMC Infinity Predicted Normalized by Dose</t>
  </si>
  <si>
    <t>C92336</t>
  </si>
  <si>
    <t>AUMCIFPS</t>
  </si>
  <si>
    <t>AUMC Infinity Pred Norm by SA</t>
  </si>
  <si>
    <t>The area under the moment curve (AUMC) extrapolated to infinity, calculated using the predicted value of the last non-zero concentration, divided by the surface area.</t>
  </si>
  <si>
    <t>AUMC Infinity Predicted Normalized by Surface Area</t>
  </si>
  <si>
    <t>C92337</t>
  </si>
  <si>
    <t>AUMCIFPW</t>
  </si>
  <si>
    <t>AUMC Infinity Pred Norm by WT</t>
  </si>
  <si>
    <t>The area under the moment curve (AUMC) extrapolated to infinity, calculated using the predicted value of the last non-zero concentration, divided by the weight.</t>
  </si>
  <si>
    <t>AUMC Infinity Predicted Normalized by Weight</t>
  </si>
  <si>
    <t>C85569</t>
  </si>
  <si>
    <t>AUMCLST</t>
  </si>
  <si>
    <t>AUMC to Last Nonzero Conc</t>
  </si>
  <si>
    <t>The area under the moment curve (AUMC) from the time of dosing to the last measurable concentration.</t>
  </si>
  <si>
    <t>Area Under the First Moment Curve From Dosing to Last Concentration</t>
  </si>
  <si>
    <t>C92326</t>
  </si>
  <si>
    <t>AUMCLSTB</t>
  </si>
  <si>
    <t>AUMC to Last Nonzero Conc Norm by BMI</t>
  </si>
  <si>
    <t>The area under the moment curve (AUMC) from the time of dosing to the last measurable concentration divided by the body mass index.</t>
  </si>
  <si>
    <t>AUMC Dosing to Last Concentration Normalized by Body Mass Index</t>
  </si>
  <si>
    <t>C92327</t>
  </si>
  <si>
    <t>AUMCLSTD</t>
  </si>
  <si>
    <t>AUMC to Last Nonzero Conc Norm by Dose</t>
  </si>
  <si>
    <t>The area under the moment curve (AUMC) from the time of dosing to the last measurable concentration divided by the dose.</t>
  </si>
  <si>
    <t>AUMC Dosing to Last Concentration Normalized by Dose</t>
  </si>
  <si>
    <t>C92328</t>
  </si>
  <si>
    <t>AUMCLSTS</t>
  </si>
  <si>
    <t>AUMC to Last Nonzero Conc Norm by SA</t>
  </si>
  <si>
    <t>The area under the moment curve (AUMC) from the time of dosing to the last measurable concentration divided by the surface area.</t>
  </si>
  <si>
    <t>AUMC Dosing to Last Concentration Normalized by Surface Area</t>
  </si>
  <si>
    <t>C92329</t>
  </si>
  <si>
    <t>AUMCLSTW</t>
  </si>
  <si>
    <t>AUMC to Last Nonzero Conc Norm by WT</t>
  </si>
  <si>
    <t>The area under the moment curve (AUMC) from the time of dosing to the last measurable concentration divided by the weight.</t>
  </si>
  <si>
    <t>AUMC Dosing to Last Concentration Normalized by Weight</t>
  </si>
  <si>
    <t>C85766</t>
  </si>
  <si>
    <t>AUMCPEO</t>
  </si>
  <si>
    <t>AUMC % Extrapolation Obs</t>
  </si>
  <si>
    <t>The area under the moment curve (AUMC) from the last observed non-zero concentration value to infinity as a percentage of the area under the moment curve extrapolated to infinity.</t>
  </si>
  <si>
    <t>Observed Area Under the First Moment Curve Percent Extrapolation</t>
  </si>
  <si>
    <t>C85790</t>
  </si>
  <si>
    <t>AUMCPEP</t>
  </si>
  <si>
    <t>AUMC % Extrapolation Pred</t>
  </si>
  <si>
    <t>The area under the moment curve (AUMC) from the last predicted non-zero concentration value to infinity as a percentage of the area under the moment curve extrapolated to infinity.</t>
  </si>
  <si>
    <t>Predicted Area Under the First Moment Curve Percent Extrapolation</t>
  </si>
  <si>
    <t>C85570</t>
  </si>
  <si>
    <t>AUMCTAU</t>
  </si>
  <si>
    <t>AUMC Over Dosing Interval</t>
  </si>
  <si>
    <t>The area under the first moment curve (AUMC) for the defined interval between doses (TAU).</t>
  </si>
  <si>
    <t>Area Under the First Moment Curve Over Dosing Interval</t>
  </si>
  <si>
    <t>C92338</t>
  </si>
  <si>
    <t>AUMCTAUB</t>
  </si>
  <si>
    <t>AUMC Over Dosing Interval Norm by BMI</t>
  </si>
  <si>
    <t>The area under the first moment curve (AUMC) for the defined interval between doses (TAU) divided by the body mass index.</t>
  </si>
  <si>
    <t>AUMC Over Dosing Interval Normalized by Body Mass Index</t>
  </si>
  <si>
    <t>C92339</t>
  </si>
  <si>
    <t>AUMCTAUD</t>
  </si>
  <si>
    <t>AUMC Over Dosing Interval Norm by Dose</t>
  </si>
  <si>
    <t>The area under the first moment curve (AUMC) for the defined interval between doses (TAU) divided by the dose.</t>
  </si>
  <si>
    <t>AUMC Over Dosing Interval Normalized by Dose</t>
  </si>
  <si>
    <t>C92340</t>
  </si>
  <si>
    <t>AUMCTAUS</t>
  </si>
  <si>
    <t>AUMC Over Dosing Interval Norm by SA</t>
  </si>
  <si>
    <t>The area under the first moment curve (AUMC) for the defined interval between doses (TAU) divided by the surface area.</t>
  </si>
  <si>
    <t>AUMC Over Dosing Interval Normalized by Surface Area</t>
  </si>
  <si>
    <t>C92341</t>
  </si>
  <si>
    <t>AUMCTAUW</t>
  </si>
  <si>
    <t>AUMC Over Dosing Interval Norm by WT</t>
  </si>
  <si>
    <t>The area under the first moment curve (AUMC) for the defined interval between doses (TAU) divided by the weight.</t>
  </si>
  <si>
    <t>AUMC Over Dosing Interval Normalized by Weight</t>
  </si>
  <si>
    <t>C85841</t>
  </si>
  <si>
    <t>AURCALL</t>
  </si>
  <si>
    <t>AURC All</t>
  </si>
  <si>
    <t>The area under the excretion rate curve (AURC) from time zero to the time of the last observation, regardless of whether the last observation is a measurable concentration or not.</t>
  </si>
  <si>
    <t>Area Under Excretion Rate Curve All</t>
  </si>
  <si>
    <t>C92342</t>
  </si>
  <si>
    <t>AURCALLB</t>
  </si>
  <si>
    <t>AURC All Norm by BMI</t>
  </si>
  <si>
    <t>The area under the excretion rate curve (AURC) from time zero to the last measurable rate divided by the body mass index.</t>
  </si>
  <si>
    <t>AURC All Normalized by Body Mass Index</t>
  </si>
  <si>
    <t>C92343</t>
  </si>
  <si>
    <t>AURCALLD</t>
  </si>
  <si>
    <t>AURC All Norm by Dose</t>
  </si>
  <si>
    <t>The area under the excretion rate curve (AURC) from time zero to the last measurable rate divided by the dose.</t>
  </si>
  <si>
    <t>AURC All Normalized by Dose</t>
  </si>
  <si>
    <t>C92344</t>
  </si>
  <si>
    <t>AURCALLS</t>
  </si>
  <si>
    <t>AURC All Norm by SA</t>
  </si>
  <si>
    <t>The area under the excretion rate curve (AURC) from time zero to the last measurable rate divided by the surface area.</t>
  </si>
  <si>
    <t>AURC All Normalized by Surface Area</t>
  </si>
  <si>
    <t>C92345</t>
  </si>
  <si>
    <t>AURCALLW</t>
  </si>
  <si>
    <t>AURC All Norm by WT</t>
  </si>
  <si>
    <t>The area under the excretion rate curve (AURC) from time zero to the last measurable rate divided by the weight.</t>
  </si>
  <si>
    <t>AURC All Normalized by Weight</t>
  </si>
  <si>
    <t>C85767</t>
  </si>
  <si>
    <t>AURCIFO</t>
  </si>
  <si>
    <t>AURC Infinity Obs</t>
  </si>
  <si>
    <t>The area under the excretion rate curve (AURC) extrapolated to infinity, calculated using the observed value of the last excretion rate.</t>
  </si>
  <si>
    <t>Observed Area Under the Excretion Rate Curve infinity</t>
  </si>
  <si>
    <t>C92354</t>
  </si>
  <si>
    <t>AURCIFOB</t>
  </si>
  <si>
    <t>AURC Infinity Obs Norm by BMI</t>
  </si>
  <si>
    <t>The area under the excretion rate curve (AURC) extrapolated to infinity, calculated using the observed value of the last excretion rate, divided by the body mass index.</t>
  </si>
  <si>
    <t>AURC Infinity Observed Normalized by Body Mass Index</t>
  </si>
  <si>
    <t>C92355</t>
  </si>
  <si>
    <t>AURCIFOD</t>
  </si>
  <si>
    <t>AURC Infinity Obs Norm by Dose</t>
  </si>
  <si>
    <t>The area under the excretion rate curve (AURC) extrapolated to infinity, calculated using the observed value of the last excretion rate, divided by the dose.</t>
  </si>
  <si>
    <t>AURC Infinity Observed Normalized by Dose</t>
  </si>
  <si>
    <t>C92356</t>
  </si>
  <si>
    <t>AURCIFOS</t>
  </si>
  <si>
    <t>AURC Infinity Obs Norm by SA</t>
  </si>
  <si>
    <t>The area under the excretion rate curve (AURC) extrapolated to infinity, calculated using the observed value of the last excretion rate, divided by the surface area.</t>
  </si>
  <si>
    <t>AURC Infinity Observed Normalized by Surface Area</t>
  </si>
  <si>
    <t>C92357</t>
  </si>
  <si>
    <t>AURCIFOW</t>
  </si>
  <si>
    <t>AURC Infinity Obs Norm by WT</t>
  </si>
  <si>
    <t>The area under the excretion rate curve (AURC) extrapolated to infinity, calculated using the observed value of the last excretion rate, divided by the weight.</t>
  </si>
  <si>
    <t>AURC Infinity Observed Normalized by Weight</t>
  </si>
  <si>
    <t>C85791</t>
  </si>
  <si>
    <t>AURCIFP</t>
  </si>
  <si>
    <t>AURC Infinity Pred</t>
  </si>
  <si>
    <t>The area under the excretion rate curve (AURC) extrapolated to infinity, calculated using the predicted value of the last non-zero excretion rate.</t>
  </si>
  <si>
    <t>Predicted Area Under the Excretion Rate Curve Infinity</t>
  </si>
  <si>
    <t>C92358</t>
  </si>
  <si>
    <t>AURCIFPB</t>
  </si>
  <si>
    <t>AURC Infinity Pred Norm by BMI</t>
  </si>
  <si>
    <t>The area under the excretion rate curve (AURC) extrapolated to infinity, calculated using the predicted value of the last non-zero excretion rate, divided by the body mass index.</t>
  </si>
  <si>
    <t>AURC Infinity Predicted Normalized by Body Mass Index</t>
  </si>
  <si>
    <t>C92359</t>
  </si>
  <si>
    <t>AURCIFPD</t>
  </si>
  <si>
    <t>AURC Infinity Pred Norm by Dose</t>
  </si>
  <si>
    <t>The area under the excretion rate curve (AURC) extrapolated to infinity, calculated using the predicted value of the last non-zero excretion rate, divided by the dose.</t>
  </si>
  <si>
    <t>AURC Infinity Predicted Normalized by Dose</t>
  </si>
  <si>
    <t>C92360</t>
  </si>
  <si>
    <t>AURCIFPS</t>
  </si>
  <si>
    <t>AURC Infinity Pred Norm by SA</t>
  </si>
  <si>
    <t>The area under the excretion rate curve (AURC) extrapolated to infinity, calculated using the predicted value of the last non-zero excretion rate, divided by the surface area.</t>
  </si>
  <si>
    <t>AURC Infinity Predicted Normalized by Surface Area</t>
  </si>
  <si>
    <t>C92361</t>
  </si>
  <si>
    <t>AURCIFPW</t>
  </si>
  <si>
    <t>AURC Infinity Pred Norm by WT</t>
  </si>
  <si>
    <t>The area under the excretion rate curve (AURC) extrapolated to infinity, calculated using the predicted value of the last non-zero excretion rate, divided by the weight.</t>
  </si>
  <si>
    <t>AURC Infinity Predicted Normalized by Weight</t>
  </si>
  <si>
    <t>C85572</t>
  </si>
  <si>
    <t>AURCINT</t>
  </si>
  <si>
    <t>AURC from T1 to T2</t>
  </si>
  <si>
    <t>The area under the excretion rate curve (AURC) over the interval from T1 to T2.</t>
  </si>
  <si>
    <t>Area Under the Excretion Rate Curve from T1 to T2</t>
  </si>
  <si>
    <t>C92350</t>
  </si>
  <si>
    <t>AURCINTB</t>
  </si>
  <si>
    <t>AURC from T1 to T2 Norm by BMI</t>
  </si>
  <si>
    <t>The area under the excretion rate curve (AURC) over the interval from T1 to T2 divided by the body mass index.</t>
  </si>
  <si>
    <t>AURC from T1 to T2 Normalized by Body Mass Index</t>
  </si>
  <si>
    <t>C92351</t>
  </si>
  <si>
    <t>AURCINTD</t>
  </si>
  <si>
    <t>AURC from T1 to T2 Norm by Dose</t>
  </si>
  <si>
    <t>The area under the excretion rate curve (AURC) over the interval from T1 to T2 divided by the dose.</t>
  </si>
  <si>
    <t>AURC from T1 to T2 Normalized by Dose</t>
  </si>
  <si>
    <t>C92352</t>
  </si>
  <si>
    <t>AURCINTS</t>
  </si>
  <si>
    <t>AURC from T1 to T2 Norm by SA</t>
  </si>
  <si>
    <t>The area under the excretion rate curve (AURC) over the interval from T1 to T2 divided by the surface area.</t>
  </si>
  <si>
    <t>AURC from T1 to T2 Normalized by Surface Area</t>
  </si>
  <si>
    <t>C92353</t>
  </si>
  <si>
    <t>AURCINTW</t>
  </si>
  <si>
    <t>AURC from T1 to T2 Norm by WT</t>
  </si>
  <si>
    <t>The area under the excretion rate curve (AURC) over the interval from T1 to T2 divided by the weight.</t>
  </si>
  <si>
    <t>AURC from T1 to T2 Normalized by Weight</t>
  </si>
  <si>
    <t>C85571</t>
  </si>
  <si>
    <t>AURCLST</t>
  </si>
  <si>
    <t>AURC to Last Nonzero Rate</t>
  </si>
  <si>
    <t>The area under the excretion rate curve (AURC) from time zero to the time of the last measurable concentration.</t>
  </si>
  <si>
    <t>Area Under the Excretion Rate Curve From Dosing to Last Concentration</t>
  </si>
  <si>
    <t>C92346</t>
  </si>
  <si>
    <t>AURCLSTB</t>
  </si>
  <si>
    <t>AURC Dosing to Last Conc Norm by BMI</t>
  </si>
  <si>
    <t>AURC to Last Nonzero Rate Norm by BMI</t>
  </si>
  <si>
    <t>The area under the excretion rate curve (AURC) from time zero to the last measurable rate, divided by the body mass index.</t>
  </si>
  <si>
    <t>AURC Dosing to Last Concentration Normalized by Body Mass Index</t>
  </si>
  <si>
    <t>C92347</t>
  </si>
  <si>
    <t>AURCLSTD</t>
  </si>
  <si>
    <t>AURC Dosing to Last Conc Norm by Dose</t>
  </si>
  <si>
    <t>AURC to Last Nonzero Rate Norm by Dose</t>
  </si>
  <si>
    <t>The area under the excretion rate curve (AURC) from time zero to the last measurable rate, divided by the dose.</t>
  </si>
  <si>
    <t>AURC Dosing to Last Concentration Normalized by Dose</t>
  </si>
  <si>
    <t>C92348</t>
  </si>
  <si>
    <t>AURCLSTS</t>
  </si>
  <si>
    <t>AURC Dosing to Last Conc Norm by SA</t>
  </si>
  <si>
    <t>AURC to Last Nonzero Rate Norm by SA</t>
  </si>
  <si>
    <t>The area under the excretion rate curve (AURC) from time zero to the last measurable rate, divided by the surface area.</t>
  </si>
  <si>
    <t>AURC Dosing to Last Concentration Normalized by Surface Area</t>
  </si>
  <si>
    <t>C92349</t>
  </si>
  <si>
    <t>AURCLSTW</t>
  </si>
  <si>
    <t>AURC Dosing to Last Conc Norm by WT</t>
  </si>
  <si>
    <t>AURC to Last Nonzero Rate Norm by WT</t>
  </si>
  <si>
    <t>The area under the excretion rate curve (AURC) from time zero to the last measurable rate, divided by the weight.</t>
  </si>
  <si>
    <t>AURC Dosing to Last Concentration Normalized by Weight</t>
  </si>
  <si>
    <t>C85768</t>
  </si>
  <si>
    <t>AURCPEO</t>
  </si>
  <si>
    <t>AURC % Extrapolation Obs</t>
  </si>
  <si>
    <t>The area under the excretion rate curve (AURC) from the last observed non-zero rate value to infinity as a percentage of the area under the excretion rate curve extrapolated to infinity.</t>
  </si>
  <si>
    <t>Observed Area Under the Excretion Rate Curve Percent Extrapolation</t>
  </si>
  <si>
    <t>C85792</t>
  </si>
  <si>
    <t>AURCPEP</t>
  </si>
  <si>
    <t>AURC % Extrapolation Pred</t>
  </si>
  <si>
    <t>The area under the excretion rate curve (AURC) from the last predicted non-zero rate value to infinity as a percentage of the area under the excretion rate curve extrapolated to infinity.</t>
  </si>
  <si>
    <t>Predicted Area Under the Excretion Rate Curve Percent Extrapolation</t>
  </si>
  <si>
    <t>C221596</t>
  </si>
  <si>
    <t>AURI</t>
  </si>
  <si>
    <t>Aerococcus urinae</t>
  </si>
  <si>
    <t>A measurement of Aerococcus urinae in a biological specimen.</t>
  </si>
  <si>
    <t>Aerococcus urinae Measurement</t>
  </si>
  <si>
    <t>C221595</t>
  </si>
  <si>
    <t>AURS</t>
  </si>
  <si>
    <t>Acinetobacter ursingii</t>
  </si>
  <si>
    <t>A measurement of Acinetobacter ursingii in a biological specimen.</t>
  </si>
  <si>
    <t>Acinetobacter ursingii Measurement</t>
  </si>
  <si>
    <t>C135384</t>
  </si>
  <si>
    <t>AUTOPIND</t>
  </si>
  <si>
    <t>Autopsy Indicator</t>
  </si>
  <si>
    <t>An indication as to whether an autopsy was performed. (NCI)</t>
  </si>
  <si>
    <t>C111131</t>
  </si>
  <si>
    <t>AVCOND</t>
  </si>
  <si>
    <t>Atrioventricular Conduction</t>
  </si>
  <si>
    <t>An electrocardiographic assessment of cardiac atrioventricular conduction.</t>
  </si>
  <si>
    <t>Atrioventricular Conduction ECG Assessment</t>
  </si>
  <si>
    <t>C127540</t>
  </si>
  <si>
    <t>AVRGF</t>
  </si>
  <si>
    <t>Aortic Valve Regurgitant Fraction</t>
  </si>
  <si>
    <t>A measurement of the volume of retrograde blood flow across the orifice of the aortic valve expressed as a percentage of the anterograde flow volume.</t>
  </si>
  <si>
    <t>C127541</t>
  </si>
  <si>
    <t>AVRGJW</t>
  </si>
  <si>
    <t>Aortic Valve Regurgitant Jet Width</t>
  </si>
  <si>
    <t>The measured width of the regurgitant jet of blood into the left ventricular outflow tract.</t>
  </si>
  <si>
    <t>C127542</t>
  </si>
  <si>
    <t>AVRGVOL</t>
  </si>
  <si>
    <t>Aortic Valve Regurgitant Volume</t>
  </si>
  <si>
    <t>A measurement of the volume of retrograde blood flow across the orifice of the aortic valve.</t>
  </si>
  <si>
    <t>C127543</t>
  </si>
  <si>
    <t>AVVCA</t>
  </si>
  <si>
    <t>Aortic Valve Vena Contracta Area</t>
  </si>
  <si>
    <t>The area of the vena contracta of the aortic valve.</t>
  </si>
  <si>
    <t>C127544</t>
  </si>
  <si>
    <t>AVVCW</t>
  </si>
  <si>
    <t>Aortic Valve Vena Contracta Width</t>
  </si>
  <si>
    <t>The width of the vena contracta of the aortic valve.</t>
  </si>
  <si>
    <t>C170457</t>
  </si>
  <si>
    <t>AWVOL</t>
  </si>
  <si>
    <t>Airway Volume</t>
  </si>
  <si>
    <t>The total volume of gas in a specified airway or set of airways at a specified point in time in the respiratory cycle.</t>
  </si>
  <si>
    <t>C170621</t>
  </si>
  <si>
    <t>AWVOLPP</t>
  </si>
  <si>
    <t>Percent Predicted Airway Volume</t>
  </si>
  <si>
    <t>The total volume of gas in a specified airway or set of airways at a specified point in time in the respiratory cycle, expressed as a proportion of the predicted normal value.</t>
  </si>
  <si>
    <t>C170619</t>
  </si>
  <si>
    <t>AWWVOL</t>
  </si>
  <si>
    <t>Airway Wall Volume</t>
  </si>
  <si>
    <t>The volume of the entirety of the airway tissue in a specified intrapulmonary region.</t>
  </si>
  <si>
    <t>C111132</t>
  </si>
  <si>
    <t>AXISVOLT</t>
  </si>
  <si>
    <t>Axis and Voltage</t>
  </si>
  <si>
    <t>An electrocardiographic assessment of mean cardiac electrical vector and the ECG voltage.</t>
  </si>
  <si>
    <t>Axis and Voltage ECG Assessment</t>
  </si>
  <si>
    <t>C165943</t>
  </si>
  <si>
    <t>AXL</t>
  </si>
  <si>
    <t>AXL Receptor Tyrosine Kinase</t>
  </si>
  <si>
    <t>ARK; AXL Receptor Tyrosine Kinase; JTK11; Tyro7; UFO</t>
  </si>
  <si>
    <t>A measurement of the AXL receptor tyrosine kinase in a biological specimen.</t>
  </si>
  <si>
    <t>AXL Receptor Tyrosine Kinase Measurement</t>
  </si>
  <si>
    <t>C172529</t>
  </si>
  <si>
    <t>AXY</t>
  </si>
  <si>
    <t>Achromobacter xylosoxidans</t>
  </si>
  <si>
    <t>A measurement of the Achromobacter xylosoxidans in a biological specimen.</t>
  </si>
  <si>
    <t>Achromobacter xylosoxidans Measurement</t>
  </si>
  <si>
    <t>C116185</t>
  </si>
  <si>
    <t>AZURGRAN</t>
  </si>
  <si>
    <t>Azurophilic Granules</t>
  </si>
  <si>
    <t>Azurophilic Granulation; Azurophilic Granules</t>
  </si>
  <si>
    <t>An observation of azurophilic granules in a biological specimen.</t>
  </si>
  <si>
    <t>Azurophilic Granule Measurement</t>
  </si>
  <si>
    <t>C156542</t>
  </si>
  <si>
    <t>B19V</t>
  </si>
  <si>
    <t>Human Parvovirus B19</t>
  </si>
  <si>
    <t>A measurement of the Human Parvovirus B19 in a biological specimen.</t>
  </si>
  <si>
    <t>Human Parvovirus B19 Measurement</t>
  </si>
  <si>
    <t>C187856</t>
  </si>
  <si>
    <t>B19VDNA</t>
  </si>
  <si>
    <t>Human Parvovirus B19 DNA</t>
  </si>
  <si>
    <t>A measurement of the Human Parvovirus B19 DNA in a biological specimen.</t>
  </si>
  <si>
    <t>Human Parvovirus B19 DNA Measurement</t>
  </si>
  <si>
    <t>C127607</t>
  </si>
  <si>
    <t>B1BGLP</t>
  </si>
  <si>
    <t>Beta-1B Glycoprotein</t>
  </si>
  <si>
    <t>Beta-1B Glycoprotein; Hemopexin; HPX</t>
  </si>
  <si>
    <t>A measurement of the beta-1B glycoprotein in a biological specimen.</t>
  </si>
  <si>
    <t>Beta-1B Glycoprotein Measurement</t>
  </si>
  <si>
    <t>C127608</t>
  </si>
  <si>
    <t>B2MCREAT</t>
  </si>
  <si>
    <t>Beta-2 Microglobulin/Creatinine</t>
  </si>
  <si>
    <t>A relative measurement (ratio) of the beta-2 microglobulin to creatinine in a biological specimen.</t>
  </si>
  <si>
    <t>Beta-2 Microglobulin to Creatinine Ratio Measurement</t>
  </si>
  <si>
    <t>C81980</t>
  </si>
  <si>
    <t>B2MICG</t>
  </si>
  <si>
    <t>Beta-2 Microglobulin</t>
  </si>
  <si>
    <t>A measurement of the beta-2 microglobulin in a biological specimen.</t>
  </si>
  <si>
    <t>Beta-2 Microglobulin Measurement</t>
  </si>
  <si>
    <t>C187842</t>
  </si>
  <si>
    <t>BABEDNA</t>
  </si>
  <si>
    <t>Babesia DNA</t>
  </si>
  <si>
    <t>A measurement of the DNA from any member of the genus Babesia in a biological specimen.</t>
  </si>
  <si>
    <t>Babesia DNA Measurement</t>
  </si>
  <si>
    <t>C161400</t>
  </si>
  <si>
    <t>BACBLACT</t>
  </si>
  <si>
    <t>Bacterial Beta-lactamase</t>
  </si>
  <si>
    <t>A measurement of the bacterial enzyme beta-lactamase in a biological specimen.</t>
  </si>
  <si>
    <t>Bacterial Beta-lactamase Measurement</t>
  </si>
  <si>
    <t>C198304</t>
  </si>
  <si>
    <t>BACILLE</t>
  </si>
  <si>
    <t>Bacilli/Leukocytes</t>
  </si>
  <si>
    <t>A relative measurement (ratio or percentage) of the bacilli to leukocytes in a biological specimen.</t>
  </si>
  <si>
    <t>Bacillus to Leukocyte Ratio Measurement</t>
  </si>
  <si>
    <t>C198305</t>
  </si>
  <si>
    <t>BACILLI</t>
  </si>
  <si>
    <t>Bacilli</t>
  </si>
  <si>
    <t>Bacilli; Rod-shaped Bacteria</t>
  </si>
  <si>
    <t>A measurement of the rod-shaped bacilli in a biological specimen.</t>
  </si>
  <si>
    <t>Bacillus Measurement</t>
  </si>
  <si>
    <t>C209634</t>
  </si>
  <si>
    <t>BACILLOT</t>
  </si>
  <si>
    <t>Bacillota</t>
  </si>
  <si>
    <t>A measurement of the organisms that are not assigned to the species level but are assigned to the Bacillota phylum level in a biological specimen.</t>
  </si>
  <si>
    <t>Bacillota Measurement</t>
  </si>
  <si>
    <t>C189546</t>
  </si>
  <si>
    <t>BACLPSAG</t>
  </si>
  <si>
    <t>Bacterial Lipopolysaccharide Antigen</t>
  </si>
  <si>
    <t>A measurement of the lipopolysaccharide antigen from bacteria in a biological specimen.</t>
  </si>
  <si>
    <t>Bacterial Lipopolysaccharide Antigen Measurement</t>
  </si>
  <si>
    <t>C64469</t>
  </si>
  <si>
    <t>BACT</t>
  </si>
  <si>
    <t>Bacteria</t>
  </si>
  <si>
    <t>A measurement of the bacteria in a biological specimen.</t>
  </si>
  <si>
    <t>Bacterial Count</t>
  </si>
  <si>
    <t>C209635</t>
  </si>
  <si>
    <t>BACTEROI</t>
  </si>
  <si>
    <t>Bacteroidia</t>
  </si>
  <si>
    <t>A measurement of the organisms that are not assigned to the species level but are assigned to the Bacteroidia phylum level in a biological specimen.</t>
  </si>
  <si>
    <t>Bacteroidia Measurement</t>
  </si>
  <si>
    <t>C111135</t>
  </si>
  <si>
    <t>BAFF</t>
  </si>
  <si>
    <t>B-Cell Activating Factor</t>
  </si>
  <si>
    <t>A measurement of the B-cell activating factor in a biological specimen.</t>
  </si>
  <si>
    <t>B-Cell Activating Factor Measurement</t>
  </si>
  <si>
    <t>C154764</t>
  </si>
  <si>
    <t>BALA</t>
  </si>
  <si>
    <t>Beta Alanine</t>
  </si>
  <si>
    <t>A measurement of the beta alanine in a biological specimen.</t>
  </si>
  <si>
    <t>Beta Alanine Measurement</t>
  </si>
  <si>
    <t>C172535</t>
  </si>
  <si>
    <t>BAM</t>
  </si>
  <si>
    <t>Burkholderia ambifaria</t>
  </si>
  <si>
    <t>A measurement of the Burkholderia ambifaria in a biological specimen.</t>
  </si>
  <si>
    <t>Burkholderia ambifaria Measurement</t>
  </si>
  <si>
    <t>C154765</t>
  </si>
  <si>
    <t>BAMBTAC</t>
  </si>
  <si>
    <t>Beta-Aminobutyric Acid</t>
  </si>
  <si>
    <t>BABA; Beta-aminobutyrate; Beta-Aminobutyric Acid</t>
  </si>
  <si>
    <t>A measurement of the beta-aminobutyric acid in a biological specimen.</t>
  </si>
  <si>
    <t>Beta-Aminobutyric Acid Measurement</t>
  </si>
  <si>
    <t>C172536</t>
  </si>
  <si>
    <t>BAN</t>
  </si>
  <si>
    <t>Burkholderia anthina</t>
  </si>
  <si>
    <t>A measurement of the Burkholderia anthina in a biological specimen.</t>
  </si>
  <si>
    <t>Burkholderia anthina Measurement</t>
  </si>
  <si>
    <t>C135464</t>
  </si>
  <si>
    <t>BANFRDX</t>
  </si>
  <si>
    <t>Banff Diagnostic Category Renal</t>
  </si>
  <si>
    <t>The histologic evaluation and diagnosis of the type of renal allograft rejection based on kidney biopsies and the Banff Working Classification from the Banff Foundation for Allograft Pathology. (NCI)</t>
  </si>
  <si>
    <t>Banff Renal Diagnostic Category Assessment</t>
  </si>
  <si>
    <t>C74688</t>
  </si>
  <si>
    <t>BARB</t>
  </si>
  <si>
    <t>Barbiturates</t>
  </si>
  <si>
    <t>A measurement of any barbiturate class drug present in a biological specimen.</t>
  </si>
  <si>
    <t>Barbiturate Drug Class Measurement</t>
  </si>
  <si>
    <t>C147309</t>
  </si>
  <si>
    <t>BASEDEF</t>
  </si>
  <si>
    <t>Base Deficit</t>
  </si>
  <si>
    <t>A measurement of the amount of alkali required to return a biological specimen to a normal pH under standard conditions.</t>
  </si>
  <si>
    <t>C119270</t>
  </si>
  <si>
    <t>BASEEXCS</t>
  </si>
  <si>
    <t>Base Excess</t>
  </si>
  <si>
    <t>Actual Base Excess; Base Excess</t>
  </si>
  <si>
    <t>A calculated measurement of the amount of acid required to return blood to a normal pH under standard conditions.</t>
  </si>
  <si>
    <t>Base Excess Measurement</t>
  </si>
  <si>
    <t>C64470</t>
  </si>
  <si>
    <t>BASO</t>
  </si>
  <si>
    <t>Basophils</t>
  </si>
  <si>
    <t>A measurement of the basophils in a biological specimen.</t>
  </si>
  <si>
    <t>Absolute Basophil Count</t>
  </si>
  <si>
    <t>C130154</t>
  </si>
  <si>
    <t>BASOB</t>
  </si>
  <si>
    <t>Basophils Band Form</t>
  </si>
  <si>
    <t>A measurement of the banded basophils in a biological specimen.</t>
  </si>
  <si>
    <t>Basophil Band Form Count</t>
  </si>
  <si>
    <t>C130155</t>
  </si>
  <si>
    <t>BASOBLE</t>
  </si>
  <si>
    <t>Basophils Band Form/Leukocytes</t>
  </si>
  <si>
    <t>A relative measurement (ratio or percentage) of the banded basophils to leukocytes in a biological specimen.</t>
  </si>
  <si>
    <t>Basophil Band Form to Leukocytes Ratio Measurement</t>
  </si>
  <si>
    <t>C98865</t>
  </si>
  <si>
    <t>BASOCE</t>
  </si>
  <si>
    <t>Basophils/Total Cells</t>
  </si>
  <si>
    <t>A relative measurement (ratio or percentage) of the basophils to total cells in a biological specimen (for example a bone marrow specimen).</t>
  </si>
  <si>
    <t>Basophil to Total Cell Ratio Measurement</t>
  </si>
  <si>
    <t>C96670</t>
  </si>
  <si>
    <t>BASOIM</t>
  </si>
  <si>
    <t>Immature Basophils</t>
  </si>
  <si>
    <t>A measurement of the immature basophils in a biological specimen.</t>
  </si>
  <si>
    <t>Immature Basophil Count</t>
  </si>
  <si>
    <t>C96671</t>
  </si>
  <si>
    <t>BASOIMLE</t>
  </si>
  <si>
    <t>Immature Basophils/Leukocytes</t>
  </si>
  <si>
    <t>A relative measurement (ratio or percentage) of immature basophils to total leukocytes in a biological specimen.</t>
  </si>
  <si>
    <t>Immature Basophil to Leukocyte Ratio Measurement</t>
  </si>
  <si>
    <t>C64471</t>
  </si>
  <si>
    <t>BASOLE</t>
  </si>
  <si>
    <t>Basophils/Leukocytes</t>
  </si>
  <si>
    <t>A relative measurement (ratio or percentage) of the basophils to leukocytes in a biological specimen.</t>
  </si>
  <si>
    <t>Basophil to Leukocyte Ratio</t>
  </si>
  <si>
    <t>C135399</t>
  </si>
  <si>
    <t>BASOMM</t>
  </si>
  <si>
    <t>Basophilic Metamyelocytes</t>
  </si>
  <si>
    <t>A measurement of the basophilic metamyelocytes in a biological specimen.</t>
  </si>
  <si>
    <t>Basophilic Metamyelocyte Count</t>
  </si>
  <si>
    <t>C135400</t>
  </si>
  <si>
    <t>BASOMYL</t>
  </si>
  <si>
    <t>Basophilic Myelocytes</t>
  </si>
  <si>
    <t>A measurement of the basophilic myelocytes in a biological specimen.</t>
  </si>
  <si>
    <t>Basophilic Myelocyte Count</t>
  </si>
  <si>
    <t>C181448</t>
  </si>
  <si>
    <t>BASOMYLY</t>
  </si>
  <si>
    <t>Basophilic Myelocytes/Lymphocytes</t>
  </si>
  <si>
    <t>A relative measurement (ratio or percentage) of the basophilic myelocytes to lymphocytes in a biological specimen (for example a bone marrow specimen).</t>
  </si>
  <si>
    <t>Basophilic Myelocytes to Lymphocytes Ratio Measurement</t>
  </si>
  <si>
    <t>C135401</t>
  </si>
  <si>
    <t>BASOSG</t>
  </si>
  <si>
    <t>Basophils, Segmented</t>
  </si>
  <si>
    <t>A measurement of the segmented basophils in a biological specimen.</t>
  </si>
  <si>
    <t>Segmented Basophil Count</t>
  </si>
  <si>
    <t>C172531</t>
  </si>
  <si>
    <t>BCE</t>
  </si>
  <si>
    <t>Burkholderia cenocepacia</t>
  </si>
  <si>
    <t>A measurement of the Burkholderia cenocepacia in a biological specimen.</t>
  </si>
  <si>
    <t>Burkholderia cenocepacia Measurement</t>
  </si>
  <si>
    <t>C123455</t>
  </si>
  <si>
    <t>BCEFNCTN</t>
  </si>
  <si>
    <t>Beta-cell Function</t>
  </si>
  <si>
    <t>A measurement of the beta cell function (insulin production and secretion) in a biological specimen.</t>
  </si>
  <si>
    <t>Beta-Cell Function Measurement</t>
  </si>
  <si>
    <t>C147456</t>
  </si>
  <si>
    <t>BCEPACIA</t>
  </si>
  <si>
    <t>Burkholderia cepacia</t>
  </si>
  <si>
    <t>B. cepacia; Burkholderia cepacia; Pseudomonas cepacia</t>
  </si>
  <si>
    <t>A measurement of the Burkholderia cepacia in a biological specimen.</t>
  </si>
  <si>
    <t>Burkholderia cepacia Measurement</t>
  </si>
  <si>
    <t>C201446</t>
  </si>
  <si>
    <t>BCL2</t>
  </si>
  <si>
    <t>Apoptosis Regulator BCL-2; B-Cell Lymphoma 2; BCL-2; Bcl-2; BCL2</t>
  </si>
  <si>
    <t>A measurement of BCL2 in a biological specimen.</t>
  </si>
  <si>
    <t>B-Cell Lymphoma 2 Measurement</t>
  </si>
  <si>
    <t>C202418</t>
  </si>
  <si>
    <t>BCL6</t>
  </si>
  <si>
    <t>B-Cell Lymphoma 6; BCL-6; Bcl-6; BCL5; BCL6; BCL6 Transcription Repressor; Zinc Finger And BTB Domain-Containing Protein 27; Zinc Finger Protein 51</t>
  </si>
  <si>
    <t>A measurement of the B-cell lymphoma 6 protein in a biological specimen.</t>
  </si>
  <si>
    <t>B-Cell Lymphoma 6 Protein Measurement</t>
  </si>
  <si>
    <t>C199996</t>
  </si>
  <si>
    <t>BCM</t>
  </si>
  <si>
    <t>Body Cell Mass</t>
  </si>
  <si>
    <t>An estimated measurement of the total mass of metabolically active cells in the body.</t>
  </si>
  <si>
    <t>Body Cell Mass Measurement</t>
  </si>
  <si>
    <t>C170577</t>
  </si>
  <si>
    <t>BCMAS</t>
  </si>
  <si>
    <t>Soluble B Cell Maturation Antigen</t>
  </si>
  <si>
    <t>Soluble B Cell Maturation Antigen; Soluble BCM; Soluble BCMA; Soluble CD269; Soluble TNF Receptor Superfamily Member 17; Soluble TNFRSF13A</t>
  </si>
  <si>
    <t>A measurement of the soluble B cell maturation antigen in a biological specimen.</t>
  </si>
  <si>
    <t>Soluble B Cell Maturation Antigen Measurement</t>
  </si>
  <si>
    <t>C106501</t>
  </si>
  <si>
    <t>BCMETHOD</t>
  </si>
  <si>
    <t>Birth Control Method</t>
  </si>
  <si>
    <t>The method by which conception or impregnation is prevented.</t>
  </si>
  <si>
    <t>C154820</t>
  </si>
  <si>
    <t>BCTSILDS</t>
  </si>
  <si>
    <t>Bacterial Sialidase</t>
  </si>
  <si>
    <t>A measurement of the bacterial sialidase enzyme in a biological specimen.</t>
  </si>
  <si>
    <t>Bacterial Sialidase Measurement</t>
  </si>
  <si>
    <t>C156546</t>
  </si>
  <si>
    <t>BD1</t>
  </si>
  <si>
    <t>Beta-defensin 1</t>
  </si>
  <si>
    <t>A measurement of the beta-defensin 1 in a biological specimen.</t>
  </si>
  <si>
    <t>Beta-defensin 1 Measurement</t>
  </si>
  <si>
    <t>C122102</t>
  </si>
  <si>
    <t>BD2</t>
  </si>
  <si>
    <t>Beta-defensin 2</t>
  </si>
  <si>
    <t>A measurement of the beta-defensin 2 in a biological specimen.</t>
  </si>
  <si>
    <t>Beta-defensin 2 Measurement</t>
  </si>
  <si>
    <t>C139099</t>
  </si>
  <si>
    <t>BDKRB1</t>
  </si>
  <si>
    <t>Bradykinin Receptor B1</t>
  </si>
  <si>
    <t>BK-1 Receptor; Bradykinin Receptor B1</t>
  </si>
  <si>
    <t>A measurement of the bradykinin receptor B1 in a biological specimen.</t>
  </si>
  <si>
    <t>Bradykinin Receptor B1 Measurement</t>
  </si>
  <si>
    <t>C82004</t>
  </si>
  <si>
    <t>BDNF</t>
  </si>
  <si>
    <t>Brain-Derived Neurotrophic Factor</t>
  </si>
  <si>
    <t>A measurement of the brain-derived neurotrophic factor in a biological specimen.</t>
  </si>
  <si>
    <t>Brain-Derived Neurotrophic Factor Measurement</t>
  </si>
  <si>
    <t>C172534</t>
  </si>
  <si>
    <t>BDO</t>
  </si>
  <si>
    <t>Burkholderia dolosa</t>
  </si>
  <si>
    <t>A measurement of the Burkholderia dolosa in a biological specimen.</t>
  </si>
  <si>
    <t>Burkholderia dolosa Measurement</t>
  </si>
  <si>
    <t>C204645</t>
  </si>
  <si>
    <t>BENZENE</t>
  </si>
  <si>
    <t>Benzene</t>
  </si>
  <si>
    <t>A measurement of the benzene in a specimen.</t>
  </si>
  <si>
    <t>Benzene Measurement</t>
  </si>
  <si>
    <t>C94536</t>
  </si>
  <si>
    <t>BESTRESP</t>
  </si>
  <si>
    <t>Best Overall Response</t>
  </si>
  <si>
    <t>Best Overall Response; Best Response</t>
  </si>
  <si>
    <t>An assessment of the most clinically favorable overall response of the disease to the therapy.</t>
  </si>
  <si>
    <t>C191307</t>
  </si>
  <si>
    <t>BETAANGL</t>
  </si>
  <si>
    <t>Beta Angle</t>
  </si>
  <si>
    <t>Beta Angle; Beta Angle of the Hip</t>
  </si>
  <si>
    <t>A measurement of the angle formed by the cartilaginous roof to the vertical cortex of the ilium.</t>
  </si>
  <si>
    <t>Beta Angle of the Hip</t>
  </si>
  <si>
    <t>C100472</t>
  </si>
  <si>
    <t>BETACRTN</t>
  </si>
  <si>
    <t>Beta Carotene</t>
  </si>
  <si>
    <t>b-Carotene; Beta Carotene; Beta Carotin</t>
  </si>
  <si>
    <t>A measurement of the beta carotene in a biological specimen.</t>
  </si>
  <si>
    <t>Beta Carotene Measurement</t>
  </si>
  <si>
    <t>C172517</t>
  </si>
  <si>
    <t>BETAINES</t>
  </si>
  <si>
    <t>Betaines</t>
  </si>
  <si>
    <t>A measurement of the betaine class compounds in a biological specimen.</t>
  </si>
  <si>
    <t>Betaines Measurement</t>
  </si>
  <si>
    <t>C184531</t>
  </si>
  <si>
    <t>BFTNN</t>
  </si>
  <si>
    <t>Bufotenine</t>
  </si>
  <si>
    <t>A measurement of the bufotenine in a biological specimen.</t>
  </si>
  <si>
    <t>Bufotenine Measurement</t>
  </si>
  <si>
    <t>C172497</t>
  </si>
  <si>
    <t>BGTCPHRL</t>
  </si>
  <si>
    <t>Beta+Gamma Tocopherol</t>
  </si>
  <si>
    <t>Beta and Gamma Tocopherol; Beta+Gamma Tocopherol</t>
  </si>
  <si>
    <t>A measurement of the beta and gamma tocopherol in a biological specimen.</t>
  </si>
  <si>
    <t>Beta and Gamma Tocopherol Measurement</t>
  </si>
  <si>
    <t>C186028</t>
  </si>
  <si>
    <t>BHBACTAC</t>
  </si>
  <si>
    <t>Beta-Hydroxybutyrate/Acetoacetate</t>
  </si>
  <si>
    <t>A relative measurement (ratio) of the beta-hydroxybutyrate to acetoacetate in a biological specimen.</t>
  </si>
  <si>
    <t>Beta-Hydroxybutyrate to Acetoacetate Ratio Measurement</t>
  </si>
  <si>
    <t>C189520</t>
  </si>
  <si>
    <t>BHBEXR</t>
  </si>
  <si>
    <t>Beta-Hydroxybutyrate Excretion Rate</t>
  </si>
  <si>
    <t>3-Hydroxybutyrate Excretion Rate; B-Hydroxybutyrate Excretion Rate; Beta-Hydroxybutyrate Excretion Rate; BHB Excretion Rate</t>
  </si>
  <si>
    <t>A measurement of the amount of beta-Hydroxybutyrate being excreted in a biological specimen over a defined period of time (e.g. one hour).</t>
  </si>
  <si>
    <t>Beta-Hydroxybutyrate Excretion Rate Measurement</t>
  </si>
  <si>
    <t>C186145</t>
  </si>
  <si>
    <t>BHODNA</t>
  </si>
  <si>
    <t>Blastocystis hominis DNA</t>
  </si>
  <si>
    <t>A measurement of the Blastocystis hominis DNA in a biological specimen.</t>
  </si>
  <si>
    <t>Blastocystis hominis DNA Measurement</t>
  </si>
  <si>
    <t>C96568</t>
  </si>
  <si>
    <t>BHYXBTR</t>
  </si>
  <si>
    <t>Beta-Hydroxybutyrate</t>
  </si>
  <si>
    <t>3-Hydroxybutyrate; B-Hydroxybutyrate; Beta-Hydroxybutyrate; Beta-Hydroxybutyric Acid; BHB</t>
  </si>
  <si>
    <t>A measurement of the total Beta-hydroxybutyrate in a biological specimen.</t>
  </si>
  <si>
    <t>Beta-Hydroxybutyrate Measurement</t>
  </si>
  <si>
    <t>C178041</t>
  </si>
  <si>
    <t>BIAFFNUM</t>
  </si>
  <si>
    <t>Number of Biopsy Specimens Affected</t>
  </si>
  <si>
    <t>The total number of biopsy specimens in which a finding has been observed.</t>
  </si>
  <si>
    <t>C74667</t>
  </si>
  <si>
    <t>BICARB</t>
  </si>
  <si>
    <t>Bicarbonate</t>
  </si>
  <si>
    <t>Bicarbonate; HCO3</t>
  </si>
  <si>
    <t>A measurement of the bicarbonate in a biological specimen.</t>
  </si>
  <si>
    <t>Bicarbonate Measurement</t>
  </si>
  <si>
    <t>C214677</t>
  </si>
  <si>
    <t>BILDELTA</t>
  </si>
  <si>
    <t>Delta Bilirubin</t>
  </si>
  <si>
    <t>Albumin-Bound Bilirubin; Biliprotein; Delta Bilirubin; Delta Fraction</t>
  </si>
  <si>
    <t>A measurement of the albumin-bound bilirubin in a biological specimen.</t>
  </si>
  <si>
    <t>Delta Bilirubin Measurement</t>
  </si>
  <si>
    <t>C64481</t>
  </si>
  <si>
    <t>BILDIR</t>
  </si>
  <si>
    <t>Direct Bilirubin</t>
  </si>
  <si>
    <t>Conjugated Bilirubin + Albumin-Bound Bilirubin; Conjugated Bilirubin + Delta Bilirubin; Direct Bilirubin</t>
  </si>
  <si>
    <t>A measurement of the glucuronidated bilirubin and albumin-bound bilirubin in a biological specimen.</t>
  </si>
  <si>
    <t>Direct Bilirubin Measurement</t>
  </si>
  <si>
    <t>C158226</t>
  </si>
  <si>
    <t>BILDIRBI</t>
  </si>
  <si>
    <t>Direct Bilirubin/Bilirubin</t>
  </si>
  <si>
    <t>A relative measurement (ratio or percentage) of the direct bilirubin to total bilirubin in a biological specimen.</t>
  </si>
  <si>
    <t>Direct Bilirubin to Bilirubin Ratio Measurement</t>
  </si>
  <si>
    <t>C74800</t>
  </si>
  <si>
    <t>BILEAC</t>
  </si>
  <si>
    <t>Bile Acid</t>
  </si>
  <si>
    <t>Bile Acid; Bile Acids; Bile Salt; Bile Salts</t>
  </si>
  <si>
    <t>A measurement of the total bile acids in a biological specimen.</t>
  </si>
  <si>
    <t>Bile Acid Measurement</t>
  </si>
  <si>
    <t>C214676</t>
  </si>
  <si>
    <t>BILGLC</t>
  </si>
  <si>
    <t>Glucuronidated Bilirubin</t>
  </si>
  <si>
    <t>Conjugated Bilirubin; Glucuronidated Bilirubin</t>
  </si>
  <si>
    <t>A measurement of the glucuronidated bilirubin (water soluble) in a biological specimen.</t>
  </si>
  <si>
    <t>Glucuronidated Bilirubin Measurement</t>
  </si>
  <si>
    <t>C38037</t>
  </si>
  <si>
    <t>BILI</t>
  </si>
  <si>
    <t>Bilirubin</t>
  </si>
  <si>
    <t>Bilirubin; Total Bilirubin</t>
  </si>
  <si>
    <t>A measurement of the total bilirubin in a biological specimen.</t>
  </si>
  <si>
    <t>Total Bilirubin Measurement</t>
  </si>
  <si>
    <t>C64483</t>
  </si>
  <si>
    <t>BILIND</t>
  </si>
  <si>
    <t>Indirect Bilirubin</t>
  </si>
  <si>
    <t>Indirect Bilirubin; Non-Glucuronidated Bilirubin; Unconjugated Bilirubin</t>
  </si>
  <si>
    <t>A measurement of the unconjugated or non-water-soluble bilirubin in a biological specimen.</t>
  </si>
  <si>
    <t>Indirect Bilirubin Measurement</t>
  </si>
  <si>
    <t>C198360</t>
  </si>
  <si>
    <t>BIO1DRN</t>
  </si>
  <si>
    <t>Num 1st Degree Relatives, Biological</t>
  </si>
  <si>
    <t>Num 1st Degree Relatives, Biological; Number of First Degree Relatives, Biological</t>
  </si>
  <si>
    <t>The number of first degree relatives that are biologically related to the subject.</t>
  </si>
  <si>
    <t>Number of First Degree Biological Relatives</t>
  </si>
  <si>
    <t>C135500</t>
  </si>
  <si>
    <t>BIOBRON</t>
  </si>
  <si>
    <t>Number of Brothers, Biological</t>
  </si>
  <si>
    <t>The number of brothers that are biologically related to the subject. (NCI)</t>
  </si>
  <si>
    <t>Number of Biological Brothers</t>
  </si>
  <si>
    <t>C135501</t>
  </si>
  <si>
    <t>BIOSISN</t>
  </si>
  <si>
    <t>Number of Sisters, Biological</t>
  </si>
  <si>
    <t>The number of sisters that are biologically related to the subject. (NCI)</t>
  </si>
  <si>
    <t>Number of Biological Sisters</t>
  </si>
  <si>
    <t>C74700</t>
  </si>
  <si>
    <t>BITECE</t>
  </si>
  <si>
    <t>Bite Cells</t>
  </si>
  <si>
    <t>A measurement of the bite cells (erythrocytes with the appearance of a bite having been removed, due to oxidative hemolysis) in a biological specimen.</t>
  </si>
  <si>
    <t>Bite Cell Count</t>
  </si>
  <si>
    <t>C111136</t>
  </si>
  <si>
    <t>BJPROT</t>
  </si>
  <si>
    <t>Bence-Jones Protein</t>
  </si>
  <si>
    <t>A measurement of the total Bence-Jones protein in a biological specimen.</t>
  </si>
  <si>
    <t>Bence-Jones Protein Measurement</t>
  </si>
  <si>
    <t>C205752</t>
  </si>
  <si>
    <t>BLAPCTL</t>
  </si>
  <si>
    <t>Body Length-for-Age Percentile</t>
  </si>
  <si>
    <t>An assessed relationship of an individual's body length and age to that of a reference population, expressed as a percentile.</t>
  </si>
  <si>
    <t>C74605</t>
  </si>
  <si>
    <t>BLAST</t>
  </si>
  <si>
    <t>Blasts</t>
  </si>
  <si>
    <t>A measurement of the blast cells in a biological specimen.</t>
  </si>
  <si>
    <t>Blast Count</t>
  </si>
  <si>
    <t>C150836</t>
  </si>
  <si>
    <t>BLASTCE</t>
  </si>
  <si>
    <t>Blasts/Total Cells</t>
  </si>
  <si>
    <t>A relative measurement (ratio or percentage) of the blasts to total cells in a biological specimen.</t>
  </si>
  <si>
    <t>Blasts to Total Cells Ratio Measurement</t>
  </si>
  <si>
    <t>C147311</t>
  </si>
  <si>
    <t>BLASTERY</t>
  </si>
  <si>
    <t>Basophilic Erythroblast</t>
  </si>
  <si>
    <t>A measurement of the basophilic erythroblasts in a biological specimen taken from a non-human organism.</t>
  </si>
  <si>
    <t>Basophilic Erythroblast Count</t>
  </si>
  <si>
    <t>C103407</t>
  </si>
  <si>
    <t>BLASTIMM</t>
  </si>
  <si>
    <t>Immunoblasts</t>
  </si>
  <si>
    <t>Immunoblastic Lymphocytes; Immunoblasts</t>
  </si>
  <si>
    <t>A measurement of the immunoblasts in a biological specimen.</t>
  </si>
  <si>
    <t>Immunoblast Count</t>
  </si>
  <si>
    <t>C64487</t>
  </si>
  <si>
    <t>BLASTLE</t>
  </si>
  <si>
    <t>Blasts/Leukocytes</t>
  </si>
  <si>
    <t>A relative measurement (ratio or percentage) of the blasts to leukocytes in a biological specimen.</t>
  </si>
  <si>
    <t>Blast to Leukocyte Ratio</t>
  </si>
  <si>
    <t>C74630</t>
  </si>
  <si>
    <t>BLASTLM</t>
  </si>
  <si>
    <t>Leukemic Blasts</t>
  </si>
  <si>
    <t>A measurement of the leukemic blasts (lymphoblasts and/or myeloblasts that remain in an immature state even when outside the bone marrow) in a biological specimen.</t>
  </si>
  <si>
    <t>Leukemic Blast Count</t>
  </si>
  <si>
    <t>C100446</t>
  </si>
  <si>
    <t>BLASTRUB</t>
  </si>
  <si>
    <t>Rubriblast</t>
  </si>
  <si>
    <t>Proerythroblast; Pronormoblast; Rubriblast</t>
  </si>
  <si>
    <t>A measurement of the rubriblasts in a biological specimen.</t>
  </si>
  <si>
    <t>Proerythroblast Measurement</t>
  </si>
  <si>
    <t>UR</t>
  </si>
  <si>
    <t>C94866</t>
  </si>
  <si>
    <t>BLDFLRT</t>
  </si>
  <si>
    <t>Blood Flow Rate</t>
  </si>
  <si>
    <t>The volume of blood per unit time passing through a specified location, such as a point in a blood vessel or an entire organ.</t>
  </si>
  <si>
    <t>C181528</t>
  </si>
  <si>
    <t>BLDSPNUM</t>
  </si>
  <si>
    <t>Number of Continuous Days of Bleed/Spot</t>
  </si>
  <si>
    <t>The number of days one has experienced continuous menstrual bleeding and/or spotting.</t>
  </si>
  <si>
    <t>Number of Continuous Days of Menstrual Bleeding and/or Spotting</t>
  </si>
  <si>
    <t>C156545</t>
  </si>
  <si>
    <t>BLDVESD</t>
  </si>
  <si>
    <t>Blood Vessel Density</t>
  </si>
  <si>
    <t>An evaluation of the blood vessel density in a biological specimen.</t>
  </si>
  <si>
    <t>C154889</t>
  </si>
  <si>
    <t>BLEEDIND</t>
  </si>
  <si>
    <t>Abnormal Bleeding Indicator</t>
  </si>
  <si>
    <t>An indication as to whether there is the presence of abnormal bleeding.</t>
  </si>
  <si>
    <t>C89775</t>
  </si>
  <si>
    <t>BLEEDT</t>
  </si>
  <si>
    <t>Bleeding Time</t>
  </si>
  <si>
    <t>Bleeding Time; Clotting Time Homeostasis</t>
  </si>
  <si>
    <t>A measurement of the time from the start to cessation of an induced bleed.</t>
  </si>
  <si>
    <t>C127609</t>
  </si>
  <si>
    <t>BLISTCE</t>
  </si>
  <si>
    <t>Blister Cell</t>
  </si>
  <si>
    <t>A measurement of the blister cells in a biological specimen.</t>
  </si>
  <si>
    <t>Blister Cell Count</t>
  </si>
  <si>
    <t>C122195</t>
  </si>
  <si>
    <t>BLISTIND</t>
  </si>
  <si>
    <t>Blistering Indicator</t>
  </si>
  <si>
    <t>An indication as to whether blistering occurred.</t>
  </si>
  <si>
    <t>C160937</t>
  </si>
  <si>
    <t>BLNBAC</t>
  </si>
  <si>
    <t>Beta-lactamase Negative Bacteria</t>
  </si>
  <si>
    <t>A measurement of the beta-lactamase negative bacteria in a biological specimen.</t>
  </si>
  <si>
    <t>Beta-lactamase Negative Bacteria Measurement</t>
  </si>
  <si>
    <t>C160936</t>
  </si>
  <si>
    <t>BLPBAC</t>
  </si>
  <si>
    <t>Beta-lactamase Positive Bacteria</t>
  </si>
  <si>
    <t>A measurement of the beta-lactamase positive bacteria in a biological specimen.</t>
  </si>
  <si>
    <t>Beta-lactamase Positive Bacteria Measurement</t>
  </si>
  <si>
    <t>C106535</t>
  </si>
  <si>
    <t>BLSTIMLY</t>
  </si>
  <si>
    <t>Immunoblasts/Lymphocytes</t>
  </si>
  <si>
    <t>Immunoblasts/Lymphocytes; Lymphocytes, Immunoblastic/Lymphocytes</t>
  </si>
  <si>
    <t>A relative measurement (ratio or percentage) of immunoblasts to all lymphocytes present in a sample.</t>
  </si>
  <si>
    <t>Immunoblasts to Lymphocytes Ratio Measurement</t>
  </si>
  <si>
    <t>C74641</t>
  </si>
  <si>
    <t>BLSTLMLY</t>
  </si>
  <si>
    <t>Leukemic Blasts/Lymphocytes</t>
  </si>
  <si>
    <t>A relative measurement (ratio or percentage) of the leukemic blasts (immature lymphoblasts and/or myeloblasts) to mature lymphocytes in a biological specimen.</t>
  </si>
  <si>
    <t>Leukemic Blast to Lymphocyte Ratio Measurement</t>
  </si>
  <si>
    <t>C102278</t>
  </si>
  <si>
    <t>BLSTLY</t>
  </si>
  <si>
    <t>Lymphoblasts</t>
  </si>
  <si>
    <t>Lymphoblasts; Lymphoid Blasts</t>
  </si>
  <si>
    <t>A measurement of the lymphoblasts (immature cells that differentiate to form lymphocytes) in a biological specimen.</t>
  </si>
  <si>
    <t>Lymphoblast Count</t>
  </si>
  <si>
    <t>C105444</t>
  </si>
  <si>
    <t>BLSTLYLE</t>
  </si>
  <si>
    <t>Lymphoblasts/Leukocytes</t>
  </si>
  <si>
    <t>A relative measurement (ratio or percentage) of the lymphoblasts to leukocytes in a biological specimen.</t>
  </si>
  <si>
    <t>Lymphoblast to Leukocyte Ratio Measurement</t>
  </si>
  <si>
    <t>C189503</t>
  </si>
  <si>
    <t>BLSTLYLY</t>
  </si>
  <si>
    <t>Lymphoblasts/Lymphocytes</t>
  </si>
  <si>
    <t>A relative measurement (ratio or percentage) of the lymphoblasts to lymphocytes in a biological specimen.</t>
  </si>
  <si>
    <t>Lymphoblast to Lymphocyte Ratio Measurement</t>
  </si>
  <si>
    <t>C98761</t>
  </si>
  <si>
    <t>BLSTMBCE</t>
  </si>
  <si>
    <t>Myeloblasts/Total Cells</t>
  </si>
  <si>
    <t>A relative measurement (ratio or percentage) of the myeloblasts to total cells in a biological specimen (for example a bone marrow specimen).</t>
  </si>
  <si>
    <t>Myeloblast to Total Cell Ratio Measurement</t>
  </si>
  <si>
    <t>C98752</t>
  </si>
  <si>
    <t>BLSTMGK</t>
  </si>
  <si>
    <t>Megakaryoblasts</t>
  </si>
  <si>
    <t>A measurement of the megakaryoblasts in a biological specimen.</t>
  </si>
  <si>
    <t>Megakaryoblast Cell Count</t>
  </si>
  <si>
    <t>C98753</t>
  </si>
  <si>
    <t>BLSTMKCE</t>
  </si>
  <si>
    <t>Megakaryoblasts/Total Cells</t>
  </si>
  <si>
    <t>A relative measurement (ratio or percentage) of the megakaryoblasts to total cells in a biological specimen (for example a bone marrow specimen).</t>
  </si>
  <si>
    <t>Megakaryoblast to Total Cell Ratio Measurement</t>
  </si>
  <si>
    <t>C187813</t>
  </si>
  <si>
    <t>BLSTMKLE</t>
  </si>
  <si>
    <t>Megakaryoblasts/Leukocytes</t>
  </si>
  <si>
    <t>A relative measurement (ratio or percentage) of megakaryoblasts to total leukocytes in a biological specimen.</t>
  </si>
  <si>
    <t>Megakaryoblasts to Leukocytes Ratio Measurement</t>
  </si>
  <si>
    <t>C189501</t>
  </si>
  <si>
    <t>BLSTNM</t>
  </si>
  <si>
    <t>Normoblasts</t>
  </si>
  <si>
    <t>A measurement of the normoblasts in a biological specimen.</t>
  </si>
  <si>
    <t>Normoblast Count</t>
  </si>
  <si>
    <t>C98764</t>
  </si>
  <si>
    <t>BLSTNMCE</t>
  </si>
  <si>
    <t>Normoblasts/Total Cells</t>
  </si>
  <si>
    <t>A relative measurement (ratio or percentage) of the normoblasts to total cells in a biological specimen (for example a bone marrow specimen).</t>
  </si>
  <si>
    <t>Normoblast to Total Cell Ratio Measurement</t>
  </si>
  <si>
    <t>C98870</t>
  </si>
  <si>
    <t>BLSTRBCE</t>
  </si>
  <si>
    <t>Rubriblast/Total Cells</t>
  </si>
  <si>
    <t>Proerythroblast/Total Cells; Pronormoblasts/Total Cells; Rubriblast/Total Cells</t>
  </si>
  <si>
    <t>A relative measurement (ratio or percentage) of the rubriblasts to total cells in a biological specimen (for example a bone marrow specimen).</t>
  </si>
  <si>
    <t>Pronormoblast to Total Cell Ratio Measurement</t>
  </si>
  <si>
    <t>C100419</t>
  </si>
  <si>
    <t>BLSTRSID</t>
  </si>
  <si>
    <t>Ringed Sideroblasts</t>
  </si>
  <si>
    <t>A measurement of the ringed sideroblasts (abnormal nucleated erythroblasts with a large number of iron deposits in the perinuclear mitochondria, forming a ring around the nucleus) in a biological specimen.</t>
  </si>
  <si>
    <t>Ring Sideroblast Measurement</t>
  </si>
  <si>
    <t>C100418</t>
  </si>
  <si>
    <t>BLSTSID</t>
  </si>
  <si>
    <t>Sideroblast</t>
  </si>
  <si>
    <t>A measurement of the sideroblasts (nucleated erythroblasts with iron granules in the cytoplasm) in a biological specimen.</t>
  </si>
  <si>
    <t>Sideroblast Measurement</t>
  </si>
  <si>
    <t>C174314</t>
  </si>
  <si>
    <t>BLYCE</t>
  </si>
  <si>
    <t>B-Lymphocytes</t>
  </si>
  <si>
    <t>B Cells; B-Cell Lymphocytes; B-Cells; B-Lymphocytes</t>
  </si>
  <si>
    <t>A measurement of the B-lymphocytes in a biological specimen.</t>
  </si>
  <si>
    <t>B-Lymphocyte Count</t>
  </si>
  <si>
    <t>C174317</t>
  </si>
  <si>
    <t>BLYCECE</t>
  </si>
  <si>
    <t>B-Lymphocytes/Total Cells</t>
  </si>
  <si>
    <t>A relative measurement (ratio or percentage) of the B-lymphocytes to total cells in a biological specimen.</t>
  </si>
  <si>
    <t>B-Lymphocyte to Total Cells Ratio Measurement</t>
  </si>
  <si>
    <t>C174316</t>
  </si>
  <si>
    <t>BLYCELE</t>
  </si>
  <si>
    <t>B-Lymphocytes/Leukocytes</t>
  </si>
  <si>
    <t>B Cells/Leukocytes; B-Lymphocytes/Leukocytes; BLym/Leuk</t>
  </si>
  <si>
    <t>A relative measurement (ratio or percentage) of B-lymphocytes to leukocytes in a biological specimen.</t>
  </si>
  <si>
    <t>B-Lymphocyte to Leukocyte Ratio Measurement</t>
  </si>
  <si>
    <t>C174315</t>
  </si>
  <si>
    <t>BLYCELY</t>
  </si>
  <si>
    <t>B-Lymphocytes/Lymphocytes</t>
  </si>
  <si>
    <t>A relative measurement (ratio or percentage) of the B-lymphocytes to total lymphocytes in a biological specimen.</t>
  </si>
  <si>
    <t>B-Lymphocyte to Lymphocyte Ratio Measurement</t>
  </si>
  <si>
    <t>C128951</t>
  </si>
  <si>
    <t>BLYMXM</t>
  </si>
  <si>
    <t>B-lymphocyte Crossmatch</t>
  </si>
  <si>
    <t>A measurement to determine human leukocyte antigens (HLA) histocompatibility between the recipient and the donor by examining the presence or absence of the recipient's anti-HLA antibody reactivity towards HLA antigens expressed on the donor B-lymphocytes</t>
  </si>
  <si>
    <t>B-lymphocyte Crossmatch Measurement</t>
  </si>
  <si>
    <t>C147472</t>
  </si>
  <si>
    <t>BMC</t>
  </si>
  <si>
    <t>Bone Mineral Content</t>
  </si>
  <si>
    <t>Bone Mass; Bone Mineral Content; Bone Mineral Mass</t>
  </si>
  <si>
    <t>An assessment of the quantity of minerals within a specific bone(s) or segments.</t>
  </si>
  <si>
    <t>C61545</t>
  </si>
  <si>
    <t>BMD</t>
  </si>
  <si>
    <t>Bone Mineral Density</t>
  </si>
  <si>
    <t>A measurement of the amount of minerals contained in a specified volume or area of bone(s) or segments.</t>
  </si>
  <si>
    <t>Bone Mineral Density Test</t>
  </si>
  <si>
    <t>C147473</t>
  </si>
  <si>
    <t>BMDT</t>
  </si>
  <si>
    <t>Bone Mineral Density T-Score</t>
  </si>
  <si>
    <t>The standard deviation of the subject's bone mineral density score in comparison to the normal bone mineral density of a healthy 30-year old adult.</t>
  </si>
  <si>
    <t>C139217</t>
  </si>
  <si>
    <t>BMDZ</t>
  </si>
  <si>
    <t>Bone Mineral Density Z-Score</t>
  </si>
  <si>
    <t>A statistical score representing the number of standard deviations above or below what is expected for an individual's bone mineral density based on his age, sex, weight, and race.</t>
  </si>
  <si>
    <t>C16358</t>
  </si>
  <si>
    <t>BMI</t>
  </si>
  <si>
    <t>Body Mass Index</t>
  </si>
  <si>
    <t>A general indicator of the body fat an individual is carrying based upon the ratio of weight to height. (NCI)</t>
  </si>
  <si>
    <t>C163567</t>
  </si>
  <si>
    <t>BMIAPCTL</t>
  </si>
  <si>
    <t>BMI-for-Age Percentile</t>
  </si>
  <si>
    <t>An assessed relationship of an individual's body mass index and age to that of a reference population, expressed as a percentile.</t>
  </si>
  <si>
    <t>C135477</t>
  </si>
  <si>
    <t>BMIVLIND</t>
  </si>
  <si>
    <t>Bone Marrow Involvement Indicator</t>
  </si>
  <si>
    <t>An indication as to whether disease is present in the bone marrow.</t>
  </si>
  <si>
    <t>Bone Marrow Disease Involvement Indicator</t>
  </si>
  <si>
    <t>C139223</t>
  </si>
  <si>
    <t>BMMTABDT</t>
  </si>
  <si>
    <t>Brooke mMRC MMT Score, Abduction</t>
  </si>
  <si>
    <t>Brooke mMRC MMT Score, Abduction; Brooke Modified Medical Research Council Manual Muscle Test Score, Abduction</t>
  </si>
  <si>
    <t>The numerical value that represents the result of a clinical assessment of muscle strength and function during abduction that is based on the Brooke Modified Medical Research Council Manual Muscle Test. (Brooke MH, Griggs RC, Mendell JR, Fenichel GM, et a</t>
  </si>
  <si>
    <t>Brooke Modified Medical Research Council Manual Muscle Test Score, Abduction</t>
  </si>
  <si>
    <t>C139225</t>
  </si>
  <si>
    <t>BMMTDORS</t>
  </si>
  <si>
    <t>Brooke mMRC MMT Score, Dorsiflexion</t>
  </si>
  <si>
    <t>Brooke mMRC MMT Score, Dorsiflexion; Brooke Modified Medical Research Council Manual Muscle Test Score, Dorsiflexion</t>
  </si>
  <si>
    <t>The numerical value that represents the result of a clinical assessment of muscle strength and function during dorsiflexion that is based on the Brooke Modified Medical Research Council Manual Muscle Test. (Brooke MH, Griggs RC, Mendell JR, Fenichel GM, e</t>
  </si>
  <si>
    <t>Brooke Modified Medical Research Council Manual Muscle Test Score, Dorsiflexion</t>
  </si>
  <si>
    <t>C139227</t>
  </si>
  <si>
    <t>BMMTEVE</t>
  </si>
  <si>
    <t>Brooke mMRC MMT Score, Eversion</t>
  </si>
  <si>
    <t>Brooke mMRC MMT Score, Eversion; Brooke Modified Medical Research Council Manual Muscle Test Score, Eversion</t>
  </si>
  <si>
    <t>The numerical value that represents the result of a clinical assessment of muscle strength and function during eversion that is based on the Brooke Modified Medical Research Council Manual Muscle Test. (Brooke MH, Griggs RC, Mendell JR, Fenichel GM, et al</t>
  </si>
  <si>
    <t>Brooke Modified Medical Research Council Manual Muscle Test Score, Eversion</t>
  </si>
  <si>
    <t>C139220</t>
  </si>
  <si>
    <t>BMMTEXT</t>
  </si>
  <si>
    <t>Brooke mMRC MMT Score, Extension</t>
  </si>
  <si>
    <t>Brooke mMRC MMT Score, Extension; Brooke Modified Medical Research Council Manual Muscle Test Score, Extension</t>
  </si>
  <si>
    <t>The numerical value that represents the result of a clinical assessment of muscle strength and function during extension that is based on the Brooke Modified Medical Research Council Manual Muscle Test. (Brooke MH, Griggs RC, Mendell JR, Fenichel GM, et a</t>
  </si>
  <si>
    <t>Brooke Modified Medical Research Council Manual Muscle Test Score, Extension</t>
  </si>
  <si>
    <t>C139222</t>
  </si>
  <si>
    <t>BMMTFLX</t>
  </si>
  <si>
    <t>Brooke mMRC MMT Score, Flexion</t>
  </si>
  <si>
    <t>Brooke mMRC MMT Score, Flexion; Brooke Modified Medical Research Council Manual Muscle Test Score, Flexion</t>
  </si>
  <si>
    <t>The numerical value that represents the result of a clinical assessment of muscle strength and function during flexion that is based on the Brooke Modified Medical Research Council Manual Muscle Test. (Brooke MH, Griggs RC, Mendell JR, Fenichel GM, et al.</t>
  </si>
  <si>
    <t>Brooke Modified Medical Research Council Manual Muscle Test Score, Flexion</t>
  </si>
  <si>
    <t>C139226</t>
  </si>
  <si>
    <t>BMMTINV</t>
  </si>
  <si>
    <t>Brooke mMRC MMT Score, Inversion</t>
  </si>
  <si>
    <t>Brooke mMRC MMT Score, Inversion; Brooke Modified Medical Research Council Manual Muscle Test Score, Inversion</t>
  </si>
  <si>
    <t>The numerical value that represents the result of a clinical assessment of muscle strength and function during inversion that is based on the Brooke Modified Medical Research Council Manual Muscle Test. (Brooke MH, Griggs RC, Mendell JR, Fenichel GM, et a</t>
  </si>
  <si>
    <t>Brooke Modified Medical Research Council Manual Muscle Test Score, Inversion</t>
  </si>
  <si>
    <t>C139224</t>
  </si>
  <si>
    <t>BMMTLR</t>
  </si>
  <si>
    <t>Brooke mMRC MMT Score, Lat. Rotat.</t>
  </si>
  <si>
    <t>Brooke mMRC MMT Score, Lat. Rotat.; Brooke Modified Medical Research Council Manual Muscle Test Score, Lateral Rotation</t>
  </si>
  <si>
    <t>The numerical value that represents the result of a clinical assessment of muscle strength and function during lateral rotation that is based on the Brooke Modified Medical Research Council Manual Muscle Test. (Brooke MH, Griggs RC, Mendell JR, Fenichel G</t>
  </si>
  <si>
    <t>Brooke Modified Medical Research Council Manual Muscle Test Score, Lateral Rotation</t>
  </si>
  <si>
    <t>C139221</t>
  </si>
  <si>
    <t>BMMTPF</t>
  </si>
  <si>
    <t>Brooke mMRC MMT Score, Plantar Flex</t>
  </si>
  <si>
    <t>Brooke mMRC MMT Score, Plantar Flex; Brooke Modified Medical Research Council Manual Muscle Test Score, Plantar Flexion</t>
  </si>
  <si>
    <t>The numerical value that represents the result of a clinical assessment of muscle strength and function during plantar flexion that is based on the Brooke Modified Medical Research Council Manual Muscle Test. (Brooke MH, Griggs RC, Mendell JR, Fenichel GM</t>
  </si>
  <si>
    <t>Brooke Modified Medical Research Council Manual Muscle Test Score, Plantar Flexion</t>
  </si>
  <si>
    <t>C126083</t>
  </si>
  <si>
    <t>BMR</t>
  </si>
  <si>
    <t>Basal Metabolic Rate</t>
  </si>
  <si>
    <t>The measurement of a subject's energy expenditure when at rest.</t>
  </si>
  <si>
    <t>C173307</t>
  </si>
  <si>
    <t>BMRRESP</t>
  </si>
  <si>
    <t>Bone Marrow Response</t>
  </si>
  <si>
    <t>An assessment of the disease response to therapy within the bone marrow.</t>
  </si>
  <si>
    <t>C204684</t>
  </si>
  <si>
    <t>BMRSTAT</t>
  </si>
  <si>
    <t>Bone Marrow Status</t>
  </si>
  <si>
    <t>BM Status; Bone Marrow Status</t>
  </si>
  <si>
    <t>An assessment of the bone marrow, measured by a rating or scale, as a condition of disease response to therapy.</t>
  </si>
  <si>
    <t>Bone Marrow Disease Response Status Assessment</t>
  </si>
  <si>
    <t>C172530</t>
  </si>
  <si>
    <t>BMU</t>
  </si>
  <si>
    <t>Burkholderia multivorans</t>
  </si>
  <si>
    <t>A measurement of the Burkholderia multivorans in a biological specimen.</t>
  </si>
  <si>
    <t>Burkholderia multivorans Measurement</t>
  </si>
  <si>
    <t>C147490</t>
  </si>
  <si>
    <t>BMUPTAKE</t>
  </si>
  <si>
    <t>Bone Marrow Tracer Uptake</t>
  </si>
  <si>
    <t>A visually assessed combination of extent and intensity of tracer uptake within the bone marrow.</t>
  </si>
  <si>
    <t>C132463</t>
  </si>
  <si>
    <t>BNLNUM</t>
  </si>
  <si>
    <t>Number of Bone Lesions</t>
  </si>
  <si>
    <t>The number of lesions within the bone.</t>
  </si>
  <si>
    <t>C74735</t>
  </si>
  <si>
    <t>BNP</t>
  </si>
  <si>
    <t>Brain Natriuretic Peptide</t>
  </si>
  <si>
    <t>B-Type Natriuretic Peptide; Brain Natriuretic Peptide</t>
  </si>
  <si>
    <t>A measurement of the brain (B-type) natriuretic peptide in a biological specimen.</t>
  </si>
  <si>
    <t>Brain Natriuretic Peptide Measurement</t>
  </si>
  <si>
    <t>C82032</t>
  </si>
  <si>
    <t>BNPPRO</t>
  </si>
  <si>
    <t>ProB-type Natriuretic Peptide</t>
  </si>
  <si>
    <t>Pro-Brain Natriuretic Peptide; ProB-type Natriuretic Peptide; proBNP</t>
  </si>
  <si>
    <t>A measurement of the proB-type natriuretic peptide in a biological specimen.</t>
  </si>
  <si>
    <t>ProB-Type Natriuretic Peptide Measurement</t>
  </si>
  <si>
    <t>C96610</t>
  </si>
  <si>
    <t>BNPPRONT</t>
  </si>
  <si>
    <t>N-Terminal ProB-type Natriuretic Peptide</t>
  </si>
  <si>
    <t>N-terminal pro-Brain Natriuretic Peptide; N-Terminal ProB-type Natriuretic Peptide; NT proBNP II</t>
  </si>
  <si>
    <t>A measurement of the N-terminal proB-type natriuretic peptide in a biological specimen.</t>
  </si>
  <si>
    <t>N-Terminal ProB-type Natriuretic Peptide Measurement</t>
  </si>
  <si>
    <t>C74692</t>
  </si>
  <si>
    <t>BNZDZPN</t>
  </si>
  <si>
    <t>Benzodiazepine</t>
  </si>
  <si>
    <t>A measurement of any benzodiazepine class drug present in a biological specimen.</t>
  </si>
  <si>
    <t>Benzodiazepine Measurement</t>
  </si>
  <si>
    <t>C75350</t>
  </si>
  <si>
    <t>BNZLCGN</t>
  </si>
  <si>
    <t>Benzoylecgonine</t>
  </si>
  <si>
    <t>A measurement of the benzoylecgonine in a biological specimen.</t>
  </si>
  <si>
    <t>Benzoylecgonine Measurement</t>
  </si>
  <si>
    <t>C81298</t>
  </si>
  <si>
    <t>BODLNGTH</t>
  </si>
  <si>
    <t>Body Length</t>
  </si>
  <si>
    <t>The linear extent in space from one end of the body to the other end, or the extent of the body from beginning to end.</t>
  </si>
  <si>
    <t>Total Body Length</t>
  </si>
  <si>
    <t>C221679</t>
  </si>
  <si>
    <t>BODMVT</t>
  </si>
  <si>
    <t>Body Movement</t>
  </si>
  <si>
    <t>An assessment of body movements that occur with or without apparent cause.</t>
  </si>
  <si>
    <t>Body Movement Assessment</t>
  </si>
  <si>
    <t>C221678</t>
  </si>
  <si>
    <t>BODMVTSP</t>
  </si>
  <si>
    <t>Spontaneous Body Movement</t>
  </si>
  <si>
    <t>Involuntary Body Movement; Spontaneous Body Movement</t>
  </si>
  <si>
    <t>An assessment of body movements that occur without apparent external cause.</t>
  </si>
  <si>
    <t>Spontaneous Body Movement Assessment</t>
  </si>
  <si>
    <t>C122232</t>
  </si>
  <si>
    <t>BODYFATM</t>
  </si>
  <si>
    <t>Body Fat Measurement</t>
  </si>
  <si>
    <t>A measurement of the total fat mass within the subject's body. (NCI)</t>
  </si>
  <si>
    <t>C139218</t>
  </si>
  <si>
    <t>BODYFATP</t>
  </si>
  <si>
    <t>Body Fat Percentage</t>
  </si>
  <si>
    <t>The amount of an individual's total body mass that is fat, expressed as a percent.</t>
  </si>
  <si>
    <t>C75380</t>
  </si>
  <si>
    <t>BOLDNON</t>
  </si>
  <si>
    <t>Boldenone</t>
  </si>
  <si>
    <t>A measurement of the boldenone in a biological specimen.</t>
  </si>
  <si>
    <t>Boldenone Measurement</t>
  </si>
  <si>
    <t>C184579</t>
  </si>
  <si>
    <t>BOLSTRN</t>
  </si>
  <si>
    <t>Bolasterone</t>
  </si>
  <si>
    <t>A measurement of the bolasterone in a biological specimen.</t>
  </si>
  <si>
    <t>Bolasterone Measurement</t>
  </si>
  <si>
    <t>C132455</t>
  </si>
  <si>
    <t>BONERESP</t>
  </si>
  <si>
    <t>Bone Response</t>
  </si>
  <si>
    <t>An assessment of the bone response of the disease to the therapy.</t>
  </si>
  <si>
    <t>C187843</t>
  </si>
  <si>
    <t>BORRDNA</t>
  </si>
  <si>
    <t>Borrelia DNA</t>
  </si>
  <si>
    <t>A measurement of the DNA from any member of the genus Borrelia in a biological specimen.</t>
  </si>
  <si>
    <t>Borrelia DNA Measurement</t>
  </si>
  <si>
    <t>C178015</t>
  </si>
  <si>
    <t>BPA</t>
  </si>
  <si>
    <t>Bordetella parapertussis</t>
  </si>
  <si>
    <t>A measurement of the Bordetella parapertussis in a biological specimen.</t>
  </si>
  <si>
    <t>Bordetella Parapertussis Measurement</t>
  </si>
  <si>
    <t>C186146</t>
  </si>
  <si>
    <t>BPADNA</t>
  </si>
  <si>
    <t>Bordetella parapertussis DNA</t>
  </si>
  <si>
    <t>A measurement of the Bordetella parapertussis DNA in a biological specimen.</t>
  </si>
  <si>
    <t>Bordetella Parapertussis DNA Measurement</t>
  </si>
  <si>
    <t>C179756</t>
  </si>
  <si>
    <t>BPE</t>
  </si>
  <si>
    <t>Bordetella pertussis</t>
  </si>
  <si>
    <t>A measurement of the Bordetella pertussis in a biological specimen.</t>
  </si>
  <si>
    <t>Bordetella pertussis Measurement</t>
  </si>
  <si>
    <t>C154832</t>
  </si>
  <si>
    <t>BPEAG</t>
  </si>
  <si>
    <t>Bordetella pertussis Antigen</t>
  </si>
  <si>
    <t>A measurement of the Bordetella pertussis antigen in a biological specimen.</t>
  </si>
  <si>
    <t>Bordetella pertussis Antigen Measurement</t>
  </si>
  <si>
    <t>C184667</t>
  </si>
  <si>
    <t>BPEDNA</t>
  </si>
  <si>
    <t>Bordetella pertussis DNA</t>
  </si>
  <si>
    <t>A measurement of the Bordetella pertussis DNA in a biological specimen.</t>
  </si>
  <si>
    <t>Bordetella pertussis DNA Measurement</t>
  </si>
  <si>
    <t>C172537</t>
  </si>
  <si>
    <t>BPY</t>
  </si>
  <si>
    <t>Burkholderia pyrrocinia</t>
  </si>
  <si>
    <t>A measurement of the Burkholderia pyrrocinia in a biological specimen.</t>
  </si>
  <si>
    <t>Burkholderia pyrrocinia Measurement</t>
  </si>
  <si>
    <t>C187952</t>
  </si>
  <si>
    <t>BRADYKIN</t>
  </si>
  <si>
    <t>Bradykinesia</t>
  </si>
  <si>
    <t>An evaluation of bradykinesia (slow movement).</t>
  </si>
  <si>
    <t>Bradykinesia Evaluation</t>
  </si>
  <si>
    <t>C184608</t>
  </si>
  <si>
    <t>BRBTL</t>
  </si>
  <si>
    <t>Barbital</t>
  </si>
  <si>
    <t>A measurement of the barbital in a biological specimen.</t>
  </si>
  <si>
    <t>Barbital Measurement</t>
  </si>
  <si>
    <t>C123555</t>
  </si>
  <si>
    <t>BRCA1</t>
  </si>
  <si>
    <t>Breast Cancer Type 1 Susceptibility Prot</t>
  </si>
  <si>
    <t>A measurement of BRCA1 protein in a biological specimen.</t>
  </si>
  <si>
    <t>Breast Cancer Type 1 Susceptibility Protein Measurement</t>
  </si>
  <si>
    <t>C200441</t>
  </si>
  <si>
    <t>BRCTRY</t>
  </si>
  <si>
    <t>Birth Country</t>
  </si>
  <si>
    <t>Birth Country; Country of Birth</t>
  </si>
  <si>
    <t>The name of the country in which the subject was born.</t>
  </si>
  <si>
    <t>C93516</t>
  </si>
  <si>
    <t>BRCTRYCD</t>
  </si>
  <si>
    <t>Birth Country Code</t>
  </si>
  <si>
    <t>Birth Country Code; Country of Birth Code</t>
  </si>
  <si>
    <t>A coded value specifying the name of the country in which the subject was born.</t>
  </si>
  <si>
    <t>C127777</t>
  </si>
  <si>
    <t>BRDNAIND</t>
  </si>
  <si>
    <t>Biospecimen Retention Contains DNA Ind</t>
  </si>
  <si>
    <t>An indication as to whether retained biospecimens contain DNA.</t>
  </si>
  <si>
    <t>Retained Biospecimen Contains DNA Indicator</t>
  </si>
  <si>
    <t>C112233</t>
  </si>
  <si>
    <t>BRFEDIND</t>
  </si>
  <si>
    <t>Breast Fed Indicator</t>
  </si>
  <si>
    <t>An indication as to whether the subject was breast fed (received mother's milk) as an infant.</t>
  </si>
  <si>
    <t>C189364</t>
  </si>
  <si>
    <t>BRFENDTC</t>
  </si>
  <si>
    <t>Breastfeeding End Date</t>
  </si>
  <si>
    <t>The date on which breastfeeding ended.</t>
  </si>
  <si>
    <t>C189363</t>
  </si>
  <si>
    <t>BRFSTDTC</t>
  </si>
  <si>
    <t>Breastfeeding Start Date</t>
  </si>
  <si>
    <t>The date on which breastfeeding started.</t>
  </si>
  <si>
    <t>C164620</t>
  </si>
  <si>
    <t>BRIND</t>
  </si>
  <si>
    <t>Biospecimen Retention Indicator</t>
  </si>
  <si>
    <t>An indication as to whether biospecimens were retained.</t>
  </si>
  <si>
    <t>C184609</t>
  </si>
  <si>
    <t>BRMZPM</t>
  </si>
  <si>
    <t>Bromazepam</t>
  </si>
  <si>
    <t>A measurement of the bromazepam in a biological specimen.</t>
  </si>
  <si>
    <t>Bromazepam Measurement</t>
  </si>
  <si>
    <t>C139265</t>
  </si>
  <si>
    <t>BRTHFTN</t>
  </si>
  <si>
    <t>Number Full Term Live Births</t>
  </si>
  <si>
    <t>A measurement of the total number of live birth events at which the gestational age of the neonate is 39 weeks and 0 days through 40 weeks and 6 days.</t>
  </si>
  <si>
    <t>Number of Full Term Live Births</t>
  </si>
  <si>
    <t>C178141</t>
  </si>
  <si>
    <t>BRTHLVN</t>
  </si>
  <si>
    <t>Number of Live Births</t>
  </si>
  <si>
    <t>A measurement of the total number of live-born offspring a female has delivered.</t>
  </si>
  <si>
    <t>C158275</t>
  </si>
  <si>
    <t>BRTHN</t>
  </si>
  <si>
    <t>Number of Births</t>
  </si>
  <si>
    <t>A measurement of the total number of birth events experienced by a female.</t>
  </si>
  <si>
    <t>C139266</t>
  </si>
  <si>
    <t>BRTHPRN</t>
  </si>
  <si>
    <t>Number of Premature Live Births</t>
  </si>
  <si>
    <t>A measurement of the total number of live birth events at which the gestational age of the neonate is less than 37 weeks and 0 days.</t>
  </si>
  <si>
    <t>C139267</t>
  </si>
  <si>
    <t>BRTHSTN</t>
  </si>
  <si>
    <t>Number of Stillbirths</t>
  </si>
  <si>
    <t>A measurement of the total number of birth events at which the fetus is of at least 20 weeks gestation, or of a birth weight of at least 350 grams if the gestational age is unknown, which is born without signs of life at the time of delivery, and with an</t>
  </si>
  <si>
    <t>C76325</t>
  </si>
  <si>
    <t>BRTHWT</t>
  </si>
  <si>
    <t>Birth Weight</t>
  </si>
  <si>
    <t>A measurement of the weight of a neonate at birth.</t>
  </si>
  <si>
    <t>C156589</t>
  </si>
  <si>
    <t>BRTLVIND</t>
  </si>
  <si>
    <t>Live Birth Indicator</t>
  </si>
  <si>
    <t>An indication as to whether the subject has ever delivered live-born offspring.</t>
  </si>
  <si>
    <t>C209675</t>
  </si>
  <si>
    <t>BRTMLIND</t>
  </si>
  <si>
    <t>Multiple Birth Indicator</t>
  </si>
  <si>
    <t>Multiple Birth Indicator; Plurality Indicator</t>
  </si>
  <si>
    <t>An indication as to whether any single pregnancy resulted in multiple fetuses birthed (live or dead), regardless of gestational age and whether the fetuses were birthed on different dates.</t>
  </si>
  <si>
    <t>C184639</t>
  </si>
  <si>
    <t>BRVRCTM</t>
  </si>
  <si>
    <t>Brivaracetam</t>
  </si>
  <si>
    <t>A measurement of the brivaracetam in a biological specimen.</t>
  </si>
  <si>
    <t>Brivaracetam Measurement</t>
  </si>
  <si>
    <t>C177973</t>
  </si>
  <si>
    <t>BRXPIPZL</t>
  </si>
  <si>
    <t>Brexpiprazole</t>
  </si>
  <si>
    <t>A measurement of the brexpiprazole in a biological specimen.</t>
  </si>
  <si>
    <t>Brexpiprazole Measurement</t>
  </si>
  <si>
    <t>C25157</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</si>
  <si>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</si>
  <si>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</si>
  <si>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</si>
  <si>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C189352</t>
  </si>
  <si>
    <t>BSBMPIND</t>
  </si>
  <si>
    <t>Bleed/Spot Between Menstrual Periods Ind</t>
  </si>
  <si>
    <t>Bleed/Spot Between Menstrual Periods Ind; Bleeding or Spotting Between Menstrual Periods Indicator</t>
  </si>
  <si>
    <t>An indication as to whether the individual has experienced bleeding or spotting between menstrual periods.</t>
  </si>
  <si>
    <t>Bleeding or Spotting Between Menstrual Periods Indicator</t>
  </si>
  <si>
    <t>C114183</t>
  </si>
  <si>
    <t>BSI</t>
  </si>
  <si>
    <t>Boundary Shift Integral</t>
  </si>
  <si>
    <t>A measurement of change in volume of an organ or anatomical feature as determined by a shift in tissue boundary over time.</t>
  </si>
  <si>
    <t>C172532</t>
  </si>
  <si>
    <t>BST</t>
  </si>
  <si>
    <t>Burkholderia stabilis</t>
  </si>
  <si>
    <t>A measurement of the Burkholderia stabilis in a biological specimen.</t>
  </si>
  <si>
    <t>Burkholderia stabilis Measurement</t>
  </si>
  <si>
    <t>C199889</t>
  </si>
  <si>
    <t>BTC</t>
  </si>
  <si>
    <t>Betacellulin</t>
  </si>
  <si>
    <t>A measurement of the betacellulin in a biological specimen.</t>
  </si>
  <si>
    <t>Betacellulin Measurement</t>
  </si>
  <si>
    <t>C74634</t>
  </si>
  <si>
    <t>BTECERBC</t>
  </si>
  <si>
    <t>Bite Cells/Erythrocytes</t>
  </si>
  <si>
    <t>A relative measurement (ratio or percentage) of bite cells (erythrocytes with the appearance of a bite having been removed, due to oxidative hemolysis) to all erythrocytes in a biological specimen.</t>
  </si>
  <si>
    <t>Bite Cell to Erythrocyte Ratio Measurement</t>
  </si>
  <si>
    <t>C154880</t>
  </si>
  <si>
    <t>BTHGLIND</t>
  </si>
  <si>
    <t>Bartholin's Gland Abnormality Indicator</t>
  </si>
  <si>
    <t>An indication as to whether the Bartholin's gland is abnormal.</t>
  </si>
  <si>
    <t>C198361</t>
  </si>
  <si>
    <t>BTHPLRTY</t>
  </si>
  <si>
    <t>Birth Plurality</t>
  </si>
  <si>
    <t>The number of fetuses delivered live or dead at any time in the pregnancy, regardless of gestational age or if the fetuses were delivered at different dates in the pregnancy. (CDC)</t>
  </si>
  <si>
    <t>C165772</t>
  </si>
  <si>
    <t>BTK</t>
  </si>
  <si>
    <t>Bruton's Tyrosine Kinase</t>
  </si>
  <si>
    <t>Agammaglobulinemia Tyrosine Kinase; ATK; B-cell Progenitor Kinase; Bruton Tyrosine Kinase; Bruton's Tyrosine Kinase; Tyrosine-protein kinase BTK</t>
  </si>
  <si>
    <t>A measurement of the Bruton's tyrosine kinase in a biological specimen.</t>
  </si>
  <si>
    <t>Bruton's Tyrosine Kinase Measurement</t>
  </si>
  <si>
    <t>C165944</t>
  </si>
  <si>
    <t>BTKFR</t>
  </si>
  <si>
    <t>Bruton's Tyrosine Kinase, Free</t>
  </si>
  <si>
    <t>A measurement of the free Bruton's tyrosine kinase in a biological specimen.</t>
  </si>
  <si>
    <t>Free Bruton's Tyrosine Kinase Measurement</t>
  </si>
  <si>
    <t>C75364</t>
  </si>
  <si>
    <t>BTLBARTL</t>
  </si>
  <si>
    <t>Butabarbital</t>
  </si>
  <si>
    <t>A measurement of the butabarbital in a biological specimen.</t>
  </si>
  <si>
    <t>Butabarbital Measurement</t>
  </si>
  <si>
    <t>C75365</t>
  </si>
  <si>
    <t>BTLBTL</t>
  </si>
  <si>
    <t>Butalbital</t>
  </si>
  <si>
    <t>A measurement of the butalbital present in a biological specimen.</t>
  </si>
  <si>
    <t>Butalbital Measurement</t>
  </si>
  <si>
    <t>C184610</t>
  </si>
  <si>
    <t>BTRPHNL</t>
  </si>
  <si>
    <t>Butorphanol</t>
  </si>
  <si>
    <t>A measurement of the butorphanol in a biological specimen.</t>
  </si>
  <si>
    <t>Butorphanol Measurement</t>
  </si>
  <si>
    <t>C111142</t>
  </si>
  <si>
    <t>BUCHE</t>
  </si>
  <si>
    <t>Butyrylcholinesterase</t>
  </si>
  <si>
    <t>Acylcholine Acylhydrolase; Butyrylcholinesterase; Non-neuronal Cholinesterase; Plasma Cholinesterase; Pseudocholinesterase</t>
  </si>
  <si>
    <t>A measurement of the total butyrylcholinesterase in a biological specimen.</t>
  </si>
  <si>
    <t>Butyrylcholinesterase Measurement</t>
  </si>
  <si>
    <t>C75352</t>
  </si>
  <si>
    <t>BUPREN</t>
  </si>
  <si>
    <t>Buprenorphine</t>
  </si>
  <si>
    <t>A measurement of the buprenorphine drug present in a biological specimen.</t>
  </si>
  <si>
    <t>Buprenorphine Measurement</t>
  </si>
  <si>
    <t>C209579</t>
  </si>
  <si>
    <t>BUPROP</t>
  </si>
  <si>
    <t>Bupropion</t>
  </si>
  <si>
    <t>A measurement of the bupropion in a biological specimen.</t>
  </si>
  <si>
    <t>Bupropion Measurement</t>
  </si>
  <si>
    <t>C139113</t>
  </si>
  <si>
    <t>BURKHOLD</t>
  </si>
  <si>
    <t>Burkholderia</t>
  </si>
  <si>
    <t>A measurement of the organisms that are not assigned to the species level but are assigned to the Burkholderia genus level in a biological specimen.</t>
  </si>
  <si>
    <t>Burkholderia Measurement</t>
  </si>
  <si>
    <t>C74701</t>
  </si>
  <si>
    <t>BURRCE</t>
  </si>
  <si>
    <t>Burr Cells</t>
  </si>
  <si>
    <t>Burr Cells; Echinocytes</t>
  </si>
  <si>
    <t>A measurement of the Burr cells (erythrocytes characterized by the presence of small, blunt projections evenly distributed across the cell surface) in a biological specimen.</t>
  </si>
  <si>
    <t>Burr Cell Count</t>
  </si>
  <si>
    <t>C204638</t>
  </si>
  <si>
    <t>BUTDN1_3</t>
  </si>
  <si>
    <t>1,3-Butadiene</t>
  </si>
  <si>
    <t>A measurement of the 1,3-butadiene in a specimen.</t>
  </si>
  <si>
    <t>1,3-Butadiene Measurement</t>
  </si>
  <si>
    <t>C184532</t>
  </si>
  <si>
    <t>BUTYLN</t>
  </si>
  <si>
    <t>Butylone</t>
  </si>
  <si>
    <t>A measurement of the butylone in a biological specimen.</t>
  </si>
  <si>
    <t>Butylone Measurement</t>
  </si>
  <si>
    <t>C172533</t>
  </si>
  <si>
    <t>BVI</t>
  </si>
  <si>
    <t>Burkholderia vietnamiensis</t>
  </si>
  <si>
    <t>A measurement of the Burkholderia vietnamiensis in a biological specimen.</t>
  </si>
  <si>
    <t>Burkholderia vietnamiensis Measurement</t>
  </si>
  <si>
    <t>C204646</t>
  </si>
  <si>
    <t>BZAPYR</t>
  </si>
  <si>
    <t>Benzo[a]pyrene</t>
  </si>
  <si>
    <t>3,4-Benzpyrene; Benz(a)pyrene; Benz[a]pyrene; Benzo(a)pyrene; Benzo[a]pyrene</t>
  </si>
  <si>
    <t>A measurement of the benzo[a]pyrene in a specimen.</t>
  </si>
  <si>
    <t>Benzo[a]pyrene Measurement</t>
  </si>
  <si>
    <t>C184554</t>
  </si>
  <si>
    <t>BZP</t>
  </si>
  <si>
    <t>Benzylpiperazine</t>
  </si>
  <si>
    <t>1-benzylpiperazine; Benzylpiperazine; N-benzylpiperazine</t>
  </si>
  <si>
    <t>A measurement of the benzylpiperazine in a biological specimen.</t>
  </si>
  <si>
    <t>Benzylpiperazine Measurement</t>
  </si>
  <si>
    <t>C85644</t>
  </si>
  <si>
    <t>C0</t>
  </si>
  <si>
    <t>Initial Conc</t>
  </si>
  <si>
    <t>Initial concentration. Given only for bolus IV models.</t>
  </si>
  <si>
    <t>Initial Concentration</t>
  </si>
  <si>
    <t>C92383</t>
  </si>
  <si>
    <t>C0B</t>
  </si>
  <si>
    <t>Initial Conc Norm by BMI</t>
  </si>
  <si>
    <t>Initial concentration divided by the body mass index. Given only for bolus IV models.</t>
  </si>
  <si>
    <t>Initial Concentration Normalized by Body Mass Index</t>
  </si>
  <si>
    <t>C92384</t>
  </si>
  <si>
    <t>C0D</t>
  </si>
  <si>
    <t>Initial Conc Norm by Dose</t>
  </si>
  <si>
    <t>Initial concentration divided by the dose. Given only for bolus IV models.</t>
  </si>
  <si>
    <t>Initial Concentration Normalized by Dose</t>
  </si>
  <si>
    <t>C92385</t>
  </si>
  <si>
    <t>C0S</t>
  </si>
  <si>
    <t>Initial Conc Norm by SA</t>
  </si>
  <si>
    <t>Initial concentration divided by the surface area. Given only for bolus IV models.</t>
  </si>
  <si>
    <t>Initial Concentration Normalized by Surface Area</t>
  </si>
  <si>
    <t>C92386</t>
  </si>
  <si>
    <t>C0W</t>
  </si>
  <si>
    <t>Initial Conc Norm by WT</t>
  </si>
  <si>
    <t>Initial concentration divided by the weight. Given only for bolus IV models.</t>
  </si>
  <si>
    <t>Initial Concentration Normalized by Weight</t>
  </si>
  <si>
    <t>C150639</t>
  </si>
  <si>
    <t>Clostridium difficile 027/NAP1/BI</t>
  </si>
  <si>
    <t>A measurement of the 027/NAP1/BI strain of Clostridium difficile in a biological specimen.</t>
  </si>
  <si>
    <t>Clostridium difficile 027/NAP1/BI Measurement</t>
  </si>
  <si>
    <t>C166008</t>
  </si>
  <si>
    <t>V. chol/parahaemolyticus/vulnificus DNA</t>
  </si>
  <si>
    <t>V. chol/parahaemolyticus/vulnificus DNA; Vibrio cholerae/parahaemolyticus/vulnificus DNA</t>
  </si>
  <si>
    <t>A measurement of the Vibrio cholerae and/or Vibrio parahaemolyticus and/or Vibrio vulnificus DNA in a biological specimen.</t>
  </si>
  <si>
    <t>Vibrio cholerae, Vibrio parahaemolyticus, and/or Vibrio vulnificus DNA Measurement</t>
  </si>
  <si>
    <t>C166009</t>
  </si>
  <si>
    <t>Shigella/EIEC ipaH DNA</t>
  </si>
  <si>
    <t>Invasion Plasmid Antigen H Gene; ipaH gene; Shigella species and/or Enteroinvasive Escherichia coli Invasion Plasmid Antigen H DNA; Shigella/EIEC ipaH DNA</t>
  </si>
  <si>
    <t>A measurement of the invasion plasmid antigen H DNA from any members of the genus Shigella and/or enteroinvasive Escherichia coli in a biological specimen.</t>
  </si>
  <si>
    <t>Shigella and/or Enteroinvasive Escherichia coli ipaH DNA Measurement</t>
  </si>
  <si>
    <t>C166010</t>
  </si>
  <si>
    <t>Sapovirus Genogroups I/II/IV/V RNA</t>
  </si>
  <si>
    <t>A measurement of the Sapovirus genogroups I, II, IV and/or V RNA in a biological specimen.</t>
  </si>
  <si>
    <t>Sapovirus Genogroups I, II, IV, and/or V RNA Measurement</t>
  </si>
  <si>
    <t>C166011</t>
  </si>
  <si>
    <t>Norovirus Genogroup I/II RNA</t>
  </si>
  <si>
    <t>Norovirus genogroup I and/or genogroup II RNA; Norovirus GI/GII RNA</t>
  </si>
  <si>
    <t>A measurement of Norovirus genogroup I and/or II RNA in a biological specimen.</t>
  </si>
  <si>
    <t>Norovirus Genogroup I and/or II RNA Measurement</t>
  </si>
  <si>
    <t>C166012</t>
  </si>
  <si>
    <t>ETEC LtA/ST1a/ST1b DNA</t>
  </si>
  <si>
    <t>Enterotoxigenic Escherichia coli LtA/ST1a/ST1b DNA; ETEC LtA/ST1a/ST1b DNA</t>
  </si>
  <si>
    <t>A measurement of the enterotoxigenic Escherichia coli LtA, ST1a and/or ST1b DNA in a biological specimen.</t>
  </si>
  <si>
    <t>Enterotoxigenic Escherichia coli LtA, ST1a, and/or ST1b DNA Measurement</t>
  </si>
  <si>
    <t>C166013</t>
  </si>
  <si>
    <t>EPEC eae DNA</t>
  </si>
  <si>
    <t>Enteropathogenic Escherichia coli eae DNA; EPEC eae DNA</t>
  </si>
  <si>
    <t>A measurement of the enteropathogenic Escherichia coli eae DNA in a biological specimen.</t>
  </si>
  <si>
    <t>Enteropathogenic Escherichia coli eae DNA Measurement</t>
  </si>
  <si>
    <t>C166014</t>
  </si>
  <si>
    <t>EAEC pAA Plasmid aggR/aatA DNA</t>
  </si>
  <si>
    <t>EAEC pAA Plasmid aggR/aatA DNA; Enteroaggregative Escherichia coli pAA Plasmid aggR/aatA DNA</t>
  </si>
  <si>
    <t>A measurement of the enteroaggregative Escherichia coli pAA plasmid aggR and/or aatA DNA in a biological specimen.</t>
  </si>
  <si>
    <t>Enteroaggregative Escherichia coli pAA Plasmid aggR and/or aatA DNA Measurement</t>
  </si>
  <si>
    <t>C166015</t>
  </si>
  <si>
    <t>C. coli/jejuni/upsaliensis DNA</t>
  </si>
  <si>
    <t>C. coli/jejuni/upsaliensis DNA; Campylobacter coli/jejuni/upsaliensis DNA</t>
  </si>
  <si>
    <t>A measurement of the Campylobacter coli, Campylobacter jejuni and/or Campylobacter upsaliensis DNA in a biological specimen.</t>
  </si>
  <si>
    <t>Campylobacter coli, Campylobacter jejuni and/or Campylobacter upsaliensis DNA Measurement</t>
  </si>
  <si>
    <t>C166016</t>
  </si>
  <si>
    <t>Human astrovirus 1/2/3/4/5/6/7/8 RNA</t>
  </si>
  <si>
    <t>A measurement of the Human astrovirus 1, 2, 3, 4, 5, 6, 7 and/or 8 RNA in a biological specimen.</t>
  </si>
  <si>
    <t>Human astrovirus 1, 2, 3, 4, 5, 6, 7, and/or 8 RNA Measurement</t>
  </si>
  <si>
    <t>C166017</t>
  </si>
  <si>
    <t>Human adenovirus 40/41 DNA</t>
  </si>
  <si>
    <t>Human adenovirus 40/41 DNA; Human adenovirus F40/F41 DNA; Mastadenovirus 40/41 DNA</t>
  </si>
  <si>
    <t>A measurement of the Human adenovirus type 40 and/or Human adenovirus type 41 DNA in a biological specimen.</t>
  </si>
  <si>
    <t>Human adenovirus 40 and/or Human adenovirus 41 DNA Measurement</t>
  </si>
  <si>
    <t>C147313</t>
  </si>
  <si>
    <t>C1INH</t>
  </si>
  <si>
    <t>Complement C1 Esterase Inhibitor</t>
  </si>
  <si>
    <t>A measurement of the complement C1 esterase inhibitor in a biological specimen.</t>
  </si>
  <si>
    <t>Complement C1 Esterase Inhibitor Measurement</t>
  </si>
  <si>
    <t>C221554</t>
  </si>
  <si>
    <t>C1M</t>
  </si>
  <si>
    <t>C1M; MMP-Degraded Type I collagen Fragment C1M</t>
  </si>
  <si>
    <t>A measurement of the MMP-degraded type I collagen fragment C1M in a biological specimen.</t>
  </si>
  <si>
    <t>MMP-Degraded Type I Collagen Fragment C1M Measurement</t>
  </si>
  <si>
    <t>C186029</t>
  </si>
  <si>
    <t>C1Q</t>
  </si>
  <si>
    <t>Complement C1q</t>
  </si>
  <si>
    <t>A measurement of the complement C1q in a biological specimen.</t>
  </si>
  <si>
    <t>Complement C1q Measurement</t>
  </si>
  <si>
    <t>C202394</t>
  </si>
  <si>
    <t>C2</t>
  </si>
  <si>
    <t>Complement C2</t>
  </si>
  <si>
    <t>ARMD14; Complement C2</t>
  </si>
  <si>
    <t>A measurement of the complement C2 in a biological specimen.</t>
  </si>
  <si>
    <t>Complement C2 Measurement</t>
  </si>
  <si>
    <t>C198306</t>
  </si>
  <si>
    <t>C229ENC</t>
  </si>
  <si>
    <t>HCoV-229E Nucleic Acid</t>
  </si>
  <si>
    <t>HCoV-229E Nucleic Acid; Human Coronavirus 229E Nucleic Acid</t>
  </si>
  <si>
    <t>A measurement of the Human coronavirus 229E nucleic acid in a biological specimen.</t>
  </si>
  <si>
    <t>Human Coronavirus 229E Nucleic Acid Measurement</t>
  </si>
  <si>
    <t>C184652</t>
  </si>
  <si>
    <t>C229ERNA</t>
  </si>
  <si>
    <t>HCoV-229E RNA</t>
  </si>
  <si>
    <t>HCoV-229E RNA; Human Coronavirus 229E RNA</t>
  </si>
  <si>
    <t>A measurement of the Human coronavirus 229E RNA in a biological specimen.</t>
  </si>
  <si>
    <t>HCoV-229E RNA Measurement</t>
  </si>
  <si>
    <t>C204634</t>
  </si>
  <si>
    <t>C2FR</t>
  </si>
  <si>
    <t>Complement C2, Free</t>
  </si>
  <si>
    <t>A measurement of the free complement C2 in a biological specimen.</t>
  </si>
  <si>
    <t>Free Complement C2 Measurement</t>
  </si>
  <si>
    <t>C204633</t>
  </si>
  <si>
    <t>C2FRC2</t>
  </si>
  <si>
    <t>Complement C2, Free/Complement C2</t>
  </si>
  <si>
    <t>A relative measurement (ratio or percentage) of the free complement C2 to total complement C2 in a biological specimen.</t>
  </si>
  <si>
    <t>Free Complement C2 to Complement C2 Ratio Measurement</t>
  </si>
  <si>
    <t>C221555</t>
  </si>
  <si>
    <t>C2M</t>
  </si>
  <si>
    <t>C2M; MMP-Degraded Type II collagen Fragment C2M</t>
  </si>
  <si>
    <t>A measurement of the MMP-degraded type II collagen fragment C2M in a biological specimen.</t>
  </si>
  <si>
    <t>MMP-Degraded Type II Collagen Fragment C2M Measurement</t>
  </si>
  <si>
    <t>C80174</t>
  </si>
  <si>
    <t>C3</t>
  </si>
  <si>
    <t>Complement C3</t>
  </si>
  <si>
    <t>A measurement of the complement C3 in a biological specimen.</t>
  </si>
  <si>
    <t>Complement C3 Measurement</t>
  </si>
  <si>
    <t>C80175</t>
  </si>
  <si>
    <t>C3A</t>
  </si>
  <si>
    <t>Complement C3a</t>
  </si>
  <si>
    <t>A measurement of the complement C3a in a biological specimen.</t>
  </si>
  <si>
    <t>Complement C3a Measurement</t>
  </si>
  <si>
    <t>C163423</t>
  </si>
  <si>
    <t>C3ADARG</t>
  </si>
  <si>
    <t>Complement C3a DesArg</t>
  </si>
  <si>
    <t>Acylation-Stimulating Protein; ASP; Complement C3a DesArg</t>
  </si>
  <si>
    <t>A measurement of the complement C3a DesArg in a biological specimen.</t>
  </si>
  <si>
    <t>Complement C3a DesArg Measurement</t>
  </si>
  <si>
    <t>C80176</t>
  </si>
  <si>
    <t>C3B</t>
  </si>
  <si>
    <t>Complement C3b</t>
  </si>
  <si>
    <t>A measurement of the complement C3b in a biological specimen.</t>
  </si>
  <si>
    <t>Complement C3b Measurement</t>
  </si>
  <si>
    <t>C184521</t>
  </si>
  <si>
    <t>C3C</t>
  </si>
  <si>
    <t>Complement C3c</t>
  </si>
  <si>
    <t>A measurement of the complement C3c in a biological specimen.</t>
  </si>
  <si>
    <t>Complement C3c Measurement</t>
  </si>
  <si>
    <t>C165945</t>
  </si>
  <si>
    <t>C3M</t>
  </si>
  <si>
    <t>Collagen III Neo-Peptide C3M</t>
  </si>
  <si>
    <t>A measurement of the collagen III neo-peptide C3M in a biological specimen.</t>
  </si>
  <si>
    <t>Collagen III Neo-Peptide C3M Measurement</t>
  </si>
  <si>
    <t>C80177</t>
  </si>
  <si>
    <t>C4</t>
  </si>
  <si>
    <t>Complement C4</t>
  </si>
  <si>
    <t>A measurement of the complement C4 in a biological specimen.</t>
  </si>
  <si>
    <t>Complement C4 Measurement</t>
  </si>
  <si>
    <t>C80178</t>
  </si>
  <si>
    <t>C4A</t>
  </si>
  <si>
    <t>Complement C4a</t>
  </si>
  <si>
    <t>A measurement of the complement C4a in a biological specimen.</t>
  </si>
  <si>
    <t>Complement C4a Measurement</t>
  </si>
  <si>
    <t>C127610</t>
  </si>
  <si>
    <t>C4D</t>
  </si>
  <si>
    <t>Complement C4d</t>
  </si>
  <si>
    <t>A measurement of the complement C4d in a biological specimen.</t>
  </si>
  <si>
    <t>Complement C4d Measurement</t>
  </si>
  <si>
    <t>C221557</t>
  </si>
  <si>
    <t>C4G</t>
  </si>
  <si>
    <t>C4G; MMP-Degraded Type IV collagen Fragment C4G</t>
  </si>
  <si>
    <t>A measurement of the MMP-degraded type IV collagen fragment C4G in a biological specimen.</t>
  </si>
  <si>
    <t>MMP-Degraded Type IV Collagen Fragment C4G Measurement</t>
  </si>
  <si>
    <t>C221556</t>
  </si>
  <si>
    <t>C4M</t>
  </si>
  <si>
    <t>C4M; MMP-Degraded Type IV collagen Fragment C4M</t>
  </si>
  <si>
    <t>A measurement of the MMP-degraded type IV collagen fragment C4M in a biological specimen.</t>
  </si>
  <si>
    <t>MMP-Degraded Type IV Collagen Fragment C4M Measurement</t>
  </si>
  <si>
    <t>C221558</t>
  </si>
  <si>
    <t>C4MA3</t>
  </si>
  <si>
    <t>C4Ma3</t>
  </si>
  <si>
    <t>C4Ma3; MMP-2,9,12 Degraded Type IV Collagen Alpha 3</t>
  </si>
  <si>
    <t>A measurement of the MMP-2,9,12-degraded type IV collagen alpha 3 fragment C4Ma3 in a biological specimen.</t>
  </si>
  <si>
    <t>MMP 2,9,12-Degraded Type IV Collagen Alpha 3 Fragment C4Ma3 Measurement</t>
  </si>
  <si>
    <t>C160935</t>
  </si>
  <si>
    <t>C5</t>
  </si>
  <si>
    <t>Complement C5</t>
  </si>
  <si>
    <t>A measurement of the total complement C5 in a biological specimen.</t>
  </si>
  <si>
    <t>Complement C5 Measurement</t>
  </si>
  <si>
    <t>C80179</t>
  </si>
  <si>
    <t>C5A</t>
  </si>
  <si>
    <t>Complement C5a</t>
  </si>
  <si>
    <t>A measurement of the complement C5a in a biological specimen.</t>
  </si>
  <si>
    <t>Complement C5a Measurement</t>
  </si>
  <si>
    <t>C158235</t>
  </si>
  <si>
    <t>C5B9</t>
  </si>
  <si>
    <t>Complement C5b-9</t>
  </si>
  <si>
    <t>A measurement of the complement C5b-9 in a biological specimen.</t>
  </si>
  <si>
    <t>Complement C5b-9 Measurement</t>
  </si>
  <si>
    <t>C170579</t>
  </si>
  <si>
    <t>C5B9S</t>
  </si>
  <si>
    <t>Soluble Complement C5b-9</t>
  </si>
  <si>
    <t>sC5b-9; Smac; Soluble Complement C5b-9; Soluble MAC; Soluble Membrane Attack Complex; TCC; Terminal Complement Complex</t>
  </si>
  <si>
    <t>A measurement of the soluble complement C5b-9 in a biological specimen.</t>
  </si>
  <si>
    <t>Soluble Complement C5b-9 Measurement</t>
  </si>
  <si>
    <t>C161357</t>
  </si>
  <si>
    <t>C5FR</t>
  </si>
  <si>
    <t>Complement C5, Free</t>
  </si>
  <si>
    <t>A measurement of the free complement C5 in a biological specimen.</t>
  </si>
  <si>
    <t>Free Complement C5 Measurement</t>
  </si>
  <si>
    <t>C221559</t>
  </si>
  <si>
    <t>C6M</t>
  </si>
  <si>
    <t>C6M; MMP-2 Degraded Type VI Collagen C6M</t>
  </si>
  <si>
    <t>A measurement of the MMP2-degraded type VI collagen fragment C6M in a biological specimen.</t>
  </si>
  <si>
    <t>MMP 2-Degraded Type IV Collagen Fragment C6M Measurement</t>
  </si>
  <si>
    <t>C221560</t>
  </si>
  <si>
    <t>C6MA3</t>
  </si>
  <si>
    <t>C6Ma3</t>
  </si>
  <si>
    <t>C6Ma3; MMP-2 and MMP-9 Degraded Type VI Collagen alpha-3 subunit C6M</t>
  </si>
  <si>
    <t>A measurement of the MMP-2-egraded Type VI Collagen alpha-3 subunit fragment C6Ma3 in a biological specimen.</t>
  </si>
  <si>
    <t>MMP 2-Degraded Type IV Collagen Alpha-3 Subunit Fragment C6Ma3 Measurement</t>
  </si>
  <si>
    <t>C64488</t>
  </si>
  <si>
    <t>CA</t>
  </si>
  <si>
    <t>Calcium</t>
  </si>
  <si>
    <t>A measurement of the calcium in a biological specimen.</t>
  </si>
  <si>
    <t>Calcium Measurement</t>
  </si>
  <si>
    <t>C79089</t>
  </si>
  <si>
    <t>CA125AG</t>
  </si>
  <si>
    <t>Cancer Antigen 125</t>
  </si>
  <si>
    <t>CA125; CA125AG; Cancer Antigen 125; Carbohydrate Antigen 125; MUC16; Mucin-16; Mucin-16, Cell Surface Associated</t>
  </si>
  <si>
    <t>A measurement of the cancer antigen 125 in a biological specimen.</t>
  </si>
  <si>
    <t>CA-125 Measurement</t>
  </si>
  <si>
    <t>C103362</t>
  </si>
  <si>
    <t>CA15_3AG</t>
  </si>
  <si>
    <t>Cancer Antigen 15-3</t>
  </si>
  <si>
    <t>Cancer Antigen 15-3; Carbohydrate Antigen 15-3</t>
  </si>
  <si>
    <t>A measurement of the cancer antigen 15-3 in a biological specimen.</t>
  </si>
  <si>
    <t>Cancer Antigen 15-3 Measurement</t>
  </si>
  <si>
    <t>C81982</t>
  </si>
  <si>
    <t>CA19_9AG</t>
  </si>
  <si>
    <t>Cancer Antigen 19-9</t>
  </si>
  <si>
    <t>Cancer Antigen 19-9; Carbohydrate Antigen 19-9</t>
  </si>
  <si>
    <t>A measurement of the cancer antigen 19-9 in a biological specimen.</t>
  </si>
  <si>
    <t>Cancer Antigen 19-9 Measurement</t>
  </si>
  <si>
    <t>C103361</t>
  </si>
  <si>
    <t>CA1AG</t>
  </si>
  <si>
    <t>Cancer Antigen 1</t>
  </si>
  <si>
    <t>A measurement of the cancer antigen 1 in a biological specimen.</t>
  </si>
  <si>
    <t>Cancer Antigen 1 Measurement</t>
  </si>
  <si>
    <t>C172526</t>
  </si>
  <si>
    <t>CA242AG</t>
  </si>
  <si>
    <t>Cancer Antigen 242</t>
  </si>
  <si>
    <t>Cancer Antigen 242; Carbohydrate Antigen 242</t>
  </si>
  <si>
    <t>A measurement of the cancer antigen 242 in a biological specimen.</t>
  </si>
  <si>
    <t>Cancer Antigen 242 Measurement</t>
  </si>
  <si>
    <t>C111143</t>
  </si>
  <si>
    <t>CA2729AG</t>
  </si>
  <si>
    <t>Cancer Antigen 27-29</t>
  </si>
  <si>
    <t>A measurement of the cancer antigen 27-29 in a biological specimen.</t>
  </si>
  <si>
    <t>Cancer Antigen 27-29 Measurement</t>
  </si>
  <si>
    <t>C187794</t>
  </si>
  <si>
    <t>CA50AG</t>
  </si>
  <si>
    <t>Cancer Antigen 50</t>
  </si>
  <si>
    <t>CA50; Cancer Antigen 50; Carbohydrate Antigen 50</t>
  </si>
  <si>
    <t>A measurement of the cancer antigen 50 in a biological specimen.</t>
  </si>
  <si>
    <t>Cancer Antigen 50 Measurement</t>
  </si>
  <si>
    <t>C106505</t>
  </si>
  <si>
    <t>CA72_4AG</t>
  </si>
  <si>
    <t>Cancer Antigen 72-4</t>
  </si>
  <si>
    <t>CA 72-4; Cancer Antigen 72-4; Carbohydrate Antigen 72-4</t>
  </si>
  <si>
    <t>A measurement of the cancer antigen 72-4 in a biological specimen.</t>
  </si>
  <si>
    <t>Cancer Antigen 72-4 Measurement</t>
  </si>
  <si>
    <t>C122187</t>
  </si>
  <si>
    <t>CABNIND</t>
  </si>
  <si>
    <t>Congenital Abnormality Indicator</t>
  </si>
  <si>
    <t>An indication as to whether any abnormality was present at birth or during the neonatal period.</t>
  </si>
  <si>
    <t>C74702</t>
  </si>
  <si>
    <t>CABOT</t>
  </si>
  <si>
    <t>Cabot Rings</t>
  </si>
  <si>
    <t>A measurement of the Cabot rings (red-purple staining, threadlike, ring or figure 8 shaped filaments in an erythrocyte) in a biological specimen.</t>
  </si>
  <si>
    <t>Cabot Ring Count</t>
  </si>
  <si>
    <t>C96589</t>
  </si>
  <si>
    <t>CACLR</t>
  </si>
  <si>
    <t>Calcium Clearance</t>
  </si>
  <si>
    <t>A measurement of the volume of serum or plasma that would be cleared of calcium by excretion of urine for a specified unit of time (e.g. one minute).</t>
  </si>
  <si>
    <t>Calcium Clearance Measurement</t>
  </si>
  <si>
    <t>C119272</t>
  </si>
  <si>
    <t>CACR</t>
  </si>
  <si>
    <t>Calcium Corrected</t>
  </si>
  <si>
    <t>A measurement of calcium, which has been corrected using an unspecified protein, in a biological specimen.</t>
  </si>
  <si>
    <t>Calcium Corrected Measurement</t>
  </si>
  <si>
    <t>C154753</t>
  </si>
  <si>
    <t>CACRALB</t>
  </si>
  <si>
    <t>Calcium Corrected for Albumin</t>
  </si>
  <si>
    <t>A measurement of calcium, which has been corrected for albumin, in a biological specimen.</t>
  </si>
  <si>
    <t>Albumin Corrected Calcium Measurement</t>
  </si>
  <si>
    <t>C79439</t>
  </si>
  <si>
    <t>CACREAT</t>
  </si>
  <si>
    <t>Calcium/Creatinine</t>
  </si>
  <si>
    <t>A relative measurement (ratio or percentage) of the calcium to creatinine in a biological specimen.</t>
  </si>
  <si>
    <t>Calcium to Creatinine Ratio Measurement</t>
  </si>
  <si>
    <t>C147314</t>
  </si>
  <si>
    <t>CACRTP</t>
  </si>
  <si>
    <t>Calcium Corrected for Total Protein</t>
  </si>
  <si>
    <t>A measurement of calcium, which has been corrected for total protein, in a biological specimen.</t>
  </si>
  <si>
    <t>Calcium Corrected for Total Protein Measurement</t>
  </si>
  <si>
    <t>C204647</t>
  </si>
  <si>
    <t>CADMIUM</t>
  </si>
  <si>
    <t>Cadmium</t>
  </si>
  <si>
    <t>A measurement of the cadmium in a specimen.</t>
  </si>
  <si>
    <t>Cadmium Measurement</t>
  </si>
  <si>
    <t>C187826</t>
  </si>
  <si>
    <t>CADPRH1</t>
  </si>
  <si>
    <t>Cyclic ADP Ribose Hydrolase 1</t>
  </si>
  <si>
    <t>ADP-Ribosyl Cyclase 1; ADP-Ribosyl Cyclase/Cyclic ADP-Ribose Hydrolase 1; ADPRC1; cADPr Hydrolase 1; Cyclic ADP Ribose Hydrolase; Cyclic ADP Ribose Hydrolase 1; Soluble CD38</t>
  </si>
  <si>
    <t>A measurement of the cyclic ADP ribose hydrolase 1 protein in a biological specimen.</t>
  </si>
  <si>
    <t>Cyclic ADP Ribose Hydrolase 1 Measurement</t>
  </si>
  <si>
    <t>C221518</t>
  </si>
  <si>
    <t>CADPRSNT</t>
  </si>
  <si>
    <t>Coronary Artery Disease Presentation</t>
  </si>
  <si>
    <t>The compilation of symptoms and/or clinical manifestation of coronary artery disease.</t>
  </si>
  <si>
    <t>C221519</t>
  </si>
  <si>
    <t>CADRISKC</t>
  </si>
  <si>
    <t>Coronary Artery Disease Risk Category</t>
  </si>
  <si>
    <t>The classification of the likelihood that an individual will develop coronary artery disease.</t>
  </si>
  <si>
    <t>C221520</t>
  </si>
  <si>
    <t>CADSYMPT</t>
  </si>
  <si>
    <t>Coronary Artery Disease Symptoms</t>
  </si>
  <si>
    <t>Subjective evidence of coronary artery disease perceived by the patient.</t>
  </si>
  <si>
    <t>C150815</t>
  </si>
  <si>
    <t>CAEXR</t>
  </si>
  <si>
    <t>Calcium Excretion Rate</t>
  </si>
  <si>
    <t>A measurement of the amount of calcium being excreted in a biological specimen over a defined period of time (e.g. one hour).</t>
  </si>
  <si>
    <t>C75346</t>
  </si>
  <si>
    <t>CAFFEINE</t>
  </si>
  <si>
    <t>Caffeine</t>
  </si>
  <si>
    <t>A measurement of the caffeine in a biological specimen.</t>
  </si>
  <si>
    <t>Caffeine Measurement</t>
  </si>
  <si>
    <t>C214750</t>
  </si>
  <si>
    <t>CAGTNAM</t>
  </si>
  <si>
    <t>Challenge Agent Name</t>
  </si>
  <si>
    <t>The name of the non-investigational medicinal product (NIMP) given to trial subjects to produce a physiological response that is necessary before the pharmacological action of the investigational medicinal product can be assessed. [After Recommendations f</t>
  </si>
  <si>
    <t>C81948</t>
  </si>
  <si>
    <t>CAION</t>
  </si>
  <si>
    <t>Calcium, Ionized</t>
  </si>
  <si>
    <t>A measurement of the ionized calcium in a biological specimen.</t>
  </si>
  <si>
    <t>Ionized Calcium Measurement</t>
  </si>
  <si>
    <t>C125941</t>
  </si>
  <si>
    <t>CAIONPH</t>
  </si>
  <si>
    <t>Calcium, Ionized pH Adjusted</t>
  </si>
  <si>
    <t>A measurement of the pH adjusted ionized calcium in a biological specimen.</t>
  </si>
  <si>
    <t>Ionized pH Adjusted Calcium Measurement</t>
  </si>
  <si>
    <t>C161404</t>
  </si>
  <si>
    <t>CAL</t>
  </si>
  <si>
    <t>Candida albicans</t>
  </si>
  <si>
    <t>Candida albicans; Candida stellatoidea</t>
  </si>
  <si>
    <t>A measurement of the Candida albicans in a biological specimen.</t>
  </si>
  <si>
    <t>Candida albicans Measurement</t>
  </si>
  <si>
    <t>C125942</t>
  </si>
  <si>
    <t>CALB</t>
  </si>
  <si>
    <t>Calbindin</t>
  </si>
  <si>
    <t>A measurement of the total calbindin in a biological specimen.</t>
  </si>
  <si>
    <t>Calbindin Measurement</t>
  </si>
  <si>
    <t>C126056</t>
  </si>
  <si>
    <t>CALCFIND</t>
  </si>
  <si>
    <t>Calcification Indicator</t>
  </si>
  <si>
    <t>An indication as to whether calcification is present.</t>
  </si>
  <si>
    <t>C201438</t>
  </si>
  <si>
    <t>CALDNA</t>
  </si>
  <si>
    <t>Candida albicans DNA</t>
  </si>
  <si>
    <t>A measurement of the Candida albicans DNA in a biological specimen.</t>
  </si>
  <si>
    <t>Candida albicans DNA Measurement</t>
  </si>
  <si>
    <t>C178060</t>
  </si>
  <si>
    <t>CALFCIR</t>
  </si>
  <si>
    <t>Calf Circumference</t>
  </si>
  <si>
    <t>A circumferential measurement of the lower leg in the region of the calf at the widest point.</t>
  </si>
  <si>
    <t>C82005</t>
  </si>
  <si>
    <t>CALPRO</t>
  </si>
  <si>
    <t>Calprotectin</t>
  </si>
  <si>
    <t>A measurement of the calprotectin in a biological specimen.</t>
  </si>
  <si>
    <t>Calprotectin Measurement</t>
  </si>
  <si>
    <t>C221601</t>
  </si>
  <si>
    <t>CAM</t>
  </si>
  <si>
    <t>Corynebacterium amycolatum</t>
  </si>
  <si>
    <t>A measurement of Corynebacterium amycolatum in a biological specimen.</t>
  </si>
  <si>
    <t>Corynebacterium amycolatum Measurement</t>
  </si>
  <si>
    <t>C124339</t>
  </si>
  <si>
    <t>CAMP</t>
  </si>
  <si>
    <t>Cyclic Adenosine 3,5-Monophosphate</t>
  </si>
  <si>
    <t>A measurement of cyclic adenosine 3,5-monophosphate in a biological specimen.</t>
  </si>
  <si>
    <t>Cyclic Adenosine 3,5-Monophosphate Measurement</t>
  </si>
  <si>
    <t>C186030</t>
  </si>
  <si>
    <t>CAMPCRT</t>
  </si>
  <si>
    <t>Cyclic Adenosine Monophosphate/Creat</t>
  </si>
  <si>
    <t>Cyclic Adenosine 3,5-Monophosphate/Creatinine; Cyclic Adenosine Monophosphate/Creat; Cyclic Adenosine Monophosphate/Creatinine</t>
  </si>
  <si>
    <t>A relative measurement (ratio) of the cyclic adenosine 3,5-monophosphate to creatinine in a biological specimen.</t>
  </si>
  <si>
    <t>Cyclic Adenosine 3,5 Monophosphate to Creatinine Ratio Measurement</t>
  </si>
  <si>
    <t>C186147</t>
  </si>
  <si>
    <t>CAMPYDNA</t>
  </si>
  <si>
    <t>Campylobacter DNA</t>
  </si>
  <si>
    <t>A measurement of the DNA from any member of the genus Campylobacter in a biological specimen.</t>
  </si>
  <si>
    <t>Campylobacter DNA Measurement</t>
  </si>
  <si>
    <t>C189578</t>
  </si>
  <si>
    <t>CAMPYLOB</t>
  </si>
  <si>
    <t>Campylobacter</t>
  </si>
  <si>
    <t>A measurement of the organisms that are not assigned to the species level but are assigned to the Campylobacter genus level in a biological specimen.</t>
  </si>
  <si>
    <t>Campylobacter Measurement</t>
  </si>
  <si>
    <t>C176310</t>
  </si>
  <si>
    <t>CAN</t>
  </si>
  <si>
    <t>Coefficient of Nitrogen Absorption</t>
  </si>
  <si>
    <t>A measurement of the coefficient of nitrogen absorption in a biological specimen.</t>
  </si>
  <si>
    <t>Coefficient of Nitrogen Absorption Measurement</t>
  </si>
  <si>
    <t>C189541</t>
  </si>
  <si>
    <t>CANAG</t>
  </si>
  <si>
    <t>Candida Antigen</t>
  </si>
  <si>
    <t>A measurement of the antigen from any member of the genus Candida in a biological specimen.</t>
  </si>
  <si>
    <t>Candida Antigen Measurement</t>
  </si>
  <si>
    <t>C179757</t>
  </si>
  <si>
    <t>CANDIDA</t>
  </si>
  <si>
    <t>Candida</t>
  </si>
  <si>
    <t>A measurement of the organisms that are not assigned to the species level but are assigned to the Candida genus level in a biological specimen.</t>
  </si>
  <si>
    <t>Candida Measurement</t>
  </si>
  <si>
    <t>C74689</t>
  </si>
  <si>
    <t>CANNAB</t>
  </si>
  <si>
    <t>Cannabinoids</t>
  </si>
  <si>
    <t>A measurement of any cannabinoid class drug present in a biological specimen.</t>
  </si>
  <si>
    <t>Cannabinoid Drug Class Measurement</t>
  </si>
  <si>
    <t>C165946</t>
  </si>
  <si>
    <t>CANNABM</t>
  </si>
  <si>
    <t>Cannabinoid Metabolites</t>
  </si>
  <si>
    <t>Cannabinoid Metabolites; Cannabis Metabolites; Marijuana Metabolites</t>
  </si>
  <si>
    <t>A measurement of any cannabinoid drug class metabolite(s) present in a biological specimen.</t>
  </si>
  <si>
    <t>Cannabinoid Metabolite Measurement</t>
  </si>
  <si>
    <t>C135402</t>
  </si>
  <si>
    <t>CANNABS</t>
  </si>
  <si>
    <t>Cannabinoids, Synthetic</t>
  </si>
  <si>
    <t>A measurement of any synthetic cannabinoid class drug present in a biological specimen.</t>
  </si>
  <si>
    <t>Synthetic Cannabinoid Measurement</t>
  </si>
  <si>
    <t>C119331</t>
  </si>
  <si>
    <t>CANRFIND</t>
  </si>
  <si>
    <t>Coronary Artery No Reflow Indicator</t>
  </si>
  <si>
    <t>An indication as to whether there is a new acute reduction in coronary flow (TIMI grade 0-1) in the absence of dissection, thrombus, spasm, or high-grade residual stenosis at the original PCI lesion site.</t>
  </si>
  <si>
    <t>Coronary No Reflow at PCI Site Indicator</t>
  </si>
  <si>
    <t>C187793</t>
  </si>
  <si>
    <t>CAOXAEXR</t>
  </si>
  <si>
    <t>Calcium Oxalate Excretion Rate</t>
  </si>
  <si>
    <t>A measurement of the amount of calcium oxalate being excreted in a biological specimen over a defined amount of time (e.g. one hour).</t>
  </si>
  <si>
    <t>C139087</t>
  </si>
  <si>
    <t>CAPHOS</t>
  </si>
  <si>
    <t>Calcium/Phosphorus</t>
  </si>
  <si>
    <t>Calcium/Phosphate; Calcium/Phosphorus</t>
  </si>
  <si>
    <t>A relative measurement (ratio) of the calcium to phosphorus in a biological specimen.</t>
  </si>
  <si>
    <t>Calcium to Phosphorus Ratio Measurement</t>
  </si>
  <si>
    <t>C103360</t>
  </si>
  <si>
    <t>CAPHOSPD</t>
  </si>
  <si>
    <t>Calcium - Phosphorus Product</t>
  </si>
  <si>
    <t>A measurement of the product of the calcium and phosphate measurements in a biological specimen.</t>
  </si>
  <si>
    <t>Calcium and Phosphorus Product Measurement</t>
  </si>
  <si>
    <t>C96591</t>
  </si>
  <si>
    <t>CARBXHGB</t>
  </si>
  <si>
    <t>Carboxyhemoglobin</t>
  </si>
  <si>
    <t>A measurement of the carboxyhemoglobin, carbon monoxide-bound hemoglobin, in a biological specimen.</t>
  </si>
  <si>
    <t>Carboxyhemoglobin Measurement</t>
  </si>
  <si>
    <t>C119245</t>
  </si>
  <si>
    <t>CARDIDX</t>
  </si>
  <si>
    <t>Cardiac Index</t>
  </si>
  <si>
    <t>The measure of an individual's cardiac output divided by the individual's body surface area (CI= CO/BSA).</t>
  </si>
  <si>
    <t>C119246</t>
  </si>
  <si>
    <t>CARDOUT</t>
  </si>
  <si>
    <t>Cardiac Output</t>
  </si>
  <si>
    <t>The total volume of blood pumped by the heart over a set period of time, conventionally one minute; it is calculated as heart rate times stroke volume (CO= HR x SV).</t>
  </si>
  <si>
    <t>C177975</t>
  </si>
  <si>
    <t>CARIPRZN</t>
  </si>
  <si>
    <t>Cariprazine</t>
  </si>
  <si>
    <t>A measurement of the cariprazine in a biological specimen.</t>
  </si>
  <si>
    <t>Cariprazine Measurement</t>
  </si>
  <si>
    <t>C74682</t>
  </si>
  <si>
    <t>CARNIT</t>
  </si>
  <si>
    <t>Carnitine</t>
  </si>
  <si>
    <t>A measurement of the total carnitine in a biological specimen.</t>
  </si>
  <si>
    <t>Total Carnitine Measurement</t>
  </si>
  <si>
    <t>C92288</t>
  </si>
  <si>
    <t>CARNITAT</t>
  </si>
  <si>
    <t>Carnitine Acetyl Transferase</t>
  </si>
  <si>
    <t>A measurement of the carnitine acetyl transferase in a biological specimen.</t>
  </si>
  <si>
    <t>Carnitine Acetyl Transferase Measurement</t>
  </si>
  <si>
    <t>C74677</t>
  </si>
  <si>
    <t>CARNITF</t>
  </si>
  <si>
    <t>Carnitine, Free</t>
  </si>
  <si>
    <t>A measurement of the free carnitine in a biological specimen.</t>
  </si>
  <si>
    <t>Free Carnitine Measurement</t>
  </si>
  <si>
    <t>C163424</t>
  </si>
  <si>
    <t>CARNTEXR</t>
  </si>
  <si>
    <t>Carnitine Excretion Rate</t>
  </si>
  <si>
    <t>A measurement of the amount of carnitine being excreted in a biological specimen over a defined amount of time (e.g. one hour).</t>
  </si>
  <si>
    <t>C142273</t>
  </si>
  <si>
    <t>CARTP</t>
  </si>
  <si>
    <t>Cocaine Amphetamine-Reg Transcript Prot</t>
  </si>
  <si>
    <t>CART; Cocaine Amphetamine-Reg Transcript Prot; Cocaine and Amphetamine-Regulated Transcript Protein</t>
  </si>
  <si>
    <t>A measurement of the cocaine and amphetamine-regulated transcript protein in a biological specimen.</t>
  </si>
  <si>
    <t>Cocaine Amphetamine-Regulated Transcript Protein Measurement</t>
  </si>
  <si>
    <t>C198282</t>
  </si>
  <si>
    <t>CASEIN</t>
  </si>
  <si>
    <t>Casein</t>
  </si>
  <si>
    <t>A measurement of the casein in a biological specimen.</t>
  </si>
  <si>
    <t>Casein Measurement</t>
  </si>
  <si>
    <t>C213922</t>
  </si>
  <si>
    <t>CASTS</t>
  </si>
  <si>
    <t>Casts</t>
  </si>
  <si>
    <t>Casts; Casts Absent Indicator</t>
  </si>
  <si>
    <t>An indication that casts were looked for and not found in a biological specimen.</t>
  </si>
  <si>
    <t>Cast Absent Indicator</t>
  </si>
  <si>
    <t>C96590</t>
  </si>
  <si>
    <t>CASULPH</t>
  </si>
  <si>
    <t>Calcium Sulphate</t>
  </si>
  <si>
    <t>A measurement of the calcium sulphate in a biological specimen.</t>
  </si>
  <si>
    <t>Calcium Sulphate Measurement</t>
  </si>
  <si>
    <t>C184534</t>
  </si>
  <si>
    <t>CATHNON</t>
  </si>
  <si>
    <t>Cathinone</t>
  </si>
  <si>
    <t>A measurement of the cathinone in a biological specimen.</t>
  </si>
  <si>
    <t>Cathinone Measurement</t>
  </si>
  <si>
    <t>C103357</t>
  </si>
  <si>
    <t>CATNINB</t>
  </si>
  <si>
    <t>Beta Catenin</t>
  </si>
  <si>
    <t>A measurement of the beta catenin in a biological specimen.</t>
  </si>
  <si>
    <t>Beta Catenin Measurement</t>
  </si>
  <si>
    <t>C221602</t>
  </si>
  <si>
    <t>CAU</t>
  </si>
  <si>
    <t>Corynebacterium aurimucosum</t>
  </si>
  <si>
    <t>A measurement of Corynebacterium aurimucosum in a biological specimen.</t>
  </si>
  <si>
    <t>Corynebacterium aurimucosum Measurement</t>
  </si>
  <si>
    <t>C221630</t>
  </si>
  <si>
    <t>CAUR</t>
  </si>
  <si>
    <t>Candidozyma auris</t>
  </si>
  <si>
    <t>Candida auris; Candidozyma auris</t>
  </si>
  <si>
    <t>A measurement of Candidozyma auris in a biological specimen.</t>
  </si>
  <si>
    <t>Candidozyma auris Measurement</t>
  </si>
  <si>
    <t>C85575</t>
  </si>
  <si>
    <t>CAVG</t>
  </si>
  <si>
    <t>Average Concentration</t>
  </si>
  <si>
    <t>AUCTAU divided by TAU.</t>
  </si>
  <si>
    <t>C92367</t>
  </si>
  <si>
    <t>CAVGB</t>
  </si>
  <si>
    <t>Average Conc Norm by BMI</t>
  </si>
  <si>
    <t>AUCTAU divided by TAU and then divided by the body mass index.</t>
  </si>
  <si>
    <t>Average Concentration Normalized by Body Mass Index</t>
  </si>
  <si>
    <t>C92368</t>
  </si>
  <si>
    <t>CAVGD</t>
  </si>
  <si>
    <t>Average Conc Norm by Dose</t>
  </si>
  <si>
    <t>AUCTAU divided by TAU and then divided by the dose.</t>
  </si>
  <si>
    <t>Average Concentration Normalized by Dose</t>
  </si>
  <si>
    <t>C174351</t>
  </si>
  <si>
    <t>CAVGDW</t>
  </si>
  <si>
    <t>Average Concentration Norm by Dose/WT</t>
  </si>
  <si>
    <t>AUCTAU divided by TAU divided by the body weight-adjusted dose.</t>
  </si>
  <si>
    <t>Average Concentration Normalized by Weight-Adjusted Dose</t>
  </si>
  <si>
    <t>C132302</t>
  </si>
  <si>
    <t>CAVGINT</t>
  </si>
  <si>
    <t>Average Conc from T1 to T2</t>
  </si>
  <si>
    <t>The area under the curve over the interval from T1 to T2 (AUCINT) divided by the length of the interval.</t>
  </si>
  <si>
    <t>Average Concentration from T1 to T2</t>
  </si>
  <si>
    <t>C132440</t>
  </si>
  <si>
    <t>CAVGINTB</t>
  </si>
  <si>
    <t>Average Conc from T1 to T2 Norm by BMI</t>
  </si>
  <si>
    <t>The area under the curve over the interval from T1 to T2 (AUCINT) divided by the length of the interval and then divided by the body mass index.</t>
  </si>
  <si>
    <t>Average Concentration from T1 to T2 Normalized by Body Mass Index</t>
  </si>
  <si>
    <t>C132441</t>
  </si>
  <si>
    <t>CAVGINTD</t>
  </si>
  <si>
    <t>Average Conc from T1 to T2 Norm by Dose</t>
  </si>
  <si>
    <t>The area under the curve over the interval from T1 to T2 (AUCINT) divided by the length of the interval and then divided by the dose.</t>
  </si>
  <si>
    <t>Average Concentration from T1 to T2 Normalized by Dose</t>
  </si>
  <si>
    <t>C132442</t>
  </si>
  <si>
    <t>CAVGINTS</t>
  </si>
  <si>
    <t>Average Conc from T1 to T2 Norm by SA</t>
  </si>
  <si>
    <t>The area under the curve over the interval from T1 to T2 (AUCINT) divided by the length of the interval and then divided by the surface area.</t>
  </si>
  <si>
    <t>Average Concentration from T1 to T2 Normalized by Surface Area</t>
  </si>
  <si>
    <t>C132443</t>
  </si>
  <si>
    <t>CAVGINTW</t>
  </si>
  <si>
    <t>Average Conc from T1 to T2 Norm by WT</t>
  </si>
  <si>
    <t>The area under the curve over the interval from T1 to T2 (AUCINT) divided by the length of the interval and then divided by the weight.</t>
  </si>
  <si>
    <t>Average Concentration from T1 to T2 Normalized by Weight</t>
  </si>
  <si>
    <t>C92369</t>
  </si>
  <si>
    <t>CAVGS</t>
  </si>
  <si>
    <t>Average Conc Norm by SA</t>
  </si>
  <si>
    <t>AUCTAU divided by TAU and then divided by the surface area.</t>
  </si>
  <si>
    <t>Average Concentration Normalized by Surface Area</t>
  </si>
  <si>
    <t>C181516</t>
  </si>
  <si>
    <t>CAVGTR</t>
  </si>
  <si>
    <t>Average of Conc Trough</t>
  </si>
  <si>
    <t>The arithmetic average of two or more trough concentrations.</t>
  </si>
  <si>
    <t>Average of Trough Concentration</t>
  </si>
  <si>
    <t>C92370</t>
  </si>
  <si>
    <t>CAVGW</t>
  </si>
  <si>
    <t>Average Conc Norm by WT</t>
  </si>
  <si>
    <t>AUCTAU divided by TAU and then divided by the weight.</t>
  </si>
  <si>
    <t>Average Concentration Normalized by Weight</t>
  </si>
  <si>
    <t>C174352</t>
  </si>
  <si>
    <t>CAVINTDW</t>
  </si>
  <si>
    <t>CAVGINT Norm by Dose/WT</t>
  </si>
  <si>
    <t>Average Conc from T1 to T2 Norm by Dose per Body Weight; CAVGINT Norm by Dose/WT</t>
  </si>
  <si>
    <t>The area under the curve over the interval from T1 to T2 (AUCINT) divided by the length of the interval divided by the body weight-adjusted dose.</t>
  </si>
  <si>
    <t>Average Concentration from T1 to T2 Normalized by Weight-Adjusted Dose</t>
  </si>
  <si>
    <t>C135403</t>
  </si>
  <si>
    <t>CBA</t>
  </si>
  <si>
    <t>Complement Ba</t>
  </si>
  <si>
    <t>Ba Fragment of Complement Factor B; Ba Fragment of Factor B; Complement Ba</t>
  </si>
  <si>
    <t>A measurement of the Ba fragment of complement factor B in a biological specimen.</t>
  </si>
  <si>
    <t>Complement Ba Measurement</t>
  </si>
  <si>
    <t>C172510</t>
  </si>
  <si>
    <t>CBANH9</t>
  </si>
  <si>
    <t>Carbonic Anhydrase 9</t>
  </si>
  <si>
    <t>CA9; CAIX; Carbonic Anhydrase 9</t>
  </si>
  <si>
    <t>A measurement of the carbonic anhydrase 9 in a biological specimen.</t>
  </si>
  <si>
    <t>Carbonic Anhydrase 9 Measurement</t>
  </si>
  <si>
    <t>C80172</t>
  </si>
  <si>
    <t>CBB</t>
  </si>
  <si>
    <t>Complement Bb</t>
  </si>
  <si>
    <t>Bb Fragment of Complement Factor B; Bb Fragment of Factor B; Complement Bb</t>
  </si>
  <si>
    <t>A measurement of the Bb fragment of complement factor B in a biological specimen.</t>
  </si>
  <si>
    <t>Complement Bb Measurement</t>
  </si>
  <si>
    <t>C221588</t>
  </si>
  <si>
    <t>CBO</t>
  </si>
  <si>
    <t>Clostridium botulinum</t>
  </si>
  <si>
    <t>A measurement of the Clostridium botulinum in a biological specimen.</t>
  </si>
  <si>
    <t>Clostridium botulinum Measurement</t>
  </si>
  <si>
    <t>C209636</t>
  </si>
  <si>
    <t>CBR</t>
  </si>
  <si>
    <t>Citrobacter braakii</t>
  </si>
  <si>
    <t>A measurement of the Citrobacter braakii in a biological specimen.</t>
  </si>
  <si>
    <t>Citrobacter braakii Measurement</t>
  </si>
  <si>
    <t>C172520</t>
  </si>
  <si>
    <t>CBS</t>
  </si>
  <si>
    <t>Cystathionine Beta-Synthase</t>
  </si>
  <si>
    <t>A measurement of the cystathionine beta-synthase in a biological specimen.</t>
  </si>
  <si>
    <t>Cystathionine Beta-Synthase Measurement</t>
  </si>
  <si>
    <t>C166029</t>
  </si>
  <si>
    <t>CCADNA</t>
  </si>
  <si>
    <t>Cyclospora cayetanensis DNA</t>
  </si>
  <si>
    <t>A measurement of the Cyclospora cayetanensis DNA in a biological specimen.</t>
  </si>
  <si>
    <t>Cyclospora cayetanensis DNA Measurement</t>
  </si>
  <si>
    <t>C74850</t>
  </si>
  <si>
    <t>CCK</t>
  </si>
  <si>
    <t>Cholecystokinin</t>
  </si>
  <si>
    <t>Cholecystokinin; Pancreozymin</t>
  </si>
  <si>
    <t>A measurement of the cholecystokinin hormone in a biological specimen.</t>
  </si>
  <si>
    <t>Cholecystokinin Measurement</t>
  </si>
  <si>
    <t>C199894</t>
  </si>
  <si>
    <t>CCL1</t>
  </si>
  <si>
    <t>Chemokine (C-C Motif) Ligand 1</t>
  </si>
  <si>
    <t>Chemokine (C-C Motif) Ligand 1; I-309; SCYA1; Small Inducible Cytokine A1; T Lymphocyte-Secreted Protein I-309</t>
  </si>
  <si>
    <t>A measurement of the CCL1, chemokine (C-C motif) ligand 1, in a biological specimen.</t>
  </si>
  <si>
    <t>Chemokine (C-C Motif) Ligand 1 Measurement</t>
  </si>
  <si>
    <t>C130156</t>
  </si>
  <si>
    <t>CCL12</t>
  </si>
  <si>
    <t>Chemokine (C-C Motif) Ligand 12</t>
  </si>
  <si>
    <t>Chemokine (C-C Motif) Ligand 12; Monocyte Chemotactic Protein 5</t>
  </si>
  <si>
    <t>A measurement of the CCL12, chemokine (C-C motif) ligand 12, in a biological specimen.</t>
  </si>
  <si>
    <t>Chemokine (C-C Motif) Ligand 12 Measurement</t>
  </si>
  <si>
    <t>C165947</t>
  </si>
  <si>
    <t>CCL13</t>
  </si>
  <si>
    <t>Chemokine (C-C Motif) Ligand 13</t>
  </si>
  <si>
    <t>C-C Motif Chemokine Ligand 13; Chemokine (C-C Motif) Ligand 13; CKb10; MCP-4; NCC1; SCYA13; SCYL1</t>
  </si>
  <si>
    <t>A measurement of the CCL13, chemokine (C-C motif) ligand 13, in a biological specimen.</t>
  </si>
  <si>
    <t>Chemokine (C-C Motif) Ligand 13 Measurement</t>
  </si>
  <si>
    <t>C199914</t>
  </si>
  <si>
    <t>CCL15</t>
  </si>
  <si>
    <t>Chemokine (C-C Motif) Ligand 15</t>
  </si>
  <si>
    <t>Chemokine (C-C Motif) Ligand 15; Leukotactin 1; Macrophage inflammatory protein-5; MIP-1 Delta; MIP1D; MIP5</t>
  </si>
  <si>
    <t>A measurement of the CCL15, chemokine (C-C motif) ligand 15, in a biological specimen.</t>
  </si>
  <si>
    <t>Chemokine (C-C Motif) Ligand 15 Measurement</t>
  </si>
  <si>
    <t>C165948</t>
  </si>
  <si>
    <t>CCL16</t>
  </si>
  <si>
    <t>Chemokine (C-C Motif) Ligand 16</t>
  </si>
  <si>
    <t>Chemokine (C-C Motif) Ligand 16; Chemokine CC-4; CKb12; HCC-4; ILINCK; LCC-1; LEC; LMC; Mtn-1; NCC4; SCYA16; SCYL4</t>
  </si>
  <si>
    <t>A measurement of the CCL16, chemokine (C-C motif) ligand 16, in a biological specimen.</t>
  </si>
  <si>
    <t>Chemokine (C-C Motif) Ligand 16 Measurement</t>
  </si>
  <si>
    <t>C112236</t>
  </si>
  <si>
    <t>CCL17</t>
  </si>
  <si>
    <t>Chemokine (C-C Motif) Ligand 17</t>
  </si>
  <si>
    <t>ABCD-2; Chemokine (C-C Motif) Ligand 17; SCYA17; TARC; Thymus and Activation Regulated Chemokine</t>
  </si>
  <si>
    <t>A measurement of the CCL17, chemokine (C-C motif) ligand 17, in a biological specimen.</t>
  </si>
  <si>
    <t>Chemokine (C-C Motif) Ligand 17 Measurement</t>
  </si>
  <si>
    <t>C112237</t>
  </si>
  <si>
    <t>CCL18</t>
  </si>
  <si>
    <t>Chemokine (C-C Motif) Ligand 18</t>
  </si>
  <si>
    <t>AMAC-1; AMAC1; Chemokine (C-C Motif) Ligand 18; CKB7; DC-CK1; DCCK1; Macrophage inflammatory protein-4; MIP4; PARC; Pulmonary and Activation-Regulated Chemokine; SCYA18</t>
  </si>
  <si>
    <t>A measurement of the CCL18, chemokine (C-C motif) ligand 18, in a biological specimen.</t>
  </si>
  <si>
    <t>Chemokine (C-C Motif) Ligand 18 Measurement</t>
  </si>
  <si>
    <t>C130157</t>
  </si>
  <si>
    <t>CCL19</t>
  </si>
  <si>
    <t>Chemokine (C-C Motif) Ligand 19</t>
  </si>
  <si>
    <t>Chemokine (C-C Motif) Ligand 19; Macrophage Inflammatory Protein 3 Beta; MIP3B</t>
  </si>
  <si>
    <t>A measurement of the CCL19, chemokine (C-C motif) ligand 19, in a biological specimen.</t>
  </si>
  <si>
    <t>Chemokine (C-C Motif) Ligand 19 Measurement</t>
  </si>
  <si>
    <t>C161362</t>
  </si>
  <si>
    <t>CCL20</t>
  </si>
  <si>
    <t>Chemokine (C-C Motif) Ligand 20</t>
  </si>
  <si>
    <t>CCL20; Chemokine (C-C Motif) Ligand 20; LARC; Liver Activation Regulated Chemokine; Macrophage Inflammatory Protein-3 Alpha; MIP3A</t>
  </si>
  <si>
    <t>A measurement of the chemokine (C-C motif) ligand 20 in a biological specimen.</t>
  </si>
  <si>
    <t>Chemokine (C-C Motif) Ligand 20 Measurement</t>
  </si>
  <si>
    <t>C147315</t>
  </si>
  <si>
    <t>CCL21</t>
  </si>
  <si>
    <t>Chemokine (C-C Motif) Ligand 21</t>
  </si>
  <si>
    <t>6Ckine; Chemokine (C-C Motif) Ligand 21; Secondary Lymphoid Tissue Chemokine</t>
  </si>
  <si>
    <t>A measurement of the CCL21, chemokine (C-C motif) ligand 21, in a biological specimen.</t>
  </si>
  <si>
    <t>Chemokine (C-C Motif) Ligand 21 Measurement</t>
  </si>
  <si>
    <t>C165949</t>
  </si>
  <si>
    <t>CCL23</t>
  </si>
  <si>
    <t>Chemokine (C-C Motif) Ligand 23</t>
  </si>
  <si>
    <t>Chemokine (C-C Motif) Ligand 23; CK-BETA-8; Ckb-8-1; CKb8; Hmrp-2a; MIP3; MPIF-1; SCYA23</t>
  </si>
  <si>
    <t>A measurement of the CCL23, chemokine (C-C motif) ligand 23, in a biological specimen.</t>
  </si>
  <si>
    <t>Chemokine (C-C Motif) Ligand 23 Measurement</t>
  </si>
  <si>
    <t>C165950</t>
  </si>
  <si>
    <t>CCL25</t>
  </si>
  <si>
    <t>Chemokine (C-C Motif) Ligand 25</t>
  </si>
  <si>
    <t>Chemokine (C-C Motif) Ligand 25; Ckb15; SCYA25; TECK</t>
  </si>
  <si>
    <t>A measurement of the CCL25, chemokine (C-C motif) ligand 25, in a biological specimen.</t>
  </si>
  <si>
    <t>Chemokine (C-C Motif) Ligand 25 Measurement</t>
  </si>
  <si>
    <t>C156520</t>
  </si>
  <si>
    <t>CCL2EXR</t>
  </si>
  <si>
    <t>Chemokine (C-C Motif) Ligand 2 Excr Rate</t>
  </si>
  <si>
    <t>Chemokine (C-C Motif) Ligand 2 Excr Rate; Chemokine (C-C Motif) Ligand 2 Excretion Rate; MCP1 Excretion Rate</t>
  </si>
  <si>
    <t>A measurement of the amount of chemokine (C-C Motif) ligand 2 being excreted in a biological specimen over a defined period of time (e.g. one hour).</t>
  </si>
  <si>
    <t>Chemokine (C-C Motif) Ligand 2 Excretion Rate</t>
  </si>
  <si>
    <t>C130158</t>
  </si>
  <si>
    <t>CCL7</t>
  </si>
  <si>
    <t>Chemokine (C-C Motif) Ligand 7</t>
  </si>
  <si>
    <t>Chemokine (C-C Motif) Ligand 7; MCP3; Monocyte Chemotactic Protein 3</t>
  </si>
  <si>
    <t>A measurement of the CCL7, chemokine (C-C motif) ligand 7, in a biological specimen.</t>
  </si>
  <si>
    <t>Chemokine (C-C Motif) Ligand 7 Measurement</t>
  </si>
  <si>
    <t>C165951</t>
  </si>
  <si>
    <t>CCL8</t>
  </si>
  <si>
    <t>Chemokine (C-C Motif) Ligand 8</t>
  </si>
  <si>
    <t>Chemokine (C-C Motif) Ligand 8; HC14; MCP2; SCYA10; SCYA8</t>
  </si>
  <si>
    <t>A measurement of the CCL8, chemokine (C-C motif) ligand 8, in a biological specimen.</t>
  </si>
  <si>
    <t>Chemokine (C-C Motif) Ligand 8 Measurement</t>
  </si>
  <si>
    <t>C202419</t>
  </si>
  <si>
    <t>CCND1</t>
  </si>
  <si>
    <t>Cyclin D1</t>
  </si>
  <si>
    <t>B-Cell Lymphoma 1 Protein; BCL-1; BCL1; Cyclin D1; G1/S-specific Cyclin-D1; Parathyroid Adenomatosis 1; PRAD1</t>
  </si>
  <si>
    <t>A measurement of cyclin D1 in a biological specimen.</t>
  </si>
  <si>
    <t>Cyclin D1 Measurement</t>
  </si>
  <si>
    <t>C186148</t>
  </si>
  <si>
    <t>CCO</t>
  </si>
  <si>
    <t>Campylobacter coli</t>
  </si>
  <si>
    <t>A measurement of the Campylobacter coli in a biological specimen.</t>
  </si>
  <si>
    <t>Campylobacter coli Measurement</t>
  </si>
  <si>
    <t>C122103</t>
  </si>
  <si>
    <t>CCR5</t>
  </si>
  <si>
    <t>C-C Chemokine Receptor Type 5</t>
  </si>
  <si>
    <t>C-C Chemokine Receptor Type 5; Soluble CD195</t>
  </si>
  <si>
    <t>A measurement of the CCR5, chemokine (C-C motif) receptor type 5, in a biological specimen.</t>
  </si>
  <si>
    <t>C-C Chemokine Receptor Type 5 Measurement</t>
  </si>
  <si>
    <t>C102260</t>
  </si>
  <si>
    <t>CD34SM</t>
  </si>
  <si>
    <t>CD34 Sialomucin</t>
  </si>
  <si>
    <t>CD34; CD34 Molecule; CD34 Protein; CD34 Sialomucin; Hematopoietic Progenitor Cell Antigen CD34</t>
  </si>
  <si>
    <t>A measurement of the CD34 sialomucin in a biological specimen.</t>
  </si>
  <si>
    <t>CD34 Measurement</t>
  </si>
  <si>
    <t>C202431</t>
  </si>
  <si>
    <t>CD3TCM</t>
  </si>
  <si>
    <t>CD3 T-Cell Marker</t>
  </si>
  <si>
    <t>CD3; CD3 Complex; CD3 T-Cell Marker</t>
  </si>
  <si>
    <t>A measurement of the CD3 T-cell marker in a biological specimen.</t>
  </si>
  <si>
    <t>CD3 T-Cell Marker Measurement</t>
  </si>
  <si>
    <t>C202433</t>
  </si>
  <si>
    <t>CD8TGP</t>
  </si>
  <si>
    <t>T-Cell Surface Glycoprotein CD8</t>
  </si>
  <si>
    <t>CD8; CD8 Complex; T-Cell Surface Glycoprotein CD8</t>
  </si>
  <si>
    <t>A measurement of the T-cell surface glycoprotein CD8 in a biological specimen.</t>
  </si>
  <si>
    <t>T-Cell Surface Glycoprotein CD8 Measurement</t>
  </si>
  <si>
    <t>C172498</t>
  </si>
  <si>
    <t>CDCA</t>
  </si>
  <si>
    <t>Chenodeoxycholate</t>
  </si>
  <si>
    <t>Chenic Acid; Chenocholic Acid; Chenodeoxycholate; Chenodeoxycholic Acid</t>
  </si>
  <si>
    <t>A measurement of the chenodeoxycholate in a biological specimen.</t>
  </si>
  <si>
    <t>Chenodeoxycholate Measurement</t>
  </si>
  <si>
    <t>C176239</t>
  </si>
  <si>
    <t>CDCACM</t>
  </si>
  <si>
    <t>Chenodeoxycholate Compounds</t>
  </si>
  <si>
    <t>Chenodeoxycholate Compounds; Chenodeoxycholic Acid Compounds</t>
  </si>
  <si>
    <t>A measurement of the chenodeoxycholic acid, glycochenodeoxycholic acid, and taurochenodeoxycholic acid in a biological specimen.</t>
  </si>
  <si>
    <t>Chenodeoxycholate Compounds Measurement</t>
  </si>
  <si>
    <t>C150637</t>
  </si>
  <si>
    <t>CDF</t>
  </si>
  <si>
    <t>Clostridium difficile</t>
  </si>
  <si>
    <t>A measurement of the Clostridium difficile in a biological specimen.</t>
  </si>
  <si>
    <t>Clostridium difficile Measurement</t>
  </si>
  <si>
    <t>C150858</t>
  </si>
  <si>
    <t>CDFABTOX</t>
  </si>
  <si>
    <t>Clostridium difficile A/B Toxin</t>
  </si>
  <si>
    <t>A measurement of the Clostridium difficile A and/or B toxin in a biological specimen.</t>
  </si>
  <si>
    <t>Clostridium difficile A and/or B Toxin Measurement</t>
  </si>
  <si>
    <t>C150863</t>
  </si>
  <si>
    <t>CDFATOX</t>
  </si>
  <si>
    <t>Clostridium difficile A Toxin</t>
  </si>
  <si>
    <t>A measurement of the Clostridium difficile toxin A in a biological specimen.</t>
  </si>
  <si>
    <t>Clostridium difficile A Toxin Measurement</t>
  </si>
  <si>
    <t>C150864</t>
  </si>
  <si>
    <t>CDFBTOX</t>
  </si>
  <si>
    <t>Clostridium difficile B Toxin</t>
  </si>
  <si>
    <t>A measurement of the Clostridium difficile toxin B in a biological specimen.</t>
  </si>
  <si>
    <t>Clostridium difficile B Toxin Measurement</t>
  </si>
  <si>
    <t>C150866</t>
  </si>
  <si>
    <t>CDFCDTD</t>
  </si>
  <si>
    <t>Clostridium difficile cdt DNA</t>
  </si>
  <si>
    <t>A measurement of the Clostridium difficile binary toxin (cdt) DNA in a biological specimen.</t>
  </si>
  <si>
    <t>Clostridium difficile cdt DNA Measurement</t>
  </si>
  <si>
    <t>C198307</t>
  </si>
  <si>
    <t>CDFDNA</t>
  </si>
  <si>
    <t>Clostridium difficile DNA</t>
  </si>
  <si>
    <t>A measurement of the Clostridium difficile DNA in a biological specimen.</t>
  </si>
  <si>
    <t>Clostridium difficile DNA Measurement</t>
  </si>
  <si>
    <t>C150857</t>
  </si>
  <si>
    <t>CDFGDH</t>
  </si>
  <si>
    <t>C. difficile Glutamate Dehydrogenase</t>
  </si>
  <si>
    <t>C. difficile Glutamate Dehydrogenase; Clostridium difficile Glutamate Dehydrogenase</t>
  </si>
  <si>
    <t>A measurement of the Clostridium difficile glutamate dehydrogenase in a biological specimen.</t>
  </si>
  <si>
    <t>C. difficile Glutamate Dehydrogenase Measurement</t>
  </si>
  <si>
    <t>C150859</t>
  </si>
  <si>
    <t>CDFTCDAD</t>
  </si>
  <si>
    <t>Clostridium difficile tcdA DNA</t>
  </si>
  <si>
    <t>A measurement of the Clostridium difficile toxin A (tcdA) DNA in a biological specimen.</t>
  </si>
  <si>
    <t>Clostridium difficile tcdA DNA Measurement</t>
  </si>
  <si>
    <t>C150860</t>
  </si>
  <si>
    <t>CDFTCDBD</t>
  </si>
  <si>
    <t>Clostridium difficile tcdB DNA</t>
  </si>
  <si>
    <t>A measurement of the Clostridium difficile toxin B (tcdB) DNA in a biological specimen.</t>
  </si>
  <si>
    <t>Clostridium difficile tcdB DNA Measurement</t>
  </si>
  <si>
    <t>C150861</t>
  </si>
  <si>
    <t>CDFTCDCD</t>
  </si>
  <si>
    <t>Clostridium difficile tcdC DNA</t>
  </si>
  <si>
    <t>A measurement of the Clostridium difficile regulatory protein (tcdC) DNA in a biological specimen.</t>
  </si>
  <si>
    <t>Clostridium difficile tcdC DNA Measurement</t>
  </si>
  <si>
    <t>C103381</t>
  </si>
  <si>
    <t>CDFTXN</t>
  </si>
  <si>
    <t>Clostridium difficile Toxin</t>
  </si>
  <si>
    <t>A measurement of the Clostridium difficile toxin in a biological specimen.</t>
  </si>
  <si>
    <t>Clostridium difficile Toxin Measurement</t>
  </si>
  <si>
    <t>C199915</t>
  </si>
  <si>
    <t>CDH1</t>
  </si>
  <si>
    <t>Cadherin 1</t>
  </si>
  <si>
    <t>Cadherin 1; Cadherin-1; E-Cadherin; Soluble CD324</t>
  </si>
  <si>
    <t>A measurement of the cadherin 1 in a biological specimen.</t>
  </si>
  <si>
    <t>Cadherin 1 Measurement</t>
  </si>
  <si>
    <t>C101016</t>
  </si>
  <si>
    <t>CDT</t>
  </si>
  <si>
    <t>Carbohydrate-Deficient Transferrin</t>
  </si>
  <si>
    <t>A measurement of transferrin with a reduced number of carbohydrate moieties in a biological specimen.</t>
  </si>
  <si>
    <t>Carbohydrate-Deficient Transferrin Measurement</t>
  </si>
  <si>
    <t>C125943</t>
  </si>
  <si>
    <t>CDTTFRN</t>
  </si>
  <si>
    <t>Carb-Deficient Transferrin/Transferrin</t>
  </si>
  <si>
    <t>A relative measurement (ratio or percentage) of the carbohydrate-deficient transferrin to total transferrin in a biological specimen.</t>
  </si>
  <si>
    <t>Carbohydrate-Deficient Transferrin to Transferrin Ratio Measurement</t>
  </si>
  <si>
    <t>C189551</t>
  </si>
  <si>
    <t>CDU</t>
  </si>
  <si>
    <t>Candida dubliniensis</t>
  </si>
  <si>
    <t>A measurement of the Candida dubliniensis in a biological specimen.</t>
  </si>
  <si>
    <t>Candida dubliniensis Measurement</t>
  </si>
  <si>
    <t>C139098</t>
  </si>
  <si>
    <t>CDX2AG</t>
  </si>
  <si>
    <t>CDX2 Antigen</t>
  </si>
  <si>
    <t>A measurement of the CDX2 antigen in a biological specimen.</t>
  </si>
  <si>
    <t>CDX2 Antigen Measurement</t>
  </si>
  <si>
    <t>C81983</t>
  </si>
  <si>
    <t>CEA</t>
  </si>
  <si>
    <t>Carcinoembryonic Antigen</t>
  </si>
  <si>
    <t>A measurement of the carcinoembryonic antigen in a biological specimen.</t>
  </si>
  <si>
    <t>Carcinoembryonic Antigen Measurement</t>
  </si>
  <si>
    <t>C172511</t>
  </si>
  <si>
    <t>CEACAM1</t>
  </si>
  <si>
    <t>CEA Cell Adhesion Molecule 1</t>
  </si>
  <si>
    <t>BGP; Biliary Glycoprotein; Carcinoembryonic Antigen Cell Adhesion Molecule 1; CEA Cell Adhesion Molecule 1; CEA Related Cell Adhesion Molecule 1; Soluble CD66a</t>
  </si>
  <si>
    <t>A measurement of the carcinoembryonic antigen (CEA) cell adhesion molecule 1 in a biological specimen.</t>
  </si>
  <si>
    <t>CEA Cell Adhesion Molecule 1 Measurement</t>
  </si>
  <si>
    <t>C191212</t>
  </si>
  <si>
    <t>CEACAM5</t>
  </si>
  <si>
    <t>CEA Cell Adhesion Molecule 5</t>
  </si>
  <si>
    <t>Carcinoembryonic Antigen-Related Cell Adhesion Molecule 5; CEA Cell Adhesion Molecule 5; Soluble CD66e</t>
  </si>
  <si>
    <t>A measurement of the carcinoembryonic antigen (CEA) cell adhesion molecule 5 in a biological specimen.</t>
  </si>
  <si>
    <t>CEA Cell Adhesion Molecule 5 Measurement</t>
  </si>
  <si>
    <t>C191290</t>
  </si>
  <si>
    <t>CEACAM5S</t>
  </si>
  <si>
    <t>Soluble CEA Cell Adhesion Molecule 5</t>
  </si>
  <si>
    <t>Soluble Carcinoembryonic Antigen-Related Cell Adhesion Molecule 5; Soluble CD66e; Soluble CEA Cell Adhesion Molecule 5</t>
  </si>
  <si>
    <t>A measurement of the soluble carcinoembryonic antigen (CEA) cell adhesion molecule 5 in a biological specimen.</t>
  </si>
  <si>
    <t>Soluble CEA Cell Adhesion Molecule 5 Measurement</t>
  </si>
  <si>
    <t>C96592</t>
  </si>
  <si>
    <t>CEC</t>
  </si>
  <si>
    <t>Circulating Endothelial Cells</t>
  </si>
  <si>
    <t>A measurement of the circulating endothelial cells in a biological specimen.</t>
  </si>
  <si>
    <t>Circulating Endothelial Cell Count</t>
  </si>
  <si>
    <t>C187946</t>
  </si>
  <si>
    <t>CEDISTR</t>
  </si>
  <si>
    <t>Cell Distribution</t>
  </si>
  <si>
    <t>An interpretive assessment of the proportion of various cell types in a biological specimen.</t>
  </si>
  <si>
    <t>Cell Distribution Measurement</t>
  </si>
  <si>
    <t>C111234</t>
  </si>
  <si>
    <t>CEIMCE</t>
  </si>
  <si>
    <t>Immature Cells/Total Cells</t>
  </si>
  <si>
    <t>A relative measurement (ratio or percentage) of the immature hematopoietic cells to total cells in a biological specimen.</t>
  </si>
  <si>
    <t>Immature Cell to Total Cell Ratio Measurement</t>
  </si>
  <si>
    <t>C120538</t>
  </si>
  <si>
    <t>CELLDENS</t>
  </si>
  <si>
    <t>Cell Density</t>
  </si>
  <si>
    <t>A measurement of the number of cells contained in a unit of volume or area.</t>
  </si>
  <si>
    <t>C132430</t>
  </si>
  <si>
    <t>CELLDIFF</t>
  </si>
  <si>
    <t>Cellular Differentiation</t>
  </si>
  <si>
    <t>An evaluation of cellular maturity and specialization in a biological specimen.</t>
  </si>
  <si>
    <t>Cellular Differentiation Assessment</t>
  </si>
  <si>
    <t>C120710</t>
  </si>
  <si>
    <t>CELLDMAX</t>
  </si>
  <si>
    <t>Cell Density, Maximum</t>
  </si>
  <si>
    <t>The maximum number in a group of values that represent the cell density.</t>
  </si>
  <si>
    <t>Maximum Cell Density</t>
  </si>
  <si>
    <t>C120711</t>
  </si>
  <si>
    <t>CELLDMIN</t>
  </si>
  <si>
    <t>Cell Density, Minimum</t>
  </si>
  <si>
    <t>The minimum number in a group of values that represent the cell density.</t>
  </si>
  <si>
    <t>Minimum Cell Density</t>
  </si>
  <si>
    <t>C120712</t>
  </si>
  <si>
    <t>CELLDMN</t>
  </si>
  <si>
    <t>Cell Density, Mean</t>
  </si>
  <si>
    <t>The mean number in a group of values that represent the cell density.</t>
  </si>
  <si>
    <t>Mean Cell Density</t>
  </si>
  <si>
    <t>C120713</t>
  </si>
  <si>
    <t>CELLDSD</t>
  </si>
  <si>
    <t>Cell Density, Standard Deviation</t>
  </si>
  <si>
    <t>The standard deviation in a group of values that represent the cell density.</t>
  </si>
  <si>
    <t>Standard Deviation of Cell Density</t>
  </si>
  <si>
    <t>C48938</t>
  </si>
  <si>
    <t>CELLS</t>
  </si>
  <si>
    <t>Cells</t>
  </si>
  <si>
    <t>Cells; Total Cells</t>
  </si>
  <si>
    <t>A measurement of the total nucleated cells in a biological specimen.</t>
  </si>
  <si>
    <t>Cell Count</t>
  </si>
  <si>
    <t>C96672</t>
  </si>
  <si>
    <t>CELLSIM</t>
  </si>
  <si>
    <t>Immature Cells</t>
  </si>
  <si>
    <t>A measurement of the total immature cells in a blood specimen.</t>
  </si>
  <si>
    <t>Immature Cell Count</t>
  </si>
  <si>
    <t>C111153</t>
  </si>
  <si>
    <t>CELLULAR</t>
  </si>
  <si>
    <t>Cellularity</t>
  </si>
  <si>
    <t>Cellularity; Cellularity Grade</t>
  </si>
  <si>
    <t>A measurement of the degree, quality or condition of cells in a biological specimen.</t>
  </si>
  <si>
    <t>Cellularity Measurement</t>
  </si>
  <si>
    <t>C184342</t>
  </si>
  <si>
    <t>CEMORPH</t>
  </si>
  <si>
    <t>Cell Morphology</t>
  </si>
  <si>
    <t>An examination or assessment of the form and structure of cells.</t>
  </si>
  <si>
    <t>Cell Morphology Assessment</t>
  </si>
  <si>
    <t>C120632</t>
  </si>
  <si>
    <t>CETP</t>
  </si>
  <si>
    <t>Cholesteryl Ester Transfer Protein</t>
  </si>
  <si>
    <t>A measurement of the cholesteryl ester transfer protein in a biological specimen.</t>
  </si>
  <si>
    <t>Cholesteryl Ester Transfer Protein Measurement</t>
  </si>
  <si>
    <t>C103380</t>
  </si>
  <si>
    <t>CETPA</t>
  </si>
  <si>
    <t>Cholesteryl Ester Transfer Protein Act</t>
  </si>
  <si>
    <t>A measurement of the biological activity of cholesteryl ester transfer protein in a biological specimen.</t>
  </si>
  <si>
    <t>Cholesteryl Ester Transfer Protein Activity Measurement</t>
  </si>
  <si>
    <t>C176311</t>
  </si>
  <si>
    <t>CFA</t>
  </si>
  <si>
    <t>Coefficient of Fat Absorption</t>
  </si>
  <si>
    <t>A measurement of the coefficient of fat absorption in a biological specimen.</t>
  </si>
  <si>
    <t>Coefficient of Fat Absorption Measurement</t>
  </si>
  <si>
    <t>C199918</t>
  </si>
  <si>
    <t>CFH</t>
  </si>
  <si>
    <t>Complement Factor H</t>
  </si>
  <si>
    <t>Beta-1-H-Globulin; Complement Factor H; Factor H; H Factor 1</t>
  </si>
  <si>
    <t>A measurement of the complement factor H in a biological specimen.</t>
  </si>
  <si>
    <t>Complement Factor H Measurement</t>
  </si>
  <si>
    <t>C199919</t>
  </si>
  <si>
    <t>CFHR1</t>
  </si>
  <si>
    <t>Complement Factor H-Related Protein 1</t>
  </si>
  <si>
    <t>Complement Factor H Related 1; Complement Factor H-Related Protein 1; FHL-1; FHR-1; H Factor-Like Protein 1; H-Factor-Like 1</t>
  </si>
  <si>
    <t>A measurement of the complement factor H-related Protein 1 in a biological specimen.</t>
  </si>
  <si>
    <t>Complement Factor H-Related Protein 1 Measurement</t>
  </si>
  <si>
    <t>C209637</t>
  </si>
  <si>
    <t>CFR</t>
  </si>
  <si>
    <t>Citrobacter freundi</t>
  </si>
  <si>
    <t>A measurement of the Citrobacter freundi in a biological specimen.</t>
  </si>
  <si>
    <t>Citrobacter freundi Measurement</t>
  </si>
  <si>
    <t>C209439</t>
  </si>
  <si>
    <t>CFSTRAIN</t>
  </si>
  <si>
    <t>Circumferential Strain</t>
  </si>
  <si>
    <t>A measurement of the change in length of the myocardium along the circumferential axis of the ventricle or atrium as viewed in the short axis.</t>
  </si>
  <si>
    <t>Circumferential Strain Measurement</t>
  </si>
  <si>
    <t>C122108</t>
  </si>
  <si>
    <t>CGA</t>
  </si>
  <si>
    <t>Chromogranin A</t>
  </si>
  <si>
    <t>A measurement of the chromogranin A in a biological specimen.</t>
  </si>
  <si>
    <t>Chromogranin A Measurement</t>
  </si>
  <si>
    <t>C161374</t>
  </si>
  <si>
    <t>CGADJMW</t>
  </si>
  <si>
    <t>Choriogonadotropin Adj for Maternal Wt</t>
  </si>
  <si>
    <t>Choriogonadotropin Adj for Maternal Wt; Choriogonadotropin Adjusted for Maternal Weight</t>
  </si>
  <si>
    <t>A measurement of choriogonadotropin, which has been adjusted for maternal body weight, in a biological specimen.</t>
  </si>
  <si>
    <t>Choriogonadotropin Adjusted for Maternal Weight Measurement</t>
  </si>
  <si>
    <t>C187844</t>
  </si>
  <si>
    <t>CGL</t>
  </si>
  <si>
    <t>Candida glabrata</t>
  </si>
  <si>
    <t>A measurement of the Candida glabrata in a biological specimen.</t>
  </si>
  <si>
    <t>Candida glabrata Measurement</t>
  </si>
  <si>
    <t>C111165</t>
  </si>
  <si>
    <t>CGMP</t>
  </si>
  <si>
    <t>Cyclic Guanosine Monophosphate</t>
  </si>
  <si>
    <t>A measurement of the cyclic guanosine 3,5-monophosphate in a biological specimen.</t>
  </si>
  <si>
    <t>Cyclic Guanosine Monophosphate Measurement</t>
  </si>
  <si>
    <t>C147317</t>
  </si>
  <si>
    <t>CH100</t>
  </si>
  <si>
    <t>Complement CH100</t>
  </si>
  <si>
    <t>CH100; Complement CH100; Total Hemolytic Complement CH100</t>
  </si>
  <si>
    <t>A measurement of the complement required to lyse 100 percent of red blood cells in a biological specimen.</t>
  </si>
  <si>
    <t>Complement CH100 Measurement</t>
  </si>
  <si>
    <t>C100423</t>
  </si>
  <si>
    <t>CH50</t>
  </si>
  <si>
    <t>Complement CH50</t>
  </si>
  <si>
    <t>CH50; Complement CH50; Total Hemolytic Complement CH50</t>
  </si>
  <si>
    <t>A measurement of the complement required to lyse 50 percent of red blood cells in a biological specimen.</t>
  </si>
  <si>
    <t>CH50 Measurement</t>
  </si>
  <si>
    <t>C139067</t>
  </si>
  <si>
    <t>CHCM</t>
  </si>
  <si>
    <t>Corpuscular HGB Concentration Mean</t>
  </si>
  <si>
    <t>A direct measurement of the concentration of hemoglobin within individual erythrocytes in a biological specimen, reported as a mean.</t>
  </si>
  <si>
    <t>Corpuscular Hemoglobin Concentration Mean</t>
  </si>
  <si>
    <t>C138970</t>
  </si>
  <si>
    <t>CHCMR</t>
  </si>
  <si>
    <t>Ret. Corpuscular HGB Concentration Mean</t>
  </si>
  <si>
    <t>Ret. Corpuscular HGB Concentration Mean; Reticulocyte Corpuscular Hemoglobin Concentration Mean</t>
  </si>
  <si>
    <t>An indirect measurement of the average concentration of hemoglobin per reticulocyte in a biological specimen, calculated as the ratio of hemoglobin to hematocrit.</t>
  </si>
  <si>
    <t>Reticulocyte Corpuscular Hemoglobin Concentration Mean</t>
  </si>
  <si>
    <t>C139066</t>
  </si>
  <si>
    <t>CHCNT</t>
  </si>
  <si>
    <t>Corpuscular Hemoglobin Content</t>
  </si>
  <si>
    <t>Cellular Hemoglobin Content; CH; Corpuscular Hemoglobin Content</t>
  </si>
  <si>
    <t>A measurement of the mean erythrocyte hemoglobin content within an individual erythrocyte, calculated as the product of cell volume and cell hemoglobin concentration.</t>
  </si>
  <si>
    <t>C181430</t>
  </si>
  <si>
    <t>CHDH7A25</t>
  </si>
  <si>
    <t>7alpha,25-Dihydroxycholesterol</t>
  </si>
  <si>
    <t>A measurement of the 7alpha,25-dihydroxycholesterol in a biological specimen.</t>
  </si>
  <si>
    <t>7alpha,25-Dihydroxycholesterol Measurement</t>
  </si>
  <si>
    <t>C181431</t>
  </si>
  <si>
    <t>CHDH7A27</t>
  </si>
  <si>
    <t>7alpha,27-Dihydroxycholesterol</t>
  </si>
  <si>
    <t>A measurement of the 7alpha,27-dihydroxycholesterol in a biological specimen.</t>
  </si>
  <si>
    <t>7alpha,27-Dihydroxycholesterol Measurement</t>
  </si>
  <si>
    <t>C139068</t>
  </si>
  <si>
    <t>CHDW</t>
  </si>
  <si>
    <t>Corpuscular HGB Conc Distribution Width</t>
  </si>
  <si>
    <t>Corpuscular Hemoglobin Concentration Distribution Width; Corpuscular HGB Conc Distribution Width</t>
  </si>
  <si>
    <t>A measurement of the standard deviation of hemoglobin concentrations in erythrocytes in a biological specimen, calculated as the standard deviation of hemoglobin content divided by the mean hemoglobin content.</t>
  </si>
  <si>
    <t>Corpuscular Hemoglobin Concentration Distribution Width</t>
  </si>
  <si>
    <t>C139069</t>
  </si>
  <si>
    <t>CHDWR</t>
  </si>
  <si>
    <t>Ret Corpuscular HGB Conc Distr Width</t>
  </si>
  <si>
    <t>Ret Corpuscular HGB Conc Distr Width; Reticulocyte Corpuscular Hemoglobin Distribution Width</t>
  </si>
  <si>
    <t>A measurement of the standard deviation of hemoglobin concentrations in reticulocytes in a biological specimen, calculated as the standard deviation of hemoglobin content divided by the mean hemoglobin content.</t>
  </si>
  <si>
    <t>Reticulocyte Corpuscular Hemoglobin Distribution Width</t>
  </si>
  <si>
    <t>C181423</t>
  </si>
  <si>
    <t>CHE24S25</t>
  </si>
  <si>
    <t>24(S),25-Epoxycholesterol</t>
  </si>
  <si>
    <t>A measurement of the 24(S),25-epoxycholesterol in a biological specimen.</t>
  </si>
  <si>
    <t>24(S),25-Epoxycholesterol Measurement</t>
  </si>
  <si>
    <t>C156606</t>
  </si>
  <si>
    <t>CHESTCIR</t>
  </si>
  <si>
    <t>Chest Circumference</t>
  </si>
  <si>
    <t>The distance around an individual's chest.</t>
  </si>
  <si>
    <t>C106508</t>
  </si>
  <si>
    <t>CHILDPOT</t>
  </si>
  <si>
    <t>Childbearing Potential</t>
  </si>
  <si>
    <t>An indicator as to whether the female subject has the potential to become pregnant. (NCI)</t>
  </si>
  <si>
    <t>C178042</t>
  </si>
  <si>
    <t>CHINFINL</t>
  </si>
  <si>
    <t>Chronic Inflammatory Infiltrate</t>
  </si>
  <si>
    <t>An evaluation of chronic inflammatory infiltrate in a biological specimen.</t>
  </si>
  <si>
    <t>Chronic Inflammatory Infiltrate Assessment</t>
  </si>
  <si>
    <t>C187795</t>
  </si>
  <si>
    <t>CHITTDS</t>
  </si>
  <si>
    <t>Chitotriosidase</t>
  </si>
  <si>
    <t>Chitinase 1; Chitotriosidase; Chitotriosidase-1</t>
  </si>
  <si>
    <t>A measurement of the chitotriosidase-1 in a biological specimen.</t>
  </si>
  <si>
    <t>Chitotriosidase-1 Measurement</t>
  </si>
  <si>
    <t>C201441</t>
  </si>
  <si>
    <t>CHKRNA</t>
  </si>
  <si>
    <t>Chikungunya Virus RNA</t>
  </si>
  <si>
    <t>A measurement of the Chikungunya virus RNA in a biological specimen.</t>
  </si>
  <si>
    <t>Chikungunya Virus RNA Measurement</t>
  </si>
  <si>
    <t>C172527</t>
  </si>
  <si>
    <t>CHLAMYD</t>
  </si>
  <si>
    <t>Chlamydia</t>
  </si>
  <si>
    <t>A measurement of the organisms that are not assigned to the species level but are assigned to the Chlamydia genus level in a biological specimen.</t>
  </si>
  <si>
    <t>Chlamydia Measurement</t>
  </si>
  <si>
    <t>C19309</t>
  </si>
  <si>
    <t>CHLDHSHN</t>
  </si>
  <si>
    <t>Number of Children in Household</t>
  </si>
  <si>
    <t>The number of children (including neonates) residing in the household.</t>
  </si>
  <si>
    <t>C120633</t>
  </si>
  <si>
    <t>CHLMCRN</t>
  </si>
  <si>
    <t>Chylomicrons</t>
  </si>
  <si>
    <t>A measurement of the chylomicrons in a biological specimen.</t>
  </si>
  <si>
    <t>Chylomicrons Measurement</t>
  </si>
  <si>
    <t>C174302</t>
  </si>
  <si>
    <t>CHLMCRNT</t>
  </si>
  <si>
    <t>Chylomicron Triglyceride</t>
  </si>
  <si>
    <t>A measurement of the chylomicron triglyceride in a biological specimen.</t>
  </si>
  <si>
    <t>Chylomicron Triglyceride Measurement</t>
  </si>
  <si>
    <t>C184612</t>
  </si>
  <si>
    <t>CHLRHDRT</t>
  </si>
  <si>
    <t>Chloral Hydrate</t>
  </si>
  <si>
    <t>Chloral Hydrate; Mickey Finn; Trichloroacetaldehyde Monohydrate</t>
  </si>
  <si>
    <t>A measurement of the chloral hydrate in a biological specimen.</t>
  </si>
  <si>
    <t>Chloral Hydrate Measurement</t>
  </si>
  <si>
    <t>C177968</t>
  </si>
  <si>
    <t>CHLRPMZN</t>
  </si>
  <si>
    <t>Chlorpromazine</t>
  </si>
  <si>
    <t>A measurement of the chlorpromazine in a biological specimen.</t>
  </si>
  <si>
    <t>Chlorpromazine Measurement</t>
  </si>
  <si>
    <t>C201458</t>
  </si>
  <si>
    <t>CHOCTN</t>
  </si>
  <si>
    <t>Choline/Creatine</t>
  </si>
  <si>
    <t>A relative measurement (ratio) of the choline to the creatine in a biological specimen.</t>
  </si>
  <si>
    <t>Choline to Creatine Ratio Measurement</t>
  </si>
  <si>
    <t>C105586</t>
  </si>
  <si>
    <t>CHOL</t>
  </si>
  <si>
    <t>Cholesterol</t>
  </si>
  <si>
    <t>Cholesterol; Total Cholesterol</t>
  </si>
  <si>
    <t>A measurement of the cholesterol in a biological specimen.</t>
  </si>
  <si>
    <t>Cholesterol Measurement</t>
  </si>
  <si>
    <t>C172499</t>
  </si>
  <si>
    <t>CHOLATE</t>
  </si>
  <si>
    <t>Cholate</t>
  </si>
  <si>
    <t>Cholate; Cholic Acid</t>
  </si>
  <si>
    <t>A measurement of the cholate in a biological specimen.</t>
  </si>
  <si>
    <t>Cholate Measurement</t>
  </si>
  <si>
    <t>C176232</t>
  </si>
  <si>
    <t>CHOLCM</t>
  </si>
  <si>
    <t>Cholate Compounds</t>
  </si>
  <si>
    <t>Cholate Compounds; Cholic Acid Compounds</t>
  </si>
  <si>
    <t>A measurement of the cholic acid, glycocholic acid, hyocholic acid, and taurocholic acid in a biological specimen.</t>
  </si>
  <si>
    <t>Cholate Compounds Measurement</t>
  </si>
  <si>
    <t>C181420</t>
  </si>
  <si>
    <t>CHOLH20S</t>
  </si>
  <si>
    <t>20(S)-Hydroxycholesterol</t>
  </si>
  <si>
    <t>20(S)-Hydroxycholesterol; 20-Alpha-Hydroxycholesterol</t>
  </si>
  <si>
    <t>A measurement of the 20(S)-hydroxycholesterol in a biological specimen.</t>
  </si>
  <si>
    <t>20(S)-Hydroxycholesterol Measurement</t>
  </si>
  <si>
    <t>C181421</t>
  </si>
  <si>
    <t>CHOLH22R</t>
  </si>
  <si>
    <t>22(R)-Hydroxycholesterol</t>
  </si>
  <si>
    <t>A measurement of the 22(R)-hydroxycholesterol in a biological specimen.</t>
  </si>
  <si>
    <t>22(R)-Hydroxycholesterol Measurement</t>
  </si>
  <si>
    <t>C181422</t>
  </si>
  <si>
    <t>CHOLH22S</t>
  </si>
  <si>
    <t>22(S)-Hydroxycholesterol</t>
  </si>
  <si>
    <t>A measurement of the 22(S)-hydroxycholesterol in a biological specimen.</t>
  </si>
  <si>
    <t>22(S)-Hydroxycholesterol Measurement</t>
  </si>
  <si>
    <t>C181424</t>
  </si>
  <si>
    <t>CHOLH24R</t>
  </si>
  <si>
    <t>24(R)-Hydroxycholesterol</t>
  </si>
  <si>
    <t>A measurement of the 24(R)-hydroxycholesterol in a biological specimen.</t>
  </si>
  <si>
    <t>24(R)-Hydroxycholesterol Measurement</t>
  </si>
  <si>
    <t>C181425</t>
  </si>
  <si>
    <t>CHOLH24S</t>
  </si>
  <si>
    <t>24(S)-Hydroxycholesterol</t>
  </si>
  <si>
    <t>A measurement of the 24(S)-hydroxycholesterol in a biological specimen.</t>
  </si>
  <si>
    <t>24(S)-Hydroxycholesterol Measurement</t>
  </si>
  <si>
    <t>C181426</t>
  </si>
  <si>
    <t>CHOLH25</t>
  </si>
  <si>
    <t>25-Hydroxycholesterol</t>
  </si>
  <si>
    <t>A measurement of the 25-hydroxycholesterol in a biological specimen.</t>
  </si>
  <si>
    <t>25-Hydroxycholesterol Measurement</t>
  </si>
  <si>
    <t>C181427</t>
  </si>
  <si>
    <t>CHOLH27</t>
  </si>
  <si>
    <t>27-Hydroxycholesterol</t>
  </si>
  <si>
    <t>A measurement of the 27-hydroxycholesterol in a biological specimen.</t>
  </si>
  <si>
    <t>27-Hydroxycholesterol Measurement</t>
  </si>
  <si>
    <t>C181432</t>
  </si>
  <si>
    <t>CHOLH7A</t>
  </si>
  <si>
    <t>7alpha-Hydroxycholesterol</t>
  </si>
  <si>
    <t>A measurement of the 7alpha-hydroxycholesterol in a biological specimen.</t>
  </si>
  <si>
    <t>7alpha-Hydroxycholesterol Measurement</t>
  </si>
  <si>
    <t>C181433</t>
  </si>
  <si>
    <t>CHOLH7B</t>
  </si>
  <si>
    <t>7beta-Hydroxycholesterol</t>
  </si>
  <si>
    <t>A measurement of the 7beta-hydroxycholesterol in a biological specimen.</t>
  </si>
  <si>
    <t>7beta-Hydroxycholesterol Measurement</t>
  </si>
  <si>
    <t>C80171</t>
  </si>
  <si>
    <t>CHOLHDL</t>
  </si>
  <si>
    <t>Cholesterol/HDL-Cholesterol</t>
  </si>
  <si>
    <t>A relative measurement (ratio or percentage) of total cholesterol to high-density lipoprotein cholesterol (HDL-C) in a biological specimen.</t>
  </si>
  <si>
    <t>Cholesterol to HDL-Cholesterol Ratio Measurement</t>
  </si>
  <si>
    <t>C201454</t>
  </si>
  <si>
    <t>CHOLINE</t>
  </si>
  <si>
    <t>Choline</t>
  </si>
  <si>
    <t>A measurement of the choline in a biological specimen.</t>
  </si>
  <si>
    <t>Choline Measurement</t>
  </si>
  <si>
    <t>C92289</t>
  </si>
  <si>
    <t>CHOLINES</t>
  </si>
  <si>
    <t>Cholinesterase</t>
  </si>
  <si>
    <t>A measurement of the cholinesterase in a biological specimen.</t>
  </si>
  <si>
    <t>Cholinesterase Measurement</t>
  </si>
  <si>
    <t>C181434</t>
  </si>
  <si>
    <t>CHOLK7</t>
  </si>
  <si>
    <t>7-Ketocholesterol</t>
  </si>
  <si>
    <t>7-Ketocholesterol; 7-Oxocholesterol</t>
  </si>
  <si>
    <t>A measurement of the 7-ketocholesterol in a biological specimen.</t>
  </si>
  <si>
    <t>7-Ketocholesterol Measurement</t>
  </si>
  <si>
    <t>C156514</t>
  </si>
  <si>
    <t>CHOLOH4B</t>
  </si>
  <si>
    <t>4-Beta-Hydroxycholesterol</t>
  </si>
  <si>
    <t>A measurement of the 4-beta-hydroxycholesterol in a biological specimen.</t>
  </si>
  <si>
    <t>4-Beta-Hydroxycholesterol Measurement</t>
  </si>
  <si>
    <t>C181435</t>
  </si>
  <si>
    <t>CHOLSTNL</t>
  </si>
  <si>
    <t>Cholestanol</t>
  </si>
  <si>
    <t>5alpha-Cholestanol; Beta-Cholestanol; Cholestanol; Dehydrocholesterol; Zymostanol</t>
  </si>
  <si>
    <t>A measurement of the cholestanol in a biological specimen.</t>
  </si>
  <si>
    <t>Cholestanol Measurement</t>
  </si>
  <si>
    <t>C181436</t>
  </si>
  <si>
    <t>CHOLSULF</t>
  </si>
  <si>
    <t>Cholesterol Sulfate</t>
  </si>
  <si>
    <t>A measurement of the cholesterol sulfate in a biological specimen.</t>
  </si>
  <si>
    <t>Cholesterol Sulfate Measurement</t>
  </si>
  <si>
    <t>C135489</t>
  </si>
  <si>
    <t>CHTMAX</t>
  </si>
  <si>
    <t>Concentration at Half Tmax</t>
  </si>
  <si>
    <t>The concentration that occurs at the midpoint time between dosing time and Tmax.</t>
  </si>
  <si>
    <t>C111155</t>
  </si>
  <si>
    <t>CHYPTENL</t>
  </si>
  <si>
    <t>Chamber Hypertrophy or Enlargement</t>
  </si>
  <si>
    <t>An electrocardiographic assessment of chamber hypertrophy or enlargement.</t>
  </si>
  <si>
    <t>Chamber Hypertrophy or Enlargement ECG Assessment</t>
  </si>
  <si>
    <t>C111159</t>
  </si>
  <si>
    <t>CHYTRYP</t>
  </si>
  <si>
    <t>Chymotrypsin</t>
  </si>
  <si>
    <t>A measurement of the total chymotrypsin in a biological specimen.</t>
  </si>
  <si>
    <t>Chymotrypsin Measurement</t>
  </si>
  <si>
    <t>C127611</t>
  </si>
  <si>
    <t>CIC</t>
  </si>
  <si>
    <t>Circulating Immune Complexes</t>
  </si>
  <si>
    <t>A measurement of the circulating immune complexes in a biological specimen.</t>
  </si>
  <si>
    <t>Circulating Immune Complex Measurement</t>
  </si>
  <si>
    <t>C202576</t>
  </si>
  <si>
    <t>CINVIND</t>
  </si>
  <si>
    <t>Contact Investigation Indicator</t>
  </si>
  <si>
    <t>An indication as to whether a contact investigation (a public health activity whereby individuals who have been exposed to a person with a suspected or confirmed contagious illness are identified for contact tracing) has been carried out for the subject.</t>
  </si>
  <si>
    <t>Disease Contact Investigation Indicator</t>
  </si>
  <si>
    <t>C122109</t>
  </si>
  <si>
    <t>CIT</t>
  </si>
  <si>
    <t>Citrulline</t>
  </si>
  <si>
    <t>A measurement of the citrulline in a biological specimen.</t>
  </si>
  <si>
    <t>Citrulline Measurement</t>
  </si>
  <si>
    <t>C122110</t>
  </si>
  <si>
    <t>CITCREAT</t>
  </si>
  <si>
    <t>Citrate/Creatinine</t>
  </si>
  <si>
    <t>Citrate/Creatinine; Citric Acid/Creatinine</t>
  </si>
  <si>
    <t>A relative measurement (ratio or percentage) of the citrate to creatinine in a biological specimen.</t>
  </si>
  <si>
    <t>Citrate to Creatinine Ratio Measurement</t>
  </si>
  <si>
    <t>C127788</t>
  </si>
  <si>
    <t>CITNSTDY</t>
  </si>
  <si>
    <t>Citation Used in Study</t>
  </si>
  <si>
    <t>A bibliographical reference related to a particular study.</t>
  </si>
  <si>
    <t>Clinical Study Citation</t>
  </si>
  <si>
    <t>C92248</t>
  </si>
  <si>
    <t>CITRATE</t>
  </si>
  <si>
    <t>Citrate</t>
  </si>
  <si>
    <t>Citrate; Citric Acid</t>
  </si>
  <si>
    <t>A measurement of the citrate in a biological specimen.</t>
  </si>
  <si>
    <t>Citrate Measurement</t>
  </si>
  <si>
    <t>C163425</t>
  </si>
  <si>
    <t>CITRTEXR</t>
  </si>
  <si>
    <t>Citrate Excretion Rate</t>
  </si>
  <si>
    <t>A measurement of the amount of citrate being excreted in a biological specimen over a defined amount of time (e.g. one hour).</t>
  </si>
  <si>
    <t>C186149</t>
  </si>
  <si>
    <t>CJE</t>
  </si>
  <si>
    <t>Campylobacter jejuni</t>
  </si>
  <si>
    <t>A measurement of the Campylobacter jejuni in a biological specimen.</t>
  </si>
  <si>
    <t>Campylobacter jejuni Measurement</t>
  </si>
  <si>
    <t>C221603</t>
  </si>
  <si>
    <t>CJEI</t>
  </si>
  <si>
    <t>Corynebacterium jeikeium</t>
  </si>
  <si>
    <t>A measurement of Corynebacterium jeikeium in a biological specimen.</t>
  </si>
  <si>
    <t>Corynebacterium jeikeium Measurement</t>
  </si>
  <si>
    <t>C64489</t>
  </si>
  <si>
    <t>CK</t>
  </si>
  <si>
    <t>Creatine Kinase</t>
  </si>
  <si>
    <t>CPK; Creatine Kinase; Creatine Phosphokinase</t>
  </si>
  <si>
    <t>A measurement of the total creatine kinase in a biological specimen.</t>
  </si>
  <si>
    <t>Creatine Kinase Measurement</t>
  </si>
  <si>
    <t>C64490</t>
  </si>
  <si>
    <t>CKBB</t>
  </si>
  <si>
    <t>Creatine Kinase BB</t>
  </si>
  <si>
    <t>A measurement of the homozygous B-type creatine kinase in a biological specimen.</t>
  </si>
  <si>
    <t>Creatine Kinase BB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</si>
  <si>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</si>
  <si>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</si>
  <si>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</si>
  <si>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</si>
  <si>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</si>
  <si>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C64491</t>
  </si>
  <si>
    <t>CKMB</t>
  </si>
  <si>
    <t>Creatine Kinase MB</t>
  </si>
  <si>
    <t>A measurement of the heterozygous MB-type creatine kinase in a biological specimen.</t>
  </si>
  <si>
    <t>Creatine Kinase MB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</si>
  <si>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</si>
  <si>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</si>
  <si>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</si>
  <si>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</si>
  <si>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</si>
  <si>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C64494</t>
  </si>
  <si>
    <t>CKMM</t>
  </si>
  <si>
    <t>Creatine Kinase MM</t>
  </si>
  <si>
    <t>A measurement of the homozygous M-type creatine kinase in a biological specimen.</t>
  </si>
  <si>
    <t>Creatine Kinase MM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</si>
  <si>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</si>
  <si>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</si>
  <si>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</si>
  <si>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</si>
  <si>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</si>
  <si>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C147319</t>
  </si>
  <si>
    <t>CKMT1CK</t>
  </si>
  <si>
    <t>CK, Macromolecular Type 1/Total CK</t>
  </si>
  <si>
    <t>CK, Macromolecular Type 1/Total CK; Creatine Kinase, Macromolecular Type 1/Total Creatine Kinase</t>
  </si>
  <si>
    <t>A relative measurement (ratio or percentage) of the macromolecular type 1 creatine kinase to total creatine kinase in a biological specimen.</t>
  </si>
  <si>
    <t>Macromolecular Type 1 Creatine Kinase to Total Creatine Kinase Ratio Measurement</t>
  </si>
  <si>
    <t>C147320</t>
  </si>
  <si>
    <t>CKMT2CK</t>
  </si>
  <si>
    <t>CK, Macromolecular Type 2/Total CK</t>
  </si>
  <si>
    <t>CK, Macromolecular Type 2/Total CK; Creatine Kinase, Macromolecular Type 2/Total Creatine Kinase</t>
  </si>
  <si>
    <t>A relative measurement (ratio or percentage) of the macromolecular type 2 creatine kinase to total creatine kinase in a biological specimen.</t>
  </si>
  <si>
    <t>Macromolecular Type 2 Creatine Kinase to Total Creatine Kinase Ratio Measurement</t>
  </si>
  <si>
    <t>C187846</t>
  </si>
  <si>
    <t>CKO</t>
  </si>
  <si>
    <t>Citrobacter koseri</t>
  </si>
  <si>
    <t>A measurement of the Citrobacter koseri in a biological specimen.</t>
  </si>
  <si>
    <t>Citrobacter koseri Measurement</t>
  </si>
  <si>
    <t>C64495</t>
  </si>
  <si>
    <t>CL</t>
  </si>
  <si>
    <t>Chloride</t>
  </si>
  <si>
    <t>A measurement of the chloride in a biological specimen.</t>
  </si>
  <si>
    <t>Chloride Measurement</t>
  </si>
  <si>
    <t>C96594</t>
  </si>
  <si>
    <t>CLARITY</t>
  </si>
  <si>
    <t>Clarity</t>
  </si>
  <si>
    <t>A measurement of the transparency of a biological specimen.</t>
  </si>
  <si>
    <t>Clarity Measurement</t>
  </si>
  <si>
    <t>C106509</t>
  </si>
  <si>
    <t>CLCLR</t>
  </si>
  <si>
    <t>Chloride Clearance</t>
  </si>
  <si>
    <t>A measurement of the volume of serum or plasma that would be cleared of chloride by excretion of urine for a specified unit of time (e.g. one minute).</t>
  </si>
  <si>
    <t>Chloride Clearance Measurement</t>
  </si>
  <si>
    <t>C79440</t>
  </si>
  <si>
    <t>CLCREAT</t>
  </si>
  <si>
    <t>Chloride/Creatinine</t>
  </si>
  <si>
    <t>A relative measurement (ratio or percentage) of the chloride to creatinine in a biological specimen.</t>
  </si>
  <si>
    <t>Chloride to Creatinine Ratio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</si>
  <si>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</si>
  <si>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</si>
  <si>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</si>
  <si>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</si>
  <si>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</si>
  <si>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</si>
  <si>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</si>
  <si>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</si>
  <si>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</si>
  <si>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</si>
  <si>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C181511</t>
  </si>
  <si>
    <t>CLDISIND</t>
  </si>
  <si>
    <t>Corrective Lens for Distance Indicator</t>
  </si>
  <si>
    <t>An indication as to whether an eye lens(es) is worn by the subject to correct for distance.</t>
  </si>
  <si>
    <t>C181512</t>
  </si>
  <si>
    <t>CLDISTYP</t>
  </si>
  <si>
    <t>Corrective Lens Type for Distance</t>
  </si>
  <si>
    <t>A description of the type of eye lens(es) worn by the subject to correct for distance.</t>
  </si>
  <si>
    <t>C135405</t>
  </si>
  <si>
    <t>CLEPNSQE</t>
  </si>
  <si>
    <t>Columnar Epi Cells/Non-Squam Epi Cells</t>
  </si>
  <si>
    <t>A relative measurement (ratio or percentage) of the columnar epithelial cells to non-squamous epithelial cells in a biological specimen.</t>
  </si>
  <si>
    <t>Columnar Epithelial Cells to Non-Squamous Epithelial Cells Ratio Measurement</t>
  </si>
  <si>
    <t>C150816</t>
  </si>
  <si>
    <t>CLEXR</t>
  </si>
  <si>
    <t>Chloride Excretion Rate</t>
  </si>
  <si>
    <t>A measurement of the amount of chloride being excreted in a biological specimen over a defined period of time (e.g. one hour).</t>
  </si>
  <si>
    <t>C85772</t>
  </si>
  <si>
    <t>CLFO</t>
  </si>
  <si>
    <t>Total CL Obs by F</t>
  </si>
  <si>
    <t>The total body clearance for extravascular administration divided by the fraction of dose absorbed, calculated using the AUCINF based on the observed value of the last non-zero concentration.</t>
  </si>
  <si>
    <t>Observed Total Body Clearance by Fraction of Dose Absorbed</t>
  </si>
  <si>
    <t>C92399</t>
  </si>
  <si>
    <t>CLFOB</t>
  </si>
  <si>
    <t>Total CL Obs by F Norm by BMI</t>
  </si>
  <si>
    <t>The total body clearance for extravascular administration divided by the fraction of dose absorbed, calculated using the AUCINF based on the observed value of the last non-zero concentration, divided by the body mass index.</t>
  </si>
  <si>
    <t>Total Clearance Observed by Fraction Dose Normalized by Body Mass Index</t>
  </si>
  <si>
    <t>C92400</t>
  </si>
  <si>
    <t>CLFOD</t>
  </si>
  <si>
    <t>Total CL Obs by F Norm by Dose</t>
  </si>
  <si>
    <t>The total body clearance for extravascular administration divided by the fraction of dose absorbed, calculated using the AUCINF based on the observed value of the last non-zero concentration, divided by the dose.</t>
  </si>
  <si>
    <t>Total Clearance Observed by Fraction Dose Normalized by Dose</t>
  </si>
  <si>
    <t>C92401</t>
  </si>
  <si>
    <t>CLFOS</t>
  </si>
  <si>
    <t>Total CL Obs by F Norm by SA</t>
  </si>
  <si>
    <t>The total body clearance for extravascular administration divided by the fraction of dose absorbed, calculated using the AUCINF based on the observed value of the last non-zero concentration, divided by the surface area.</t>
  </si>
  <si>
    <t>Total Clearance Observed by Fraction Dose Normalized by Surface Area</t>
  </si>
  <si>
    <t>C92402</t>
  </si>
  <si>
    <t>CLFOW</t>
  </si>
  <si>
    <t>Total CL Obs by F Norm by WT</t>
  </si>
  <si>
    <t>The total body clearance for extravascular administration divided by the fraction of dose absorbed, calculated using the AUCINF based on the observed value of the last non-zero concentration, divided by the weight.</t>
  </si>
  <si>
    <t>Total Clearance Observed by Fraction Dose Normalized by Weight</t>
  </si>
  <si>
    <t>C85796</t>
  </si>
  <si>
    <t>CLFP</t>
  </si>
  <si>
    <t>Total CL Pred by F</t>
  </si>
  <si>
    <t>The total body clearance for extravascular administration divided by the fraction of dose absorbed, calculated using the AUCINF based on the predicted value of the last non-zero concentration.</t>
  </si>
  <si>
    <t>Predicted Total Body Clearance by Fraction of Dose Absorbed</t>
  </si>
  <si>
    <t>C92417</t>
  </si>
  <si>
    <t>CLFPB</t>
  </si>
  <si>
    <t>Total CL Pred by F Norm by BMI</t>
  </si>
  <si>
    <t>The total body clearance for extravascular administration divided by the fraction of dose absorbed, calculated using the AUCINF based on the predicted value of the last non-zero concentration, divided by body mass index.</t>
  </si>
  <si>
    <t>Total Clearance Predicted by Fraction Dose Normalized by Body Mass Index</t>
  </si>
  <si>
    <t>C92418</t>
  </si>
  <si>
    <t>CLFPD</t>
  </si>
  <si>
    <t>Total CL Pred by F Norm by Dose</t>
  </si>
  <si>
    <t>The total body clearance for extravascular administration divided by the fraction of dose absorbed, calculated using the AUCINF based on the predicted value of the last non-zero concentration, divided by the dose.</t>
  </si>
  <si>
    <t>Total Clearance Predicted by Fraction Dose Normalized by Dose</t>
  </si>
  <si>
    <t>C92419</t>
  </si>
  <si>
    <t>CLFPS</t>
  </si>
  <si>
    <t>Total CL Pred by F Norm by SA</t>
  </si>
  <si>
    <t>The total body clearance for extravascular administration divided by the fraction of dose absorbed, calculated using the AUCINF based on the predicted value of the last non-zero concentration, divided by the surface area.</t>
  </si>
  <si>
    <t>Total Clearance Predicted by Fraction Dose Normalized by Surface Area</t>
  </si>
  <si>
    <t>C92420</t>
  </si>
  <si>
    <t>CLFPW</t>
  </si>
  <si>
    <t>Total CL Pred by F Norm by WT</t>
  </si>
  <si>
    <t>The total body clearance for extravascular administration divided by the fraction of dose absorbed, calculated using the AUCINF based on the predicted value of the last non-zero concentration, divided by the weight.</t>
  </si>
  <si>
    <t>Total Clearance Predicted by Fraction Dose Normalized by Weight</t>
  </si>
  <si>
    <t>C114121</t>
  </si>
  <si>
    <t>CLFTAU</t>
  </si>
  <si>
    <t>Total CL by F for Dose Int</t>
  </si>
  <si>
    <t>The total body clearance for extravascular administration divided by the fraction of dose absorbed, calculated using AUCTAU.</t>
  </si>
  <si>
    <t>Total Body Clearance by Fraction of Dose for Dose Interval</t>
  </si>
  <si>
    <t>C114227</t>
  </si>
  <si>
    <t>CLFTAUB</t>
  </si>
  <si>
    <t>Total CL by F for Dose Int Norm by BMI</t>
  </si>
  <si>
    <t>The total body clearance for extravascular administration divided by the fraction of dose absorbed, calculated using AUCTAU, divided by the body mass index.</t>
  </si>
  <si>
    <t>Total Body Clearance by Fraction of Dose for Dose Interval Normalized by Body Mass Index</t>
  </si>
  <si>
    <t>C114226</t>
  </si>
  <si>
    <t>CLFTAUD</t>
  </si>
  <si>
    <t>Total CL by F for Dose Int Norm by Dose</t>
  </si>
  <si>
    <t>The total body clearance for extravascular administration divided by the fraction of dose absorbed, calculated using AUCTAU, divided by the dose.</t>
  </si>
  <si>
    <t>Total Body Clearance by Fraction of Dose for Dose Interval Normalized by Dose</t>
  </si>
  <si>
    <t>C114228</t>
  </si>
  <si>
    <t>CLFTAUS</t>
  </si>
  <si>
    <t>Total CL by F for Dose Int Norm by SA</t>
  </si>
  <si>
    <t>The total body clearance for extravascular administration divided by the fraction of dose absorbed, calculated using AUCTAU, divided by the surface area.</t>
  </si>
  <si>
    <t>Total Body Clearance by Fraction of Dose for Dose Interval Normalized by Surface Area</t>
  </si>
  <si>
    <t>C114229</t>
  </si>
  <si>
    <t>CLFTAUW</t>
  </si>
  <si>
    <t>Total CL by F for Dose Int Norm by WT</t>
  </si>
  <si>
    <t>The total body clearance for extravascular administration divided by the fraction of dose absorbed, calculated using AUCTAU, divided by the weight.</t>
  </si>
  <si>
    <t>Total Body Clearance by Fraction of Dose for Dose Interval Normalized by Weight</t>
  </si>
  <si>
    <t>C154844</t>
  </si>
  <si>
    <t>CLFUB</t>
  </si>
  <si>
    <t>Apparent CL for Unbound Drug</t>
  </si>
  <si>
    <t>The total apparent clearance of the unbound fraction of drug, adjusted for bioavailability.</t>
  </si>
  <si>
    <t>Apparent Clearance for Unbound Drug</t>
  </si>
  <si>
    <t>C214729</t>
  </si>
  <si>
    <t>CLIND</t>
  </si>
  <si>
    <t>Corrective Lens Indicator</t>
  </si>
  <si>
    <t>An indication as to whether an eye lens(es) is worn by the subject to correct for any type of visual impairment.</t>
  </si>
  <si>
    <t>C123619</t>
  </si>
  <si>
    <t>CLINRESP</t>
  </si>
  <si>
    <t>Clinical Response</t>
  </si>
  <si>
    <t>An assessment of the clinical response of the disease to the therapy.</t>
  </si>
  <si>
    <t>C204674</t>
  </si>
  <si>
    <t>CLLGFBRO</t>
  </si>
  <si>
    <t>Collagen Fibrosis</t>
  </si>
  <si>
    <t>An evaluation of collagen fibrosis in a biological specimen.</t>
  </si>
  <si>
    <t>Collagen Fibrosis Assessment</t>
  </si>
  <si>
    <t>C139082</t>
  </si>
  <si>
    <t>CLNZPM</t>
  </si>
  <si>
    <t>Clonazepam</t>
  </si>
  <si>
    <t>A measurement of the clonazepam present in a biological specimen.</t>
  </si>
  <si>
    <t>Clonazepam Measurement</t>
  </si>
  <si>
    <t>C85773</t>
  </si>
  <si>
    <t>CLO</t>
  </si>
  <si>
    <t>Total CL Obs</t>
  </si>
  <si>
    <t>The total body clearance for intravascular administration, calculated using the AUCINF based on the observed value of the last non-zero concentration.</t>
  </si>
  <si>
    <t>Observed Total Body Clearance Rate</t>
  </si>
  <si>
    <t>C92403</t>
  </si>
  <si>
    <t>CLOB</t>
  </si>
  <si>
    <t>Total CL Obs Norm by BMI</t>
  </si>
  <si>
    <t>The total body clearance for intravascular administration, calculated using the AUCINF based on the observed value of the last non-zero concentration, divided by the body mass index.</t>
  </si>
  <si>
    <t>Total Clearance Observed Normalized by Body Mass Index</t>
  </si>
  <si>
    <t>C184613</t>
  </si>
  <si>
    <t>CLOBAZAM</t>
  </si>
  <si>
    <t>Clobazam</t>
  </si>
  <si>
    <t>Clobazam; cloBAZam</t>
  </si>
  <si>
    <t>A measurement of the clobazam in a biological specimen.</t>
  </si>
  <si>
    <t>Clobazam Measurement</t>
  </si>
  <si>
    <t>C209661</t>
  </si>
  <si>
    <t>CLOCECE</t>
  </si>
  <si>
    <t>Clonal Cells/Total Cells</t>
  </si>
  <si>
    <t>A relative measurement (ratio or percentage) of the clonal cells to total cells in a biological specimen (for example a bone marrow specimen).</t>
  </si>
  <si>
    <t>Clonal Cells to Total Cells Ratio Measurement</t>
  </si>
  <si>
    <t>C92404</t>
  </si>
  <si>
    <t>CLOD</t>
  </si>
  <si>
    <t>Total CL Obs Norm by Dose</t>
  </si>
  <si>
    <t>The total body clearance for intravascular administration, calculated using the AUCINF based on the observed value of the last non-zero concentration, divided by the dose.</t>
  </si>
  <si>
    <t>Total Clearance Observed Normalized by Dose</t>
  </si>
  <si>
    <t>C92405</t>
  </si>
  <si>
    <t>CLOS</t>
  </si>
  <si>
    <t>Total CL Obs Norm by SA</t>
  </si>
  <si>
    <t>The total body clearance for intravascular administration, calculated using the AUCINF based on the observed value of the last non-zero concentration, divided by the surface area.</t>
  </si>
  <si>
    <t>Total Clearance Observed Normalized by Surface Area</t>
  </si>
  <si>
    <t>C184581</t>
  </si>
  <si>
    <t>CLOSTBL</t>
  </si>
  <si>
    <t>Clostebol</t>
  </si>
  <si>
    <t>A measurement of the clostebol in a biological specimen.</t>
  </si>
  <si>
    <t>Clostebol Measurement</t>
  </si>
  <si>
    <t>C214694</t>
  </si>
  <si>
    <t>CLOTFAA</t>
  </si>
  <si>
    <t>Clot Formation Alpha Angle</t>
  </si>
  <si>
    <t>Alpha Angle; Alpha-Angle; Clot Formation Alpha Angle</t>
  </si>
  <si>
    <t>A measurement of the angle of incline (tangent at 20mm and the midline) during the rising phase of the thromboelastogram curve, during the clot formation process.</t>
  </si>
  <si>
    <t>Clot Formation Alpha Angle Measurement</t>
  </si>
  <si>
    <t>C214688</t>
  </si>
  <si>
    <t>CLOTFM</t>
  </si>
  <si>
    <t>Clot Firmness</t>
  </si>
  <si>
    <t>Clot Amplitude; Clot Firmness</t>
  </si>
  <si>
    <t>A measurement of the firmness of a clot.</t>
  </si>
  <si>
    <t>Clot Firmness Measurement</t>
  </si>
  <si>
    <t>C214691</t>
  </si>
  <si>
    <t>CLOTFMMX</t>
  </si>
  <si>
    <t>Maximum Clot Firmness</t>
  </si>
  <si>
    <t>Maximum Clot Amplitude; Maximum Clot Firmness</t>
  </si>
  <si>
    <t>A measurement of the maximum firmness of a clot.</t>
  </si>
  <si>
    <t>Maximum Clot Firmness Measurement</t>
  </si>
  <si>
    <t>C214689</t>
  </si>
  <si>
    <t>CLOTFTIM</t>
  </si>
  <si>
    <t>Clot Formation Time</t>
  </si>
  <si>
    <t>CFT; Clot Formation Time</t>
  </si>
  <si>
    <t>A measurement of the elapsed time from the start of clot formation to the point at which the clot reaches a firmness of 20mm.</t>
  </si>
  <si>
    <t>Clot Formation Time Measurement</t>
  </si>
  <si>
    <t>C214690</t>
  </si>
  <si>
    <t>CLOTITIM</t>
  </si>
  <si>
    <t>Clot Initiation Time</t>
  </si>
  <si>
    <t>Clot Initiation Time; Clotting Time; CT</t>
  </si>
  <si>
    <t>A measurement of the elapsed time from the addition of the clot activating agent to the start of clot formation.</t>
  </si>
  <si>
    <t>Clot Initiation Time Measurement</t>
  </si>
  <si>
    <t>C214692</t>
  </si>
  <si>
    <t>CLOTLYIX</t>
  </si>
  <si>
    <t>Clot Lysis Index</t>
  </si>
  <si>
    <t>Clot LI; Clot Lysis Index</t>
  </si>
  <si>
    <t>A relative measurement (percentage) of remaining clot stability in relation to the maximum clot firmness value at some time point after clot initiation time.</t>
  </si>
  <si>
    <t>C214693</t>
  </si>
  <si>
    <t>CLOTLYMX</t>
  </si>
  <si>
    <t>Maximum Clot Lysis</t>
  </si>
  <si>
    <t>Maximum Clot Lysis; Maximum Lysis</t>
  </si>
  <si>
    <t>A relative measurement (percentage) of the decrease in amplitude of the waveform at rotational thromboelastometry test completion.</t>
  </si>
  <si>
    <t>Maximum Clot Lysis Measurement</t>
  </si>
  <si>
    <t>C181438</t>
  </si>
  <si>
    <t>CLOTRTC</t>
  </si>
  <si>
    <t>Clot Retraction</t>
  </si>
  <si>
    <t>Clot Retraction; Clot Retraction, Qualitative</t>
  </si>
  <si>
    <t>A qualitative assessment of clot retraction in a biological specimen.</t>
  </si>
  <si>
    <t>Qualitative Clot Retraction Measurement</t>
  </si>
  <si>
    <t>C181437</t>
  </si>
  <si>
    <t>CLOTRTCT</t>
  </si>
  <si>
    <t>Clot Retraction Time</t>
  </si>
  <si>
    <t>A measurement of the amount of time it takes for a clot to retract, or pull away from, the wall of a glass collection container.</t>
  </si>
  <si>
    <t>Clot Retraction Time Measurement</t>
  </si>
  <si>
    <t>C154842</t>
  </si>
  <si>
    <t>CLOUB</t>
  </si>
  <si>
    <t>Total CL Obs for Unbound Drug</t>
  </si>
  <si>
    <t>The total body clearance for intravascular administration divided by the fraction of drug unbound, calculated using the AUCINF based on the observed value of the last non-zero concentration.</t>
  </si>
  <si>
    <t>Total Clearance Observed for Unbound Drug</t>
  </si>
  <si>
    <t>C92406</t>
  </si>
  <si>
    <t>CLOW</t>
  </si>
  <si>
    <t>Total CL Obs Norm by WT</t>
  </si>
  <si>
    <t>The total body clearance for intravascular administration, calculated using the AUCINF based on the observed value of the last non-zero concentration, divided by the weight.</t>
  </si>
  <si>
    <t>Total Clearance Observed Normalized by Weight</t>
  </si>
  <si>
    <t>C85797</t>
  </si>
  <si>
    <t>CLP</t>
  </si>
  <si>
    <t>Total CL Pred</t>
  </si>
  <si>
    <t>The total body clearance for intravascular administration, calculated using the AUCINF based on the predicted value of the last non-zero concentration.</t>
  </si>
  <si>
    <t>Predicted Total Body Clearance Rate</t>
  </si>
  <si>
    <t>C92421</t>
  </si>
  <si>
    <t>CLPB</t>
  </si>
  <si>
    <t>Total CL Pred Norm by BMI</t>
  </si>
  <si>
    <t>The total body clearance for intravascular administration, calculated using the AUCINF based on the predicted value of the last non-zero concentration, divided by the body mass index.</t>
  </si>
  <si>
    <t>Total Clearance Predicted Normalized by Body Mass Index</t>
  </si>
  <si>
    <t>C92422</t>
  </si>
  <si>
    <t>CLPD</t>
  </si>
  <si>
    <t>Total CL Pred Norm by Dose</t>
  </si>
  <si>
    <t>The total body clearance for intravascular administration, calculated using the AUCINF based on the predicted value of the last non-zero concentration, divided by the dose.</t>
  </si>
  <si>
    <t>Total Clearance Predicted Normalized by Dose</t>
  </si>
  <si>
    <t>C184580</t>
  </si>
  <si>
    <t>CLPHTRMN</t>
  </si>
  <si>
    <t>Chlorphentermine</t>
  </si>
  <si>
    <t>A measurement of the chlorphentermine in a biological specimen.</t>
  </si>
  <si>
    <t>Chlorphentermine Measurement</t>
  </si>
  <si>
    <t>C92423</t>
  </si>
  <si>
    <t>CLPS</t>
  </si>
  <si>
    <t>Total CL Pred Norm by SA</t>
  </si>
  <si>
    <t>The total body clearance for intravascular administration, calculated using the AUCINF based on the predicted value of the last non-zero concentration, divided by the surface area.</t>
  </si>
  <si>
    <t>Total Clearance Predicted Normalized by Surface Area</t>
  </si>
  <si>
    <t>C154841</t>
  </si>
  <si>
    <t>CLPUB</t>
  </si>
  <si>
    <t>Total CL Pred for Unbound Drug</t>
  </si>
  <si>
    <t>The total body clearance for intravascular administration divided by the fraction of drug unbound, calculated using the AUCINF based on the predicted value of the last non-zero concentration.</t>
  </si>
  <si>
    <t>Total Clearance Predicted for Unbound Drug</t>
  </si>
  <si>
    <t>C92424</t>
  </si>
  <si>
    <t>CLPW</t>
  </si>
  <si>
    <t>Total CL Pred Norm by WT</t>
  </si>
  <si>
    <t>The total body clearance for intravascular administration, calculated using the AUCINF based on the predicted value of the last non-zero concentration, divided by the weight.</t>
  </si>
  <si>
    <t>Total Clearance Predicted Normalized by Weight</t>
  </si>
  <si>
    <t>C75371</t>
  </si>
  <si>
    <t>CLRDZPXD</t>
  </si>
  <si>
    <t>Chlordiazepoxide</t>
  </si>
  <si>
    <t>A measurement of the chlordiazepoxide present in a biological specimen.</t>
  </si>
  <si>
    <t>Chlordiazepoxide Measurement</t>
  </si>
  <si>
    <t>C154849</t>
  </si>
  <si>
    <t>CLRPCLEV</t>
  </si>
  <si>
    <t>Renal CL as Pct CL EV</t>
  </si>
  <si>
    <t>The portion of total clearance attributed to the kidneys expressed as a percentage, following extravascular administration.</t>
  </si>
  <si>
    <t>Renal Clearance to Total Clearance Ratio Measurement After Oral Dosing</t>
  </si>
  <si>
    <t>C154850</t>
  </si>
  <si>
    <t>CLRPCLIV</t>
  </si>
  <si>
    <t>Renal CL as Pct CL IV</t>
  </si>
  <si>
    <t>The portion of total clearance attributed to the kidneys expressed as a percentage, following intravenous administration.</t>
  </si>
  <si>
    <t>Renal Clearance to Total Clearance Ratio Measurement After Intravenous Dosing</t>
  </si>
  <si>
    <t>C139077</t>
  </si>
  <si>
    <t>CLRZPT</t>
  </si>
  <si>
    <t>Clorazepate</t>
  </si>
  <si>
    <t>A measurement of the clorazepate present in a biological specimen.</t>
  </si>
  <si>
    <t>Clorazepate Measurement</t>
  </si>
  <si>
    <t>C85655</t>
  </si>
  <si>
    <t>CLST</t>
  </si>
  <si>
    <t>Last Nonzero Conc</t>
  </si>
  <si>
    <t>The concentration corresponding to Tlast.</t>
  </si>
  <si>
    <t>Last Concentration</t>
  </si>
  <si>
    <t>C92387</t>
  </si>
  <si>
    <t>CLSTB</t>
  </si>
  <si>
    <t>Last Nonzero Conc Norm by BMI</t>
  </si>
  <si>
    <t>The concentration corresponding to Tlast divided by the body mass index.</t>
  </si>
  <si>
    <t>Last Concentration Normalized by Body Mass Index</t>
  </si>
  <si>
    <t>C92388</t>
  </si>
  <si>
    <t>CLSTD</t>
  </si>
  <si>
    <t>Last Nonzero Conc Norm by Dose</t>
  </si>
  <si>
    <t>The concentration corresponding to Tlast divided by the dose.</t>
  </si>
  <si>
    <t>Last Concentration Normalized by Dose</t>
  </si>
  <si>
    <t>C92389</t>
  </si>
  <si>
    <t>CLSTS</t>
  </si>
  <si>
    <t>Last Nonzero Conc Norm by SA</t>
  </si>
  <si>
    <t>The concentration corresponding to Tlast divided by the surface area.</t>
  </si>
  <si>
    <t>Last Concentration Normalized by Surface Area</t>
  </si>
  <si>
    <t>C92390</t>
  </si>
  <si>
    <t>CLSTW</t>
  </si>
  <si>
    <t>Last Nonzero Conc Norm by WT</t>
  </si>
  <si>
    <t>The concentration corresponding to Tlast divided by the weight.</t>
  </si>
  <si>
    <t>Last Concentration Normalized by Weight</t>
  </si>
  <si>
    <t>C187805</t>
  </si>
  <si>
    <t>CLT</t>
  </si>
  <si>
    <t>Clot Lysis Time</t>
  </si>
  <si>
    <t>Clot Lysis Time; ECLT; ELT; Euglobulin Clot Lysis Time; Euglobulin Lysis Time</t>
  </si>
  <si>
    <t>A measurement of the amount of time it takes for dissolution of a fibrin clot in a biological specimen.</t>
  </si>
  <si>
    <t>Euglobulin Clot Lysis Time</t>
  </si>
  <si>
    <t>C114122</t>
  </si>
  <si>
    <t>CLTAU</t>
  </si>
  <si>
    <t>Total CL for Dose Int</t>
  </si>
  <si>
    <t>The total body clearance for intravascular administration, calculated using AUCTAU.</t>
  </si>
  <si>
    <t>Total Body Clearance for Dose Interval</t>
  </si>
  <si>
    <t>C114231</t>
  </si>
  <si>
    <t>CLTAUB</t>
  </si>
  <si>
    <t>Total CL for Dose Int Norm by BMI</t>
  </si>
  <si>
    <t>The total body clearance for intravascular administration, calculated using AUCTAU, divided by the body mass index.</t>
  </si>
  <si>
    <t>Total Body Clearance for Dose Interval Normalized by Body Mass Index</t>
  </si>
  <si>
    <t>C114230</t>
  </si>
  <si>
    <t>CLTAUD</t>
  </si>
  <si>
    <t>Total CL for Dose Int Norm by Dose</t>
  </si>
  <si>
    <t>The total body clearance for intravascular administration, calculated using AUCTAU, divided by the dose.</t>
  </si>
  <si>
    <t>Total Body Clearance for Dose Interval Normalized by Dose</t>
  </si>
  <si>
    <t>C114232</t>
  </si>
  <si>
    <t>CLTAUS</t>
  </si>
  <si>
    <t>Total CL for Dose Int Norm by SA</t>
  </si>
  <si>
    <t>The total body clearance for intravascular administration, calculated using AUCTAU, divided by the surface area.</t>
  </si>
  <si>
    <t>Total Body Clearance for Dose Interval Normalized by Surface Area</t>
  </si>
  <si>
    <t>C114233</t>
  </si>
  <si>
    <t>CLTAUW</t>
  </si>
  <si>
    <t>Total CL for Dose Int Norm by WT</t>
  </si>
  <si>
    <t>The total body clearance for intravascular administration, calculated using AUCTAU, divided by the weight.</t>
  </si>
  <si>
    <t>Total Body Clearance for Dose Interval Normalized by Weight</t>
  </si>
  <si>
    <t>C102261</t>
  </si>
  <si>
    <t>CLUECE</t>
  </si>
  <si>
    <t>Clue Cells</t>
  </si>
  <si>
    <t>A measurement of the clue cells in a biological specimen.</t>
  </si>
  <si>
    <t>Clue Cell Count</t>
  </si>
  <si>
    <t>C202441</t>
  </si>
  <si>
    <t>CLYMRESP</t>
  </si>
  <si>
    <t>Circulating Lymphocytes Response</t>
  </si>
  <si>
    <t>An assessment of the disease response to therapy based on circulating lymphocyte count.</t>
  </si>
  <si>
    <t>Circulating Lymphocyte Response</t>
  </si>
  <si>
    <t>C186031</t>
  </si>
  <si>
    <t>CLZPMAOM</t>
  </si>
  <si>
    <t>Clonazepam and/or Metabolites</t>
  </si>
  <si>
    <t>A measurement of the clonazepam and/or its metabolite(s) present in a biological specimen, for an assay that can measure both clonazepam and its metabolites.</t>
  </si>
  <si>
    <t>Clonazepam and/or Metabolites Measurement</t>
  </si>
  <si>
    <t>C70918</t>
  </si>
  <si>
    <t>CMAX</t>
  </si>
  <si>
    <t>Max Conc</t>
  </si>
  <si>
    <t>Cmax; Max Conc; Maximum Concentration</t>
  </si>
  <si>
    <t>The maximum concentration occurring at Tmax.</t>
  </si>
  <si>
    <t>Cmax</t>
  </si>
  <si>
    <t>C92371</t>
  </si>
  <si>
    <t>CMAXB</t>
  </si>
  <si>
    <t>Max Conc Norm by BMI</t>
  </si>
  <si>
    <t>The maximum concentration occurring at Tmax, divided by the body mass index.</t>
  </si>
  <si>
    <t>Maximum Concentration Normalized by Body Mass Index</t>
  </si>
  <si>
    <t>C85698</t>
  </si>
  <si>
    <t>CMAXD</t>
  </si>
  <si>
    <t>Max Conc Norm by Dose</t>
  </si>
  <si>
    <t>The maximum concentration occurring at Tmax, divided by the dose.</t>
  </si>
  <si>
    <t>Maximum Concentration Dose Normalized</t>
  </si>
  <si>
    <t>C174353</t>
  </si>
  <si>
    <t>CMAXDW</t>
  </si>
  <si>
    <t>Max Conc Norm by Dose/WT</t>
  </si>
  <si>
    <t>The maximum concentration occurring at Tmax divided by the body weight-adjusted dose.</t>
  </si>
  <si>
    <t>Maximum Concentration Normalized by Weight-Adjusted Dose</t>
  </si>
  <si>
    <t>C161415</t>
  </si>
  <si>
    <t>CMAXLN</t>
  </si>
  <si>
    <t>Max Conc LN Transformed</t>
  </si>
  <si>
    <t>The natural log transformed maximum concentration occurring at Tmax.</t>
  </si>
  <si>
    <t>Natural Log Transformed Cmax</t>
  </si>
  <si>
    <t>C92372</t>
  </si>
  <si>
    <t>CMAXS</t>
  </si>
  <si>
    <t>Max Conc Norm by SA</t>
  </si>
  <si>
    <t>The maximum concentration occurring at Tmax, divided by the surface area.</t>
  </si>
  <si>
    <t>Maximum Concentration Normalized by Surface Area</t>
  </si>
  <si>
    <t>C154848</t>
  </si>
  <si>
    <t>CMAXUB</t>
  </si>
  <si>
    <t>Max Conc, Unbound Drug</t>
  </si>
  <si>
    <t>The maximum concentration represented by the unbound fraction of drug, occurring at Tmax.</t>
  </si>
  <si>
    <t>Maximum Concentration of Unbound Drug</t>
  </si>
  <si>
    <t>C92373</t>
  </si>
  <si>
    <t>CMAXW</t>
  </si>
  <si>
    <t>Max Conc Norm by WT</t>
  </si>
  <si>
    <t>The maximum concentration occurring at Tmax, divided by the weight.</t>
  </si>
  <si>
    <t>Maximum Concentration Normalized by Weight</t>
  </si>
  <si>
    <t>C139063</t>
  </si>
  <si>
    <t>CMHYIND</t>
  </si>
  <si>
    <t>Cardiac Muscle Hypertrophy Indicator</t>
  </si>
  <si>
    <t>An indication as to whether there is a hypertrophied cardiac muscle.</t>
  </si>
  <si>
    <t>Heart Chamber Hypertrophy Indicator</t>
  </si>
  <si>
    <t>C85579</t>
  </si>
  <si>
    <t>CMIN</t>
  </si>
  <si>
    <t>Min Conc</t>
  </si>
  <si>
    <t>Cmin; Min Conc; Minimum Concentration</t>
  </si>
  <si>
    <t>The minimum concentration between dose time and dose time plus Tau (at Tmin).</t>
  </si>
  <si>
    <t>Cmin</t>
  </si>
  <si>
    <t>C92374</t>
  </si>
  <si>
    <t>CMINB</t>
  </si>
  <si>
    <t>Min Conc Norm by BMI</t>
  </si>
  <si>
    <t>The minimum concentration between dose time and dose time plus Tau (at Tmin) divided by the body mass index.</t>
  </si>
  <si>
    <t>Minimum Concentration Normalized by Body Mass Index</t>
  </si>
  <si>
    <t>C92375</t>
  </si>
  <si>
    <t>CMIND</t>
  </si>
  <si>
    <t>Min Conc Norm by Dose</t>
  </si>
  <si>
    <t>The minimum concentration between dose time and dose time plus Tau (at Tmin) divided by the dose.</t>
  </si>
  <si>
    <t>Minimum Concentration Normalized by Dose</t>
  </si>
  <si>
    <t>C174354</t>
  </si>
  <si>
    <t>CMINDW</t>
  </si>
  <si>
    <t>Min Conc Norm by Dose/WT</t>
  </si>
  <si>
    <t>The minimum concentration between dose time and dose time plus Tau (at Tmin) divided by the body weight-adjusted dose.</t>
  </si>
  <si>
    <t>Minimum Concentration Normalized by Weight-Adjusted Dose</t>
  </si>
  <si>
    <t>C92376</t>
  </si>
  <si>
    <t>CMINS</t>
  </si>
  <si>
    <t>Min Conc Norm by SA</t>
  </si>
  <si>
    <t>The minimum concentration between dose time and dose time plus Tau (at Tmin) divided by the surface area.</t>
  </si>
  <si>
    <t>Minimum Concentration Normalized by Surface Area</t>
  </si>
  <si>
    <t>C92377</t>
  </si>
  <si>
    <t>CMINW</t>
  </si>
  <si>
    <t>Min Conc Norm by WT</t>
  </si>
  <si>
    <t>The minimum concentration between dose time and dose time plus Tau (at Tmin) divided by the weight.</t>
  </si>
  <si>
    <t>Minimum Concentration Normalized by Weight</t>
  </si>
  <si>
    <t>C139084</t>
  </si>
  <si>
    <t>CMONOX</t>
  </si>
  <si>
    <t>Carbon Monoxide</t>
  </si>
  <si>
    <t>A measurement of the carbon monoxide in a specimen.</t>
  </si>
  <si>
    <t>Carbon Monoxide Measurement</t>
  </si>
  <si>
    <t>C163426</t>
  </si>
  <si>
    <t>CMPK2</t>
  </si>
  <si>
    <t>Cytidine-Uridine Monophosphate Kinase 2</t>
  </si>
  <si>
    <t>Cytidine-Uridine Monophosphate Kinase 2; Cytidine/Uridine Monophosphate Kinase 2</t>
  </si>
  <si>
    <t>A measurement of the cytidine-uridine monophosphate kinase 2 in a biological specimen.</t>
  </si>
  <si>
    <t>Cytidine-Uridine Monophosphate Kinase 2 Measurement</t>
  </si>
  <si>
    <t>C127789</t>
  </si>
  <si>
    <t>CMSPSTAT</t>
  </si>
  <si>
    <t>Commercial Sponsor Status</t>
  </si>
  <si>
    <t>The state or condition of the sponsor as pertains to whether the sponsor is considered a commercial entity.</t>
  </si>
  <si>
    <t>Sponsor Commercial Status</t>
  </si>
  <si>
    <t>C184672</t>
  </si>
  <si>
    <t>CMV</t>
  </si>
  <si>
    <t>Cytomegalovirus</t>
  </si>
  <si>
    <t>A measurement of the organisms that are not assigned to the species level but are assigned to the Cytomegalovirus genus level in a biological specimen.</t>
  </si>
  <si>
    <t>Cytomegalovirus Measurement</t>
  </si>
  <si>
    <t>C154828</t>
  </si>
  <si>
    <t>CMVAG</t>
  </si>
  <si>
    <t>Cytomegalovirus Antigen</t>
  </si>
  <si>
    <t>A measurement of the Cytomegalovirus antigen in a biological specimen.</t>
  </si>
  <si>
    <t>Cytomegalovirus Antigen Measurement</t>
  </si>
  <si>
    <t>C161394</t>
  </si>
  <si>
    <t>CMVDNA</t>
  </si>
  <si>
    <t>Cytomegalovirus DNA</t>
  </si>
  <si>
    <t>A measurement of the Cytomegalovirus DNA in a biological specimen.</t>
  </si>
  <si>
    <t>Cytomegalovirus DNA Measurement</t>
  </si>
  <si>
    <t>C170608</t>
  </si>
  <si>
    <t>CMVP65AG</t>
  </si>
  <si>
    <t>Cytomegalovirus pp65 Antigen</t>
  </si>
  <si>
    <t>Cytomegalovirus Phosphoprotein 65 Antigen; Cytomegalovirus pp65 Antigen</t>
  </si>
  <si>
    <t>A measurement of the Cytomegalovirus phosphoprotein 65 (pp65) antigen in a biological specimen.</t>
  </si>
  <si>
    <t>Cytomegalovirus pp65 Antigen Measurement</t>
  </si>
  <si>
    <t>C202420</t>
  </si>
  <si>
    <t>CMYC</t>
  </si>
  <si>
    <t>c-Myc</t>
  </si>
  <si>
    <t>BHLH Transcription Factor; c-Myc; Cellular Myc; MYC Proto-Oncogene; Myc Proto-Oncogene Protein; MYCC; Tumor Protein c-myc</t>
  </si>
  <si>
    <t>A measurement of the c-Myc in a biological specimen.</t>
  </si>
  <si>
    <t>c-Myc Measurement</t>
  </si>
  <si>
    <t>C181526</t>
  </si>
  <si>
    <t>CNDMIND</t>
  </si>
  <si>
    <t>Condom Use Most Recent Sex Interc Ind</t>
  </si>
  <si>
    <t>Condom Use for Most Recent Sexual Intercourse Indicator; Condom Use Most Recent Sex Interc Ind</t>
  </si>
  <si>
    <t>An indication as to whether a condom was used during the most recent occurrence of sexual intercourse.</t>
  </si>
  <si>
    <t>Condom Use for Most Recent Sexual Intercourse Indicator</t>
  </si>
  <si>
    <t>C181527</t>
  </si>
  <si>
    <t>CNDUFRQD</t>
  </si>
  <si>
    <t>Condom Use Frequency Desc</t>
  </si>
  <si>
    <t>Condom Use Frequency Desc; Condom Use Frequency Description</t>
  </si>
  <si>
    <t>A description of the regularity with which a condom is used during sexual activity.</t>
  </si>
  <si>
    <t>Condom Use Frequency</t>
  </si>
  <si>
    <t>C186150</t>
  </si>
  <si>
    <t>CNEGADNA</t>
  </si>
  <si>
    <t>Cryptococcus neoformans/gattii DNA</t>
  </si>
  <si>
    <t>A measurement of Cryptococcus neoformans and/or Cryptococcus gattii DNA in a biological specimen.</t>
  </si>
  <si>
    <t>Cryptococcus neoformans and/or gattii DNA Measurement</t>
  </si>
  <si>
    <t>C204683</t>
  </si>
  <si>
    <t>CNSSTAT</t>
  </si>
  <si>
    <t>CNS Status</t>
  </si>
  <si>
    <t>Central Nervous System Status; CNS Status</t>
  </si>
  <si>
    <t>An assessment of the central nervous system, measured by a rating or scale, as a condition of disease response to therapy.</t>
  </si>
  <si>
    <t>Central Nervous System Disease Response Status Assessment</t>
  </si>
  <si>
    <t>C199890</t>
  </si>
  <si>
    <t>CNTF</t>
  </si>
  <si>
    <t>Ciliary Neurotrophic Factor</t>
  </si>
  <si>
    <t>A measurement of the ciliary neurotrophic factor in a biological specimen.</t>
  </si>
  <si>
    <t>Ciliary Neurotrophic Factor Measurement</t>
  </si>
  <si>
    <t>C214720</t>
  </si>
  <si>
    <t>CNTFDST</t>
  </si>
  <si>
    <t>Counting Fingers Distance</t>
  </si>
  <si>
    <t>Count Fingers Distance</t>
  </si>
  <si>
    <t>An assessment of the furthest distance at which a subject can perceive and accurately count the examiner's fingers.</t>
  </si>
  <si>
    <t>Counting Fingers Test</t>
  </si>
  <si>
    <t>C214721</t>
  </si>
  <si>
    <t>CNTFIND</t>
  </si>
  <si>
    <t>Counting Fingers Indicator</t>
  </si>
  <si>
    <t>Count Fingers Indicator</t>
  </si>
  <si>
    <t>An indication as to whether a subject can perceive and accurately count the examiner's fingers at a pre-specified distance.</t>
  </si>
  <si>
    <t>C176362</t>
  </si>
  <si>
    <t>CNTYPAD</t>
  </si>
  <si>
    <t>County of Permanent Address</t>
  </si>
  <si>
    <t>The county identified as the individual's permanent residence.</t>
  </si>
  <si>
    <t>C64545</t>
  </si>
  <si>
    <t>CO2</t>
  </si>
  <si>
    <t>Carbon Dioxide</t>
  </si>
  <si>
    <t>A measurement of the carbon dioxide gas in a biological specimen.</t>
  </si>
  <si>
    <t>Carbon Dioxide Measurement</t>
  </si>
  <si>
    <t>C112239</t>
  </si>
  <si>
    <t>COAGIDX</t>
  </si>
  <si>
    <t>Coagulation Index</t>
  </si>
  <si>
    <t>CI; Coagulation Index</t>
  </si>
  <si>
    <t>A measurement of the efficiency of coagulation of a biological specimen. This is calculated by a mathematical formula that takes into account the R value, K value, angle and maximum amplitude of clot formation.</t>
  </si>
  <si>
    <t>Coagulation Index Measurement</t>
  </si>
  <si>
    <t>C100086</t>
  </si>
  <si>
    <t>COARTDOM</t>
  </si>
  <si>
    <t>Coronary Artery Dominance</t>
  </si>
  <si>
    <t>The pattern of the epicardial vessels supplying the posterolateral and posterior descending coronary arteries.</t>
  </si>
  <si>
    <t>C172490</t>
  </si>
  <si>
    <t>COCAAOM</t>
  </si>
  <si>
    <t>Cocaine and/or Metabolites</t>
  </si>
  <si>
    <t>A measurement of the cocaine and/or its metabolite(s) present in a biological specimen, for an assay that can measure both cocaine and its metabolites.</t>
  </si>
  <si>
    <t>Cocaine And/Or Metabolites Measurement</t>
  </si>
  <si>
    <t>C156510</t>
  </si>
  <si>
    <t>COCAETH</t>
  </si>
  <si>
    <t>Cocaethylene</t>
  </si>
  <si>
    <t>Cocaethylene; Cocaine Ethyl</t>
  </si>
  <si>
    <t>A measurement of the cocaethylene present in a biological specimen.</t>
  </si>
  <si>
    <t>Cocaethylene Measurement</t>
  </si>
  <si>
    <t>C74690</t>
  </si>
  <si>
    <t>COCAINE</t>
  </si>
  <si>
    <t>Cocaine</t>
  </si>
  <si>
    <t>A measurement of the cocaine present in a biological specimen.</t>
  </si>
  <si>
    <t>Cocaine Measurement</t>
  </si>
  <si>
    <t>C172491</t>
  </si>
  <si>
    <t>COCAM</t>
  </si>
  <si>
    <t>Cocaine Metabolites</t>
  </si>
  <si>
    <t>A measurement of any cocaine drug class metabolite(s) present in a biological specimen.</t>
  </si>
  <si>
    <t>Cocaine Metabolites Measurement</t>
  </si>
  <si>
    <t>C142274</t>
  </si>
  <si>
    <t>COCBNZEC</t>
  </si>
  <si>
    <t>Cocaine Benzoylecgonine Ecgonine</t>
  </si>
  <si>
    <t>A measurement of the cocaine, benzoylecgonine, and/or ecgonine in a biological specimen.</t>
  </si>
  <si>
    <t>Cocaine, Benzoylecgonine, and/or Ecgonine Measurement</t>
  </si>
  <si>
    <t>C74877</t>
  </si>
  <si>
    <t>CODEINE</t>
  </si>
  <si>
    <t>Codeine</t>
  </si>
  <si>
    <t>A measurement of the codeine present in a biological specimen.</t>
  </si>
  <si>
    <t>Codeine Measurement</t>
  </si>
  <si>
    <t>C103383</t>
  </si>
  <si>
    <t>COL4</t>
  </si>
  <si>
    <t>Collagen Type IV</t>
  </si>
  <si>
    <t>A measurement of the collagen type IV in a biological specimen.</t>
  </si>
  <si>
    <t>Collagen Type IV Measurement</t>
  </si>
  <si>
    <t>C64546</t>
  </si>
  <si>
    <t>COLOR</t>
  </si>
  <si>
    <t>Color</t>
  </si>
  <si>
    <t>A measurement of the color of a biological specimen.</t>
  </si>
  <si>
    <t>Color Assessment</t>
  </si>
  <si>
    <t>C37927</t>
  </si>
  <si>
    <t>The appearance of objects (or light sources) described in terms of a person's perception of their hue and lightness (or brightness) and saturation. (NCI)</t>
  </si>
  <si>
    <t>C111145</t>
  </si>
  <si>
    <t>COMP</t>
  </si>
  <si>
    <t>Cartilage Oligomeric Matrix Protein</t>
  </si>
  <si>
    <t>A measurement of the cartilage oligomeric matrix protein in a biological specimen.</t>
  </si>
  <si>
    <t>Cartilage Oligomeric Matrix Protein Measurement</t>
  </si>
  <si>
    <t>C68612</t>
  </si>
  <si>
    <t>COMPTRT</t>
  </si>
  <si>
    <t>Comparative Treatment Name</t>
  </si>
  <si>
    <t>A therapeutically active agent that is intended to provide reference measurements for the experimental protocol of a clinical trial.</t>
  </si>
  <si>
    <t>Active Comparator Drug</t>
  </si>
  <si>
    <t>C102367</t>
  </si>
  <si>
    <t>CONCB</t>
  </si>
  <si>
    <t>Conc by BMI</t>
  </si>
  <si>
    <t>The concentration divided by body mass index.</t>
  </si>
  <si>
    <t>Concentration Divided by Body Mass Index</t>
  </si>
  <si>
    <t>C102368</t>
  </si>
  <si>
    <t>CONCD</t>
  </si>
  <si>
    <t>Conc by Dose</t>
  </si>
  <si>
    <t>The concentration divided by dose.</t>
  </si>
  <si>
    <t>Concentration Divided by Dose</t>
  </si>
  <si>
    <t>C181515</t>
  </si>
  <si>
    <t>CONCEINF</t>
  </si>
  <si>
    <t>Concentration at End Infusion</t>
  </si>
  <si>
    <t>The observed concentration at the end of the infusion.</t>
  </si>
  <si>
    <t>C102369</t>
  </si>
  <si>
    <t>CONCS</t>
  </si>
  <si>
    <t>Conc by SA</t>
  </si>
  <si>
    <t>The concentration divided by surface area.</t>
  </si>
  <si>
    <t>Concentration Divided by Surface Area</t>
  </si>
  <si>
    <t>C102370</t>
  </si>
  <si>
    <t>CONCW</t>
  </si>
  <si>
    <t>Conc by WT</t>
  </si>
  <si>
    <t>The concentration divided by weight.</t>
  </si>
  <si>
    <t>Concentration Divided by Weight</t>
  </si>
  <si>
    <t>C102282</t>
  </si>
  <si>
    <t>CONDUCTU</t>
  </si>
  <si>
    <t>Urine Conductivity</t>
  </si>
  <si>
    <t>A measurement of the urine conductivity which is a non-linear function of the electrolyte concentration in the urine.</t>
  </si>
  <si>
    <t>C176375</t>
  </si>
  <si>
    <t>CONEMAIL</t>
  </si>
  <si>
    <t>Contact E-Mail Address</t>
  </si>
  <si>
    <t>E-mail address of study contact.</t>
  </si>
  <si>
    <t>Study Contact E-mail Address</t>
  </si>
  <si>
    <t>C176376</t>
  </si>
  <si>
    <t>CONMAIL</t>
  </si>
  <si>
    <t>Contact Mailing Address</t>
  </si>
  <si>
    <t>Mailing address of study contact.</t>
  </si>
  <si>
    <t>Study Contact Postal Address</t>
  </si>
  <si>
    <t>C176373</t>
  </si>
  <si>
    <t>CONNAME</t>
  </si>
  <si>
    <t>Contact Name</t>
  </si>
  <si>
    <t>Name of study contact.</t>
  </si>
  <si>
    <t>Study Contact Name</t>
  </si>
  <si>
    <t>C176374</t>
  </si>
  <si>
    <t>CONPHONE</t>
  </si>
  <si>
    <t>Contact Phone Number</t>
  </si>
  <si>
    <t>Phone number of study contact.</t>
  </si>
  <si>
    <t>Study Contact Telephone Number</t>
  </si>
  <si>
    <t>C176372</t>
  </si>
  <si>
    <t>CONROLE</t>
  </si>
  <si>
    <t>Contact Role</t>
  </si>
  <si>
    <t>The role that the responsible individual or entity plays with respect to being a contact for the study.</t>
  </si>
  <si>
    <t>Study Contact Role</t>
  </si>
  <si>
    <t>C95110</t>
  </si>
  <si>
    <t>CONSIST</t>
  </si>
  <si>
    <t>Consistency</t>
  </si>
  <si>
    <t>A description about the firmness or make-up of an entity.</t>
  </si>
  <si>
    <t>C38469</t>
  </si>
  <si>
    <t>CONSYMPT</t>
  </si>
  <si>
    <t>Constitutional Symptoms</t>
  </si>
  <si>
    <t>A group of symptoms that affect an individual's general well being. Representative examples include fever, chills, fatigue, weakness, and weight loss. (NCI)</t>
  </si>
  <si>
    <t>Constitutional Symptom</t>
  </si>
  <si>
    <t>C127612</t>
  </si>
  <si>
    <t>COPEP</t>
  </si>
  <si>
    <t>Copeptin</t>
  </si>
  <si>
    <t>A measurement of the copeptin in a biological specimen.</t>
  </si>
  <si>
    <t>Copeptin Measurement</t>
  </si>
  <si>
    <t>C111161</t>
  </si>
  <si>
    <t>COPPER</t>
  </si>
  <si>
    <t>Copper</t>
  </si>
  <si>
    <t>Copper; Cu</t>
  </si>
  <si>
    <t>A measurement of copper in a biological specimen.</t>
  </si>
  <si>
    <t>Copper Measurement</t>
  </si>
  <si>
    <t>C147321</t>
  </si>
  <si>
    <t>COQ10</t>
  </si>
  <si>
    <t>Ubiquinone 10</t>
  </si>
  <si>
    <t>Coenzyme Q10; Ubiquinone 10</t>
  </si>
  <si>
    <t>A measurement of the ubiquinone 10 in a biological specimen.</t>
  </si>
  <si>
    <t>Ubiquinone 10 Measurement</t>
  </si>
  <si>
    <t>C139092</t>
  </si>
  <si>
    <t>CORBIOMN</t>
  </si>
  <si>
    <t>Number of Malignant Biopsy Cores</t>
  </si>
  <si>
    <t>A measurement of the total number of core biopsies that contain malignant tissue. (NCI)</t>
  </si>
  <si>
    <t>C106512</t>
  </si>
  <si>
    <t>CORCREAT</t>
  </si>
  <si>
    <t>Cortisol/Creatinine</t>
  </si>
  <si>
    <t>A relative measurement (ratio or percentage) of the cortisol to creatinine present in a sample.</t>
  </si>
  <si>
    <t>Cortisol to Creatinine Ratio Measurement</t>
  </si>
  <si>
    <t>C85821</t>
  </si>
  <si>
    <t>CORRXY</t>
  </si>
  <si>
    <t>Correlation Between TimeX and Log ConcY</t>
  </si>
  <si>
    <t>The correlation between time (X) and log concentration (Y) for the points used in the estimation of lambda z.</t>
  </si>
  <si>
    <t>Time and Log Concentration Correlation</t>
  </si>
  <si>
    <t>C88113</t>
  </si>
  <si>
    <t>CORTFR</t>
  </si>
  <si>
    <t>Cortisol, Free</t>
  </si>
  <si>
    <t>A measurement of the free, unbound cortisol in a biological specimen.</t>
  </si>
  <si>
    <t>Free Cortisol Measurement</t>
  </si>
  <si>
    <t>C74781</t>
  </si>
  <si>
    <t>CORTISOL</t>
  </si>
  <si>
    <t>Cortisol</t>
  </si>
  <si>
    <t>Cortisol; Total Cortisol</t>
  </si>
  <si>
    <t>A measurement of the cortisol in a biological specimen.</t>
  </si>
  <si>
    <t>Cortisol Measurement</t>
  </si>
  <si>
    <t>C186032</t>
  </si>
  <si>
    <t>CORTOLA</t>
  </si>
  <si>
    <t>Alpha Cortol</t>
  </si>
  <si>
    <t>Alpha Cortol; alpha-Cortol</t>
  </si>
  <si>
    <t>A measurement of the alpha cortol in a biological specimen.</t>
  </si>
  <si>
    <t>Alpha Cortol Measurement</t>
  </si>
  <si>
    <t>C186033</t>
  </si>
  <si>
    <t>CORTOLNA</t>
  </si>
  <si>
    <t>Alpha Cortolone</t>
  </si>
  <si>
    <t>Alpha Cortolone; alpha-Cortolone</t>
  </si>
  <si>
    <t>A measurement of the alpha cortolone in a biological specimen.</t>
  </si>
  <si>
    <t>Alpha Cortolone Measurement</t>
  </si>
  <si>
    <t>C221414</t>
  </si>
  <si>
    <t>CORYNEBA</t>
  </si>
  <si>
    <t>Corynebacterium</t>
  </si>
  <si>
    <t>A measurement of the organisms that are not assigned to the species level but are assigned to the Corynebacterium genus level in a biological specimen.</t>
  </si>
  <si>
    <t>Corynebacterium Measurement</t>
  </si>
  <si>
    <t>C92249</t>
  </si>
  <si>
    <t>COTININE</t>
  </si>
  <si>
    <t>Cotinine</t>
  </si>
  <si>
    <t>A measurement of the cotinine in a biological specimen.</t>
  </si>
  <si>
    <t>Cotinine Measurement</t>
  </si>
  <si>
    <t>C209580</t>
  </si>
  <si>
    <t>COTNNFR</t>
  </si>
  <si>
    <t>Cotinine, Free</t>
  </si>
  <si>
    <t>A measurement of the free (unbound) cotinine in a specimen.</t>
  </si>
  <si>
    <t>Free Cotinine Measurement</t>
  </si>
  <si>
    <t>C221597</t>
  </si>
  <si>
    <t>CPA</t>
  </si>
  <si>
    <t>Candida parapsilosis</t>
  </si>
  <si>
    <t>A measurement of Candida parapsilosis in a biological specimen.</t>
  </si>
  <si>
    <t>Candida parapsilosis Measurement</t>
  </si>
  <si>
    <t>C221570</t>
  </si>
  <si>
    <t>CPA9HNE</t>
  </si>
  <si>
    <t>CPa9-HNE</t>
  </si>
  <si>
    <t>Calprotectin Neo-epitope CPa9-HNE; CPa9-HNE; Human Neutrophil Elastase-Degraded Calprotectin Neo-epitope CPa9-HNE</t>
  </si>
  <si>
    <t>A measurement of the human neutrophil elastase-degraded calprotectin neo-epitope CPa9-HNE in a biological specimen.</t>
  </si>
  <si>
    <t>Human Neutrophil Elastase-Degraded Calprotectin Neo-epitope CPa9-HNE Measurement</t>
  </si>
  <si>
    <t>C154831</t>
  </si>
  <si>
    <t>CPAAG</t>
  </si>
  <si>
    <t>Cryptosporidium parvum Antigen</t>
  </si>
  <si>
    <t>A measurement of the Cryptosporidium parvum antigen in a biological specimen.</t>
  </si>
  <si>
    <t>Cryptosporidium parvum Antigen Measurement</t>
  </si>
  <si>
    <t>C221631</t>
  </si>
  <si>
    <t>CPACM</t>
  </si>
  <si>
    <t>Candida parapsilosis Complex</t>
  </si>
  <si>
    <t>A measurement of Candida parapsilosis Complex in a biological specimen.</t>
  </si>
  <si>
    <t>Candida parapsilosis Complex Measurement</t>
  </si>
  <si>
    <t>C165953</t>
  </si>
  <si>
    <t>CPB2</t>
  </si>
  <si>
    <t>Carboxypeptidase B2</t>
  </si>
  <si>
    <t>Carboxypeptidase B2; CPU; PCPB; TAFI</t>
  </si>
  <si>
    <t>A measurement of the carboxypeptidase B2 in a biological specimen.</t>
  </si>
  <si>
    <t>Carboxypeptidase B2 Measurement</t>
  </si>
  <si>
    <t>C150837</t>
  </si>
  <si>
    <t>CPEPCRT</t>
  </si>
  <si>
    <t>C-peptide/Creatinine</t>
  </si>
  <si>
    <t>A relative measurement (ratio or percentage) of the C-peptide to creatinine in a biological specimen.</t>
  </si>
  <si>
    <t>C-peptide to Creatinine Ratio Measurement</t>
  </si>
  <si>
    <t>C187796</t>
  </si>
  <si>
    <t>CPEPEXR</t>
  </si>
  <si>
    <t>C-Peptide Excretion Rate</t>
  </si>
  <si>
    <t>A measurement of the amount of C-peptide being excreted in a biological specimen over a defined amount of time (e.g. one hour).</t>
  </si>
  <si>
    <t>C74736</t>
  </si>
  <si>
    <t>CPEPTIDE</t>
  </si>
  <si>
    <t>C-peptide</t>
  </si>
  <si>
    <t>A measurement of the C (connecting) peptide of insulin in a biological specimen.</t>
  </si>
  <si>
    <t>C-peptide Measurement</t>
  </si>
  <si>
    <t>C168125</t>
  </si>
  <si>
    <t>CPLRFLT</t>
  </si>
  <si>
    <t>Capillary Refill Time</t>
  </si>
  <si>
    <t>The amount of time it takes for a capillary bed to refill with blood after pressure blanching.</t>
  </si>
  <si>
    <t>Capillary Refill Test</t>
  </si>
  <si>
    <t>C178016</t>
  </si>
  <si>
    <t>CPN</t>
  </si>
  <si>
    <t>Chlamydia pneumoniae</t>
  </si>
  <si>
    <t>A measurement of the Chlamydia pneumoniae in a biological specimen.</t>
  </si>
  <si>
    <t>Chlamydia Pneumoniae Measurement</t>
  </si>
  <si>
    <t>C184657</t>
  </si>
  <si>
    <t>CPNDNA</t>
  </si>
  <si>
    <t>Chlamydia pneumoniae DNA</t>
  </si>
  <si>
    <t>A measurement of the Chlamydia pneumoniae DNA in a biological specimen.</t>
  </si>
  <si>
    <t>Chlamydia pneumoniae DNA Measurement</t>
  </si>
  <si>
    <t>C198308</t>
  </si>
  <si>
    <t>CPNNUAC</t>
  </si>
  <si>
    <t>Chlamydia pneumoniae Nucleic Acid</t>
  </si>
  <si>
    <t>A measurement of the Chlamydia pneumoniae nucleic acid in a biological specimen.</t>
  </si>
  <si>
    <t>Chlamydia pneumoniae Nucleic Acid Measurement</t>
  </si>
  <si>
    <t>C135478</t>
  </si>
  <si>
    <t>CPRFSTAT</t>
  </si>
  <si>
    <t>Clinical Performance Status</t>
  </si>
  <si>
    <t>An assessment of the clinical performance, measured by a rating or scale, as a condition of disease response to therapy. (NCI)</t>
  </si>
  <si>
    <t>C189535</t>
  </si>
  <si>
    <t>CPSDNA</t>
  </si>
  <si>
    <t>Chlamydophila psittaci DNA</t>
  </si>
  <si>
    <t>A measurement of the Chlamydophila psittaci DNA in a biological specimen.</t>
  </si>
  <si>
    <t>Chlamydophila psittaci DNA Measurement</t>
  </si>
  <si>
    <t>C187845</t>
  </si>
  <si>
    <t>CRA</t>
  </si>
  <si>
    <t>Acinetobacter, Carbapenem-resistant</t>
  </si>
  <si>
    <t>Acinetobacter, Carbapenem-resistant; Carbapenem Resistant Acinetobacter</t>
  </si>
  <si>
    <t>A measurement of the organisms that are not assigned to the species level but are assigned to the Enterococcus genus level and are also carbapenem-resistant in a biological specimen.</t>
  </si>
  <si>
    <t>Carbapenem-resistant Acinetobacter Measurement</t>
  </si>
  <si>
    <t>C221677</t>
  </si>
  <si>
    <t>CRAWLABL</t>
  </si>
  <si>
    <t>Crawling Ability</t>
  </si>
  <si>
    <t>An evaluation of an individual's ability to crawl.</t>
  </si>
  <si>
    <t>Crawling Ability Evaluation</t>
  </si>
  <si>
    <t>C147322</t>
  </si>
  <si>
    <t>CRBMZPN</t>
  </si>
  <si>
    <t>Carbamazepine</t>
  </si>
  <si>
    <t>A measurement of the carbamazepine in a biological specimen.</t>
  </si>
  <si>
    <t>Carbamazepine Measurement</t>
  </si>
  <si>
    <t>C221523</t>
  </si>
  <si>
    <t>CRDPRCIN</t>
  </si>
  <si>
    <t>Indication for Cardiac Procedure</t>
  </si>
  <si>
    <t>The condition, disease or disorder that the cardiac procedure is intended to investigate or address.</t>
  </si>
  <si>
    <t>C214701</t>
  </si>
  <si>
    <t>CRE</t>
  </si>
  <si>
    <t>Enterobacterales, Carbapenem-resistant</t>
  </si>
  <si>
    <t>A measurement of the organisms that are not assigned to the species level but are assigned to the Enterobacterales order level and are also carbapenem-resistant in a biological specimen.</t>
  </si>
  <si>
    <t>Carbapenem Resistant Enterobacterales Measurement</t>
  </si>
  <si>
    <t>C64547</t>
  </si>
  <si>
    <t>CREAT</t>
  </si>
  <si>
    <t>Creatinine</t>
  </si>
  <si>
    <t>A measurement of the creatinine in a biological specimen.</t>
  </si>
  <si>
    <t>Creatinine Measurement</t>
  </si>
  <si>
    <t>C25747</t>
  </si>
  <si>
    <t>CREATCLR</t>
  </si>
  <si>
    <t>Creatinine Clearance</t>
  </si>
  <si>
    <t>A measurement of the volume of serum or plasma that would be cleared of creatinine by excretion of urine for a specified unit of time (e.g. one minute).</t>
  </si>
  <si>
    <t>C150817</t>
  </si>
  <si>
    <t>CREATEXR</t>
  </si>
  <si>
    <t>Creatinine Excretion Rate</t>
  </si>
  <si>
    <t>A measurement of the amount of creatinine being excreted in a biological specimen over a defined amount of time (e.g. one hour).</t>
  </si>
  <si>
    <t>C201455</t>
  </si>
  <si>
    <t>CREATINE</t>
  </si>
  <si>
    <t>Creatine</t>
  </si>
  <si>
    <t>A measurement of the creatine in a biological specimen.</t>
  </si>
  <si>
    <t>Creatine Measurement</t>
  </si>
  <si>
    <t>C74703</t>
  </si>
  <si>
    <t>CRENCE</t>
  </si>
  <si>
    <t>Crenated Cells</t>
  </si>
  <si>
    <t>A measurement of the crenated cells in a biological specimen.</t>
  </si>
  <si>
    <t>Crenated Cell Measurement</t>
  </si>
  <si>
    <t>C74851</t>
  </si>
  <si>
    <t>CRH</t>
  </si>
  <si>
    <t>Corticotropin Releasing Hormone</t>
  </si>
  <si>
    <t>Corticotropin Releasing Factor; Corticotropin Releasing Hormone</t>
  </si>
  <si>
    <t>A measurement of the corticotropin releasing hormone in a biological specimen.</t>
  </si>
  <si>
    <t>Corticotropin Releasing Hormone Measurement</t>
  </si>
  <si>
    <t>C209638</t>
  </si>
  <si>
    <t>CRKP</t>
  </si>
  <si>
    <t>K. pneumoniae, Carbapenem-resistant</t>
  </si>
  <si>
    <t>K. pneumoniae, Carbapenem-resistant; Klebsiella pneumoniae, Carbapenem-resistant</t>
  </si>
  <si>
    <t>A measurement of the carbapenem-resistant strain of Klebsiella pneumoniae in a biological specimen.</t>
  </si>
  <si>
    <t>Carbapenem-Resistant Klebsiella pneumoniae Measurement</t>
  </si>
  <si>
    <t>C100432</t>
  </si>
  <si>
    <t>CRLPLSMN</t>
  </si>
  <si>
    <t>Ceruloplasmin</t>
  </si>
  <si>
    <t>Caeruloplasmin; Ceruloplasmin</t>
  </si>
  <si>
    <t>A measurement of ceruloplasmin in a biological specimen.</t>
  </si>
  <si>
    <t>Ceruloplasmin Measurement</t>
  </si>
  <si>
    <t>C98715</t>
  </si>
  <si>
    <t>CRMDUR</t>
  </si>
  <si>
    <t>Confirmed Response Minimum Duration</t>
  </si>
  <si>
    <t>The protocol specified minimum amount of time needed to meet the definition of a confirmed response to treatment.</t>
  </si>
  <si>
    <t>C147323</t>
  </si>
  <si>
    <t>CRNTESTR</t>
  </si>
  <si>
    <t>Carnitine Esters</t>
  </si>
  <si>
    <t>A measurement of the total carnitine esters in a biological specimen.</t>
  </si>
  <si>
    <t>Carnitine Ester Measurement</t>
  </si>
  <si>
    <t>C171456</t>
  </si>
  <si>
    <t>CRONAVIR</t>
  </si>
  <si>
    <t>Coronaviridae</t>
  </si>
  <si>
    <t>Coronaviridae; Coronavirus</t>
  </si>
  <si>
    <t>A measurement of the coronaviridae in a biological specimen.</t>
  </si>
  <si>
    <t>Coronaviridae Measurement</t>
  </si>
  <si>
    <t>C191311</t>
  </si>
  <si>
    <t>CRONRNA</t>
  </si>
  <si>
    <t>Coronavirus RNA</t>
  </si>
  <si>
    <t>A measurement of the RNA from any member of the family Coronaviridae in a biological specimen.</t>
  </si>
  <si>
    <t>Coronavirus RNA Measurement</t>
  </si>
  <si>
    <t>C204648</t>
  </si>
  <si>
    <t>CROTNALD</t>
  </si>
  <si>
    <t>Crotonaldehyde</t>
  </si>
  <si>
    <t>A measurement of the crotonaldehyde in a specimen.</t>
  </si>
  <si>
    <t>Crotonaldehyde Measurement</t>
  </si>
  <si>
    <t>C64548</t>
  </si>
  <si>
    <t>CRP</t>
  </si>
  <si>
    <t>C Reactive Protein</t>
  </si>
  <si>
    <t>A measurement of the C reactive protein in a biological specimen.</t>
  </si>
  <si>
    <t>C-Reactive Protein Measurement</t>
  </si>
  <si>
    <t>C221561</t>
  </si>
  <si>
    <t>CRPM</t>
  </si>
  <si>
    <t>C-Reactive Protein Metabolite</t>
  </si>
  <si>
    <t>C-Reactive Protein Metabolite; CRPM</t>
  </si>
  <si>
    <t>A measurement of the C-reactive protein metabolite, an MMP-generated neoepitope of C-reactive protein (CRP), in a biological specimen.</t>
  </si>
  <si>
    <t>C-Reactive Protein Metabolite Measurement</t>
  </si>
  <si>
    <t>C184611</t>
  </si>
  <si>
    <t>CRSPRDL</t>
  </si>
  <si>
    <t>Carisoprodol</t>
  </si>
  <si>
    <t>A measurement of the carisoprodol in a biological specimen.</t>
  </si>
  <si>
    <t>Carisoprodol Measurement</t>
  </si>
  <si>
    <t>C147324</t>
  </si>
  <si>
    <t>CRTCLRBS</t>
  </si>
  <si>
    <t>Creatinine Clearance Adjusted for BSA</t>
  </si>
  <si>
    <t>A measurement of the volume of serum or plasma that would be cleared of creatinine by excretion of urine for a specified unit of time (e.g. one minute), adjusted for body surface area.</t>
  </si>
  <si>
    <t>C150847</t>
  </si>
  <si>
    <t>CRTCLRE</t>
  </si>
  <si>
    <t>Creatinine Clearance, Estimated</t>
  </si>
  <si>
    <t>An estimate of the volume of serum or plasma that would be cleared of creatinine by excretion of urine for a specified unit of time (e.g. one minute).</t>
  </si>
  <si>
    <t>Estimated Creatinine Clearance</t>
  </si>
  <si>
    <t>C106511</t>
  </si>
  <si>
    <t>CRTCREAT</t>
  </si>
  <si>
    <t>Corticosterone/Creatinine</t>
  </si>
  <si>
    <t>A relative measurement (ratio or percentage) of the corticosterone to creatinine present in a sample.</t>
  </si>
  <si>
    <t>Corticosterone to Creatinine Ratio Measurement</t>
  </si>
  <si>
    <t>C163427</t>
  </si>
  <si>
    <t>CRTFREXR</t>
  </si>
  <si>
    <t>Cortisol, Free Excretion Rate</t>
  </si>
  <si>
    <t>A measurement of the amount of free cortisol being excreted in a biological specimen over a defined amount of time (e.g. one hour).</t>
  </si>
  <si>
    <t>Free Cortisol Excretion Rate</t>
  </si>
  <si>
    <t>C186034</t>
  </si>
  <si>
    <t>CRTN</t>
  </si>
  <si>
    <t>Carotene</t>
  </si>
  <si>
    <t>A measurement of the total carotenes in a biological specimen.</t>
  </si>
  <si>
    <t>Carotene Measurement</t>
  </si>
  <si>
    <t>C79434</t>
  </si>
  <si>
    <t>CRTRONE</t>
  </si>
  <si>
    <t>Corticosterone</t>
  </si>
  <si>
    <t>A measurement of corticosterone in a biological specimen.</t>
  </si>
  <si>
    <t>Corticosterone Measurement</t>
  </si>
  <si>
    <t>C221598</t>
  </si>
  <si>
    <t>CRU</t>
  </si>
  <si>
    <t>Candida rugosa</t>
  </si>
  <si>
    <t>A measurement of Candida rugosa in a biological specimen.</t>
  </si>
  <si>
    <t>Candida rugosa Measurement</t>
  </si>
  <si>
    <t>C170639</t>
  </si>
  <si>
    <t>CRWNHEEL</t>
  </si>
  <si>
    <t>Crown-to-Heel Length</t>
  </si>
  <si>
    <t>A measurement of the length of the body from the crown of the head to the bottom of the heel.</t>
  </si>
  <si>
    <t>Crown to Heel Length</t>
  </si>
  <si>
    <t>C221521</t>
  </si>
  <si>
    <t>CRYDFMNF</t>
  </si>
  <si>
    <t>Cardiac Rhythm Device Fail Manifestation</t>
  </si>
  <si>
    <t>Cardiac Rhythm Device Fail Manifestation; Cardiac Rhythm Device Failure Manifestation</t>
  </si>
  <si>
    <t>The outcome of the cardiac rhythm device failure.</t>
  </si>
  <si>
    <t>C147325</t>
  </si>
  <si>
    <t>CRYGLBSR</t>
  </si>
  <si>
    <t>Cryoglobulin Volume/Serum Volume</t>
  </si>
  <si>
    <t>A relative measurement (ratio or percentage) of the volume of cryoglobulin to total serum volume in a biological specimen.</t>
  </si>
  <si>
    <t>Cryoglobulin Volume to Serum Volume Ratio Measurement</t>
  </si>
  <si>
    <t>C147326</t>
  </si>
  <si>
    <t>CRYOFBRN</t>
  </si>
  <si>
    <t>Cryofibrinogen</t>
  </si>
  <si>
    <t>A measurement of the cryofibrinogen in a biological specimen.</t>
  </si>
  <si>
    <t>Cryofibrinogen Measurement</t>
  </si>
  <si>
    <t>C111164</t>
  </si>
  <si>
    <t>CRYOGLBN</t>
  </si>
  <si>
    <t>Cryoglobulin</t>
  </si>
  <si>
    <t>A measurement of cryoglobulin in a biological specimen.</t>
  </si>
  <si>
    <t>Cryoglobulin Measurement</t>
  </si>
  <si>
    <t>C176336</t>
  </si>
  <si>
    <t>CRYPABSC</t>
  </si>
  <si>
    <t>Crypt Abscess</t>
  </si>
  <si>
    <t>An evaluation of crypt abscess in a biological specimen.</t>
  </si>
  <si>
    <t>Crypt Abscess Assessment</t>
  </si>
  <si>
    <t>C176337</t>
  </si>
  <si>
    <t>CRYPARCD</t>
  </si>
  <si>
    <t>Crypt Architectural Damage</t>
  </si>
  <si>
    <t>An evaluation of the extent of the architectural damage to the crypts in a biological specimen.</t>
  </si>
  <si>
    <t>Crypt Architectural Damage Assessment</t>
  </si>
  <si>
    <t>C154829</t>
  </si>
  <si>
    <t>CRYPTCAG</t>
  </si>
  <si>
    <t>Cryptococcus Antigen</t>
  </si>
  <si>
    <t>A measurement of the antigen from any member of the genus Cryptococcus in a biological specimen.</t>
  </si>
  <si>
    <t>Cryptococcus Antigen Measurement</t>
  </si>
  <si>
    <t>C166033</t>
  </si>
  <si>
    <t>CRYPTDNA</t>
  </si>
  <si>
    <t>Cryptosporidium DNA</t>
  </si>
  <si>
    <t>A measurement of the DNA from any member of the genus Cryptosporidium in a biological specimen.</t>
  </si>
  <si>
    <t>Cryptosporidium DNA Measurement</t>
  </si>
  <si>
    <t>C176335</t>
  </si>
  <si>
    <t>CRYPTTS</t>
  </si>
  <si>
    <t>Cryptitis</t>
  </si>
  <si>
    <t>An evaluation of cryptitis in a biological specimen.</t>
  </si>
  <si>
    <t>Cryptitis Assessment</t>
  </si>
  <si>
    <t>C213923</t>
  </si>
  <si>
    <t>CRYSTALS</t>
  </si>
  <si>
    <t>Crystals</t>
  </si>
  <si>
    <t>Crystals; Crystals Absent Indicator</t>
  </si>
  <si>
    <t>An indication that crystals were looked for and not found in a biological specimen.</t>
  </si>
  <si>
    <t>Crystal Absent Indicator</t>
  </si>
  <si>
    <t>C74762</t>
  </si>
  <si>
    <t>CSBACT</t>
  </si>
  <si>
    <t>Bacterial Casts</t>
  </si>
  <si>
    <t>A measurement of the bacterial casts present in a biological specimen.</t>
  </si>
  <si>
    <t>Bacterial Cast Measurement</t>
  </si>
  <si>
    <t>C96588</t>
  </si>
  <si>
    <t>CSBROAD</t>
  </si>
  <si>
    <t>Broad Casts</t>
  </si>
  <si>
    <t>A measurement of the broad casts in a biological specimen.</t>
  </si>
  <si>
    <t>Broad Casts Measurement</t>
  </si>
  <si>
    <t>C74764</t>
  </si>
  <si>
    <t>CSCELL</t>
  </si>
  <si>
    <t>Cellular Casts</t>
  </si>
  <si>
    <t>A measurement of the cellular (white blood cell, red blood cell, epithelial and bacterial) casts present in a biological specimen.</t>
  </si>
  <si>
    <t>Cellular Cast Measurement</t>
  </si>
  <si>
    <t>C150838</t>
  </si>
  <si>
    <t>CSCYL</t>
  </si>
  <si>
    <t>Cylindroid Casts</t>
  </si>
  <si>
    <t>Cylindroid Casts; Cylindroid Pseudocasts</t>
  </si>
  <si>
    <t>A measurement of cylindroid casts (casts with a tapering end) in a biological specimen.</t>
  </si>
  <si>
    <t>Cylindroid Cast Measurement</t>
  </si>
  <si>
    <t>C139032</t>
  </si>
  <si>
    <t>CSDIA</t>
  </si>
  <si>
    <t>Cross-sectional Diameter</t>
  </si>
  <si>
    <t>A measurement of a structure taken along the plane that is perpendicular to the long axis.</t>
  </si>
  <si>
    <t>C127545</t>
  </si>
  <si>
    <t>CSDIAEVD</t>
  </si>
  <si>
    <t>Cross-sec Diameter, EVD</t>
  </si>
  <si>
    <t>Cross-sec Diameter, EVD; Cross-sectional Diameter, End Ventricular Diastole</t>
  </si>
  <si>
    <t>The cross sectional diameter of a cardiovascular structure measured at end ventricular diastole.</t>
  </si>
  <si>
    <t>Cross-sectional Diameter at End Ventricular Diastole</t>
  </si>
  <si>
    <t>C127546</t>
  </si>
  <si>
    <t>CSDIAEVS</t>
  </si>
  <si>
    <t>Cross-sec Diameter, EVS</t>
  </si>
  <si>
    <t>Cross-sec Diameter, EVS; Cross-sectional Diameter, End Ventricular Systole</t>
  </si>
  <si>
    <t>The cross sectional diameter of a cardiovascular structure measured at end ventricular systole.</t>
  </si>
  <si>
    <t>Cross-sectional Diameter at End Ventricular Systole</t>
  </si>
  <si>
    <t>C127547</t>
  </si>
  <si>
    <t>CSDIAMVS</t>
  </si>
  <si>
    <t>Cross-sec Diameter, MVS</t>
  </si>
  <si>
    <t>Cross-sec Diameter, MVS; Cross-sectional Diameter, Mid Ventricular Systole</t>
  </si>
  <si>
    <t>The cross sectional diameter of a cardiovascular structure measured at mid ventricular systole.</t>
  </si>
  <si>
    <t>Cross-sectional Diameter at Mid Ventricular Systole</t>
  </si>
  <si>
    <t>C74779</t>
  </si>
  <si>
    <t>CSEPI</t>
  </si>
  <si>
    <t>Epithelial Casts</t>
  </si>
  <si>
    <t>A measurement of the epithelial cell casts present in a biological specimen.</t>
  </si>
  <si>
    <t>Epithelial-Cast Measurement</t>
  </si>
  <si>
    <t>C112220</t>
  </si>
  <si>
    <t>CSEPI846</t>
  </si>
  <si>
    <t>Aggrecan Chondroitin Sulfate Epitope 846</t>
  </si>
  <si>
    <t>846-Epitope; Aggrecan Chondroitin Sulfate Epitope 846; Chondroitin Sulfate Epitope 846; Chondroitin Sulfate Proteoglycan 1 Epitope 846; CS846</t>
  </si>
  <si>
    <t>A measurement of the 846 epitope present on the chondroitin sulfate chains of aggrecan in a biological specimen.</t>
  </si>
  <si>
    <t>Aggrecan Chondroitin Sulfate Epitope 846 Measurement</t>
  </si>
  <si>
    <t>C174229</t>
  </si>
  <si>
    <t>CSEPIR</t>
  </si>
  <si>
    <t>Renal Epithelial Casts</t>
  </si>
  <si>
    <t>A measurement of the renal epithelial cell casts in a biological specimen.</t>
  </si>
  <si>
    <t>Renal Epithelial Casts Measurement</t>
  </si>
  <si>
    <t>C174292</t>
  </si>
  <si>
    <t>CSEPIRT</t>
  </si>
  <si>
    <t>Renal Tubular Epithelial Casts</t>
  </si>
  <si>
    <t>A measurement of the renal tubular epithelial cell casts in a biological specimen.</t>
  </si>
  <si>
    <t>Renal Tubular Epithelial Casts Measurement</t>
  </si>
  <si>
    <t>C74766</t>
  </si>
  <si>
    <t>CSFAT</t>
  </si>
  <si>
    <t>Fatty Casts</t>
  </si>
  <si>
    <t>A measurement of the fatty casts present in a biological specimen.</t>
  </si>
  <si>
    <t>Fatty Cast Measurement</t>
  </si>
  <si>
    <t>C154735</t>
  </si>
  <si>
    <t>CSFIGIDX</t>
  </si>
  <si>
    <t>CSF IgG Index</t>
  </si>
  <si>
    <t>CSF IgG Index; CSF Index; IgG Index</t>
  </si>
  <si>
    <t>A relative measurement (ratio) of the IgG to albumin in cerebrospinal fluid to the IgG to albumin in serum.</t>
  </si>
  <si>
    <t>IgG Index</t>
  </si>
  <si>
    <t>C74768</t>
  </si>
  <si>
    <t>CSGRAN</t>
  </si>
  <si>
    <t>Granular Casts</t>
  </si>
  <si>
    <t>A measurement of the granular (coarse and fine) casts present in a biological specimen.</t>
  </si>
  <si>
    <t>Granular Cast Measurement</t>
  </si>
  <si>
    <t>C74765</t>
  </si>
  <si>
    <t>CSGRANC</t>
  </si>
  <si>
    <t>Granular Coarse Casts</t>
  </si>
  <si>
    <t>A measurement of the coarse granular casts present in a biological specimen.</t>
  </si>
  <si>
    <t>Coarse Granular Cast Measurement</t>
  </si>
  <si>
    <t>C74769</t>
  </si>
  <si>
    <t>CSGRANF</t>
  </si>
  <si>
    <t>Granular Fine Casts</t>
  </si>
  <si>
    <t>A measurement of the fine granular casts present in a biological specimen.</t>
  </si>
  <si>
    <t>Granular Fine Cast Measurement</t>
  </si>
  <si>
    <t>C74770</t>
  </si>
  <si>
    <t>CSHYAL</t>
  </si>
  <si>
    <t>Hyaline Casts</t>
  </si>
  <si>
    <t>A measurement of the hyaline casts present in a biological specimen.</t>
  </si>
  <si>
    <t>Hyaline Cast Measurement</t>
  </si>
  <si>
    <t>C174305</t>
  </si>
  <si>
    <t>CSHYGR</t>
  </si>
  <si>
    <t>Hyalogranular Casts</t>
  </si>
  <si>
    <t>A measurement of the hyalogranular casts in a biological specimen.</t>
  </si>
  <si>
    <t>C74771</t>
  </si>
  <si>
    <t>CSMIX</t>
  </si>
  <si>
    <t>Mixed Casts</t>
  </si>
  <si>
    <t>A measurement of the mixed (the cast contains a mixture of cell types) casts present in a biological specimen.</t>
  </si>
  <si>
    <t>Mixed Cast Count</t>
  </si>
  <si>
    <t>C186035</t>
  </si>
  <si>
    <t>CSPATH</t>
  </si>
  <si>
    <t>Pathologic Casts</t>
  </si>
  <si>
    <t>Non-Hyalin Casts; Non-Hyaline Casts; Pathologic Casts</t>
  </si>
  <si>
    <t>A measurement of the pathologic (non-hyaline) casts present in a biological specimen.</t>
  </si>
  <si>
    <t>Pathologic Cast Measurement</t>
  </si>
  <si>
    <t>C127548</t>
  </si>
  <si>
    <t>CSPDIND</t>
  </si>
  <si>
    <t>Cusp Doming Indicator</t>
  </si>
  <si>
    <t>An indication as to whether there is doming of a cardiac valve cusp.</t>
  </si>
  <si>
    <t>C127549</t>
  </si>
  <si>
    <t>CSPDSEV</t>
  </si>
  <si>
    <t>Cusp Doming Severity</t>
  </si>
  <si>
    <t>The assessment of the severity of doming of a cardiac valve cusp.</t>
  </si>
  <si>
    <t>C127550</t>
  </si>
  <si>
    <t>CSPFIND</t>
  </si>
  <si>
    <t>Cusp Flail Indicator</t>
  </si>
  <si>
    <t>An indication as to whether there is a flailing cardiac valve cusp.</t>
  </si>
  <si>
    <t>C127551</t>
  </si>
  <si>
    <t>CSPFSEV</t>
  </si>
  <si>
    <t>Cusp Flail Severity</t>
  </si>
  <si>
    <t>The assessment of the severity of a flailing cardiac valve cusp.</t>
  </si>
  <si>
    <t>C127552</t>
  </si>
  <si>
    <t>CSPFT</t>
  </si>
  <si>
    <t>Cusp Flail Timing</t>
  </si>
  <si>
    <t>The time point during the cardiac cycle when the flail of one or more cardiac valve cusps occurs.</t>
  </si>
  <si>
    <t>C189518</t>
  </si>
  <si>
    <t>CSPIG</t>
  </si>
  <si>
    <t>Pigment Casts</t>
  </si>
  <si>
    <t>Pigment Casts; Pigmented Casts</t>
  </si>
  <si>
    <t>A measurement of the pigment casts present in a biological specimen.</t>
  </si>
  <si>
    <t>Pigment Cast Measurement</t>
  </si>
  <si>
    <t>C166034</t>
  </si>
  <si>
    <t>CSPORAG</t>
  </si>
  <si>
    <t>Cryptosporidium Antigen</t>
  </si>
  <si>
    <t>A measurement of the antigen from any member of the genus Cryptosporidium in a biological specimen.</t>
  </si>
  <si>
    <t>Cryptosporidium Antigen Measurement</t>
  </si>
  <si>
    <t>C127553</t>
  </si>
  <si>
    <t>CSPPIND</t>
  </si>
  <si>
    <t>Cusp Prolapse Indicator</t>
  </si>
  <si>
    <t>An indication as to whether there is a prolapsing cardiac valve cusp.</t>
  </si>
  <si>
    <t>C127554</t>
  </si>
  <si>
    <t>CSPPSEV</t>
  </si>
  <si>
    <t>Cusp Prolapse Severity</t>
  </si>
  <si>
    <t>The assessment of the severity of a prolapsing cardiac valve cusp.</t>
  </si>
  <si>
    <t>C127555</t>
  </si>
  <si>
    <t>CSPPT</t>
  </si>
  <si>
    <t>Cusp Prolapse Timing</t>
  </si>
  <si>
    <t>The time point during the cardiac cycle when the prolapse of one or more cardiac valve cusps occurs.</t>
  </si>
  <si>
    <t>C127556</t>
  </si>
  <si>
    <t>CSPRMIND</t>
  </si>
  <si>
    <t>Cusp Restricted Motion Indicator</t>
  </si>
  <si>
    <t>An indication as to whether there is restricted motion of a cardiac valve cusp.</t>
  </si>
  <si>
    <t>C127557</t>
  </si>
  <si>
    <t>CSPRMSEV</t>
  </si>
  <si>
    <t>Cusp Restricted Motion Severity</t>
  </si>
  <si>
    <t>The assessment of the severity of restricted motion of a cardiac valve cusp.</t>
  </si>
  <si>
    <t>C127558</t>
  </si>
  <si>
    <t>CSPTEIND</t>
  </si>
  <si>
    <t>Cusp Tethering Indicator</t>
  </si>
  <si>
    <t>An indication as to whether there is tethering of a cardiac valve cusp.</t>
  </si>
  <si>
    <t>C127559</t>
  </si>
  <si>
    <t>CSPTESEV</t>
  </si>
  <si>
    <t>Cusp Tethering Severity</t>
  </si>
  <si>
    <t>The assessment of the severity of tethering of a cardiac valve cusp.</t>
  </si>
  <si>
    <t>C127560</t>
  </si>
  <si>
    <t>CSPTIND</t>
  </si>
  <si>
    <t>Cusp Thickening Indicator</t>
  </si>
  <si>
    <t>An indication as to whether there is a thickened cardiac valve cusp.</t>
  </si>
  <si>
    <t>C127561</t>
  </si>
  <si>
    <t>CSPTSEV</t>
  </si>
  <si>
    <t>Cusp Thickening Severity</t>
  </si>
  <si>
    <t>The assessment of the severity of a thickening cardiac cusp.</t>
  </si>
  <si>
    <t>C139273</t>
  </si>
  <si>
    <t>CSRARDTC</t>
  </si>
  <si>
    <t>Clinical Study Report Archive Date</t>
  </si>
  <si>
    <t>The date when the clinical study report was archived.</t>
  </si>
  <si>
    <t>C74772</t>
  </si>
  <si>
    <t>CSRBC</t>
  </si>
  <si>
    <t>RBC Casts</t>
  </si>
  <si>
    <t>Erythrocyte Casts; RBC Casts</t>
  </si>
  <si>
    <t>A measurement of the red blood cell casts present in a biological specimen.</t>
  </si>
  <si>
    <t>Red Blood Cell Cast Measurement</t>
  </si>
  <si>
    <t>C189358</t>
  </si>
  <si>
    <t>CSRSCTN</t>
  </si>
  <si>
    <t>Number of Cesarean Sections</t>
  </si>
  <si>
    <t>Number of C-Sections; Number of Cesarean Sections</t>
  </si>
  <si>
    <t>A measurement of the total number of cesarean section delivery events experienced by the individual.</t>
  </si>
  <si>
    <t>C221604</t>
  </si>
  <si>
    <t>CST</t>
  </si>
  <si>
    <t>Corynebacterium striatum</t>
  </si>
  <si>
    <t>A measurement of Corynebacterium striatum in a biological specimen.</t>
  </si>
  <si>
    <t>Corynebacterium striatum Measurement</t>
  </si>
  <si>
    <t>C74776</t>
  </si>
  <si>
    <t>CSUNCLA</t>
  </si>
  <si>
    <t>Unclassified Casts</t>
  </si>
  <si>
    <t>A measurement of the unclassifiable casts present in a biological specimen.</t>
  </si>
  <si>
    <t>Unclassified Cast Measurement</t>
  </si>
  <si>
    <t>C74777</t>
  </si>
  <si>
    <t>CSWAX</t>
  </si>
  <si>
    <t>Waxy Casts</t>
  </si>
  <si>
    <t>A measurement of the waxy casts present in a biological specimen.</t>
  </si>
  <si>
    <t>Waxy Cell Cast Measurement</t>
  </si>
  <si>
    <t>C74778</t>
  </si>
  <si>
    <t>CSWBC</t>
  </si>
  <si>
    <t>WBC Casts</t>
  </si>
  <si>
    <t>A measurement of the white blood cell casts present in a biological specimen.</t>
  </si>
  <si>
    <t>White Blood Cell Cast Measurement</t>
  </si>
  <si>
    <t>C156602</t>
  </si>
  <si>
    <t>CTAUG</t>
  </si>
  <si>
    <t>CDISC Therapeutic Area User Guide</t>
  </si>
  <si>
    <t>The name and version of the CDISC therapeutic area user guide that is being used in the study submission.</t>
  </si>
  <si>
    <t>CDISC Therapeutic Area User Guide Name and Version</t>
  </si>
  <si>
    <t>C96593</t>
  </si>
  <si>
    <t>CTC</t>
  </si>
  <si>
    <t>Circulating Tumor Cells</t>
  </si>
  <si>
    <t>A measurement of the circulating tumor cells in a biological specimen.</t>
  </si>
  <si>
    <t>Circulating Tumor Cell Count</t>
  </si>
  <si>
    <t>C186036</t>
  </si>
  <si>
    <t>CTCAPOP</t>
  </si>
  <si>
    <t>Circulating Tumor Cells, Apoptotic</t>
  </si>
  <si>
    <t>A measurement of the apoptotic circulating tumor cells in a biological specimen.</t>
  </si>
  <si>
    <t>Apoptotic Circulating Tumor Cell Count</t>
  </si>
  <si>
    <t>C186037</t>
  </si>
  <si>
    <t>CTCHLMN</t>
  </si>
  <si>
    <t>Catecholamines</t>
  </si>
  <si>
    <t>A measurement of the total catecholamines in a biological specimen.</t>
  </si>
  <si>
    <t>Catecholamine Measurement</t>
  </si>
  <si>
    <t>C214670</t>
  </si>
  <si>
    <t>CTCMLYS</t>
  </si>
  <si>
    <t>Cytotoxic T Cell-Mediated Cytolysis</t>
  </si>
  <si>
    <t>CTL-Mediated Cytolysis; Cytotoxic T Cell-Mediated Cytolysis; Cytotoxic T Lymphocyte-Mediated Cytolysis</t>
  </si>
  <si>
    <t>A measurement of the lysis of target cells mediated by cytotoxic T cells in a biological specimen.</t>
  </si>
  <si>
    <t>Cytotoxic T Cell-Mediated Cytolysis Assessment</t>
  </si>
  <si>
    <t>C186038</t>
  </si>
  <si>
    <t>CTCTRAD</t>
  </si>
  <si>
    <t>Circulating Tumor Cells, Traditional</t>
  </si>
  <si>
    <t>A measurement of the traditional circulating tumor cells in a biological specimen.</t>
  </si>
  <si>
    <t>Traditional Circulating Tumor Cell Count</t>
  </si>
  <si>
    <t>C189504</t>
  </si>
  <si>
    <t>CTGF</t>
  </si>
  <si>
    <t>Connective Tissue Growth Factor</t>
  </si>
  <si>
    <t>Cellular Communication Network Factor 2; CN2; Connective Tissue Growth Factor; IGFBP8</t>
  </si>
  <si>
    <t>A measurement of the connective tissue growth factor in a biological specimen.</t>
  </si>
  <si>
    <t>Connective Tissue Growth Factor Measurement</t>
  </si>
  <si>
    <t>C189500</t>
  </si>
  <si>
    <t>CTLCREAT</t>
  </si>
  <si>
    <t>Citrulline/Creatinine</t>
  </si>
  <si>
    <t>A relative measurement (ratio or percentage) of the citrulline to creatinine in a biological specimen.</t>
  </si>
  <si>
    <t>Citrulline to Creatinine Ratio Measurement</t>
  </si>
  <si>
    <t>C147327</t>
  </si>
  <si>
    <t>CTLPRM</t>
  </si>
  <si>
    <t>Citalopram</t>
  </si>
  <si>
    <t>A measurement of the citalopram present in a biological specimen.</t>
  </si>
  <si>
    <t>Citalopram Measurement</t>
  </si>
  <si>
    <t>C189494</t>
  </si>
  <si>
    <t>CTLPRMD</t>
  </si>
  <si>
    <t>Desmethylcitalopram</t>
  </si>
  <si>
    <t>Desmethyl Citalopram; Desmethylcitalopram; Norcitalopram</t>
  </si>
  <si>
    <t>A measurement of the desmethylcitalopram in a biological specimen.</t>
  </si>
  <si>
    <t>Desmethylcitalopram Measurement</t>
  </si>
  <si>
    <t>C189655</t>
  </si>
  <si>
    <t>CTLPRMDD</t>
  </si>
  <si>
    <t>Di-Desmethylcitalopram</t>
  </si>
  <si>
    <t>A measurement of the di-desmethylcitalopram in a biological specimen.</t>
  </si>
  <si>
    <t>Di-Desmethylcitalopram Measurement</t>
  </si>
  <si>
    <t>C201459</t>
  </si>
  <si>
    <t>CTNCH</t>
  </si>
  <si>
    <t>Creatine + Choline</t>
  </si>
  <si>
    <t>A measurement of the creatine plus choline in a biological specimen.</t>
  </si>
  <si>
    <t>Creatine and Choline Measurement</t>
  </si>
  <si>
    <t>C209581</t>
  </si>
  <si>
    <t>CTNGLC</t>
  </si>
  <si>
    <t>Cotinine Glucuronide</t>
  </si>
  <si>
    <t>Cotinine Glucuronide; Cotinine N-B-D-Glucuronide; Cotinine N-beta-D-Glucuronide; Cotinine-Glucuronide; Cotinine-N-Glucuronide</t>
  </si>
  <si>
    <t>A measurement of the cotinine glucuronide in a specimen.</t>
  </si>
  <si>
    <t>Cotinine Glucuronide Measurement</t>
  </si>
  <si>
    <t>C158260</t>
  </si>
  <si>
    <t>CTNPCTN</t>
  </si>
  <si>
    <t>Creatine+Phosphocreatine</t>
  </si>
  <si>
    <t>A measurement of the creatine plus phosphocreatine in a biological specimen.</t>
  </si>
  <si>
    <t>Creatine and Phosphocreatine Measurement</t>
  </si>
  <si>
    <t>C80160</t>
  </si>
  <si>
    <t>CTOT</t>
  </si>
  <si>
    <t>Complement Total</t>
  </si>
  <si>
    <t>Complement Total; Total Hemolytic Complement</t>
  </si>
  <si>
    <t>A measurement of the total complement in a biological specimen.</t>
  </si>
  <si>
    <t>Complement Measurement</t>
  </si>
  <si>
    <t>C127562</t>
  </si>
  <si>
    <t>CTPIND</t>
  </si>
  <si>
    <t>Chordae Tendineae Prolapse Indicator</t>
  </si>
  <si>
    <t>An indication as to whether there is prolapsing of a cardiac valve chordae tendinae.</t>
  </si>
  <si>
    <t>C184659</t>
  </si>
  <si>
    <t>CTR</t>
  </si>
  <si>
    <t>Chlamydia trachomatis</t>
  </si>
  <si>
    <t>A measurement of the Chlamydia trachomatis in a biological specimen.</t>
  </si>
  <si>
    <t>Chlamydia trachomatis Measurement</t>
  </si>
  <si>
    <t>C154835</t>
  </si>
  <si>
    <t>CTRAG</t>
  </si>
  <si>
    <t>Chlamydia trachomatis Antigen</t>
  </si>
  <si>
    <t>A measurement of the Chlamydia trachomatis antigen in a biological specimen.</t>
  </si>
  <si>
    <t>Chlamydia Trachomatis Antigen Measurement</t>
  </si>
  <si>
    <t>C161392</t>
  </si>
  <si>
    <t>CTRDNA</t>
  </si>
  <si>
    <t>Chlamydia trachomatis DNA</t>
  </si>
  <si>
    <t>A measurement of the Chlamydia trachomatis DNA in a biological specimen.</t>
  </si>
  <si>
    <t>Chlamydia trachomatis DNA Measurement</t>
  </si>
  <si>
    <t>C221599</t>
  </si>
  <si>
    <t>CTRO</t>
  </si>
  <si>
    <t>Candida tropicalis</t>
  </si>
  <si>
    <t>A measurement of Candida tropicalis in a biological specimen.</t>
  </si>
  <si>
    <t>Candida tropicalis Measurement</t>
  </si>
  <si>
    <t>C102394</t>
  </si>
  <si>
    <t>CTROUGH</t>
  </si>
  <si>
    <t>Conc Trough</t>
  </si>
  <si>
    <t>Conc Trough; Concentration Trough; Ctrough; Trough Level</t>
  </si>
  <si>
    <t>Concentration at end of a dosing interval, immediately before the next dose is administered.</t>
  </si>
  <si>
    <t>Trough Concentration</t>
  </si>
  <si>
    <t>C102395</t>
  </si>
  <si>
    <t>CTROUGHB</t>
  </si>
  <si>
    <t>Conc Trough by BMI</t>
  </si>
  <si>
    <t>The trough concentration divided by body mass index.</t>
  </si>
  <si>
    <t>Trough Concentration Divided by Body Mass Index</t>
  </si>
  <si>
    <t>C102396</t>
  </si>
  <si>
    <t>CTROUGHD</t>
  </si>
  <si>
    <t>Conc Trough by Dose</t>
  </si>
  <si>
    <t>The trough concentration divided by dose.</t>
  </si>
  <si>
    <t>Trough Concentration Divided by Dose</t>
  </si>
  <si>
    <t>C102397</t>
  </si>
  <si>
    <t>CTROUGHS</t>
  </si>
  <si>
    <t>Conc Trough by SA</t>
  </si>
  <si>
    <t>The trough concentration divided by surface area.</t>
  </si>
  <si>
    <t>Trough Concentration Divided by Surface Area</t>
  </si>
  <si>
    <t>C102398</t>
  </si>
  <si>
    <t>CTROUGHW</t>
  </si>
  <si>
    <t>Conc Trough by WT</t>
  </si>
  <si>
    <t>The trough concentration divided by weight.</t>
  </si>
  <si>
    <t>Trough Concentration Divided by Weight</t>
  </si>
  <si>
    <t>C186151</t>
  </si>
  <si>
    <t>CTRRNA</t>
  </si>
  <si>
    <t>Chlamydia trachomatis RNA</t>
  </si>
  <si>
    <t>A measurement of the Chlamydia trachomatis RNA in a biological specimen.</t>
  </si>
  <si>
    <t>Chlamydia Trachomatis RNA Measurement</t>
  </si>
  <si>
    <t>C102631</t>
  </si>
  <si>
    <t>CTRYDDTC</t>
  </si>
  <si>
    <t>Entry Date from Ptntl Cntry Disease Exp</t>
  </si>
  <si>
    <t>The date on which the subject arrived in the reporting country from the country of potential disease exposure.</t>
  </si>
  <si>
    <t>Entry Date from Country of Potential Disease Exposure</t>
  </si>
  <si>
    <t>C102612</t>
  </si>
  <si>
    <t>CTRYDEXP</t>
  </si>
  <si>
    <t>Country of Potential Disease Exposure</t>
  </si>
  <si>
    <t>System of classification based on the nation in which an individual was exposed to a disease, regardless of the nation in which he/she currently resides.</t>
  </si>
  <si>
    <t>C176365</t>
  </si>
  <si>
    <t>CTRYPAD</t>
  </si>
  <si>
    <t>Country of Permanent Address</t>
  </si>
  <si>
    <t>The country identified as the individual's permanent residence.</t>
  </si>
  <si>
    <t>C199917</t>
  </si>
  <si>
    <t>CTSD</t>
  </si>
  <si>
    <t>Cathepsin D</t>
  </si>
  <si>
    <t>A measurement of the cathepsin D in a biological specimen.</t>
  </si>
  <si>
    <t>Cathepsin D Measurement</t>
  </si>
  <si>
    <t>C221605</t>
  </si>
  <si>
    <t>CTU</t>
  </si>
  <si>
    <t>Corynebacterium tuberculostearicum</t>
  </si>
  <si>
    <t>A measurement of Corynebacterium tuberculostearicum in a biological specimen.</t>
  </si>
  <si>
    <t>Corynebacterium tuberculostearicum Measurement</t>
  </si>
  <si>
    <t>C82038</t>
  </si>
  <si>
    <t>CTXI</t>
  </si>
  <si>
    <t>Type I Collagen C-Telopeptides</t>
  </si>
  <si>
    <t>C-Terminal Telopeptide of Type I Collagen; Type I Collagen C-Telopeptides; Type I Collagen X-linked C-telopeptide</t>
  </si>
  <si>
    <t>A measurement of the type I collagen cross-linked C-telopeptides in a biological specimen.</t>
  </si>
  <si>
    <t>Type I Collagen C-Telopeptide Measurement</t>
  </si>
  <si>
    <t>C187792</t>
  </si>
  <si>
    <t>CTXIB</t>
  </si>
  <si>
    <t>Type I Collagen C-Telopeptides Beta</t>
  </si>
  <si>
    <t>B-CTx; Beta Isomer of C-Terminal Telopeptide of Type I Collagen; Beta-CrossLaps; Type I Collagen C-Telopeptides Beta</t>
  </si>
  <si>
    <t>A measurement of the beta isomer of type I collagen cross-linked C-telopeptides in a biological specimen.</t>
  </si>
  <si>
    <t>Beta Isomer of C-Terminal Telopeptide of Type I Collagen Measurement</t>
  </si>
  <si>
    <t>C127613</t>
  </si>
  <si>
    <t>CTXICRT</t>
  </si>
  <si>
    <t>Type I Collagen C-Telopeptides/Creat</t>
  </si>
  <si>
    <t>Type I Collagen C-Telopeptides/Creat; Type I Collagen X-Linked C-Telopeptides/Creatinine</t>
  </si>
  <si>
    <t>A relative measurement (ratio or percentage) of the type I collagen cross-linked C-telopeptides to creatinine in a biological specimen.</t>
  </si>
  <si>
    <t>Type I Collagen C-Telopeptide to Creatinine Ratio Measurement</t>
  </si>
  <si>
    <t>C82040</t>
  </si>
  <si>
    <t>CTXII</t>
  </si>
  <si>
    <t>Type II Collagen C-Telopeptides</t>
  </si>
  <si>
    <t>Type II Collagen C-Telopeptides; Type II Collagen X-Linked C-Telopeptides</t>
  </si>
  <si>
    <t>A measurement of the type II collagen cross-linked C-telopeptides in a biological specimen.</t>
  </si>
  <si>
    <t>Type II Collagen C-Telopeptide Measurement</t>
  </si>
  <si>
    <t>C122113</t>
  </si>
  <si>
    <t>CTXIICRT</t>
  </si>
  <si>
    <t>Type II Collagen C-Telopeptides/Creat</t>
  </si>
  <si>
    <t>Type II Collagen C-Telopeptides/Creat; Type II Collagen X-Linked C-Telopeptides/Creatinine</t>
  </si>
  <si>
    <t>A relative measurement (ratio or percentage) of the type II collagen cross-linked C-telopeptides to creatinine in a biological specimen.</t>
  </si>
  <si>
    <t>Type II Collagen C-Telopeptides to Creatinine Ratio Measurement</t>
  </si>
  <si>
    <t>C221572</t>
  </si>
  <si>
    <t>CTXIII</t>
  </si>
  <si>
    <t>Type III Collagen C-Telopeptides</t>
  </si>
  <si>
    <t>Cross-Linked C-telopeptide of Type III Collagen; Type III Collagen C-Telopeptides; Type III Collagen X-Linked C-Telopeptides</t>
  </si>
  <si>
    <t>A measurement of the type III collagen cross-linked C-telopeptides in a biological specimen.</t>
  </si>
  <si>
    <t>Type III Collagen Cross-Linked C-Telopeptide Measurement</t>
  </si>
  <si>
    <t>C120714</t>
  </si>
  <si>
    <t>CUPDISC</t>
  </si>
  <si>
    <t>Cup to Disc Ratio</t>
  </si>
  <si>
    <t>The ratio of the diameter of the optic cup compared to the diameter of the optic disc. (NCI)</t>
  </si>
  <si>
    <t>Optic Cup to Disc Ratio</t>
  </si>
  <si>
    <t>C221606</t>
  </si>
  <si>
    <t>CUR</t>
  </si>
  <si>
    <t>Corynebacterium urealyticum</t>
  </si>
  <si>
    <t>A measurement of Corynebacterium urealyticum in a biological specimen.</t>
  </si>
  <si>
    <t>Corynebacterium urealyticum Measurement</t>
  </si>
  <si>
    <t>C209676</t>
  </si>
  <si>
    <t>CURFETN</t>
  </si>
  <si>
    <t>Current Number of Fetuses</t>
  </si>
  <si>
    <t>The number of fetuses present in utero during a single pregnancy event at the time the question was asked.</t>
  </si>
  <si>
    <t>C85582</t>
  </si>
  <si>
    <t>CURTRT</t>
  </si>
  <si>
    <t>Current Therapy or Treatment</t>
  </si>
  <si>
    <t>Background Treatment; Current Therapy or Treatment</t>
  </si>
  <si>
    <t>The name of a protocol-specified background treatment(s), that is (are) a medication currently being taken as a standard of care for a particular condition/disease.</t>
  </si>
  <si>
    <t>Current Therapy</t>
  </si>
  <si>
    <t>C184671</t>
  </si>
  <si>
    <t>CURVBAC</t>
  </si>
  <si>
    <t>Curved Bacillus</t>
  </si>
  <si>
    <t>Curved Bacillus; Curved Rods</t>
  </si>
  <si>
    <t>A measurement of the curved rod-shaped bacillus in a biological specimen.</t>
  </si>
  <si>
    <t>Curved Bacillus Measurement</t>
  </si>
  <si>
    <t>C199843</t>
  </si>
  <si>
    <t>CUSCDIND</t>
  </si>
  <si>
    <t>Cond Under Study Contrib to Death Ind</t>
  </si>
  <si>
    <t>Cond Under Study Contrib to Death Ind; Condition Under Study Contributed to Death Indicator</t>
  </si>
  <si>
    <t>An indication as to whether the condition under study contributed to the cause of death.</t>
  </si>
  <si>
    <t>Disease Indication Under Study Contributed to Death Indicator</t>
  </si>
  <si>
    <t>C221524</t>
  </si>
  <si>
    <t>CVDEXTNT</t>
  </si>
  <si>
    <t>Coronary Vessel Disease Extent</t>
  </si>
  <si>
    <t>The range, magnitude, or distance over which disease is present in the coronary vessels.</t>
  </si>
  <si>
    <t>TU</t>
  </si>
  <si>
    <t>C161485</t>
  </si>
  <si>
    <t>CVLIND</t>
  </si>
  <si>
    <t>Cardiovascular Lesion Indicator</t>
  </si>
  <si>
    <t>An indication as to whether a cardiovascular lesion is present.</t>
  </si>
  <si>
    <t>C102244</t>
  </si>
  <si>
    <t>CVLREGTS</t>
  </si>
  <si>
    <t>Cardiac Valvular Regurgitation Severity</t>
  </si>
  <si>
    <t>The qualitative measurement of the severity of cardiac valvular regurgitation.</t>
  </si>
  <si>
    <t>C102245</t>
  </si>
  <si>
    <t>CVLSTNS</t>
  </si>
  <si>
    <t>Cardiac Valvular Stenosis Severity</t>
  </si>
  <si>
    <t>The qualitative measurement of the severity of cardiac valvular stenosis.</t>
  </si>
  <si>
    <t>C139055</t>
  </si>
  <si>
    <t>CVRGIND</t>
  </si>
  <si>
    <t>Cardiac Valvular Regurgitation Indicator</t>
  </si>
  <si>
    <t>An indication as to whether a specific cardiac valve is regurgitant.</t>
  </si>
  <si>
    <t>C127563</t>
  </si>
  <si>
    <t>CVRGJDR</t>
  </si>
  <si>
    <t>Cardiac Valve Regur Jet Direction</t>
  </si>
  <si>
    <t>Cardiac Valve Regur Jet Direction; Cardiac Valve Regurgitation Jet Direction</t>
  </si>
  <si>
    <t>The trajectory of the retrograde blood flow from a cardiac valve.</t>
  </si>
  <si>
    <t>Cardiac Valve Regurgitant Jet Direction</t>
  </si>
  <si>
    <t>C139056</t>
  </si>
  <si>
    <t>CVRGLE</t>
  </si>
  <si>
    <t>Cardiac Valvular Regur Likely Etiology</t>
  </si>
  <si>
    <t>Cardiac Valvular Regur Likely Etiology; Cardiac Valvular Regurgitation Likely Etiology</t>
  </si>
  <si>
    <t>An estimation as to the cause of the pathology responsible for the cardiac valve regurgitation.</t>
  </si>
  <si>
    <t>Cardiac Valvular Regurgitation Likely Etiology</t>
  </si>
  <si>
    <t>C127564</t>
  </si>
  <si>
    <t>CWMTYP</t>
  </si>
  <si>
    <t>Cardiac Wall Motion Type</t>
  </si>
  <si>
    <t>The assessment of the movement of the cardiac muscle, either as a whole or at one or more specific anatomical locations.</t>
  </si>
  <si>
    <t>C161361</t>
  </si>
  <si>
    <t>CX3CL1</t>
  </si>
  <si>
    <t>Chemokine (C-X3-C Motif) Ligand 1</t>
  </si>
  <si>
    <t>Chemokine (C-X3-C motif) Ligand 1; Fractalkine; Neurotactin</t>
  </si>
  <si>
    <t>A measurement of the chemokine (C-X3-C motif) ligand 1 in a biological specimen.</t>
  </si>
  <si>
    <t>Chemokine (C-X3-C Motif) Ligand 1 Measurement</t>
  </si>
  <si>
    <t>C128952</t>
  </si>
  <si>
    <t>CXCL1</t>
  </si>
  <si>
    <t>Chemokine (C-X-C Motif) Ligand 1</t>
  </si>
  <si>
    <t>Chemokine (C-X-C Motif) Ligand 1; GRO Alpha; GRO/KC; GRO1; GROA; Growth-Regulated Alpha Protein; Melanoma Growth Stimulating Activity, Alpha</t>
  </si>
  <si>
    <t>A measurement of the CXCL1, chemokine (C-X-C motif) ligand 1, in a biological specimen.</t>
  </si>
  <si>
    <t>Chemokine (C-X-C Motif) Ligand 1 Measurement</t>
  </si>
  <si>
    <t>C112238</t>
  </si>
  <si>
    <t>CXCL10</t>
  </si>
  <si>
    <t>Chemokine (C-X-C Motif) Ligand 10</t>
  </si>
  <si>
    <t>Chemokine (C-X-C Motif) Ligand 10; Interferon Gamma-induced Protein 10; Interferon-inducible Protein-10; IP-10; Small-inducible Cytokine B10</t>
  </si>
  <si>
    <t>A measurement of the CXCL10, chemokine (C-X-C motif) ligand 10, in a biological specimen.</t>
  </si>
  <si>
    <t>Chemokine (C-X-C Motif) Ligand 10 Measurement</t>
  </si>
  <si>
    <t>C161360</t>
  </si>
  <si>
    <t>CXCL11</t>
  </si>
  <si>
    <t>Chemokine (C-X-C Motif) Ligand 11</t>
  </si>
  <si>
    <t>Chemokine (C-X-C Motif) Ligand 11; I-TAC; IFN-inducible T Cell Alpha Chemoattractant; ITAC</t>
  </si>
  <si>
    <t>A measurement of the chemokine (C-X-C motif) ligand 11 in a biological specimen.</t>
  </si>
  <si>
    <t>Chemokine (C-X-C Motif) Ligand 11 Measurement</t>
  </si>
  <si>
    <t>C165954</t>
  </si>
  <si>
    <t>CXCL12</t>
  </si>
  <si>
    <t>Chemokine (C-X-C Motif) Ligand 12</t>
  </si>
  <si>
    <t>Chemokine (C-X-C Motif) Ligand 12; IRH; PBSF; SCYB12; SDF1; SDF1A; SDF1B; Stromal Cell-Derived Factor-1 Alpha; Stromal Cell-Derived Factor-1 Beta; TLSF; TPAR1</t>
  </si>
  <si>
    <t>A measurement of the CXCL12, chemokine (C-X-C motif) ligand 12, in a biological specimen.</t>
  </si>
  <si>
    <t>Chemokine (C-X-C Motif) Ligand 12 Measurement</t>
  </si>
  <si>
    <t>C147328</t>
  </si>
  <si>
    <t>CXCL13</t>
  </si>
  <si>
    <t>Chemokine (C-X-C Motif) Ligand 13</t>
  </si>
  <si>
    <t>B Lymphocyte Chemoattractant; Chemokine (C-X-C Motif) Ligand 13</t>
  </si>
  <si>
    <t>A measurement of the CXCL13, chemokine (C-X-C motif) ligand 13, in a biological specimen.</t>
  </si>
  <si>
    <t>Chemokine (C-X-C Motif) Ligand 13 Measurement</t>
  </si>
  <si>
    <t>C186039</t>
  </si>
  <si>
    <t>CXCL2</t>
  </si>
  <si>
    <t>Chemokine (C-X-C Motif) Ligand 2</t>
  </si>
  <si>
    <t>Chemokine (C-X-C Motif) Ligand 2; GRO Beta; GRO2; MIP2-Alpha</t>
  </si>
  <si>
    <t>A measurement of the CXCL2, chemokine (C-X-C motif) ligand 2, in a biological specimen.</t>
  </si>
  <si>
    <t>Chemokine (C-X-C Motif) Ligand 2 Measurement</t>
  </si>
  <si>
    <t>C147329</t>
  </si>
  <si>
    <t>CXCL3</t>
  </si>
  <si>
    <t>Chemokine (C-X-C Motif) Ligand 3</t>
  </si>
  <si>
    <t>Chemokine (C-X-C Motif) Ligand 3; GRO Gamma; Macrophage Inflammatory Protein 2-Beta; MIP2 Beta; MIP2B</t>
  </si>
  <si>
    <t>A measurement of the CXCL3, chemokine (C-X-C motif) ligand 3, in a biological specimen.</t>
  </si>
  <si>
    <t>Chemokine (C-X-C Motif) Ligand 3 Measurement</t>
  </si>
  <si>
    <t>C147330</t>
  </si>
  <si>
    <t>CXCL4</t>
  </si>
  <si>
    <t>Chemokine (C-X-C Motif) Ligand 4</t>
  </si>
  <si>
    <t>Chemokine (C-X-C Motif) Ligand 4; Oncostatin A; Platelet Factor 4; PLF4</t>
  </si>
  <si>
    <t>A measurement of the CXCL4, chemokine (C-X-C motif) ligand 4, in a biological specimen.</t>
  </si>
  <si>
    <t>Chemokine (C-X-C Motif) Ligand 4 Measurement</t>
  </si>
  <si>
    <t>C130159</t>
  </si>
  <si>
    <t>CXCL6</t>
  </si>
  <si>
    <t>Chemokine (C-X-C Motif) Ligand 6</t>
  </si>
  <si>
    <t>Chemokine (C-X-C Motif) Ligand 6; GCP2; Granulocyte Chemotactic Protein 2</t>
  </si>
  <si>
    <t>A measurement of the CXCL6, chemokine (C-X-C motif) ligand 6, in a biological specimen.</t>
  </si>
  <si>
    <t>Chemokine (C-X-C Motif) Ligand 6 Measurement</t>
  </si>
  <si>
    <t>C165955</t>
  </si>
  <si>
    <t>CXCL7</t>
  </si>
  <si>
    <t>Chemokine (C-X-C Motif) Ligand 7</t>
  </si>
  <si>
    <t>B-TG1; Beta-TG; Chemokine (C-X-C Motif) Ligand 7; CTAP-III; CTAP3; CTAPIII; LA-PF4; LDGF; MDGF; NAP-2; Neutrophil-Activating Peptide 2; PBP; PPBP; Pro-Platelet Basic Protein; SCYB7; TC1; TC2; TGB; TGB1; THBGB; THBGB1</t>
  </si>
  <si>
    <t>A measurement of the pro-platelet basic protein in a biological specimen.</t>
  </si>
  <si>
    <t>Chemokine (C-X-C Motif) Ligand 7 Measurement</t>
  </si>
  <si>
    <t>C165956</t>
  </si>
  <si>
    <t>CXCL9</t>
  </si>
  <si>
    <t>Chemokine (C-X-C Motif) Ligand 9</t>
  </si>
  <si>
    <t>Chemokine (C-X-C Motif) Ligand 9; CMK; crg-10; Humig; MIG; Monokine Induced by Gamma Interferon; SCYB9</t>
  </si>
  <si>
    <t>A measurement of the CXCL9, chemokine (C-X-C motif) ligand 9, in a biological specimen.</t>
  </si>
  <si>
    <t>Chemokine (C-X-C Motif) Ligand 9 Measurement</t>
  </si>
  <si>
    <t>C100431</t>
  </si>
  <si>
    <t>CXCR3</t>
  </si>
  <si>
    <t>Chemokine (C-X-C Motif) Receptor 3</t>
  </si>
  <si>
    <t>Chemokine (C-X-C Motif) Receptor 3; CXCR3; GPR9; Soluble CD183</t>
  </si>
  <si>
    <t>A measurement of the CXCR3, chemokine (C-X-C motif) receptor 3, in a biological specimen.</t>
  </si>
  <si>
    <t>Chemokine Receptor CXCR3 Measurement</t>
  </si>
  <si>
    <t>C187797</t>
  </si>
  <si>
    <t>CXCR4</t>
  </si>
  <si>
    <t>Chemokine (C-X-C Motif) Receptor 4</t>
  </si>
  <si>
    <t>Chemokine (C-X-C Motif) Receptor 4; LPS-Associated Protein 3; Soluble CD184; Stromal Cell-Derived Factor 1 Receptor</t>
  </si>
  <si>
    <t>A measurement of the CXCR4, chemokine (C-X-C motif) receptor 4, in a biological specimen.</t>
  </si>
  <si>
    <t>C-X-C Chemokine Receptor Type 4 Measurement</t>
  </si>
  <si>
    <t>C127763</t>
  </si>
  <si>
    <t>CY16</t>
  </si>
  <si>
    <t>Cytokeratin 16</t>
  </si>
  <si>
    <t>A measurement of the cytokeratin 16 in a biological specimen.</t>
  </si>
  <si>
    <t>Cytokeratin 16 Measurement</t>
  </si>
  <si>
    <t>C105590</t>
  </si>
  <si>
    <t>CYAMMBIU</t>
  </si>
  <si>
    <t>Ammonium Biurate Crystals</t>
  </si>
  <si>
    <t>Acid Ammonium Urate Crystals; Ammonium Biurate Crystals; Ammonium Urate Crystals</t>
  </si>
  <si>
    <t>A measurement of the ammonium biurate crystals present in a biological specimen.</t>
  </si>
  <si>
    <t>Ammonium Biurate Crystals Measurement</t>
  </si>
  <si>
    <t>C213924</t>
  </si>
  <si>
    <t>CYAMMOX</t>
  </si>
  <si>
    <t>Ammonium Oxalate Crystals</t>
  </si>
  <si>
    <t>A measurement of the ammonium oxalate crystals in a biological specimen.</t>
  </si>
  <si>
    <t>Ammonium Oxalate Crystal Measurement</t>
  </si>
  <si>
    <t>C74665</t>
  </si>
  <si>
    <t>CYAMORPH</t>
  </si>
  <si>
    <t>Amorphous Crystals</t>
  </si>
  <si>
    <t>A measurement of the amorphous (Note: phosphate or urate, depending on pH) crystals present in a biological specimen.</t>
  </si>
  <si>
    <t>Amorphous Crystal Measurement</t>
  </si>
  <si>
    <t>C92243</t>
  </si>
  <si>
    <t>CYAMPPH</t>
  </si>
  <si>
    <t>Amorphous Phosphate Crystals</t>
  </si>
  <si>
    <t>A measurement of the amorphous phosphate crystals in a biological specimen.</t>
  </si>
  <si>
    <t>Amorphous Phosphate Crystals Measurement</t>
  </si>
  <si>
    <t>C92244</t>
  </si>
  <si>
    <t>CYAMPURT</t>
  </si>
  <si>
    <t>Amorphous Urate Crystals</t>
  </si>
  <si>
    <t>A measurement of the amorphous urate crystals in a biological specimen.</t>
  </si>
  <si>
    <t>Amorphous Urate Crystals Measurement</t>
  </si>
  <si>
    <t>C209639</t>
  </si>
  <si>
    <t>CYANOBAC</t>
  </si>
  <si>
    <t>Cyanobacteria</t>
  </si>
  <si>
    <t>A measurement of the organisms that are not assigned to the species level but are assigned to the Cyanobacteria phylum level in a biological specimen.</t>
  </si>
  <si>
    <t>Cyanobacteria Measurement</t>
  </si>
  <si>
    <t>C74668</t>
  </si>
  <si>
    <t>CYBILI</t>
  </si>
  <si>
    <t>Bilirubin Crystals</t>
  </si>
  <si>
    <t>A measurement of the bilirubin crystals present in a biological specimen.</t>
  </si>
  <si>
    <t>Bilirubin Crystal Measurement</t>
  </si>
  <si>
    <t>C74669</t>
  </si>
  <si>
    <t>CYCACAR</t>
  </si>
  <si>
    <t>Calcium Carbonate Crystals</t>
  </si>
  <si>
    <t>A measurement of the calcium carbonate crystals present in a biological specimen.</t>
  </si>
  <si>
    <t>Calcium Carbonate Crystal Measurement</t>
  </si>
  <si>
    <t>C74670</t>
  </si>
  <si>
    <t>CYCAOXA</t>
  </si>
  <si>
    <t>Calcium Oxalate Crystals</t>
  </si>
  <si>
    <t>A measurement of the calcium oxalate crystals present in a biological specimen.</t>
  </si>
  <si>
    <t>Calcium Oxalate Crystal Measurement</t>
  </si>
  <si>
    <t>C74671</t>
  </si>
  <si>
    <t>CYCAPHOS</t>
  </si>
  <si>
    <t>Calcium Phosphate Crystals</t>
  </si>
  <si>
    <t>A measurement of the calcium phosphate crystals present in a biological specimen.</t>
  </si>
  <si>
    <t>Calcium Phosphate Crystal Measurement</t>
  </si>
  <si>
    <t>C124340</t>
  </si>
  <si>
    <t>CYCASULF</t>
  </si>
  <si>
    <t>Calcium Sulfate Crystals</t>
  </si>
  <si>
    <t>A measurement of the calcium sulfate crystals present in a biological specimen.</t>
  </si>
  <si>
    <t>Calcium Sulfate Crystals Measurement</t>
  </si>
  <si>
    <t>C74672</t>
  </si>
  <si>
    <t>CYCHOL</t>
  </si>
  <si>
    <t>Cholesterol Crystals</t>
  </si>
  <si>
    <t>A measurement of the cholesterol crystals present in a biological specimen.</t>
  </si>
  <si>
    <t>Cholesterol Crystal Measurement</t>
  </si>
  <si>
    <t>C209582</t>
  </si>
  <si>
    <t>CYCHRLDN</t>
  </si>
  <si>
    <t>Charcot-Leyden Crystals</t>
  </si>
  <si>
    <t>Charcot Leyden Crystals; Charcot-Leyden Crystals; CLC; Galectin-10 Crystals</t>
  </si>
  <si>
    <t>A measurement of the Charcot-Leyden crystals present in a biological specimen.</t>
  </si>
  <si>
    <t>Charcot-Leyden Crystal Measurement</t>
  </si>
  <si>
    <t>C74674</t>
  </si>
  <si>
    <t>CYCYSTIN</t>
  </si>
  <si>
    <t>Cystine Crystals</t>
  </si>
  <si>
    <t>A measurement of the cystine crystals present in a biological specimen.</t>
  </si>
  <si>
    <t>Cystine Crystal Measurement</t>
  </si>
  <si>
    <t>C135407</t>
  </si>
  <si>
    <t>CYDCPHOS</t>
  </si>
  <si>
    <t>Dicalcium Phosphate Crystals</t>
  </si>
  <si>
    <t>A measurement of dicalcium phosphate crystals in a biological specimen.</t>
  </si>
  <si>
    <t>Dicalcium Phosphate Crystals Measurement</t>
  </si>
  <si>
    <t>C156533</t>
  </si>
  <si>
    <t>CYDRUG</t>
  </si>
  <si>
    <t>Drug Crystals</t>
  </si>
  <si>
    <t>A measurement of the drug crystals in a biological specimen.</t>
  </si>
  <si>
    <t>Drug Crystal Measurement</t>
  </si>
  <si>
    <t>C209583</t>
  </si>
  <si>
    <t>CYEMA2</t>
  </si>
  <si>
    <t>2-Cyanoethyl Mercapturic Acid</t>
  </si>
  <si>
    <t>2-Cyanoethmercapturate; 2-Cyanoethyl Mercapturic Acid; 2-Cyanoethylmercapturic Acid; CEMA</t>
  </si>
  <si>
    <t>A measurement of the 2-cyanoethyl mercapturic acid in a specimen.</t>
  </si>
  <si>
    <t>2-Cyanoethyl Mercapturic Acid Measurement</t>
  </si>
  <si>
    <t>C209584</t>
  </si>
  <si>
    <t>CYEMA2CY</t>
  </si>
  <si>
    <t>2-Cyanoethyl Mercapturic Acid Cysteine</t>
  </si>
  <si>
    <t>2-Cyanoethyl Mercapturate Cysteine; 2-Cyanoethyl Mercapturic Acid Cysteine; 2-Cyanoethylmercapturic Acid Cysteine; 2-CyEMA; N-Acetyl-S-(2-Cyanoethyl)-L-Cysteine</t>
  </si>
  <si>
    <t>A measurement of the 2-cyanoethyl mercapturic acid cysteine in a specimen.</t>
  </si>
  <si>
    <t>2-Cyanoethyl Mercapturic Acid Cysteine Measurement</t>
  </si>
  <si>
    <t>C18280</t>
  </si>
  <si>
    <t>CYEXAM</t>
  </si>
  <si>
    <t>Cytogenetic Examination</t>
  </si>
  <si>
    <t>An assessment by microscopic analysis of chromosomal and subchromosomal structure and function.</t>
  </si>
  <si>
    <t>Cytogenetic Analysis</t>
  </si>
  <si>
    <t>C130160</t>
  </si>
  <si>
    <t>CYFRA18</t>
  </si>
  <si>
    <t>Cytokeratin 18 Fragment</t>
  </si>
  <si>
    <t>A measurement of the cytokeratin 18 fragment in a biological specimen.</t>
  </si>
  <si>
    <t>Cytokeratin 18 Fragment Measurement</t>
  </si>
  <si>
    <t>C106514</t>
  </si>
  <si>
    <t>CYFRA211</t>
  </si>
  <si>
    <t>Cytokeratin 19 Fragment 21-1</t>
  </si>
  <si>
    <t>CYFRA21-1; Cytokeratin 19 Fragment 21-1</t>
  </si>
  <si>
    <t>A measurement of the cytokeratin 19 fragment 21-1 in a biological specimen.</t>
  </si>
  <si>
    <t>Cytokeratin 19 Fragment 21-1 Measurement</t>
  </si>
  <si>
    <t>C112288</t>
  </si>
  <si>
    <t>CYHGBC</t>
  </si>
  <si>
    <t>Hemoglobin C Crystals</t>
  </si>
  <si>
    <t>A measurement of hemoglobin C crystals in a biological specimen.</t>
  </si>
  <si>
    <t>Hemoglobin C Crystals Measurement</t>
  </si>
  <si>
    <t>C74754</t>
  </si>
  <si>
    <t>CYHIPPAC</t>
  </si>
  <si>
    <t>Hippuric Acid Crystals</t>
  </si>
  <si>
    <t>Hippurate Crystals; Hippuric Acid Crystals</t>
  </si>
  <si>
    <t>A measurement of the hippuric acid crystals present in a biological specimen.</t>
  </si>
  <si>
    <t>Hippuric Acid Crystal Measurement</t>
  </si>
  <si>
    <t>C181400</t>
  </si>
  <si>
    <t>CYKSCCL</t>
  </si>
  <si>
    <t>Cytokine-secreting Cells</t>
  </si>
  <si>
    <t>A measurement of the cytokine-secreting cells in a biological specimen.</t>
  </si>
  <si>
    <t>Cytokine-secreting Cells Measurement</t>
  </si>
  <si>
    <t>C204627</t>
  </si>
  <si>
    <t>CYKSCTCL</t>
  </si>
  <si>
    <t>Cytokine-Secreting T Cells</t>
  </si>
  <si>
    <t>A measurement of the cytokine-secreting T lymphocytes in a biological specimen.</t>
  </si>
  <si>
    <t>Cytokine-Secreting T Lymphocyte Count</t>
  </si>
  <si>
    <t>C74680</t>
  </si>
  <si>
    <t>CYLEUC</t>
  </si>
  <si>
    <t>Leucine Crystals</t>
  </si>
  <si>
    <t>A measurement of the leucine crystals present in a biological specimen.</t>
  </si>
  <si>
    <t>Leucine Crystal Measurement</t>
  </si>
  <si>
    <t>C74681</t>
  </si>
  <si>
    <t>CYMSU</t>
  </si>
  <si>
    <t>Monosodium Urate Crystals</t>
  </si>
  <si>
    <t>Monosodium Urate Crystals; Sodium Urate Crystals</t>
  </si>
  <si>
    <t>A measurement of the monosodium urate crystals present in a biological specimen.</t>
  </si>
  <si>
    <t>Monosodium Urate Crystal Measurement</t>
  </si>
  <si>
    <t>C209585</t>
  </si>
  <si>
    <t>CYP2A6</t>
  </si>
  <si>
    <t>Cytochrome P450 2A6</t>
  </si>
  <si>
    <t>A measurement of the cytochrome P450 2A6 enzyme in a specimen.</t>
  </si>
  <si>
    <t>Cytochrome P450 2A6 Measurement</t>
  </si>
  <si>
    <t>C161355</t>
  </si>
  <si>
    <t>CYP2C9</t>
  </si>
  <si>
    <t>Cytochrome P450 2C9</t>
  </si>
  <si>
    <t>A measurement of the cytochrome P450 2C9 enzyme in a biological specimen.</t>
  </si>
  <si>
    <t>Cytochrome P450 2C9 Measurement</t>
  </si>
  <si>
    <t>C174304</t>
  </si>
  <si>
    <t>CYPHOS</t>
  </si>
  <si>
    <t>Phosphate Crystals</t>
  </si>
  <si>
    <t>A measurement of the total phosphate crystals in a biological specimen.</t>
  </si>
  <si>
    <t>Phosphate Crystals Measurement</t>
  </si>
  <si>
    <t>C106513</t>
  </si>
  <si>
    <t>CYSCREAT</t>
  </si>
  <si>
    <t>Cystatin C/Creatinine</t>
  </si>
  <si>
    <t>A relative measurement (ratio or percentage) of the cystatin C to creatinine present in a sample.</t>
  </si>
  <si>
    <t>Cystatin C to Creatinine Ratio Measurement</t>
  </si>
  <si>
    <t>C189517</t>
  </si>
  <si>
    <t>CYSLTR1</t>
  </si>
  <si>
    <t>Cysteinyl Leukotriene Receptor 1</t>
  </si>
  <si>
    <t>CysLTR1; Cysteinyl Leukotriene Receptor 1</t>
  </si>
  <si>
    <t>A measurement of the cysteinyl leukotriene receptor 1 in a biological specimen.</t>
  </si>
  <si>
    <t>Cysteinyl Leukotriene Receptor 1 Measurement</t>
  </si>
  <si>
    <t>C81951</t>
  </si>
  <si>
    <t>CYSTARCH</t>
  </si>
  <si>
    <t>Starch Crystals</t>
  </si>
  <si>
    <t>Starch Crystals; Starch Granules</t>
  </si>
  <si>
    <t>A measurement of the starch crystals in a biological specimen.</t>
  </si>
  <si>
    <t>Starch Crystal Measurement</t>
  </si>
  <si>
    <t>C199920</t>
  </si>
  <si>
    <t>CYSTATB</t>
  </si>
  <si>
    <t>Cystatin B</t>
  </si>
  <si>
    <t>CPI-B; Cystatin B</t>
  </si>
  <si>
    <t>A measurement of the cystatin B in a biological specimen.</t>
  </si>
  <si>
    <t>Cystatin B Measurement</t>
  </si>
  <si>
    <t>C92290</t>
  </si>
  <si>
    <t>CYSTATC</t>
  </si>
  <si>
    <t>Cystatin C</t>
  </si>
  <si>
    <t>A measurement of the cystatin C in a biological specimen.</t>
  </si>
  <si>
    <t>Cystatin C Measurement</t>
  </si>
  <si>
    <t>C172518</t>
  </si>
  <si>
    <t>CYSTEINE</t>
  </si>
  <si>
    <t>Cysteine</t>
  </si>
  <si>
    <t>A measurement of the cysteine in a biological specimen.</t>
  </si>
  <si>
    <t>Cysteine Measurement</t>
  </si>
  <si>
    <t>C147331</t>
  </si>
  <si>
    <t>CYSTHION</t>
  </si>
  <si>
    <t>Cystathionine</t>
  </si>
  <si>
    <t>A measurement of the cystathionine in a biological specimen.</t>
  </si>
  <si>
    <t>Cystathionine Measurement</t>
  </si>
  <si>
    <t>C105441</t>
  </si>
  <si>
    <t>CYSTINE</t>
  </si>
  <si>
    <t>Cystine</t>
  </si>
  <si>
    <t>A measurement of the cystine in a biological specimen.</t>
  </si>
  <si>
    <t>Cystine Measurement</t>
  </si>
  <si>
    <t>C74755</t>
  </si>
  <si>
    <t>CYSULFA</t>
  </si>
  <si>
    <t>Sulfa Crystals</t>
  </si>
  <si>
    <t>Sulfa Crystals; Sulfonamide Crystals</t>
  </si>
  <si>
    <t>A measurement of the sulfa crystals present in a biological specimen.</t>
  </si>
  <si>
    <t>Sulfa Crystal Measurement</t>
  </si>
  <si>
    <t>C123620</t>
  </si>
  <si>
    <t>CYTORESP</t>
  </si>
  <si>
    <t>Cytogenetic Response</t>
  </si>
  <si>
    <t>An assessment of the cytogenetic response of the disease to the therapy.</t>
  </si>
  <si>
    <t>C74756</t>
  </si>
  <si>
    <t>CYTRPHOS</t>
  </si>
  <si>
    <t>Triple Phosphate Crystals</t>
  </si>
  <si>
    <t>Ammonium Magnesium Phosphate Crystals; Struvite Crystals; Triple Phosphate Crystals</t>
  </si>
  <si>
    <t>A measurement of the triple phosphate crystals present in a biological specimen.</t>
  </si>
  <si>
    <t>Triple Phosphate Crystal Measurement</t>
  </si>
  <si>
    <t>C74683</t>
  </si>
  <si>
    <t>CYTYRO</t>
  </si>
  <si>
    <t>Tyrosine Crystals</t>
  </si>
  <si>
    <t>A measurement of the tyrosine crystals present in a biological specimen.</t>
  </si>
  <si>
    <t>Tyrosine Crystal Measurement</t>
  </si>
  <si>
    <t>C74757</t>
  </si>
  <si>
    <t>CYUNCLA</t>
  </si>
  <si>
    <t>Unclassified Crystals</t>
  </si>
  <si>
    <t>A measurement of the unclassifiable crystals present in a biological specimen.</t>
  </si>
  <si>
    <t>Unclassified Crystal Measurement</t>
  </si>
  <si>
    <t>C74684</t>
  </si>
  <si>
    <t>CYURIAC</t>
  </si>
  <si>
    <t>Uric Acid Crystals</t>
  </si>
  <si>
    <t>A measurement of the uric acid crystals (including acid urate and urate crystals) present in a biological specimen.</t>
  </si>
  <si>
    <t>Uric Acid Crystal Measurement</t>
  </si>
  <si>
    <t>C156537</t>
  </si>
  <si>
    <t>DALA</t>
  </si>
  <si>
    <t>Delta Aminolevulinate</t>
  </si>
  <si>
    <t>5-Aminolevulinic Acid; 5ALA; dALA; Delta Aminolevulinate; Delta Aminolevulinic Acid</t>
  </si>
  <si>
    <t>A measurement of the delta aminolevulinic acid in a biological specimen.</t>
  </si>
  <si>
    <t>Delta Aminolevulinate Measurement</t>
  </si>
  <si>
    <t>C156538</t>
  </si>
  <si>
    <t>DALACRT</t>
  </si>
  <si>
    <t>Delta Aminolevulinate/Creatinine</t>
  </si>
  <si>
    <t>A relative measurement (ratio or percentage) of the delta aminolevulinate to creatinine in a biological specimen.</t>
  </si>
  <si>
    <t>Delta Aminolevulinate to Creatinine Ratio Measurement</t>
  </si>
  <si>
    <t>C198362</t>
  </si>
  <si>
    <t>DAYCRIND</t>
  </si>
  <si>
    <t>Daycare Indicator</t>
  </si>
  <si>
    <t>Day Care Indicator; Daycare Indicator</t>
  </si>
  <si>
    <t>An indication as to whether the individual is enrolled at a daycare facility.</t>
  </si>
  <si>
    <t>Enrolled in Daycare Indicator</t>
  </si>
  <si>
    <t>C187961</t>
  </si>
  <si>
    <t>DBMACEGR</t>
  </si>
  <si>
    <t>Diabetic Macular Edema Grade</t>
  </si>
  <si>
    <t>The position on a scale to assess diabetic macular edema.</t>
  </si>
  <si>
    <t>C172610</t>
  </si>
  <si>
    <t>DBPAPCTL</t>
  </si>
  <si>
    <t>Diastolic BP-for-Age Percentile</t>
  </si>
  <si>
    <t>Diastolic Blood Pressure-for-Age Percentile; Diastolic BP-for-Age Percentile</t>
  </si>
  <si>
    <t>An assessed relationship of an individual's diastolic blood pressure and age to that of a reference population, expressed as a percentile.</t>
  </si>
  <si>
    <t>Diastolic Blood Pressure-for-Age Percentile</t>
  </si>
  <si>
    <t>C172609</t>
  </si>
  <si>
    <t>DBPHPCTL</t>
  </si>
  <si>
    <t>Diastolic BP-for-Height Percentile</t>
  </si>
  <si>
    <t>Diastolic Blood Pressure-for-Height Percentile; Diastolic BP-for-Height Percentile</t>
  </si>
  <si>
    <t>An assessed relationship of an individual's diastolic blood pressure and height to that of a reference population, expressed as a percentile.</t>
  </si>
  <si>
    <t>Diastolic Blood Pressure-for-Height Percentile</t>
  </si>
  <si>
    <t>C187962</t>
  </si>
  <si>
    <t>DBRETGR</t>
  </si>
  <si>
    <t>Diabetic Retinopathy Grade</t>
  </si>
  <si>
    <t>The position on a scale to assess diabetic retinopathy.</t>
  </si>
  <si>
    <t>C172500</t>
  </si>
  <si>
    <t>DCA</t>
  </si>
  <si>
    <t>Deoxycholate</t>
  </si>
  <si>
    <t>Deoxycholate; Deoxycholic Acid</t>
  </si>
  <si>
    <t>A measurement of the deoxycholate in a biological specimen.</t>
  </si>
  <si>
    <t>Deoxycholate Measurement</t>
  </si>
  <si>
    <t>C156536</t>
  </si>
  <si>
    <t>DCCARNIT</t>
  </si>
  <si>
    <t>Decanoylcarnitine</t>
  </si>
  <si>
    <t>C10; Decanoylcarnitine</t>
  </si>
  <si>
    <t>A measurement of the decanoylcarnitine in a biological specimen.</t>
  </si>
  <si>
    <t>Decanoylcarnitine Measurement</t>
  </si>
  <si>
    <t>C127764</t>
  </si>
  <si>
    <t>DCLAMP</t>
  </si>
  <si>
    <t>Dendritic Cell-Lysosomal-Assoc Memb Prot</t>
  </si>
  <si>
    <t>A measurement of the dendritic cell-lysosomal-associated membrane protein in a biological specimen.</t>
  </si>
  <si>
    <t>Dendritic Cell Lysosomal-Associated Membrane Protein Measurement</t>
  </si>
  <si>
    <t>C181195</t>
  </si>
  <si>
    <t>DCP</t>
  </si>
  <si>
    <t>DC Plasmacytoid</t>
  </si>
  <si>
    <t>DC Plasmacytoid; Plasmacytoid Dendritic Cells</t>
  </si>
  <si>
    <t>A measurement of the plasmacytoid dendritic cells in a biological specimen.</t>
  </si>
  <si>
    <t>Plasmacytoid Dendritic Cell Count</t>
  </si>
  <si>
    <t>C181270</t>
  </si>
  <si>
    <t>DCPS</t>
  </si>
  <si>
    <t>DC Plasmacytoid Sub</t>
  </si>
  <si>
    <t>DC Plasmacytoid Sub; Plasmacytoid Dendritic Cells Sub-Population</t>
  </si>
  <si>
    <t>A measurement of a subpopulation of plasmacytoid dendritic cells in a biological specimen.</t>
  </si>
  <si>
    <t>Plasmacytoid Dendritic Cell Subpopulation Count</t>
  </si>
  <si>
    <t>C98718</t>
  </si>
  <si>
    <t>DCUTDESC</t>
  </si>
  <si>
    <t>Data Cutoff Description</t>
  </si>
  <si>
    <t>Text that describes the cutoff date.</t>
  </si>
  <si>
    <t>Data Cutoff Date Description</t>
  </si>
  <si>
    <t>C98717</t>
  </si>
  <si>
    <t>DCUTDTC</t>
  </si>
  <si>
    <t>Data Cutoff Date</t>
  </si>
  <si>
    <t>A date which indicates any data collected by this date will be used for analysis.</t>
  </si>
  <si>
    <t>C139270</t>
  </si>
  <si>
    <t>DDDTYPE</t>
  </si>
  <si>
    <t>Deceased Donor Donation Type</t>
  </si>
  <si>
    <t>The conditions under which an organ is harvested from a dead donor, including the condition of the donor and the environment.</t>
  </si>
  <si>
    <t>Deceased Donor Donation Condition</t>
  </si>
  <si>
    <t>C82621</t>
  </si>
  <si>
    <t>DDIMER</t>
  </si>
  <si>
    <t>D-Dimer</t>
  </si>
  <si>
    <t>A measurement of the d-dimers in a biological specimen.</t>
  </si>
  <si>
    <t>D-Dimer Measurement</t>
  </si>
  <si>
    <t>C154769</t>
  </si>
  <si>
    <t>DDNAIGAB</t>
  </si>
  <si>
    <t>Anti-Double Stranded DNA IgG</t>
  </si>
  <si>
    <t>A measurement of the double stranded DNA IgG antibody in a biological specimen.</t>
  </si>
  <si>
    <t>Anti-Double Stranded DNA IgG Measurement</t>
  </si>
  <si>
    <t>C163428</t>
  </si>
  <si>
    <t>DDX58</t>
  </si>
  <si>
    <t>DEAD Box Protein 58</t>
  </si>
  <si>
    <t>DEAD Box Protein 58; DExD/H-Box Helicase 58; Probable ATP-Dependent RNA Helicase DDX58</t>
  </si>
  <si>
    <t>A measurement of the DEAD box protein 58 in a biological specimen.</t>
  </si>
  <si>
    <t>DEAD Box Protein 58 Measurement</t>
  </si>
  <si>
    <t>C139041</t>
  </si>
  <si>
    <t>DEBAKADC</t>
  </si>
  <si>
    <t>DeBakey AoD Classification</t>
  </si>
  <si>
    <t>DeBakey AoD Classification; DeBakey Aortic Dissection Classification</t>
  </si>
  <si>
    <t>The type of aortic dissection present as defined by the DeBakey Classification System (DeBakey ME, Henly WS, Cooley DA, Morris GC Jr, Crawford ES, Beall AC Jr. Surgical management of dissecting aneurysms of the aorta. J Thorac Cardiovasc Surg. 1965 Jan;49</t>
  </si>
  <si>
    <t>DeBakey Aortic Dissection Classification</t>
  </si>
  <si>
    <t>C172512</t>
  </si>
  <si>
    <t>DECORIN</t>
  </si>
  <si>
    <t>Decorin</t>
  </si>
  <si>
    <t>DCN; Decorin</t>
  </si>
  <si>
    <t>A measurement of the decorin in a biological specimen.</t>
  </si>
  <si>
    <t>Decorin Measurement</t>
  </si>
  <si>
    <t>C45781</t>
  </si>
  <si>
    <t>DENSITY</t>
  </si>
  <si>
    <t>Density</t>
  </si>
  <si>
    <t>A measurement of the compactness of a biological specimen expressed in mass per unit volume.</t>
  </si>
  <si>
    <t>C25333</t>
  </si>
  <si>
    <t>DEPTH</t>
  </si>
  <si>
    <t>Depth</t>
  </si>
  <si>
    <t>The extent downward or inward; the perpendicular measurement from the surface downward to determine deepness. (NCI)</t>
  </si>
  <si>
    <t>C186040</t>
  </si>
  <si>
    <t>DESIPRMN</t>
  </si>
  <si>
    <t>Desipramine</t>
  </si>
  <si>
    <t>A measurement of the desipramine in a biological specimen.</t>
  </si>
  <si>
    <t>Desipramine Measurement</t>
  </si>
  <si>
    <t>C209586</t>
  </si>
  <si>
    <t>DESMSN</t>
  </si>
  <si>
    <t>Desmosine</t>
  </si>
  <si>
    <t>DES; Desmosine</t>
  </si>
  <si>
    <t>A measurement of the desmosine in a specimen.</t>
  </si>
  <si>
    <t>Desmosine Measurement</t>
  </si>
  <si>
    <t>C214728</t>
  </si>
  <si>
    <t>DETACH</t>
  </si>
  <si>
    <t>Detachment</t>
  </si>
  <si>
    <t>An evaluation of an abnormal separation between two normally attached structures.</t>
  </si>
  <si>
    <t>Tissue Detachment Assessment</t>
  </si>
  <si>
    <t>C184614</t>
  </si>
  <si>
    <t>DETHPRPN</t>
  </si>
  <si>
    <t>Diethylpropion</t>
  </si>
  <si>
    <t>A measurement of the diethylpropion in a biological specimen.</t>
  </si>
  <si>
    <t>Diethylpropion Measurement</t>
  </si>
  <si>
    <t>C135408</t>
  </si>
  <si>
    <t>DFI</t>
  </si>
  <si>
    <t>DNA Fragmentation Index</t>
  </si>
  <si>
    <t>A measurement of the deoxyribonucleic acid fragmentation within the nucleated cells of a biological specimen.</t>
  </si>
  <si>
    <t>C186152</t>
  </si>
  <si>
    <t>DFRDNA</t>
  </si>
  <si>
    <t>Dientamoeba fragilis DNA</t>
  </si>
  <si>
    <t>A measurement of the Dientamoeba fragilis DNA in a biological specimen.</t>
  </si>
  <si>
    <t>Dientamoeba fragilis DNA Measurement</t>
  </si>
  <si>
    <t>C135514</t>
  </si>
  <si>
    <t>DGFCRIT</t>
  </si>
  <si>
    <t>Delayed Graft Function Dx Criteria</t>
  </si>
  <si>
    <t>Delayed Graft Function Diagnostic Criteria; Delayed Graft Function Dx Criteria</t>
  </si>
  <si>
    <t>A standard by which the determination of delayed graft function (DGF) is established.</t>
  </si>
  <si>
    <t>Delayed Graft Function Diagnostic Criteria Name</t>
  </si>
  <si>
    <t>C111190</t>
  </si>
  <si>
    <t>DGNWBC</t>
  </si>
  <si>
    <t>Degenerated Leukocytes</t>
  </si>
  <si>
    <t>Degenerated Leukocytes; Degenerated WBC; Degenerated White Blood Cells</t>
  </si>
  <si>
    <t>A measurement of the degenerated leukocytes (leukocytes that show deterioration in form or function) in a biological specimen.</t>
  </si>
  <si>
    <t>Degenerated Leukocyte Count</t>
  </si>
  <si>
    <t>C74852</t>
  </si>
  <si>
    <t>DHEA</t>
  </si>
  <si>
    <t>Dehydroepiandrosterone</t>
  </si>
  <si>
    <t>Dehydroepiandrosterone; Dehydroisoandrosterone</t>
  </si>
  <si>
    <t>A measurement of the dehydroepiandrosterone hormone in a biological specimen.</t>
  </si>
  <si>
    <t>Dehydroepiandrosterone Measurement</t>
  </si>
  <si>
    <t>C96629</t>
  </si>
  <si>
    <t>DHEAS</t>
  </si>
  <si>
    <t>Dehydroepiandrosterone Sulfate</t>
  </si>
  <si>
    <t>Dehydroepiandrosterone Sulfate; DHEA Sulfate; DHEA-S; sDHEA</t>
  </si>
  <si>
    <t>A measurement of the sulfated Dehydroepiandrosterone in a biological specimen.</t>
  </si>
  <si>
    <t>Sulfated DHEA Measurement</t>
  </si>
  <si>
    <t>C101017</t>
  </si>
  <si>
    <t>DHPG</t>
  </si>
  <si>
    <t>3,4-Dihydroxyphenylglycol</t>
  </si>
  <si>
    <t>3,4-Dihydroxyphenylglycol; 3.4 Dihydroxyphenylglycol</t>
  </si>
  <si>
    <t>A measurement of the catecholamine metabolite, 3,4-Dihydroxyphenylglycol in a biological specimen.</t>
  </si>
  <si>
    <t>3,4-Dihydroxyphenylglycol Measurement</t>
  </si>
  <si>
    <t>C74853</t>
  </si>
  <si>
    <t>DHT</t>
  </si>
  <si>
    <t>Dihydrotestosterone</t>
  </si>
  <si>
    <t>Androstanolone; Dihydrotestosterone</t>
  </si>
  <si>
    <t>A measurement of the dihydrotestosterone hormone in a biological specimen.</t>
  </si>
  <si>
    <t>Dihydrotestosterone Measurement</t>
  </si>
  <si>
    <t>C209587</t>
  </si>
  <si>
    <t>DHXPMA23</t>
  </si>
  <si>
    <t>2,3-dihydroxypropyl Mercapturic Acid</t>
  </si>
  <si>
    <t>2,3-dihydroxypropyl Mercapturate; 2,3-dihydroxypropyl Mercapturic Acid; DHPMA</t>
  </si>
  <si>
    <t>A measurement of the 2,3-dihydroxypropyl mercapturic acid in a specimen.</t>
  </si>
  <si>
    <t>2,3-dihydroxypropyl Mercapturic Acid Measurement</t>
  </si>
  <si>
    <t>C25299</t>
  </si>
  <si>
    <t>DIABP</t>
  </si>
  <si>
    <t>Diastolic Blood Pressure</t>
  </si>
  <si>
    <t>The minimum blood pressure in the systemic arterial circulation during the cardiac cycle.</t>
  </si>
  <si>
    <t>C15220</t>
  </si>
  <si>
    <t>DIAGNOS</t>
  </si>
  <si>
    <t>Diagnosis</t>
  </si>
  <si>
    <t>Diagnostic</t>
  </si>
  <si>
    <t>A process to identify the disease, condition, or injury that explains the symptoms and signs occurring in a patient.</t>
  </si>
  <si>
    <t>Diagnosis Assessment</t>
  </si>
  <si>
    <t>C25285</t>
  </si>
  <si>
    <t>DIAMETER</t>
  </si>
  <si>
    <t>Diameter</t>
  </si>
  <si>
    <t>The length of a straight line passing through the center of a circle or sphere and connecting two points on the circumference. (NCI)</t>
  </si>
  <si>
    <t>C120715</t>
  </si>
  <si>
    <t>DIAMMIN</t>
  </si>
  <si>
    <t>Diameter, Minimum</t>
  </si>
  <si>
    <t>The minimum number in a group of values that represent the diameter of an object.</t>
  </si>
  <si>
    <t>Minimum Diameter</t>
  </si>
  <si>
    <t>C120716</t>
  </si>
  <si>
    <t>DIAMMN</t>
  </si>
  <si>
    <t>Diameter, Mean</t>
  </si>
  <si>
    <t>The mean number in a group of values that represent the diameter of an object.</t>
  </si>
  <si>
    <t>Mean Diameter</t>
  </si>
  <si>
    <t>C120717</t>
  </si>
  <si>
    <t>DIAMSD</t>
  </si>
  <si>
    <t>Diameter, Standard Deviation</t>
  </si>
  <si>
    <t>The standard deviation in a group of values that represent the diameter of an object.</t>
  </si>
  <si>
    <t>Standard Deviation of Diameter</t>
  </si>
  <si>
    <t>MS</t>
  </si>
  <si>
    <t>C147471</t>
  </si>
  <si>
    <t>DIAZOINH</t>
  </si>
  <si>
    <t>Diameter of the Zone of Inhibition</t>
  </si>
  <si>
    <t>Diameter of the Kill Zone; Diameter of the Zone of Inhibition</t>
  </si>
  <si>
    <t>A measurement of the diameter of the circular region of bacteria growth inhibition that surrounds an antibiotic source on the surface of a cultured plate.</t>
  </si>
  <si>
    <t>Antibiotic Susceptibility Zone Diameter</t>
  </si>
  <si>
    <t>C74878</t>
  </si>
  <si>
    <t>DIHYDCDN</t>
  </si>
  <si>
    <t>Dihydrocodeine</t>
  </si>
  <si>
    <t>A measurement of the dihydrocodeine present in a biological specimen.</t>
  </si>
  <si>
    <t>Dihydrocodeine Measurement</t>
  </si>
  <si>
    <t>C147148</t>
  </si>
  <si>
    <t>DIMSSNDX</t>
  </si>
  <si>
    <t>Dimensionless Index</t>
  </si>
  <si>
    <t>Dimensionless Index; Dimensionless Velocity Index</t>
  </si>
  <si>
    <t>The ratio of the blood velocity in the left ventricular outflow tract (LVOT) to the maximum blood velocity across the aortic valve.</t>
  </si>
  <si>
    <t>C139039</t>
  </si>
  <si>
    <t>DISECIND</t>
  </si>
  <si>
    <t>Dissection Indicator</t>
  </si>
  <si>
    <t>An indication as to whether there is the presence of blood vessel dissection.</t>
  </si>
  <si>
    <t>DA</t>
  </si>
  <si>
    <t>C78721</t>
  </si>
  <si>
    <t>DISPAMT</t>
  </si>
  <si>
    <t>Dispensed Amount</t>
  </si>
  <si>
    <t>The quantity of a product that has been dispensed. (NCI)</t>
  </si>
  <si>
    <t>C174364</t>
  </si>
  <si>
    <t>DISTDEXP</t>
  </si>
  <si>
    <t>District of Potential Disease Exposure</t>
  </si>
  <si>
    <t>The district in which the individual was potentially exposed to a disease.</t>
  </si>
  <si>
    <t>C172583</t>
  </si>
  <si>
    <t>DISTHL</t>
  </si>
  <si>
    <t>Half-Life Distribution</t>
  </si>
  <si>
    <t>Half-life calculated from the distributional phase.</t>
  </si>
  <si>
    <t>C176363</t>
  </si>
  <si>
    <t>DISTPAD</t>
  </si>
  <si>
    <t>District of Permanent Address</t>
  </si>
  <si>
    <t>The district identified as the individual's permanent residence.</t>
  </si>
  <si>
    <t>C165957</t>
  </si>
  <si>
    <t>DKK1</t>
  </si>
  <si>
    <t>Dickkopf WNT Signaling Path Inhibitor 1</t>
  </si>
  <si>
    <t>Dickkopf WNT Signaling Pathway Inhibitor 1; DKK-1; SK</t>
  </si>
  <si>
    <t>A measurement of the dickkopf WNT signaling pathway inhibitor 1 in a biological specimen.</t>
  </si>
  <si>
    <t>Dickkopf WNT Signaling Path Inhibitor 1 Measurement</t>
  </si>
  <si>
    <t>C38083</t>
  </si>
  <si>
    <t>DLCO</t>
  </si>
  <si>
    <t>Diffusion Capacity of Lung for CO</t>
  </si>
  <si>
    <t>Diffusion Capacity of Lung for CO; TLCO; Transfer Factor of Lung for CO</t>
  </si>
  <si>
    <t>The volume of the carbon monoxide that is transferred from inspired air into the pulmonary capillary blood.</t>
  </si>
  <si>
    <t>Carbon Monoxide Diffusing Capability Test</t>
  </si>
  <si>
    <t>C120825</t>
  </si>
  <si>
    <t>DLCOHC</t>
  </si>
  <si>
    <t>HGB Corrected DLCO</t>
  </si>
  <si>
    <t>The diffusing capacity of the lungs for carbon monoxide adjusted for hemoglobin concentration.</t>
  </si>
  <si>
    <t>Hemoglobin Corrected Diffusion Capacity of the Lung for Carbon Monoxide</t>
  </si>
  <si>
    <t>C120826</t>
  </si>
  <si>
    <t>DLCOHCPP</t>
  </si>
  <si>
    <t>Percent Predicted HGB Corrected DLCO</t>
  </si>
  <si>
    <t>The diffusing capacity of the lungs for carbon monoxide expressed as a proportion of the predicted normal value, adjusted for hemoglobin concentration.</t>
  </si>
  <si>
    <t>Percent Predicted Hemoglobin Corrected Diffusion Capacity of the Lung for Carbon Monoxide</t>
  </si>
  <si>
    <t>C120827</t>
  </si>
  <si>
    <t>DLCOHCVA</t>
  </si>
  <si>
    <t>HGB Corrected DLCO/VA</t>
  </si>
  <si>
    <t>The diffusing capacity of the lungs for carbon monoxide expressed as a proportion of the alveolar volume, adjusted for hemoglobin concentration.</t>
  </si>
  <si>
    <t>Hemoglobin Corrected Diffusion Capacity of the Lung for Carbon Monoxide/Alveolar Volume Ratio</t>
  </si>
  <si>
    <t>C120828</t>
  </si>
  <si>
    <t>DLCOHVAP</t>
  </si>
  <si>
    <t>Percent Predicted HGB Corrected DLCO/VA</t>
  </si>
  <si>
    <t>The proportion of diffusing capacity of the lungs for carbon monoxide to the alveolar volume expressed as a proportion of the predicted normal value, adjusted for hemoglobin concentration.</t>
  </si>
  <si>
    <t>Percent Predicted Hemoglobin Corrected Diffusion Capacity of the Lung for Carbon Monoxide/Alveolar Volume Ratio</t>
  </si>
  <si>
    <t>C123564</t>
  </si>
  <si>
    <t>DLCOM</t>
  </si>
  <si>
    <t>Mean Diffusion Capacity of Lung for CO</t>
  </si>
  <si>
    <t>The mean volume of the carbon monoxide that is transferred from inspired air into the pulmonary capillary blood.</t>
  </si>
  <si>
    <t>Mean Carbon Monoxide Diffusing Capability Test</t>
  </si>
  <si>
    <t>C120829</t>
  </si>
  <si>
    <t>DLCOPP</t>
  </si>
  <si>
    <t>Percent Predicted DLCO</t>
  </si>
  <si>
    <t>The diffusing capacity of the lungs for carbon monoxide expressed as a proportion of the predicted normal value.</t>
  </si>
  <si>
    <t>Percent Predicted Diffusion Capacity of the Lung for Carbon Monoxide</t>
  </si>
  <si>
    <t>C120830</t>
  </si>
  <si>
    <t>DLCOVA</t>
  </si>
  <si>
    <t>DLCO/VA</t>
  </si>
  <si>
    <t>The diffusing capacity of the lungs for carbon monoxide expressed as a proportion of the alveolar volume.</t>
  </si>
  <si>
    <t>Diffusion Capacity of the Lung for Carbon Monoxide/Alveolar Volume Ratio</t>
  </si>
  <si>
    <t>C120831</t>
  </si>
  <si>
    <t>DLCOVAPP</t>
  </si>
  <si>
    <t>Percent Predicted DLCO/VA</t>
  </si>
  <si>
    <t>The proportion of the diffusing capacity of the lungs for carbon monoxide to alveolar volume, expressed as a proportion of the predicted normal value.</t>
  </si>
  <si>
    <t>Percent Predicted Diffusion Capacity of the Lung for Carbon Monoxide/Alveolar Volume Ratio</t>
  </si>
  <si>
    <t>C81179</t>
  </si>
  <si>
    <t>DLVRMODE</t>
  </si>
  <si>
    <t>Mode of Delivery</t>
  </si>
  <si>
    <t>Description of the method by which a fetus is delivered.</t>
  </si>
  <si>
    <t>Delivery Procedure</t>
  </si>
  <si>
    <t>C127790</t>
  </si>
  <si>
    <t>DMCIND</t>
  </si>
  <si>
    <t>Data Monitoring Committee Indicator</t>
  </si>
  <si>
    <t>An indication as to whether the clinical trial has an appointed data monitoring committee.</t>
  </si>
  <si>
    <t>C172519</t>
  </si>
  <si>
    <t>DMG</t>
  </si>
  <si>
    <t>Dimethylglycine</t>
  </si>
  <si>
    <t>A measurement of the dimethylglycine in a biological specimen.</t>
  </si>
  <si>
    <t>Dimethylglycine Measurement</t>
  </si>
  <si>
    <t>C184536</t>
  </si>
  <si>
    <t>DMTNN</t>
  </si>
  <si>
    <t>N,N-Dimethyltryptamine</t>
  </si>
  <si>
    <t>Dimethyltryptamine; DMT; N,N-Dimethyltryptamine</t>
  </si>
  <si>
    <t>A measurement of the N,N-dimethyltryptamine in a biological specimen.</t>
  </si>
  <si>
    <t>N,N-Dimethyltryptamine Measurement</t>
  </si>
  <si>
    <t>C135409</t>
  </si>
  <si>
    <t>DNA</t>
  </si>
  <si>
    <t>Deoxyribonucleic Acid</t>
  </si>
  <si>
    <t>A measurement of a targeted deoxyribonucleic acid (DNA) in a biological specimen.</t>
  </si>
  <si>
    <t>Deoxyribonucleic Acid Measurement</t>
  </si>
  <si>
    <t>C174298</t>
  </si>
  <si>
    <t>DNPSEPHD</t>
  </si>
  <si>
    <t>D-Norpseudoephedrine</t>
  </si>
  <si>
    <t>(+)-Norpseudoephedrine; Cathine; D-Norpseudoephedrine</t>
  </si>
  <si>
    <t>A measurement of the D-norpseudoephedrine in a biological specimen.</t>
  </si>
  <si>
    <t>D-Norpseudoephedrine Measurement</t>
  </si>
  <si>
    <t>C198309</t>
  </si>
  <si>
    <t>DNV1RNA</t>
  </si>
  <si>
    <t>Dengue Virus 1 RNA</t>
  </si>
  <si>
    <t>A measurement of the dengue virus 1 RNA in a biological specimen.</t>
  </si>
  <si>
    <t>Dengue Virus 1 RNA Measurement</t>
  </si>
  <si>
    <t>C198310</t>
  </si>
  <si>
    <t>DNV2RNA</t>
  </si>
  <si>
    <t>Dengue Virus 2 RNA</t>
  </si>
  <si>
    <t>A measurement of the dengue virus 2 RNA in a biological specimen.</t>
  </si>
  <si>
    <t>Dengue Virus 2 RNA Measurement</t>
  </si>
  <si>
    <t>C198311</t>
  </si>
  <si>
    <t>DNV3RNA</t>
  </si>
  <si>
    <t>Dengue Virus 3 RNA</t>
  </si>
  <si>
    <t>A measurement of the dengue virus 3 RNA in a biological specimen.</t>
  </si>
  <si>
    <t>Dengue Virus 3 RNA Measurement</t>
  </si>
  <si>
    <t>C198312</t>
  </si>
  <si>
    <t>DNV4RNA</t>
  </si>
  <si>
    <t>Dengue Virus 4 RNA</t>
  </si>
  <si>
    <t>A measurement of the dengue virus 4 RNA in a biological specimen.</t>
  </si>
  <si>
    <t>Dengue Virus 4 RNA Measurement</t>
  </si>
  <si>
    <t>C184648</t>
  </si>
  <si>
    <t>DNVNS1AG</t>
  </si>
  <si>
    <t>Dengue Virus NS1 Antigen</t>
  </si>
  <si>
    <t>Dengue Virus Nonstructural Protein 1; Dengue Virus NS1 Antigen</t>
  </si>
  <si>
    <t>A measurement of the dengue virus NS1 antigen in a biological specimen.</t>
  </si>
  <si>
    <t>Dengue Virus NS1 Antigen Measurement</t>
  </si>
  <si>
    <t>C198228</t>
  </si>
  <si>
    <t>DNVRNA</t>
  </si>
  <si>
    <t>Dengue Virus RNA</t>
  </si>
  <si>
    <t>A measurement of the dengue virus RNA in a biological specimen.</t>
  </si>
  <si>
    <t>Dengue Virus RNA Measurement</t>
  </si>
  <si>
    <t>C74610</t>
  </si>
  <si>
    <t>DOHLE</t>
  </si>
  <si>
    <t>Dohle Bodies</t>
  </si>
  <si>
    <t>A measurement of the Dohle bodies (blue-gray, basophilic, leukocyte inclusions located in the peripheral cytoplasm of neutrophils) in a biological specimen.</t>
  </si>
  <si>
    <t>Dohle Body Measurement</t>
  </si>
  <si>
    <t>C189632</t>
  </si>
  <si>
    <t>DOMLGPT</t>
  </si>
  <si>
    <t>Dominant Lung Pattern</t>
  </si>
  <si>
    <t>A subjective assessment of the primary lung abnormality pattern, generally based on size, distribution, and/or amount.</t>
  </si>
  <si>
    <t>Dominant Lung Pattern Assessment</t>
  </si>
  <si>
    <t>C189633</t>
  </si>
  <si>
    <t>DOMLGPTD</t>
  </si>
  <si>
    <t>Dominant Lung Pattern Distribution</t>
  </si>
  <si>
    <t>A subjective assessment of the distribution of the primary lung abnormality pattern.</t>
  </si>
  <si>
    <t>Dominant Lung Pattern Distribution Assessment</t>
  </si>
  <si>
    <t>C103345</t>
  </si>
  <si>
    <t>DOPAC</t>
  </si>
  <si>
    <t>3,4-Dihydroxyphenylacetic Acid</t>
  </si>
  <si>
    <t>A measurement of the 3,4-dihydroxyphenylacetic acid in a biological specimen.</t>
  </si>
  <si>
    <t>3,4-Dihydroxyphenylacetic Acid Measurement</t>
  </si>
  <si>
    <t>C163429</t>
  </si>
  <si>
    <t>DOPAMEXR</t>
  </si>
  <si>
    <t>Dopamine Excretion Rate</t>
  </si>
  <si>
    <t>A measurement of the amount of dopamine being excreted in a biological specimen over a defined amount of time (e.g. one hour).</t>
  </si>
  <si>
    <t>C74854</t>
  </si>
  <si>
    <t>DOPAMINE</t>
  </si>
  <si>
    <t>Dopamine</t>
  </si>
  <si>
    <t>A measurement of the dopamine hormone in a biological specimen.</t>
  </si>
  <si>
    <t>Dopamine Measurement</t>
  </si>
  <si>
    <t>C25488</t>
  </si>
  <si>
    <t>DOSE</t>
  </si>
  <si>
    <t>Dose per Administration</t>
  </si>
  <si>
    <t>Dose Level; Dose per Administration</t>
  </si>
  <si>
    <t>The amount of study drug (or placebo) administered to a patient or test subject to be taken at one time or at stated intervals.</t>
  </si>
  <si>
    <t>Dose</t>
  </si>
  <si>
    <t>C42636</t>
  </si>
  <si>
    <t>DOSFRM</t>
  </si>
  <si>
    <t>Dose Form</t>
  </si>
  <si>
    <t>Physical characteristics of a drug product, (e.g., tablet, capsule, or solution) that contains a drug substance, generally, but not necessarily, in association with one or more other ingredients. (CDISC Glossary)</t>
  </si>
  <si>
    <t>Pharmaceutical Dosage Form</t>
  </si>
  <si>
    <t>C89081</t>
  </si>
  <si>
    <t>DOSFRQ</t>
  </si>
  <si>
    <t>Dosing Frequency</t>
  </si>
  <si>
    <t>The number of doses administered per a specific interval.</t>
  </si>
  <si>
    <t>Dose Frequency</t>
  </si>
  <si>
    <t>C71137</t>
  </si>
  <si>
    <t>DOSRGM</t>
  </si>
  <si>
    <t>Dose Regimen</t>
  </si>
  <si>
    <t>The planned schedule for the administration of an agent (such as a drug, substance or radiation).</t>
  </si>
  <si>
    <t>C73558</t>
  </si>
  <si>
    <t>DOSU</t>
  </si>
  <si>
    <t>Dose Units</t>
  </si>
  <si>
    <t>The unit of measure for the dosage form.</t>
  </si>
  <si>
    <t>Dosage Form Unit</t>
  </si>
  <si>
    <t>C184582</t>
  </si>
  <si>
    <t>DOXMTST</t>
  </si>
  <si>
    <t>Desoxymethyltestosterone</t>
  </si>
  <si>
    <t>A measurement of the desoxymethyltestosterone in a biological specimen.</t>
  </si>
  <si>
    <t>Desoxymethyltestosterone Measurement</t>
  </si>
  <si>
    <t>C191285</t>
  </si>
  <si>
    <t>DOXPN</t>
  </si>
  <si>
    <t>Doxepin</t>
  </si>
  <si>
    <t>A measurement of the doxepin present in a biological specimen.</t>
  </si>
  <si>
    <t>Doxepin Measurement</t>
  </si>
  <si>
    <t>C186041</t>
  </si>
  <si>
    <t>DOXPNAOM</t>
  </si>
  <si>
    <t>Doxepin and/or Metabolites</t>
  </si>
  <si>
    <t>A measurement of the doxepin and/or its metabolite(s) present in a biological specimen, for an assay that can measure both doxepin and its metabolites.</t>
  </si>
  <si>
    <t>Doxepin And/Or Metabolites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</si>
  <si>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</si>
  <si>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</si>
  <si>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</si>
  <si>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</si>
  <si>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</si>
  <si>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</si>
  <si>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</si>
  <si>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</si>
  <si>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</si>
  <si>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</si>
  <si>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C184569</t>
  </si>
  <si>
    <t>DPHNOXLT</t>
  </si>
  <si>
    <t>Diphenoxylate</t>
  </si>
  <si>
    <t>A measurement of the diphenoxylate in a biological specimen.</t>
  </si>
  <si>
    <t>Diphenoxylate Measurement</t>
  </si>
  <si>
    <t>C184540</t>
  </si>
  <si>
    <t>DPIPANON</t>
  </si>
  <si>
    <t>Dipipanone</t>
  </si>
  <si>
    <t>A measurement of the dipipanone in a biological specimen.</t>
  </si>
  <si>
    <t>Dipipanone Measurement</t>
  </si>
  <si>
    <t>C177992</t>
  </si>
  <si>
    <t>DPPIV</t>
  </si>
  <si>
    <t>Dipeptidyl Peptidase-4</t>
  </si>
  <si>
    <t>A measurement of the dipeptidyl peptidase-4 in a biological specimen.</t>
  </si>
  <si>
    <t>Dipeptidyl Peptidase-4 Measurement</t>
  </si>
  <si>
    <t>C199982</t>
  </si>
  <si>
    <t>DPTHTINV</t>
  </si>
  <si>
    <t>Depth of Tumor Invasion</t>
  </si>
  <si>
    <t>Depth of Tumor Cell Infiltration; Depth of Tumor Invasion</t>
  </si>
  <si>
    <t>An evaluation of the downward or inward extent of tumor invasion into a tissue.</t>
  </si>
  <si>
    <t>C123621</t>
  </si>
  <si>
    <t>DRCRIND</t>
  </si>
  <si>
    <t>Disease Recurrence Indicator</t>
  </si>
  <si>
    <t>An indication as to whether disease recurrence occurred.</t>
  </si>
  <si>
    <t>C123633</t>
  </si>
  <si>
    <t>DRCRLTLC</t>
  </si>
  <si>
    <t>Disease Recurrence Relative Location</t>
  </si>
  <si>
    <t>A description of the region or relative location for the disease recurrence.</t>
  </si>
  <si>
    <t>C184583</t>
  </si>
  <si>
    <t>DRSTNLN</t>
  </si>
  <si>
    <t>Drostanolone</t>
  </si>
  <si>
    <t>Dromostanolone; Drostanolone; Medrosteron; Medrotestron; Metholone</t>
  </si>
  <si>
    <t>A measurement of the drostanolone in a biological specimen.</t>
  </si>
  <si>
    <t>Drostanolone Measurement</t>
  </si>
  <si>
    <t>C78139</t>
  </si>
  <si>
    <t>DRUGSCR</t>
  </si>
  <si>
    <t>Drug Screen</t>
  </si>
  <si>
    <t>An indication of the presence or absence of recreational drugs or drugs of abuse in a biological specimen.</t>
  </si>
  <si>
    <t>Drug Test</t>
  </si>
  <si>
    <t>C161373</t>
  </si>
  <si>
    <t>DRVTSCPD</t>
  </si>
  <si>
    <t>dRVVT Screen to Confirm Pct Difference</t>
  </si>
  <si>
    <t>dRVVT Screen to Confirm Pct Difference; dRVVT Screen to Confirm Percent Difference</t>
  </si>
  <si>
    <t>A measurement to confirm the presence of Lupus anticoagulants, calculated as [(Screen dRVVT - Confirm dRVVT)/Screen dRVVT]x100.</t>
  </si>
  <si>
    <t>dRVVT Screen to Confirm Percent Difference</t>
  </si>
  <si>
    <t>C96696</t>
  </si>
  <si>
    <t>DRVVT</t>
  </si>
  <si>
    <t>Dilute Russell's Viper Venom Time</t>
  </si>
  <si>
    <t>Dilute Russell's Viper Venom Time; Lupus Anticoagulant Test</t>
  </si>
  <si>
    <t>A measurement of the time it takes a plasma sample to clot after adding dilute Russell's viper venom.</t>
  </si>
  <si>
    <t>Dilute Russell's Viper Venom Time Measurement</t>
  </si>
  <si>
    <t>C103386</t>
  </si>
  <si>
    <t>DRVVTRT</t>
  </si>
  <si>
    <t>Dilute Russell's Viper Venom Time Ratio</t>
  </si>
  <si>
    <t>Dilute Russell's Viper Venom Time Ratio; Lupus Anticoagulant Ratio</t>
  </si>
  <si>
    <t>A relative measurement of the dilute Russell's viper venom time in a subject sample to a control sample.</t>
  </si>
  <si>
    <t>Dilute Russell's Viper Venom Time to Control Ratio Measurement</t>
  </si>
  <si>
    <t>C163430</t>
  </si>
  <si>
    <t>DRVVTSCR</t>
  </si>
  <si>
    <t>DRVVT Screen to Confirm Ratio</t>
  </si>
  <si>
    <t>A relative measurement (ratio) of the dilute Russell's viper venom time without the presence of excess phospholipid to the dRVVT in the presence of excess phospholipid.</t>
  </si>
  <si>
    <t>Dilute Russell's Viper Venom Time to Confirm Ratio Measurement</t>
  </si>
  <si>
    <t>C154888</t>
  </si>
  <si>
    <t>DSCHGIND</t>
  </si>
  <si>
    <t>Discharge Indicator</t>
  </si>
  <si>
    <t>An indication as to whether there is the presence of discharge.</t>
  </si>
  <si>
    <t>C139269</t>
  </si>
  <si>
    <t>DSTATTOD</t>
  </si>
  <si>
    <t>Donor Status at Time of Organ Donation</t>
  </si>
  <si>
    <t>The donor's state or condition of being either living or brain dead at the time of organ harvesting.</t>
  </si>
  <si>
    <t>C147333</t>
  </si>
  <si>
    <t>DSVLFXN</t>
  </si>
  <si>
    <t>Desvenlafaxine</t>
  </si>
  <si>
    <t>Desvenlafaxine; O-Desmethylvenlafaxine</t>
  </si>
  <si>
    <t>A measurement of the desvenlafaxine present in a biological specimen.</t>
  </si>
  <si>
    <t>Desvenlafaxine Measurement</t>
  </si>
  <si>
    <t>C135385</t>
  </si>
  <si>
    <t>DTHCOIND</t>
  </si>
  <si>
    <t>Death Certificate Obtained Indicator</t>
  </si>
  <si>
    <t>An indication as to whether a death certificate was obtained. (NCI)</t>
  </si>
  <si>
    <t>Death Certification Indicator</t>
  </si>
  <si>
    <t>C184505</t>
  </si>
  <si>
    <t>DTHEXIND</t>
  </si>
  <si>
    <t>Death Expected Indicator</t>
  </si>
  <si>
    <t>An indication as to whether the death was expected.</t>
  </si>
  <si>
    <t>C170571</t>
  </si>
  <si>
    <t>DTHWIND</t>
  </si>
  <si>
    <t>Death Witnessed Indicator</t>
  </si>
  <si>
    <t>An indication as to whether the death event was witnessed by another individual.</t>
  </si>
  <si>
    <t>C100441</t>
  </si>
  <si>
    <t>DTPACLR</t>
  </si>
  <si>
    <t>DTPA Clearance</t>
  </si>
  <si>
    <t>A measurement of the volume of serum or plasma that would be cleared of Diethylenetriamine pentaacetate (DTPA) by excretion of urine for a specified unit of time (e.g. one minute).</t>
  </si>
  <si>
    <t>Diethylene Triamine Pentaacetic Acid Clearance</t>
  </si>
  <si>
    <t>C187798</t>
  </si>
  <si>
    <t>DULOXTN</t>
  </si>
  <si>
    <t>Duloxetine</t>
  </si>
  <si>
    <t>A measurement of the duloxetine in a biological specimen.</t>
  </si>
  <si>
    <t>Duloxetine Measurement</t>
  </si>
  <si>
    <t>C201431</t>
  </si>
  <si>
    <t>DUPAN2</t>
  </si>
  <si>
    <t>DU-PAN-2</t>
  </si>
  <si>
    <t>DU-PAN-2; Duke Pancreatic Monoclonal Antigen Type 2; DUPAN-2</t>
  </si>
  <si>
    <t>A measurement of the DU-PAN-2 antigen in a biological specimen.</t>
  </si>
  <si>
    <t>Duke Pancreatic Monoclonal Antigen Type 2 Measurement</t>
  </si>
  <si>
    <t>C199929</t>
  </si>
  <si>
    <t>DV1234RN</t>
  </si>
  <si>
    <t>Dengue Virus 1/2/3/4 RNA</t>
  </si>
  <si>
    <t>A measurement of the RNA from the dengue virus serotype 1, 2, 3 and/or 4 in a biological specimen.</t>
  </si>
  <si>
    <t>Dengue Virus 1, 2, 3, and/or 4 RNA Measurement</t>
  </si>
  <si>
    <t>C86029</t>
  </si>
  <si>
    <t>DWELLTYP</t>
  </si>
  <si>
    <t>Dwelling Type</t>
  </si>
  <si>
    <t>A characterization or classification of the physical location where the individual resides.</t>
  </si>
  <si>
    <t>Living Quarters</t>
  </si>
  <si>
    <t>C117960</t>
  </si>
  <si>
    <t>DXCRIT</t>
  </si>
  <si>
    <t>Diagnostic Criteria</t>
  </si>
  <si>
    <t>A standard from which a judgment concerning a medical diagnosis can be established.</t>
  </si>
  <si>
    <t>C186042</t>
  </si>
  <si>
    <t>DXCSD11</t>
  </si>
  <si>
    <t>11-Deoxycorticosteroids</t>
  </si>
  <si>
    <t>11-Deoxycorticoids; 11-Deoxycorticosteroid; 11-Deoxycorticosteroids</t>
  </si>
  <si>
    <t>A measurement of the total 11-deoxycorticosteroids in a biological specimen.</t>
  </si>
  <si>
    <t>11-Deoxycorticosteroid Measurement</t>
  </si>
  <si>
    <t>C186043</t>
  </si>
  <si>
    <t>DXCSL11</t>
  </si>
  <si>
    <t>11-Deoxycortisol</t>
  </si>
  <si>
    <t>A measurement of the 11-deoxycortisol in a biological specimen.</t>
  </si>
  <si>
    <t>11-Deoxycortisol Measurement</t>
  </si>
  <si>
    <t>C186044</t>
  </si>
  <si>
    <t>DXCSL21</t>
  </si>
  <si>
    <t>21-Deoxycortisol</t>
  </si>
  <si>
    <t>A measurement of the 21-deoxycortisol in a biological specimen.</t>
  </si>
  <si>
    <t>21-Deoxycortisol Measurement</t>
  </si>
  <si>
    <t>C186045</t>
  </si>
  <si>
    <t>DXCSN11</t>
  </si>
  <si>
    <t>11-Deoxycorticosterone</t>
  </si>
  <si>
    <t>11-Deoxycorticosterone; 21-Hydroxyprogesterone; Cortexone; Deoxycortone; Desoxycortone</t>
  </si>
  <si>
    <t>A measurement of the 11-deoxycorticosterone in a biological specimen.</t>
  </si>
  <si>
    <t>11-Deoxycorticosterone Measurement</t>
  </si>
  <si>
    <t>C186046</t>
  </si>
  <si>
    <t>DXCSN21</t>
  </si>
  <si>
    <t>21-Deoxycorticosterone</t>
  </si>
  <si>
    <t>A measurement of the 21-deoxycorticosterone in a biological specimen.</t>
  </si>
  <si>
    <t>21-Deoxycorticosterone Measurement</t>
  </si>
  <si>
    <t>C187956</t>
  </si>
  <si>
    <t>DYSESTHE</t>
  </si>
  <si>
    <t>Dysesthesia</t>
  </si>
  <si>
    <t>An evaluation of dysesthesia (distortion of a sense resulting in an abnormal and unpleasant sensation, usually described as burning, tingling, or numbness).</t>
  </si>
  <si>
    <t>Dysesthesia Evaluation</t>
  </si>
  <si>
    <t>C204680</t>
  </si>
  <si>
    <t>DYSPLASA</t>
  </si>
  <si>
    <t>Dysplasia</t>
  </si>
  <si>
    <t>An evaluation of dysplasia in a biological specimen.</t>
  </si>
  <si>
    <t>Dysplasia Assessment</t>
  </si>
  <si>
    <t>C187957</t>
  </si>
  <si>
    <t>DYSTONIA</t>
  </si>
  <si>
    <t>Dystonia</t>
  </si>
  <si>
    <t>An evaluation of dystonia (a movement disorder characterized by sustained or intermittent muscle contractions, resulting in abnormal movements and/or postures).</t>
  </si>
  <si>
    <t>Dystonia Evaluation</t>
  </si>
  <si>
    <t>C209442</t>
  </si>
  <si>
    <t>DYSTPN</t>
  </si>
  <si>
    <t>Dystrophin</t>
  </si>
  <si>
    <t>A measurement of the total dystrophin in a biological specimen.</t>
  </si>
  <si>
    <t>Dystrophin Measurement</t>
  </si>
  <si>
    <t>C209588</t>
  </si>
  <si>
    <t>DYSTPNAC</t>
  </si>
  <si>
    <t>Dystrophin Actual/Control</t>
  </si>
  <si>
    <t>Dystrophin Actual/Control; Dystrophin Actual/Normal</t>
  </si>
  <si>
    <t>A relative measurement (ratio or percentage) of the dystrophin in a subject's specimen when compared to a control specimen.</t>
  </si>
  <si>
    <t>Dystrophin Actual to Control Ratio Measurement</t>
  </si>
  <si>
    <t>C75372</t>
  </si>
  <si>
    <t>DZPM</t>
  </si>
  <si>
    <t>Diazepam</t>
  </si>
  <si>
    <t>A measurement of the diazepam present in a biological specimen.</t>
  </si>
  <si>
    <t>Diazepam Measurement</t>
  </si>
  <si>
    <t>C163431</t>
  </si>
  <si>
    <t>E1S</t>
  </si>
  <si>
    <t>Estrone Sulfate</t>
  </si>
  <si>
    <t>E1S; Estrone 3-Sulfate; Estrone Sulfate</t>
  </si>
  <si>
    <t>A measurement of the estrone sulfate in a biological specimen.</t>
  </si>
  <si>
    <t>Estrone Sulfate Measurement</t>
  </si>
  <si>
    <t>C142275</t>
  </si>
  <si>
    <t>EAGLUC</t>
  </si>
  <si>
    <t>Glucose, Estimated Average</t>
  </si>
  <si>
    <t>EAG; Estimated Average Glucose; Glucose, Estimated; Glucose, Estimated Average</t>
  </si>
  <si>
    <t>A computed estimate of the blood glucose based on the value of the glycated hemoglobin.</t>
  </si>
  <si>
    <t>Estimated Average Glucose Measurement</t>
  </si>
  <si>
    <t>C221607</t>
  </si>
  <si>
    <t>EAV</t>
  </si>
  <si>
    <t>Enterococcus avium</t>
  </si>
  <si>
    <t>A measurement of Enterococcus avium in a biological specimen.</t>
  </si>
  <si>
    <t>Enterococcus avium Measurement</t>
  </si>
  <si>
    <t>C166035</t>
  </si>
  <si>
    <t>EBDNA</t>
  </si>
  <si>
    <t>Epstein-Barr DNA</t>
  </si>
  <si>
    <t>Epstein-Barr DNA; Human Herpesvirus 4 DNA</t>
  </si>
  <si>
    <t>A measurement of the Epstein-Barr virus DNA in a biological specimen.</t>
  </si>
  <si>
    <t>Epstein-Barr DNA Measurement</t>
  </si>
  <si>
    <t>C96602</t>
  </si>
  <si>
    <t>EBEAG</t>
  </si>
  <si>
    <t>Epstein-Barr Early Antigen</t>
  </si>
  <si>
    <t>A measurement of the Epstein-Barr early antigen in a biological specimen.</t>
  </si>
  <si>
    <t>Epstein-Barr Early Antigen Measurement</t>
  </si>
  <si>
    <t>C96604</t>
  </si>
  <si>
    <t>EBNAG</t>
  </si>
  <si>
    <t>Epstein-Barr Nuclear Antigen</t>
  </si>
  <si>
    <t>A measurement of the Epstein-Barr nuclear antigen in a biological specimen.</t>
  </si>
  <si>
    <t>Epstein-Barr Nuclear Antigen Measurement</t>
  </si>
  <si>
    <t>C184673</t>
  </si>
  <si>
    <t>EBOV</t>
  </si>
  <si>
    <t>Ebola Virus</t>
  </si>
  <si>
    <t>A measurement of the Ebola virus in a biological specimen.</t>
  </si>
  <si>
    <t>Ebola Virus Measurement</t>
  </si>
  <si>
    <t>C184675</t>
  </si>
  <si>
    <t>EBV</t>
  </si>
  <si>
    <t>Epstein-Barr Virus</t>
  </si>
  <si>
    <t>A measurement of the Epstein-Barr virus in a biological specimen.</t>
  </si>
  <si>
    <t>Epstein-Barr Virus Measurement</t>
  </si>
  <si>
    <t>C106519</t>
  </si>
  <si>
    <t>EBVINTP</t>
  </si>
  <si>
    <t>EBV Profile Interpretation</t>
  </si>
  <si>
    <t>Epstein-Barr Virus Antibody Profile; Epstein-Barr Virus Infection Status; Epstein-Barr Virus Panel</t>
  </si>
  <si>
    <t>An assessment of Epstein-Barr virus infection based on a panel of EBV antigen antibody tests.</t>
  </si>
  <si>
    <t>Epstein-Barr Virus Infection Status</t>
  </si>
  <si>
    <t>C187849</t>
  </si>
  <si>
    <t>EBVLMP1</t>
  </si>
  <si>
    <t>Epstein-Barr Virus LMP1</t>
  </si>
  <si>
    <t>Epstein-Barr Virus Latent Membrane Protein 1; Epstein-Barr Virus LMP1</t>
  </si>
  <si>
    <t>A measurement of the epstein-barr virus latent membrane protein 1 in a biological specimen.</t>
  </si>
  <si>
    <t>Epstein-Barr Virus Latent Membrane Protein 1 Measurement</t>
  </si>
  <si>
    <t>C96598</t>
  </si>
  <si>
    <t>ECCENTCY</t>
  </si>
  <si>
    <t>Eccentrocytes</t>
  </si>
  <si>
    <t>A measurement of the eccentrocytes (erythrocytes in which the hemoglobin is localized to a particular portion of the cell, noticeable as localized staining) in a biological specimen.</t>
  </si>
  <si>
    <t>Eccentrocyte Count</t>
  </si>
  <si>
    <t>C154884</t>
  </si>
  <si>
    <t>ECCHYIND</t>
  </si>
  <si>
    <t>Ecchymosis Indicator</t>
  </si>
  <si>
    <t>An indication as to whether ecchymosis is present.</t>
  </si>
  <si>
    <t>C187979</t>
  </si>
  <si>
    <t>ECL</t>
  </si>
  <si>
    <t>Enterobacter cloacae</t>
  </si>
  <si>
    <t>A measurement of the Enterobacter cloacae in a biological specimen.</t>
  </si>
  <si>
    <t>Enterobacter cloacae Measurement</t>
  </si>
  <si>
    <t>C191313</t>
  </si>
  <si>
    <t>ECLCM</t>
  </si>
  <si>
    <t>Enterobacter cloacae Complex</t>
  </si>
  <si>
    <t>A measurement of the Enterobacter cloacae complex in a biological specimen.</t>
  </si>
  <si>
    <t>Enterobacter cloacae Complex Measurement</t>
  </si>
  <si>
    <t>C191312</t>
  </si>
  <si>
    <t>ECLCMDNA</t>
  </si>
  <si>
    <t>Enterobacter cloacae Complex DNA</t>
  </si>
  <si>
    <t>A measurement of the Enterobacter cloacae complex DNA in a biological specimen.</t>
  </si>
  <si>
    <t>Enterobacter cloacae Complex DNA Measurement</t>
  </si>
  <si>
    <t>C154818</t>
  </si>
  <si>
    <t>ECLSLTXN</t>
  </si>
  <si>
    <t>Escherichia coli Shiga-like Toxin</t>
  </si>
  <si>
    <t>A measurement of the total Escherichia coli shiga-like toxin in a biological specimen.</t>
  </si>
  <si>
    <t>Escherichia coli Shiga-like Toxin Measurement</t>
  </si>
  <si>
    <t>C172538</t>
  </si>
  <si>
    <t>ECO</t>
  </si>
  <si>
    <t>Escherichia coli</t>
  </si>
  <si>
    <t>A measurement of the Escherichia coli in a biological specimen.</t>
  </si>
  <si>
    <t>Escherichia coli Measurement</t>
  </si>
  <si>
    <t>C191314</t>
  </si>
  <si>
    <t>ECODNA</t>
  </si>
  <si>
    <t>Escherichia coli DNA</t>
  </si>
  <si>
    <t>A measurement of the Escherichia coli DNA in a biological specimen.</t>
  </si>
  <si>
    <t>Escherichia coli DNA Measurement</t>
  </si>
  <si>
    <t>C186153</t>
  </si>
  <si>
    <t>ECOK1DNA</t>
  </si>
  <si>
    <t>Escherichia coli K1 DNA</t>
  </si>
  <si>
    <t>A measurement of the Escherichia coli K1 DNA in a biological specimen.</t>
  </si>
  <si>
    <t>Escherichia coli K1 DNA Measurement</t>
  </si>
  <si>
    <t>C198313</t>
  </si>
  <si>
    <t>ECOOAG</t>
  </si>
  <si>
    <t>Escherichia coli O Antigen</t>
  </si>
  <si>
    <t>A measurement of the Escherichia coli O antigen in a biological specimen.</t>
  </si>
  <si>
    <t>Escherichia coli O Antigen Measurement</t>
  </si>
  <si>
    <t>C209589</t>
  </si>
  <si>
    <t>ECP</t>
  </si>
  <si>
    <t>Eosinophil Cationic Protein</t>
  </si>
  <si>
    <t>Eosinophil Cationic Protein; Ribonuclease A Family Member 3; RNase 3</t>
  </si>
  <si>
    <t>A measurement of the eosinophil cationic protein in a biological specimen.</t>
  </si>
  <si>
    <t>Eosinophil Cationic Protein Measurement</t>
  </si>
  <si>
    <t>C100422</t>
  </si>
  <si>
    <t>ECT</t>
  </si>
  <si>
    <t>Ecarin Clotting Time</t>
  </si>
  <si>
    <t>A measurement of the activity of thrombin inhibitors in a biological specimen based on the generation of meizothrombin.</t>
  </si>
  <si>
    <t>Ecarin Clotting Time Measurement</t>
  </si>
  <si>
    <t>C209677</t>
  </si>
  <si>
    <t>ECTPGIND</t>
  </si>
  <si>
    <t>Ectopic Pregnancy Indicator</t>
  </si>
  <si>
    <t>An indication as to whether an ectopic pregnancy has occurred.</t>
  </si>
  <si>
    <t>C120832</t>
  </si>
  <si>
    <t>ECTPREGN</t>
  </si>
  <si>
    <t>Number of Ectopic Pregnancies</t>
  </si>
  <si>
    <t>A measurement of the total number of ectopic pregnancies experienced by a female subject.</t>
  </si>
  <si>
    <t>C187850</t>
  </si>
  <si>
    <t>ECVERTXN</t>
  </si>
  <si>
    <t>Escherichia coli Verotoxin</t>
  </si>
  <si>
    <t>A measurement of the total Escherichia coli verotoxin in a biological specimen.</t>
  </si>
  <si>
    <t>Escherichia coli Verotoxin Measurement</t>
  </si>
  <si>
    <t>C191364</t>
  </si>
  <si>
    <t>ECW</t>
  </si>
  <si>
    <t>Extracellular Water</t>
  </si>
  <si>
    <t>Extracellular Body Water; Extracellular Water</t>
  </si>
  <si>
    <t>A measurement of the quantity of water in the extracellular compartments within the body.</t>
  </si>
  <si>
    <t>Extracellular Water Measurement</t>
  </si>
  <si>
    <t>C191363</t>
  </si>
  <si>
    <t>ECWTBW</t>
  </si>
  <si>
    <t>Extracellular Water/Total Body Water</t>
  </si>
  <si>
    <t>ECW/TBW; Extracellular Water/Total Body Water</t>
  </si>
  <si>
    <t>A relative measurement (ratio or percentage) of the quantity of water in extracellular compartments to the total quantity of water within the body.</t>
  </si>
  <si>
    <t>Extracellular Water to Total Body Water Ratio Measurement</t>
  </si>
  <si>
    <t>C120833</t>
  </si>
  <si>
    <t>EDCDTC</t>
  </si>
  <si>
    <t>Estimated Date of Conception</t>
  </si>
  <si>
    <t>An approximate calculated date at which the conception event took place.</t>
  </si>
  <si>
    <t>C75353</t>
  </si>
  <si>
    <t>EDDP</t>
  </si>
  <si>
    <t>2-ethylidene-1,5-dimethyl-3,3-diphenylpyrrolidine; EDDP</t>
  </si>
  <si>
    <t>A measurement of the methadone metabolite 2-ethylidene-1,5-dimethyl-3,3-diphenylpyrrolidine present in a biological specimen.</t>
  </si>
  <si>
    <t>EDDP Measurement</t>
  </si>
  <si>
    <t>C178049</t>
  </si>
  <si>
    <t>EDEMA</t>
  </si>
  <si>
    <t>Edema</t>
  </si>
  <si>
    <t>An evaluation of edema (an excessive amount of watery fluid) in a biological specimen or location.</t>
  </si>
  <si>
    <t>Edema Evaluation</t>
  </si>
  <si>
    <t>C154885</t>
  </si>
  <si>
    <t>EDEMAIND</t>
  </si>
  <si>
    <t>Edema Indicator</t>
  </si>
  <si>
    <t>An indication as to whether edema is present.</t>
  </si>
  <si>
    <t>C189543</t>
  </si>
  <si>
    <t>EDI</t>
  </si>
  <si>
    <t>Entamoeba dispar</t>
  </si>
  <si>
    <t>A measurement of the Entamoeba dispar in a biological specimen.</t>
  </si>
  <si>
    <t>Entamoeba dispar Measurement</t>
  </si>
  <si>
    <t>C189544</t>
  </si>
  <si>
    <t>EDIDNA</t>
  </si>
  <si>
    <t>Entamoeba dispar DNA</t>
  </si>
  <si>
    <t>A measurement of the Entamoeba dispar DNA in a biological specimen.</t>
  </si>
  <si>
    <t>Entamoeba dispar DNA Measurement</t>
  </si>
  <si>
    <t>C81247</t>
  </si>
  <si>
    <t>EDLVRDTC</t>
  </si>
  <si>
    <t>Estimated Date of Delivery</t>
  </si>
  <si>
    <t>An approximate calculation of the delivery date.</t>
  </si>
  <si>
    <t>Expected Date of Confinement</t>
  </si>
  <si>
    <t>C184644</t>
  </si>
  <si>
    <t>EDN</t>
  </si>
  <si>
    <t>Eosinophil-Derived Neurotoxin</t>
  </si>
  <si>
    <t>Eosinophil Protein-X; Eosinophil-Derived Neurotoxin; RAF3; Ribonuclease A Family Member 2</t>
  </si>
  <si>
    <t>A measurement of the eosinophil-derived neurotoxin in a biological specimen.</t>
  </si>
  <si>
    <t>Eosinophil-Derived Neurotoxin Measurement</t>
  </si>
  <si>
    <t>C100440</t>
  </si>
  <si>
    <t>EDTACLR</t>
  </si>
  <si>
    <t>EDTA Clearance</t>
  </si>
  <si>
    <t>A measurement of the volume of serum or plasma that would be cleared of Ethylenediamine tetraacetic acid (EDTA) by excretion of urine for a specified unit of time (e.g. one minute).</t>
  </si>
  <si>
    <t>C17953</t>
  </si>
  <si>
    <t>EDULEVEL</t>
  </si>
  <si>
    <t>Level of Education Attained</t>
  </si>
  <si>
    <t>Highest level of education that a person has attained.</t>
  </si>
  <si>
    <t>Education Level</t>
  </si>
  <si>
    <t>C122393</t>
  </si>
  <si>
    <t>EDUYRNUM</t>
  </si>
  <si>
    <t>Number of Years of Education</t>
  </si>
  <si>
    <t>The number of years of education that a person has completed.</t>
  </si>
  <si>
    <t>C135372</t>
  </si>
  <si>
    <t>EDV</t>
  </si>
  <si>
    <t>End Diastolic Volume</t>
  </si>
  <si>
    <t>End Diastolic Blood Volume; End Diastolic Volume</t>
  </si>
  <si>
    <t>The volume of blood remaining in the ventricle or atrium at end diastole.</t>
  </si>
  <si>
    <t>C161396</t>
  </si>
  <si>
    <t>EFA</t>
  </si>
  <si>
    <t>Enterococcus faecalis</t>
  </si>
  <si>
    <t>Streptococcus faecalis</t>
  </si>
  <si>
    <t>A measurement of the Enterococcus faecalis in a biological specimen.</t>
  </si>
  <si>
    <t>Enterococcus faecalis Measurement</t>
  </si>
  <si>
    <t>C189545</t>
  </si>
  <si>
    <t>EFADNA</t>
  </si>
  <si>
    <t>Enterococcus faecalis DNA</t>
  </si>
  <si>
    <t>A measurement of the Enterococcus faecalis DNA in a biological specimen.</t>
  </si>
  <si>
    <t>Enterococcus faecalis DNA Measurement</t>
  </si>
  <si>
    <t>C189538</t>
  </si>
  <si>
    <t>EFAM</t>
  </si>
  <si>
    <t>Enterococcus faecium</t>
  </si>
  <si>
    <t>A measurement of the Enterococcus faecium in a biological specimen.</t>
  </si>
  <si>
    <t>Enterococcus faecium Measurement</t>
  </si>
  <si>
    <t>C221609</t>
  </si>
  <si>
    <t>EFE</t>
  </si>
  <si>
    <t>Escherichia fergusonii</t>
  </si>
  <si>
    <t>A measurement of Escherichia fergusonii in a biological specimen.</t>
  </si>
  <si>
    <t>Escherichia fergusonii Measurement</t>
  </si>
  <si>
    <t>C95007</t>
  </si>
  <si>
    <t>EFFHL</t>
  </si>
  <si>
    <t>Effective Half-Life</t>
  </si>
  <si>
    <t>The drug half-life that quantifies the accumulation ratio of a drug following multiple dosing.</t>
  </si>
  <si>
    <t>Effective Half-life</t>
  </si>
  <si>
    <t>C161422</t>
  </si>
  <si>
    <t>EFFIND</t>
  </si>
  <si>
    <t>Effusion Indicator</t>
  </si>
  <si>
    <t>An indication as to whether effusion is present.</t>
  </si>
  <si>
    <t>C127565</t>
  </si>
  <si>
    <t>EFFRGOA</t>
  </si>
  <si>
    <t>Effective Regurgitant Orifice Area</t>
  </si>
  <si>
    <t>A measurement of the effective regurgitant orifice area of the valve.</t>
  </si>
  <si>
    <t>C161424</t>
  </si>
  <si>
    <t>EFFVOL</t>
  </si>
  <si>
    <t>Effusion Volume</t>
  </si>
  <si>
    <t>The amount of three dimensional space occupied by the effusion fluid.</t>
  </si>
  <si>
    <t>Effusion Volume Measurement</t>
  </si>
  <si>
    <t>C221608</t>
  </si>
  <si>
    <t>EGA</t>
  </si>
  <si>
    <t>Enterococcus gallinarum</t>
  </si>
  <si>
    <t>A measurement of Enterococcus gallinarum in a biological specimen.</t>
  </si>
  <si>
    <t>Enterococcus gallinarum Measurement</t>
  </si>
  <si>
    <t>C119253</t>
  </si>
  <si>
    <t>EGARMAX</t>
  </si>
  <si>
    <t>ECG Maximum Atrial Rate</t>
  </si>
  <si>
    <t>An electrocardiographic measurement of the maximum rate of atrial depolarizations (P waves) recorded during an interval of time, usually expressed in beats per minute.</t>
  </si>
  <si>
    <t>Maximum Atrial Rate by Electrocardiogram</t>
  </si>
  <si>
    <t>C119254</t>
  </si>
  <si>
    <t>EGARMED</t>
  </si>
  <si>
    <t>ECG Median Atrial Rate</t>
  </si>
  <si>
    <t>An electrocardiographic measurement of the median rate of atrial depolarizations (P waves) recorded during an interval of time, usually expressed in beats per minute.</t>
  </si>
  <si>
    <t>Median Atrial Rate by Electrocardiogram</t>
  </si>
  <si>
    <t>C119255</t>
  </si>
  <si>
    <t>EGARMIN</t>
  </si>
  <si>
    <t>ECG Minimum Atrial Rate</t>
  </si>
  <si>
    <t>An electrocardiographic measurement of the minimum rate of atrial depolarizations (P waves) recorded during an interval of time, usually expressed in beats per minute.</t>
  </si>
  <si>
    <t>Minimum Atrial Rate by Electrocardiogram</t>
  </si>
  <si>
    <t>C119256</t>
  </si>
  <si>
    <t>EGARMN</t>
  </si>
  <si>
    <t>ECG Mean Atrial Rate</t>
  </si>
  <si>
    <t>An electrocardiographic measurement of the average rate of atrial depolarizations (P waves) recorded during an interval of time, usually expressed in beats per minute.</t>
  </si>
  <si>
    <t>Mean Atrial Rate by Electrocardiogram</t>
  </si>
  <si>
    <t>C119560</t>
  </si>
  <si>
    <t>EGBLIND</t>
  </si>
  <si>
    <t>ECG Reading Blinded</t>
  </si>
  <si>
    <t>Indicates whether assessors of ECGs for this study were blinded to subject identity, timing and treatment.</t>
  </si>
  <si>
    <t>ECG Evaluator Blinding Parameters</t>
  </si>
  <si>
    <t>C117761</t>
  </si>
  <si>
    <t>EGCOMP</t>
  </si>
  <si>
    <t>Comparison to a Prior ECG</t>
  </si>
  <si>
    <t>A comparative interpretation of an ECG relative to a previous (comparator) ECG. The definition of the comparator ECG may be specified elsewhere. Common comparator result values include improved, no change, deteriorated.</t>
  </si>
  <si>
    <t>C119561</t>
  </si>
  <si>
    <t>EGCTMON</t>
  </si>
  <si>
    <t>ECG Continuous Monitoring</t>
  </si>
  <si>
    <t>Indicates whether the 10-second ECGs for this study were extracted from a continuous recording.</t>
  </si>
  <si>
    <t>ECG Continuous Monitoring Indicator</t>
  </si>
  <si>
    <t>C122188</t>
  </si>
  <si>
    <t>EGESTAGE</t>
  </si>
  <si>
    <t>Estimated Gestational Age</t>
  </si>
  <si>
    <t>An approximate calculation of the gestational age of the fetus, neonate, or infant.</t>
  </si>
  <si>
    <t>C82009</t>
  </si>
  <si>
    <t>EGF</t>
  </si>
  <si>
    <t>Epidermal Growth Factor</t>
  </si>
  <si>
    <t>A measurement of the epidermal growth factor in a biological specimen.</t>
  </si>
  <si>
    <t>Epidermal Growth Factor Measurement</t>
  </si>
  <si>
    <t>C112273</t>
  </si>
  <si>
    <t>EGFR</t>
  </si>
  <si>
    <t>Epidermal Growth Factor Receptor</t>
  </si>
  <si>
    <t>Epidermal Growth Factor Receptor; ERBB1; HER1</t>
  </si>
  <si>
    <t>A measurement of the epidermal growth factor receptor in a biological specimen.</t>
  </si>
  <si>
    <t>Epidermal Growth Factor Receptor Measurement</t>
  </si>
  <si>
    <t>C181452</t>
  </si>
  <si>
    <t>EGFRFR</t>
  </si>
  <si>
    <t>Epidermal Growth Factor Receptor, Free</t>
  </si>
  <si>
    <t>A measurement of the free (unbound) epidermal growth factor receptor in a biological specimen.</t>
  </si>
  <si>
    <t>Free Epidermal Growth Factor Receptor Measurement</t>
  </si>
  <si>
    <t>C154806</t>
  </si>
  <si>
    <t>EGFRVP</t>
  </si>
  <si>
    <t>EGFR Variant Protein</t>
  </si>
  <si>
    <t>A measurement of the EGFR protein with a specified variation(s) (mutations, deletions, insertions, etc.) in a biological specimen.</t>
  </si>
  <si>
    <t>EGFR Variant Protein Measurement</t>
  </si>
  <si>
    <t>C119257</t>
  </si>
  <si>
    <t>EGHRMAX</t>
  </si>
  <si>
    <t>ECG Maximum Heart Rate</t>
  </si>
  <si>
    <t>An electrocardiographic measurement of the maximum rate of depolarization of a specific region of the heart during an interval of time, usually expressed in beats per minute. Unless otherwise specified, this is usually the maximum ventricular rate.</t>
  </si>
  <si>
    <t>Maximum Heart Rate by Electrocardiogram</t>
  </si>
  <si>
    <t>C123447</t>
  </si>
  <si>
    <t>EGHRMED</t>
  </si>
  <si>
    <t>ECG Median Heart Rate</t>
  </si>
  <si>
    <t>An electrocardiographic measurement of the median rate of depolarization of a specific region of the heart during an interval of time, usually expressed in beats per minute. Unless otherwise specified, this is usually the median ventricular rate.</t>
  </si>
  <si>
    <t>C119258</t>
  </si>
  <si>
    <t>EGHRMIN</t>
  </si>
  <si>
    <t>ECG Minimum Heart Rate</t>
  </si>
  <si>
    <t>An electrocardiographic measurement of the minimum rate of depolarization of a specific region of the heart during an interval of time, usually expressed in beats per minute. Unless otherwise specified, this is usually the minimum ventricular rate.</t>
  </si>
  <si>
    <t>Minimum Heart Rate by Electrocardiogram</t>
  </si>
  <si>
    <t>C119259</t>
  </si>
  <si>
    <t>EGHRMN</t>
  </si>
  <si>
    <t>ECG Mean Heart Rate</t>
  </si>
  <si>
    <t>An electrocardiographic measurement of the average rate of depolarization of a specific region of the heart during an interval of time, usually expressed in beats per minute. Unless otherwise specified, this is usually the mean ventricular rate.</t>
  </si>
  <si>
    <t>Mean Heart Rate by Electrocardiogram</t>
  </si>
  <si>
    <t>C120608</t>
  </si>
  <si>
    <t>EGHRSI</t>
  </si>
  <si>
    <t>Single RR Heart Rate</t>
  </si>
  <si>
    <t>An electrocardiographic measurement of a heart rate derived from a single RR interval (interval between two consecutive QRS complexes).</t>
  </si>
  <si>
    <t>Single Beat RR Extrapolated Heart Rate by ECG Assessment</t>
  </si>
  <si>
    <t>C119562</t>
  </si>
  <si>
    <t>EGLEADPR</t>
  </si>
  <si>
    <t>ECG Planned Primary Lead</t>
  </si>
  <si>
    <t>The ECG lead which was planned to be used for ECG interval measurements for this study.</t>
  </si>
  <si>
    <t>ECG Planned Primary Lead for Study</t>
  </si>
  <si>
    <t>C119563</t>
  </si>
  <si>
    <t>EGLEADSM</t>
  </si>
  <si>
    <t>ECG Used Same Lead</t>
  </si>
  <si>
    <t>Indicates whether all ECG interval measurements for the study were based on the same lead.</t>
  </si>
  <si>
    <t>ECG Used Same Lead Indicator</t>
  </si>
  <si>
    <t>C119564</t>
  </si>
  <si>
    <t>EGRDMETH</t>
  </si>
  <si>
    <t>ECG Read Method</t>
  </si>
  <si>
    <t>The degree of automation involved in assessing the ECGs for this study.</t>
  </si>
  <si>
    <t>ECG Read Method Degree of Automation</t>
  </si>
  <si>
    <t>C119565</t>
  </si>
  <si>
    <t>EGREPLBL</t>
  </si>
  <si>
    <t>ECG Replicates at Baseline</t>
  </si>
  <si>
    <t>Indicates whether this study includes replicate ECGs for time points during the baseline portion of the study.</t>
  </si>
  <si>
    <t>ECG Replicates at Baseline Indicator</t>
  </si>
  <si>
    <t>C119566</t>
  </si>
  <si>
    <t>EGREPLTR</t>
  </si>
  <si>
    <t>ECG Replicates On-Treatment</t>
  </si>
  <si>
    <t>Indicates whether this study includes replicate ECGs for time points during the on-treatment portion of the study.</t>
  </si>
  <si>
    <t>ECG Replicates On-Treatment Indicator</t>
  </si>
  <si>
    <t>C119582</t>
  </si>
  <si>
    <t>EGTWVALG</t>
  </si>
  <si>
    <t>ECG Twave Algorithm</t>
  </si>
  <si>
    <t>The algorithm used to identify the end of the T wave for ECGs for this study.</t>
  </si>
  <si>
    <t>ECG T Wave Algorithm</t>
  </si>
  <si>
    <t>C119260</t>
  </si>
  <si>
    <t>EGVRMAX</t>
  </si>
  <si>
    <t>ECG Maximum Ventricular Rate</t>
  </si>
  <si>
    <t>An electrocardiographic measurement of the maximum rate of ventricular depolarizations (QRS complexes) recorded during an interval of time, usually expressed in beats per minute.</t>
  </si>
  <si>
    <t>Maximum Ventricular Rate by Electrocardiogram</t>
  </si>
  <si>
    <t>C119261</t>
  </si>
  <si>
    <t>EGVRMED</t>
  </si>
  <si>
    <t>ECG Median Ventricular Rate</t>
  </si>
  <si>
    <t>An electrocardiographic measurement of the median rate of ventricular depolarizations (QRS complexes) recorded during an interval of time, usually expressed in beats per minute.</t>
  </si>
  <si>
    <t>Median Ventricular Rate by Electrocardiogram</t>
  </si>
  <si>
    <t>C119262</t>
  </si>
  <si>
    <t>EGVRMIN</t>
  </si>
  <si>
    <t>ECG Minimum Ventricular Rate</t>
  </si>
  <si>
    <t>An electrocardiographic measurement of the minimum rate of ventricular depolarizations (QRS complexes) recorded during an interval of time, usually expressed in beats per minute.</t>
  </si>
  <si>
    <t>Minimum Ventricular Rate by Electrocardiogram</t>
  </si>
  <si>
    <t>C119263</t>
  </si>
  <si>
    <t>EGVRMN</t>
  </si>
  <si>
    <t>ECG Mean Ventricular Rate</t>
  </si>
  <si>
    <t>An electrocardiographic measurement of the average rate of ventricular depolarizations (QRS complexes) recorded during an interval of time, usually expressed in beats per minute.</t>
  </si>
  <si>
    <t>Mean Ventricular Rate by Electrocardiogram</t>
  </si>
  <si>
    <t>C209640</t>
  </si>
  <si>
    <t>EHEC</t>
  </si>
  <si>
    <t>Enterohemorrhagic Escherichia coli</t>
  </si>
  <si>
    <t>A measurement of the enterohemorrhagic Escherichia coli in a biological specimen.</t>
  </si>
  <si>
    <t>Enterohemorrhagic Escherichia coli Measurement</t>
  </si>
  <si>
    <t>C166036</t>
  </si>
  <si>
    <t>EHIDNA</t>
  </si>
  <si>
    <t>Entamoeba histolytica DNA</t>
  </si>
  <si>
    <t>A measurement of the Entamoeba histolytica DNA in a biological specimen.</t>
  </si>
  <si>
    <t>Entamoeba histolytica DNA Measurement</t>
  </si>
  <si>
    <t>C221632</t>
  </si>
  <si>
    <t>EHO</t>
  </si>
  <si>
    <t>Enterobacter hormaechei</t>
  </si>
  <si>
    <t>A measurement of Enterobacter hormaechei in a biological specimen.</t>
  </si>
  <si>
    <t>Enterobacter hormaechei Measurement</t>
  </si>
  <si>
    <t>C187847</t>
  </si>
  <si>
    <t>EHRLDNA</t>
  </si>
  <si>
    <t>Ehrlichia DNA</t>
  </si>
  <si>
    <t>A measurement of the DNA from any member of the genus Ehrlichia in a biological specimen.</t>
  </si>
  <si>
    <t>Ehrlichia DNA Measurement</t>
  </si>
  <si>
    <t>C122088</t>
  </si>
  <si>
    <t>EJWAMP</t>
  </si>
  <si>
    <t>Ejection Wave Amplitude</t>
  </si>
  <si>
    <t>The magnitude of the ejection wave that occurs when blood is ejected into the aorta by the left ventricle.</t>
  </si>
  <si>
    <t>C199924</t>
  </si>
  <si>
    <t>EK1NSBAG</t>
  </si>
  <si>
    <t>E.Coli K1/N.Meningitidis Serogroup B Ag</t>
  </si>
  <si>
    <t>E.Coli K1/N.Meningitidis Serogroup B Ag; Escherichia coli K1/Neisseria meningitidis Group B Antigen; Escherichia coli K1/Neisseria meningitidis Serogroup B Antigen</t>
  </si>
  <si>
    <t>A measurement of the antigen from Escherichia coli K1 and/or Neisseria meningitidis serogroup B in a biological specimen.</t>
  </si>
  <si>
    <t>Escherichia coli K1 and/or Neisseria meningitidis Group B Antigen Measurement</t>
  </si>
  <si>
    <t>C82028</t>
  </si>
  <si>
    <t>ELA1</t>
  </si>
  <si>
    <t>Pancreatic Elastase 1</t>
  </si>
  <si>
    <t>A measurement of the pancreatic elastase 1 in a biological specimen.</t>
  </si>
  <si>
    <t>Pancreatic Elastase Measurement</t>
  </si>
  <si>
    <t>C82029</t>
  </si>
  <si>
    <t>ELA1PMN</t>
  </si>
  <si>
    <t>Pancreatic Elastase 1, Polymorphonuclear</t>
  </si>
  <si>
    <t>A measurement of the polymorphonuclear pancreatic elastase 1 in a biological specimen.</t>
  </si>
  <si>
    <t>Polymorphonuclear Pancreatic Elastase Measurement</t>
  </si>
  <si>
    <t>C82026</t>
  </si>
  <si>
    <t>ELA2</t>
  </si>
  <si>
    <t>Neutrophil Elastase</t>
  </si>
  <si>
    <t>A measurement of the neutrophil elastase in a biological specimen.</t>
  </si>
  <si>
    <t>Neutrophil Elastase Measurement</t>
  </si>
  <si>
    <t>C82027</t>
  </si>
  <si>
    <t>ELA2PMN</t>
  </si>
  <si>
    <t>Neutrophil Elastase, Polymorphonuclear</t>
  </si>
  <si>
    <t>A measurement of the polymorphonuclear neutrophil elastase in a biological specimen.</t>
  </si>
  <si>
    <t>Polymorphonuclear Neutrophil Elastase Measurement</t>
  </si>
  <si>
    <t>C221571</t>
  </si>
  <si>
    <t>ELASTIN</t>
  </si>
  <si>
    <t>Elastin</t>
  </si>
  <si>
    <t>A measurement of the elastin in a biological specimen.</t>
  </si>
  <si>
    <t>Elastin Measurement</t>
  </si>
  <si>
    <t>C64549</t>
  </si>
  <si>
    <t>ELLIPCY</t>
  </si>
  <si>
    <t>Elliptocytes</t>
  </si>
  <si>
    <t>A measurement of the elliptocytes (elliptically shaped cell with blunt ends and a long axis twice the length of its short axis) in a biological specimen.</t>
  </si>
  <si>
    <t>Elliptocyte Count</t>
  </si>
  <si>
    <t>C221576</t>
  </si>
  <si>
    <t>ELP3</t>
  </si>
  <si>
    <t>Elongator Acetyltransferase Complex Sub3</t>
  </si>
  <si>
    <t>Elongator Acetyltransferase Complex Sub3; Elongator Acetyltransferase Complex Subunit 3; ELP-3; Protein Lysine Acetyltransferase ELP3; Proteinase-3 Degraded Elastin; TRNA Uridine(34) Acetyltransferase</t>
  </si>
  <si>
    <t>A measurement of the elongator acetyltransferase complex subunit 3 in a biological specimen.</t>
  </si>
  <si>
    <t>Elongator Acetyltransferase Complex Subunit 3 Measurement</t>
  </si>
  <si>
    <t>C135493</t>
  </si>
  <si>
    <t>ELSTNCE</t>
  </si>
  <si>
    <t>Elastance</t>
  </si>
  <si>
    <t>A measure of the resistance of a system to expand, i.e. the pressure change that is required to elicit a unit volume change in the lungs. Elastance is the reciprocal of compliance.</t>
  </si>
  <si>
    <t>C184555</t>
  </si>
  <si>
    <t>EMA</t>
  </si>
  <si>
    <t>Ethylamphetamine</t>
  </si>
  <si>
    <t>Ethylamphetamine; Etilamfetamine; N-Ethylamphetamine</t>
  </si>
  <si>
    <t>A measurement of the ethylamphetamine in a biological specimen.</t>
  </si>
  <si>
    <t>Ethylamphetamine Measurement</t>
  </si>
  <si>
    <t>C127791</t>
  </si>
  <si>
    <t>EMAILXML</t>
  </si>
  <si>
    <t>Email Address for XML File</t>
  </si>
  <si>
    <t>The Email address to which copies of the XML format of the EudraCT application should be sent.</t>
  </si>
  <si>
    <t>E-mail Address for XML File Feedback</t>
  </si>
  <si>
    <t>C221652</t>
  </si>
  <si>
    <t>EMCLNPV</t>
  </si>
  <si>
    <t>EMCL Norm for Phantom Volume</t>
  </si>
  <si>
    <t>EMCL Norm for Phantom Volume; EMCL Normalized for Phantom Volume</t>
  </si>
  <si>
    <t>A measurement of extramyocellular lipid normalized for imaging phantom volume, in a biological specimen.</t>
  </si>
  <si>
    <t>Extramyocellular Lipid Normalized for Phantom Volume Measurement</t>
  </si>
  <si>
    <t>C221654</t>
  </si>
  <si>
    <t>EMCLNTW</t>
  </si>
  <si>
    <t>EMCL Norm for Tissue Weight</t>
  </si>
  <si>
    <t>EMCL Norm for Tissue Weight; EMCL Normalized for Tissue Weight; Extramyocellular Lipid Normalized for Tissue Weight</t>
  </si>
  <si>
    <t>A measurement of extramyocellular lipid normalized for tissue weight, in a biological specimen.</t>
  </si>
  <si>
    <t>Extramyocellular Lipid Normalized for Tissue Weight Measurement</t>
  </si>
  <si>
    <t>C221653</t>
  </si>
  <si>
    <t>EMCLNTWV</t>
  </si>
  <si>
    <t>EMCL Norm for Tissue Water Volume</t>
  </si>
  <si>
    <t>EMCL Norm for Tissue Water Volume; EMCL Normalized for Tissue Water Volume; Extramyocellular Lipid Normalized for Tissue Water Volume</t>
  </si>
  <si>
    <t>A measurement of extramyocellular lipid normalized for tissue water volume, in a biological specimen.</t>
  </si>
  <si>
    <t>Extramyocellular Lipid Normalized for Tissue Water Volume Measurement</t>
  </si>
  <si>
    <t>C204685</t>
  </si>
  <si>
    <t>EMDRESP</t>
  </si>
  <si>
    <t>Extramedullary Disease Response</t>
  </si>
  <si>
    <t>An assessment of the disease response to therapy within an extramedullary region.</t>
  </si>
  <si>
    <t>Extramedullary Disease Response Assessment</t>
  </si>
  <si>
    <t>C126059</t>
  </si>
  <si>
    <t>EMPIPDCN</t>
  </si>
  <si>
    <t>EMA Decision Number for PIP</t>
  </si>
  <si>
    <t>An alphanumeric code assigned by the European Medicines Agency (EMA) to an EMA regulatory decision for a pediatric investigation plan (PIP).</t>
  </si>
  <si>
    <t>EMA Decision Number for Pediatric Investigation Plan</t>
  </si>
  <si>
    <t>C25193</t>
  </si>
  <si>
    <t>EMPJOB</t>
  </si>
  <si>
    <t>Employee Job</t>
  </si>
  <si>
    <t>Employee Job; Occupation; Type of Work</t>
  </si>
  <si>
    <t>A code specifying the job performed by the employee for the employer. For example, accountant, programmer analyst, patient care associate, staff nurse, etc.</t>
  </si>
  <si>
    <t>Occupation</t>
  </si>
  <si>
    <t>C179143</t>
  </si>
  <si>
    <t>EMPSTAT</t>
  </si>
  <si>
    <t>Employment Status</t>
  </si>
  <si>
    <t>The state or condition of an individual's employment.</t>
  </si>
  <si>
    <t>C184699</t>
  </si>
  <si>
    <t>EMVI</t>
  </si>
  <si>
    <t>Extramural Venous Invasion</t>
  </si>
  <si>
    <t>An evaluation of extramural venous invasion in a biological specimen.</t>
  </si>
  <si>
    <t>Extramural Venous Invasion Assessment</t>
  </si>
  <si>
    <t>C82010</t>
  </si>
  <si>
    <t>ENA78</t>
  </si>
  <si>
    <t>Epith Neutrophil-Activating Peptide 78</t>
  </si>
  <si>
    <t>A measurement of the epithelial neutrophil-activating peptide in a biological specimen.</t>
  </si>
  <si>
    <t>Epithelial Neutrophil-Activating Peptide 78 Measurement</t>
  </si>
  <si>
    <t>C172509</t>
  </si>
  <si>
    <t>ENDOSTN</t>
  </si>
  <si>
    <t>Endostatin</t>
  </si>
  <si>
    <t>Collagen Type XVIII Alpha 1 Chain; Endostatin</t>
  </si>
  <si>
    <t>A measurement of the endostatin in a biological specimen.</t>
  </si>
  <si>
    <t>Endostatin Measurement</t>
  </si>
  <si>
    <t>C82008</t>
  </si>
  <si>
    <t>ENDOTH1</t>
  </si>
  <si>
    <t>Endothelin-1</t>
  </si>
  <si>
    <t>A measurement of the endothelin-1 in a biological specimen.</t>
  </si>
  <si>
    <t>Endothelin-1 Measurement</t>
  </si>
  <si>
    <t>C187800</t>
  </si>
  <si>
    <t>ENDOTH3</t>
  </si>
  <si>
    <t>Endothelin-3</t>
  </si>
  <si>
    <t>Endothelin-3; ET-3</t>
  </si>
  <si>
    <t>A measurement of the endothelin-3 in a biological specimen.</t>
  </si>
  <si>
    <t>Endothelin-3 Measurement</t>
  </si>
  <si>
    <t>C181501</t>
  </si>
  <si>
    <t>ENDURM</t>
  </si>
  <si>
    <t>Muscle Endurance</t>
  </si>
  <si>
    <t>A measurement of a muscle's ability to perform repetitive contractions against a force.</t>
  </si>
  <si>
    <t>Muscle Endurance Measurement</t>
  </si>
  <si>
    <t>C214716</t>
  </si>
  <si>
    <t>ENEDIST</t>
  </si>
  <si>
    <t>Distance to Extranodal Extension</t>
  </si>
  <si>
    <t>A measurement of the distance of the extent of the malignant neoplasm beyond the lymph node capsule.</t>
  </si>
  <si>
    <t>C158276</t>
  </si>
  <si>
    <t>ENMPSDTC</t>
  </si>
  <si>
    <t>Est Next Menstrual Period Start Date</t>
  </si>
  <si>
    <t>Est Next Menstrual Period Start Date; Estimated Next Menstrual Period Start Date</t>
  </si>
  <si>
    <t>The approximate date of the first day of the next menstrual cycle.</t>
  </si>
  <si>
    <t>Estimated Next Menstrual Period Start Date</t>
  </si>
  <si>
    <t>C82011</t>
  </si>
  <si>
    <t>ENRAGE</t>
  </si>
  <si>
    <t>Extracell Newly Ident RAGE Bind Protein</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</si>
  <si>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</si>
  <si>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</si>
  <si>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</si>
  <si>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C147491</t>
  </si>
  <si>
    <t>ENRGEXP</t>
  </si>
  <si>
    <t>Energy Expenditure</t>
  </si>
  <si>
    <t>A measurement of the amount of energy used to carry out a physiological or physical function.</t>
  </si>
  <si>
    <t>C179758</t>
  </si>
  <si>
    <t>ENTEROBA</t>
  </si>
  <si>
    <t>Enterobacter</t>
  </si>
  <si>
    <t>A measurement of the organisms that are not assigned to the species level but are assigned to the Enterobacter genus level in a biological specimen.</t>
  </si>
  <si>
    <t>Enterobacter Measurement</t>
  </si>
  <si>
    <t>C187848</t>
  </si>
  <si>
    <t>ENTEROCO</t>
  </si>
  <si>
    <t>Enterococcus</t>
  </si>
  <si>
    <t>A measurement of the organisms that are not assigned to the species level but are assigned to the Enterococcus genus level in a biological specimen.</t>
  </si>
  <si>
    <t>Enterococcus Measurement</t>
  </si>
  <si>
    <t>C172548</t>
  </si>
  <si>
    <t>ENTEROVI</t>
  </si>
  <si>
    <t>Enterovirus</t>
  </si>
  <si>
    <t>A measurement of the organisms that are not assigned to the species level but are assigned to the Enterovirus genus level in a biological specimen.</t>
  </si>
  <si>
    <t>Enterovirus Measurement</t>
  </si>
  <si>
    <t>C186154</t>
  </si>
  <si>
    <t>ENTRNA</t>
  </si>
  <si>
    <t>Enterovirus RNA</t>
  </si>
  <si>
    <t>A measurement of the RNA from any member of the genus Enterovirus in a biological specimen.</t>
  </si>
  <si>
    <t>Enterovirus RNA Measurement</t>
  </si>
  <si>
    <t>C198314</t>
  </si>
  <si>
    <t>EO157AG</t>
  </si>
  <si>
    <t>Escherichia coli O157 Antigen</t>
  </si>
  <si>
    <t>A measurement of the Escherichia coli O157 antigen in a biological specimen.</t>
  </si>
  <si>
    <t>Escherichia coli O157 Antigen Measurement</t>
  </si>
  <si>
    <t>C166037</t>
  </si>
  <si>
    <t>EO157DNA</t>
  </si>
  <si>
    <t>Escherichia coli O157 DNA</t>
  </si>
  <si>
    <t>A measurement of the Escherichia coli O157 DNA in a biological specimen.</t>
  </si>
  <si>
    <t>Escherichia coli O157 DNA Measurement</t>
  </si>
  <si>
    <t>C147149</t>
  </si>
  <si>
    <t>EOA</t>
  </si>
  <si>
    <t>Effective Orifice Area</t>
  </si>
  <si>
    <t>The calculated estimate of the area of a cardiac valve at the point of maximum opening.</t>
  </si>
  <si>
    <t>C147150</t>
  </si>
  <si>
    <t>EOAINDEX</t>
  </si>
  <si>
    <t>Effective Orifice Area Index</t>
  </si>
  <si>
    <t>The ratio of the effective orifice area (EOA) to the body surface area (BSA).</t>
  </si>
  <si>
    <t>C64550</t>
  </si>
  <si>
    <t>EOS</t>
  </si>
  <si>
    <t>Eosinophils</t>
  </si>
  <si>
    <t>A measurement of the eosinophils in a biological specimen.</t>
  </si>
  <si>
    <t>Eosinophil Count</t>
  </si>
  <si>
    <t>C114216</t>
  </si>
  <si>
    <t>EOSB</t>
  </si>
  <si>
    <t>Eosinophils Band Form</t>
  </si>
  <si>
    <t>A measurement of the banded eosinophils in a biological specimen.</t>
  </si>
  <si>
    <t>Eosinophil Band Form Count</t>
  </si>
  <si>
    <t>C114217</t>
  </si>
  <si>
    <t>EOSBLE</t>
  </si>
  <si>
    <t>Eosinophils Band Form/Leukocytes</t>
  </si>
  <si>
    <t>A relative measurement (ratio or percentage) of the banded eosinophils to leukocytes in a biological specimen.</t>
  </si>
  <si>
    <t>Eosinophil Band Form to Leukocyte Ratio</t>
  </si>
  <si>
    <t>C98720</t>
  </si>
  <si>
    <t>EOSCE</t>
  </si>
  <si>
    <t>Eosinophils/Total Cells</t>
  </si>
  <si>
    <t>A relative measurement (ratio or percentage) of the eosinophils to total cells in a biological specimen (for example a bone marrow specimen).</t>
  </si>
  <si>
    <t>Eosinophils to Total Cell Ratio Measurement</t>
  </si>
  <si>
    <t>C96673</t>
  </si>
  <si>
    <t>EOSIM</t>
  </si>
  <si>
    <t>Immature Eosinophils</t>
  </si>
  <si>
    <t>A measurement of the immature eosinophils in a biological specimen.</t>
  </si>
  <si>
    <t>Immature Eosinophil Count</t>
  </si>
  <si>
    <t>C96674</t>
  </si>
  <si>
    <t>EOSIMLE</t>
  </si>
  <si>
    <t>Immature Eosinophils/Leukocytes</t>
  </si>
  <si>
    <t>A relative measurement (ratio or percentage) of immature eosinophils to total leukocytes in a biological specimen.</t>
  </si>
  <si>
    <t>Immature Eosinophil to Leukocyte Ratio Measurement</t>
  </si>
  <si>
    <t>C64604</t>
  </si>
  <si>
    <t>EOSLE</t>
  </si>
  <si>
    <t>Eosinophils/Leukocytes</t>
  </si>
  <si>
    <t>A relative measurement (ratio or percentage) of the eosinophils to leukocytes in a biological specimen.</t>
  </si>
  <si>
    <t>Eosinophil to Leukocyte Ratio</t>
  </si>
  <si>
    <t>C84819</t>
  </si>
  <si>
    <t>EOSMM</t>
  </si>
  <si>
    <t>Eosinophilic Metamyelocytes</t>
  </si>
  <si>
    <t>A measurement of the eosinphilic metamyelocytes in a biological specimen.</t>
  </si>
  <si>
    <t>Eosinophilic Metamyelocyte Count</t>
  </si>
  <si>
    <t>C84821</t>
  </si>
  <si>
    <t>EOSMYL</t>
  </si>
  <si>
    <t>Eosinophilic Myelocytes</t>
  </si>
  <si>
    <t>A measurement of the eosinophilic myelocytes in a biological specimen.</t>
  </si>
  <si>
    <t>Eosinophilic Myelocyte Count</t>
  </si>
  <si>
    <t>C181449</t>
  </si>
  <si>
    <t>EOSMYLLY</t>
  </si>
  <si>
    <t>Eosinophilic Myelocytes/Lymphocytes</t>
  </si>
  <si>
    <t>A relative measurement (ratio or percentage) of the eosinophilic myelocytes to lymphocytes in a biological specimen (for example a bone marrow specimen).</t>
  </si>
  <si>
    <t>Eosinophilic Myelocytes to Lymphocytes Ratio Measurement</t>
  </si>
  <si>
    <t>C135411</t>
  </si>
  <si>
    <t>EOSNSQE</t>
  </si>
  <si>
    <t>Eosinophils/Non-Squam Epi Cells</t>
  </si>
  <si>
    <t>A relative measurement (ratio or percentage) of the eosinophils to non-squamous epithelial cells in a biological specimen.</t>
  </si>
  <si>
    <t>Eosinophils to Non-Squamous Epithelial Cells Ratio Measurement</t>
  </si>
  <si>
    <t>C165958</t>
  </si>
  <si>
    <t>EOSPSD</t>
  </si>
  <si>
    <t>Pseudo-Eosinophils</t>
  </si>
  <si>
    <t>A measurement of the pseudo-eosinophils in a biological specimen.</t>
  </si>
  <si>
    <t>Pseudo-Eosinophil Count</t>
  </si>
  <si>
    <t>C165959</t>
  </si>
  <si>
    <t>EOSPSDLE</t>
  </si>
  <si>
    <t>Pseudo-Eosinophils/Leukocytes</t>
  </si>
  <si>
    <t>A relative measurement (ratio or percentage) of the pseudo-eosinophils to the leukocytes in a biological specimen.</t>
  </si>
  <si>
    <t>Pseudo-Eosinophils to Leukocyte Ratio Measurement</t>
  </si>
  <si>
    <t>C135412</t>
  </si>
  <si>
    <t>EOSSG</t>
  </si>
  <si>
    <t>Eosinophils, Segmented</t>
  </si>
  <si>
    <t>A measurement of the segmented eosinophils in a biological specimen.</t>
  </si>
  <si>
    <t>Segmented Eosinophil Count</t>
  </si>
  <si>
    <t>C81952</t>
  </si>
  <si>
    <t>EOTAXIN1</t>
  </si>
  <si>
    <t>Eotaxin-1</t>
  </si>
  <si>
    <t>Chemokine Ligand 11; Eotaxin-1</t>
  </si>
  <si>
    <t>A measurement of the eotaxin-1 in a biological specimen.</t>
  </si>
  <si>
    <t>Eotaxin-1 Measurement</t>
  </si>
  <si>
    <t>C81953</t>
  </si>
  <si>
    <t>EOTAXIN2</t>
  </si>
  <si>
    <t>Eotaxin-2</t>
  </si>
  <si>
    <t>Chemokine Ligand 24; Eotaxin-2</t>
  </si>
  <si>
    <t>A measurement of the eotaxin-2 in a biological specimen.</t>
  </si>
  <si>
    <t>Eotaxin-2 Measurement</t>
  </si>
  <si>
    <t>C81954</t>
  </si>
  <si>
    <t>EOTAXIN3</t>
  </si>
  <si>
    <t>Eotaxin-3</t>
  </si>
  <si>
    <t>CCL26; Chemokine (C-C Motif) Ligand 26; Chemokine Ligand 26; Eotaxin-3</t>
  </si>
  <si>
    <t>A measurement of the eotaxin-3 in a biological specimen.</t>
  </si>
  <si>
    <t>Eotaxin-3 Measurement</t>
  </si>
  <si>
    <t>C171505</t>
  </si>
  <si>
    <t>EPDISIND</t>
  </si>
  <si>
    <t>Epi/Pandemic Related Disruption Ind</t>
  </si>
  <si>
    <t>Epi/Pandemic Related Disruption Ind; Epidemic Related Disruption Indicator</t>
  </si>
  <si>
    <t>An indication as to whether the study disruption was caused by the epidemic or pandemic.</t>
  </si>
  <si>
    <t>Epidemic or Pandemic Related Disruption Indicator</t>
  </si>
  <si>
    <t>C174296</t>
  </si>
  <si>
    <t>EPHD</t>
  </si>
  <si>
    <t>Ephedrine</t>
  </si>
  <si>
    <t>A measurement of the ephedrine in a biological specimen.</t>
  </si>
  <si>
    <t>Ephedrine Measurement</t>
  </si>
  <si>
    <t>C64605</t>
  </si>
  <si>
    <t>EPIC</t>
  </si>
  <si>
    <t>Epithelial Cells</t>
  </si>
  <si>
    <t>A measurement of the epithelial cells in a biological specimen.</t>
  </si>
  <si>
    <t>Epithelial Cell Count</t>
  </si>
  <si>
    <t>C130161</t>
  </si>
  <si>
    <t>EPICCE</t>
  </si>
  <si>
    <t>Epithelial Cells/Total Cells</t>
  </si>
  <si>
    <t>A relative measurement (ratio or percentage) of the epithelial cells to total cells in a biological specimen.</t>
  </si>
  <si>
    <t>Epithelial Cells to Total Cells Ratio Measurement</t>
  </si>
  <si>
    <t>C187801</t>
  </si>
  <si>
    <t>EPICCLMP</t>
  </si>
  <si>
    <t>Epithelial Cell Clumps</t>
  </si>
  <si>
    <t>A measurement of the epithelial cell clumps in a biological specimen.</t>
  </si>
  <si>
    <t>Epithelial Cell Clumps Measurement</t>
  </si>
  <si>
    <t>C171506</t>
  </si>
  <si>
    <t>EPIDEMIC</t>
  </si>
  <si>
    <t>Name of Epi/Pandemic</t>
  </si>
  <si>
    <t>Name of Epi/Pandemic; Name of Epidemic and/or Pandemic</t>
  </si>
  <si>
    <t>The literal identifier of the epidemic and/or pandemic.</t>
  </si>
  <si>
    <t>Name of Epidemic or Pandemic</t>
  </si>
  <si>
    <t>C178036</t>
  </si>
  <si>
    <t>EPIDMG</t>
  </si>
  <si>
    <t>Epithelial Damage</t>
  </si>
  <si>
    <t>An evaluation of epithelial damage in a biological specimen.</t>
  </si>
  <si>
    <t>Epithelial Damage Assessment</t>
  </si>
  <si>
    <t>C79445</t>
  </si>
  <si>
    <t>EPIN</t>
  </si>
  <si>
    <t>Epinephrine</t>
  </si>
  <si>
    <t>Adrenaline; Epinephrine</t>
  </si>
  <si>
    <t>A measurement of the epinephrine hormone in a biological specimen.</t>
  </si>
  <si>
    <t>Epinephrine Measurement</t>
  </si>
  <si>
    <t>C163433</t>
  </si>
  <si>
    <t>EPINEXR</t>
  </si>
  <si>
    <t>Epinephrine Excretion Rate</t>
  </si>
  <si>
    <t>A measurement of the amount of epinephrine being excreted in a biological specimen over a defined amount of time (e.g. one hour).</t>
  </si>
  <si>
    <t>C135413</t>
  </si>
  <si>
    <t>EPINSQCE</t>
  </si>
  <si>
    <t>Non-Squamous Epithelial Cells</t>
  </si>
  <si>
    <t>A measurement of the non-squamous epithelial cells in a biological specimen.</t>
  </si>
  <si>
    <t>Non-Squamous Epithelial Cell Count</t>
  </si>
  <si>
    <t>C135414</t>
  </si>
  <si>
    <t>EPINSQE</t>
  </si>
  <si>
    <t>Epi Cells/Non-Squam Epi Cells</t>
  </si>
  <si>
    <t>A relative measurement (ratio or percentage) of the epithelial cells to non-squamous epithelial cells in a biological specimen.</t>
  </si>
  <si>
    <t>Epithelial Cells to Non-Squamous Epithelial Cells Ratio Measurement</t>
  </si>
  <si>
    <t>C170595</t>
  </si>
  <si>
    <t>EPIRCE</t>
  </si>
  <si>
    <t>Renal Epithelial Cells</t>
  </si>
  <si>
    <t>A measurement of the renal epithelial cells in a biological specimen.</t>
  </si>
  <si>
    <t>Renal Epithelial Cells Measurement</t>
  </si>
  <si>
    <t>C74698</t>
  </si>
  <si>
    <t>EPIROCE</t>
  </si>
  <si>
    <t>Round Epithelial Cells</t>
  </si>
  <si>
    <t>A measurement of the round epithelial cells present in a biological specimen.</t>
  </si>
  <si>
    <t>Round Epithelial Cell Count</t>
  </si>
  <si>
    <t>C132366</t>
  </si>
  <si>
    <t>EPISCECE</t>
  </si>
  <si>
    <t>Squamous Epithelial Cells/Total Cells</t>
  </si>
  <si>
    <t>Squamous Cells/Total Cells; Squamous Epithelial Cells/Total Cells</t>
  </si>
  <si>
    <t>A relative measurement (ratio or percentage) of the squamous epithelial cells to total cells in a biological specimen.</t>
  </si>
  <si>
    <t>Squamous Epithelial Cells to Total Cells Ratio Measurement</t>
  </si>
  <si>
    <t>C74773</t>
  </si>
  <si>
    <t>EPISQCE</t>
  </si>
  <si>
    <t>Squamous Epithelial Cells</t>
  </si>
  <si>
    <t>Squamous Cells; Squamous Epithelial Cells</t>
  </si>
  <si>
    <t>A measurement of the squamous epithelial cells present in a biological specimen.</t>
  </si>
  <si>
    <t>Squamous Epithelial Cell Count</t>
  </si>
  <si>
    <t>C74774</t>
  </si>
  <si>
    <t>EPISQTCE</t>
  </si>
  <si>
    <t>Squamous Transitional Epithelial Cells</t>
  </si>
  <si>
    <t>A measurement of the squamous transitional epithelial cells present in a biological specimen.</t>
  </si>
  <si>
    <t>Squamous Transitional Epithelial Cell Count</t>
  </si>
  <si>
    <t>C92251</t>
  </si>
  <si>
    <t>EPITCE</t>
  </si>
  <si>
    <t>Transitional Epithelial Cells</t>
  </si>
  <si>
    <t>A measurement of the transitional epithelial cells present in a biological specimen.</t>
  </si>
  <si>
    <t>Transitional Epithelial Cells Measurement</t>
  </si>
  <si>
    <t>C176338</t>
  </si>
  <si>
    <t>EPITHINT</t>
  </si>
  <si>
    <t>Epithelial Integrity</t>
  </si>
  <si>
    <t>An evaluation of the integrity of the epithelium in a biological specimen.</t>
  </si>
  <si>
    <t>Epithelial Integrity Assessment</t>
  </si>
  <si>
    <t>C74775</t>
  </si>
  <si>
    <t>EPITUCE</t>
  </si>
  <si>
    <t>Tubular Epithelial Cells</t>
  </si>
  <si>
    <t>Renal Tubular Epithelial Cells; Tubular Epithelial Cells</t>
  </si>
  <si>
    <t>A measurement of the tubular epithelial cells present in a biological specimen.</t>
  </si>
  <si>
    <t>Tubular Epithelial Cell Count</t>
  </si>
  <si>
    <t>C74855</t>
  </si>
  <si>
    <t>EPO</t>
  </si>
  <si>
    <t>Erythropoietin</t>
  </si>
  <si>
    <t>Erythropoietin; Hematopoietin</t>
  </si>
  <si>
    <t>A measurement of the erythropoietin hormone in a biological specimen.</t>
  </si>
  <si>
    <t>Erythropoietin Measurement</t>
  </si>
  <si>
    <t>C163434</t>
  </si>
  <si>
    <t>EPSTI1</t>
  </si>
  <si>
    <t>Epithelial Stromal Interaction Protein 1</t>
  </si>
  <si>
    <t>BRESI1; Epithelial Stromal Interaction Protein 1</t>
  </si>
  <si>
    <t>A measurement of the epithelial stromal interaction protein 1 in a biological specimen.</t>
  </si>
  <si>
    <t>Epithelial Stromal Interaction 1 Measurement</t>
  </si>
  <si>
    <t>C204637</t>
  </si>
  <si>
    <t>ERCE</t>
  </si>
  <si>
    <t>Erythroid Cells</t>
  </si>
  <si>
    <t>A measurement of the erythroid cells in a biological specimen.</t>
  </si>
  <si>
    <t>Erythroid Cell Count</t>
  </si>
  <si>
    <t>C154719</t>
  </si>
  <si>
    <t>ERCECE</t>
  </si>
  <si>
    <t>Erythroid Cells/Total Cells</t>
  </si>
  <si>
    <t>A relative measurement (ratio or percentage) of the erythroid cells to total cells (total nucleated cells + erythrocytes + reticulocytes) in a biological specimen.</t>
  </si>
  <si>
    <t>Erythroid Cells to Total Cells Ratio Measurement</t>
  </si>
  <si>
    <t>C135415</t>
  </si>
  <si>
    <t>ERCEMIDX</t>
  </si>
  <si>
    <t>Erythroid Maturation Index</t>
  </si>
  <si>
    <t>A relative measurement (ratio) of the sum of erythroid maturation phase cells (pool) to the sum of erythroid proliferative phase cells (pool) in a biological specimen.</t>
  </si>
  <si>
    <t>C135416</t>
  </si>
  <si>
    <t>ERCEMPOL</t>
  </si>
  <si>
    <t>Erythroid Maturation Pool</t>
  </si>
  <si>
    <t>A measurement of the erythroid maturation phase cells (polychromatic rubricytes, normochromic rubricytes, and metarubricytes) in a biological specimen.</t>
  </si>
  <si>
    <t>Erythroid Maturation Pool Count</t>
  </si>
  <si>
    <t>C154720</t>
  </si>
  <si>
    <t>ERCENC</t>
  </si>
  <si>
    <t>Erythroid Cells/Nucleated Cells</t>
  </si>
  <si>
    <t>A relative measurement (ratio or percentage) of the erythroid cells to total nucleated cells in a biological specimen.</t>
  </si>
  <si>
    <t>Erythroid Cells to Nucleated Cells Ratio Measurement</t>
  </si>
  <si>
    <t>C135417</t>
  </si>
  <si>
    <t>ERCEPIDX</t>
  </si>
  <si>
    <t>Erythroid Proliferation Index</t>
  </si>
  <si>
    <t>A relative measurement (ratio) of the sum of erythroid proliferative phase cells (pool) to the sum of erythroid maturation phase cells (pool) in a biological specimen.</t>
  </si>
  <si>
    <t>C135418</t>
  </si>
  <si>
    <t>ERCEPPOL</t>
  </si>
  <si>
    <t>Erythroid Proliferation Pool</t>
  </si>
  <si>
    <t>A measurement of the erythroid proliferative phase cells (rubriblasts, prorubricytes, and basophilic rubricytes) in a biological specimen.</t>
  </si>
  <si>
    <t>Erythroid Proliferation Pool Count</t>
  </si>
  <si>
    <t>C204671</t>
  </si>
  <si>
    <t>ERCEPRLF</t>
  </si>
  <si>
    <t>Erythroid Proliferation</t>
  </si>
  <si>
    <t>Erythroid Cell Proliferation; Erythroid Proliferation</t>
  </si>
  <si>
    <t>An evaluation of erythroid lineage cell proliferation in a biological specimen.</t>
  </si>
  <si>
    <t>Erythroid Proliferation Measurement</t>
  </si>
  <si>
    <t>C199891</t>
  </si>
  <si>
    <t>EREG</t>
  </si>
  <si>
    <t>Epiregulin</t>
  </si>
  <si>
    <t>Epiregulin; EPR</t>
  </si>
  <si>
    <t>A measurement of the epiregulin in a biological specimen.</t>
  </si>
  <si>
    <t>Epiregulin Measurement</t>
  </si>
  <si>
    <t>C186047</t>
  </si>
  <si>
    <t>ERFE</t>
  </si>
  <si>
    <t>Erythroferrone</t>
  </si>
  <si>
    <t>A measurement of the erythroferrone in a biological specimen.</t>
  </si>
  <si>
    <t>Erythroferrone Measurement</t>
  </si>
  <si>
    <t>C139057</t>
  </si>
  <si>
    <t>ERGJIND</t>
  </si>
  <si>
    <t>Eccentric Regurgitant Jet Indicator</t>
  </si>
  <si>
    <t>An indication as to whether an eccentric regurgitant jet direction is present.</t>
  </si>
  <si>
    <t>C105449</t>
  </si>
  <si>
    <t>ERINT</t>
  </si>
  <si>
    <t>Excret Rate from T1 to T2</t>
  </si>
  <si>
    <t>The excretion rate over the interval from T1 to T2, determined for the specimen type specified in PPSPEC.</t>
  </si>
  <si>
    <t>Excretion Rate From T1 to T2</t>
  </si>
  <si>
    <t>C105450</t>
  </si>
  <si>
    <t>ERINTB</t>
  </si>
  <si>
    <t>Excret Rate from T1 to T2 Norm by BMI</t>
  </si>
  <si>
    <t>The excretion rate over the interval from T1 to T2 divided by the body mass index, determined for the specimen type specified in PPSPEC.</t>
  </si>
  <si>
    <t>Excretion Rate From T1 to T2 Normalized by BMI</t>
  </si>
  <si>
    <t>C105451</t>
  </si>
  <si>
    <t>ERINTD</t>
  </si>
  <si>
    <t>Excret Rate from T1 to T2 Norm by Dose</t>
  </si>
  <si>
    <t>The excretion rate over the interval from T1 to T2 divided by the dose, determined for the specimen type specified in PPSPEC.</t>
  </si>
  <si>
    <t>Excretion Rate From T1 to T2 Normalized by Dose</t>
  </si>
  <si>
    <t>C105452</t>
  </si>
  <si>
    <t>ERINTS</t>
  </si>
  <si>
    <t>Excret Rate from T1 to T2 Norm by SA</t>
  </si>
  <si>
    <t>The excretion rate over the interval from T1 to T2 divided by the surface area, determined for the specimen type specified in PPSPEC.</t>
  </si>
  <si>
    <t>Excretion Rate From T1 to T2 Normalized by SA</t>
  </si>
  <si>
    <t>C105453</t>
  </si>
  <si>
    <t>ERINTW</t>
  </si>
  <si>
    <t>Excret Rate from T1 to T2 Norm by WT</t>
  </si>
  <si>
    <t>The excretion rate over the interval from T1 to T2 divided by the weight, determined for the specimen type specified in PPSPEC.</t>
  </si>
  <si>
    <t>Excretion Rate From T1 to T2 Normalized by WT</t>
  </si>
  <si>
    <t>C156547</t>
  </si>
  <si>
    <t>ERLIERLT</t>
  </si>
  <si>
    <t>Epi RBM Lngth, Intact/Epi RBM Lngth, Tot</t>
  </si>
  <si>
    <t>Epi RBM Lngth, Intact/Epi RBM Lngth, Tot; Epithelial RBM Length, Intact/Epithelial RBM Length, Total</t>
  </si>
  <si>
    <t>A relative measurement (ratio or percentage) of the intact epithelial reticular basement membrane length to the total epithelial reticular basement membrane length in a biological specimen.</t>
  </si>
  <si>
    <t>Intact Epithelial Reticular Basement Membrane Length to Total Epithelial Reticular Basement Membrane Length Ratio Measurement</t>
  </si>
  <si>
    <t>C85656</t>
  </si>
  <si>
    <t>ERLST</t>
  </si>
  <si>
    <t>Last Meas Excretion Rate</t>
  </si>
  <si>
    <t>The last measurable (positive) excretion rate determined for the specimen type specified in PPSPEC.</t>
  </si>
  <si>
    <t>Last Measurable Observed Excretion Rate</t>
  </si>
  <si>
    <t>C92391</t>
  </si>
  <si>
    <t>ERLSTB</t>
  </si>
  <si>
    <t>Last Meas Excretion Rate Norm by BMI</t>
  </si>
  <si>
    <t>The last measurable (positive) excretion rate divided by the body mass index.</t>
  </si>
  <si>
    <t>Last Measurable Excretion Rate Normalized by Body Mass Index</t>
  </si>
  <si>
    <t>C92392</t>
  </si>
  <si>
    <t>ERLSTD</t>
  </si>
  <si>
    <t>Last Meas Excretion Rate Norm by Dose</t>
  </si>
  <si>
    <t>The last measurable (positive) excretion rate divided by the dose.</t>
  </si>
  <si>
    <t>Last Measurable Excretion Rate Normalized by Dose</t>
  </si>
  <si>
    <t>C92393</t>
  </si>
  <si>
    <t>ERLSTS</t>
  </si>
  <si>
    <t>Last Meas Excretion Rate Norm by SA</t>
  </si>
  <si>
    <t>The last measurable (positive) excretion rate divided by the surface area.</t>
  </si>
  <si>
    <t>Last Measurable Excretion Rate Normalized by Surface Area</t>
  </si>
  <si>
    <t>C92394</t>
  </si>
  <si>
    <t>ERLSTW</t>
  </si>
  <si>
    <t>Last Meas Excretion Rate Norm by WT</t>
  </si>
  <si>
    <t>The last measurable (positive) excretion rate divided by the weight.</t>
  </si>
  <si>
    <t>Last Measurable Excretion Rate Normalized by Weight</t>
  </si>
  <si>
    <t>C122189</t>
  </si>
  <si>
    <t>ERLYTRMN</t>
  </si>
  <si>
    <t>Number of Early Term Births</t>
  </si>
  <si>
    <t>A measurement of the total number of birth events at which the gestational age of the neonate is 37 weeks and 0 days through 38 weeks and 6 days.</t>
  </si>
  <si>
    <t>C85699</t>
  </si>
  <si>
    <t>ERMAX</t>
  </si>
  <si>
    <t>Max Excretion Rate</t>
  </si>
  <si>
    <t>The maximum excretion rate determined for the specimen type specified in PPSPEC.</t>
  </si>
  <si>
    <t>Maximum Observed Excretion Rate</t>
  </si>
  <si>
    <t>C92395</t>
  </si>
  <si>
    <t>ERMAXB</t>
  </si>
  <si>
    <t>Max Excretion Rate Norm by BMI</t>
  </si>
  <si>
    <t>The maximum excretion rate divided by the body mass index.</t>
  </si>
  <si>
    <t>Maximum Observed Excretion Rate Normalized by Body Mass Index</t>
  </si>
  <si>
    <t>C92396</t>
  </si>
  <si>
    <t>ERMAXD</t>
  </si>
  <si>
    <t>Max Excretion Rate Norm by Dose</t>
  </si>
  <si>
    <t>The maximum excretion rate divided by the dose.</t>
  </si>
  <si>
    <t>Maximum Observed Excretion Rate Normalized by Dose</t>
  </si>
  <si>
    <t>C92397</t>
  </si>
  <si>
    <t>ERMAXS</t>
  </si>
  <si>
    <t>Max Excretion Rate Norm by SA</t>
  </si>
  <si>
    <t>The maximum excretion rate divided by the surface area.</t>
  </si>
  <si>
    <t>Maximum Observed Excretion Rate Normalized by Surface Area</t>
  </si>
  <si>
    <t>C92398</t>
  </si>
  <si>
    <t>ERMAXW</t>
  </si>
  <si>
    <t>Max Excretion Rate Norm by WT</t>
  </si>
  <si>
    <t>The maximum excretion rate divided by the weight.</t>
  </si>
  <si>
    <t>Maximum Observed Excretion Rate Normalized by Weight</t>
  </si>
  <si>
    <t>C178045</t>
  </si>
  <si>
    <t>EROULC</t>
  </si>
  <si>
    <t>Erosion and/or Ulceration</t>
  </si>
  <si>
    <t>An evaluation of the erosion and/or ulceration in a biological specimen.</t>
  </si>
  <si>
    <t>Erosion and/or Ulceration Assessment</t>
  </si>
  <si>
    <t>C187802</t>
  </si>
  <si>
    <t>ERPCE</t>
  </si>
  <si>
    <t>Erythroid Precursor Cells</t>
  </si>
  <si>
    <t>Erythroid Precursor Cells; Erythroid Precursors</t>
  </si>
  <si>
    <t>A measurement of the erythroid precursors in a biological specimen.</t>
  </si>
  <si>
    <t>Erythroid Precursor Cell Count</t>
  </si>
  <si>
    <t>C187803</t>
  </si>
  <si>
    <t>ERPCECE</t>
  </si>
  <si>
    <t>Erythroid Precursor Cells/Total Cells</t>
  </si>
  <si>
    <t>Erythroid Precursor Cells/Total Cells; Erythroid Precursors/Total Cells</t>
  </si>
  <si>
    <t>A relative measurement (ratio or percentage) of the erythroid precursors to total cells in a biological specimen.</t>
  </si>
  <si>
    <t>Erythroid Precursor Cells to Total Cells Ratio Measurement</t>
  </si>
  <si>
    <t>C85580</t>
  </si>
  <si>
    <t>ERTLST</t>
  </si>
  <si>
    <t>Midpoint of Interval of Last Nonzero ER</t>
  </si>
  <si>
    <t>The midpoint of collection interval associated with last measurable excretion rate.</t>
  </si>
  <si>
    <t>Collection Interval Midpoint</t>
  </si>
  <si>
    <t>C85823</t>
  </si>
  <si>
    <t>ERTMAX</t>
  </si>
  <si>
    <t>Midpoint of Interval of Maximum ER</t>
  </si>
  <si>
    <t>The midpoint of collection interval associated with the maximum excretion rate.</t>
  </si>
  <si>
    <t>Time of Maximum Observed Excretion Rate</t>
  </si>
  <si>
    <t>C111200</t>
  </si>
  <si>
    <t>ERV</t>
  </si>
  <si>
    <t>Expiratory Reserve Volume</t>
  </si>
  <si>
    <t>The maximum volume of air a subject can exhale from the lungs after a tidal exhalation.</t>
  </si>
  <si>
    <t>C112375</t>
  </si>
  <si>
    <t>ERVPP</t>
  </si>
  <si>
    <t>Percent Predicted ERV</t>
  </si>
  <si>
    <t>The maximum volume of air a subject can exhale from the lungs after a tidal exhalation as a proportion of the predicted normal value.</t>
  </si>
  <si>
    <t>Percent Predicted Expiratory Reserve Volume</t>
  </si>
  <si>
    <t>C154877</t>
  </si>
  <si>
    <t>ERYTHIND</t>
  </si>
  <si>
    <t>Erythema Indicator</t>
  </si>
  <si>
    <t>Erythema Indicator; Redness Indicator</t>
  </si>
  <si>
    <t>An indication as to whether erythema is present.</t>
  </si>
  <si>
    <t>C187804</t>
  </si>
  <si>
    <t>ESCTLPRM</t>
  </si>
  <si>
    <t>Escitalopram</t>
  </si>
  <si>
    <t>A measurement of the escitalopram in a biological specimen.</t>
  </si>
  <si>
    <t>Escitalopram Measurement</t>
  </si>
  <si>
    <t>C154736</t>
  </si>
  <si>
    <t>ESELECT</t>
  </si>
  <si>
    <t>E-Selectin</t>
  </si>
  <si>
    <t>A measurement of total E-selectin in a biological specimen.</t>
  </si>
  <si>
    <t>E-selectin Measurement</t>
  </si>
  <si>
    <t>C119273</t>
  </si>
  <si>
    <t>ESELS</t>
  </si>
  <si>
    <t>Soluble E-Selectin</t>
  </si>
  <si>
    <t>sE-selectin; Soluble E-Selectin</t>
  </si>
  <si>
    <t>A measurement of the soluble E-Selectin in a biological specimen.</t>
  </si>
  <si>
    <t>Soluble E-Selectin Measurement</t>
  </si>
  <si>
    <t>C74611</t>
  </si>
  <si>
    <t>ESR</t>
  </si>
  <si>
    <t>Erythrocyte Sedimentation Rate</t>
  </si>
  <si>
    <t>Biernacki Reaction; Erythrocyte Sedimentation Rate</t>
  </si>
  <si>
    <t>The distance (e.g. millimeters) that red blood cells settle in unclotted blood over a specified unit of time (e.g. one hour).</t>
  </si>
  <si>
    <t>Erythrocyte Sedimentation Rate Measurement</t>
  </si>
  <si>
    <t>C184615</t>
  </si>
  <si>
    <t>ESTAZLM</t>
  </si>
  <si>
    <t>Estazolam</t>
  </si>
  <si>
    <t>A measurement of the estazolam in a biological specimen.</t>
  </si>
  <si>
    <t>Estazolam Measurement</t>
  </si>
  <si>
    <t>C150842</t>
  </si>
  <si>
    <t>ESTFR</t>
  </si>
  <si>
    <t>Estradiol, Free</t>
  </si>
  <si>
    <t>A measurement of the unbound estradiol in a biological specimen.</t>
  </si>
  <si>
    <t>Free Estradiol Measurement</t>
  </si>
  <si>
    <t>C150843</t>
  </si>
  <si>
    <t>ESTFREST</t>
  </si>
  <si>
    <t>Estradiol, Free/Estradiol</t>
  </si>
  <si>
    <t>A relative measurement (ratio or percentage) of unbound estradiol to total estradiol in a biological specimen.</t>
  </si>
  <si>
    <t>Free Estradiol to Estradiol Ratio Measurement</t>
  </si>
  <si>
    <t>C112274</t>
  </si>
  <si>
    <t>ESTRCPT</t>
  </si>
  <si>
    <t>Estrogen Receptor</t>
  </si>
  <si>
    <t>ER; ESR; Estrogen Receptor; Oestrogen Receptor</t>
  </si>
  <si>
    <t>A measurement of estrogen receptor protein in a biological specimen.</t>
  </si>
  <si>
    <t>Estrogen Receptor Measurement</t>
  </si>
  <si>
    <t>C74782</t>
  </si>
  <si>
    <t>ESTRDIOL</t>
  </si>
  <si>
    <t>Estradiol</t>
  </si>
  <si>
    <t>Estradiol; Oestradiol</t>
  </si>
  <si>
    <t>A measurement of the estradiol in a biological specimen.</t>
  </si>
  <si>
    <t>Estradiol Measurement</t>
  </si>
  <si>
    <t>C74856</t>
  </si>
  <si>
    <t>ESTRIOL</t>
  </si>
  <si>
    <t>Estriol</t>
  </si>
  <si>
    <t>Estriol; Oestriol</t>
  </si>
  <si>
    <t>A measurement of the estriol hormone in a biological specimen.</t>
  </si>
  <si>
    <t>Estriol Measurement</t>
  </si>
  <si>
    <t>C81963</t>
  </si>
  <si>
    <t>ESTRIOLF</t>
  </si>
  <si>
    <t>Estriol, Free</t>
  </si>
  <si>
    <t>Estriol, Free; Unconjugated Estriol</t>
  </si>
  <si>
    <t>A measurement of the free estriol in a biological specimen.</t>
  </si>
  <si>
    <t>Free Estriol Measurement</t>
  </si>
  <si>
    <t>C147335</t>
  </si>
  <si>
    <t>ESTROGEN</t>
  </si>
  <si>
    <t>Estrogen</t>
  </si>
  <si>
    <t>Estrogen; Oestrogen</t>
  </si>
  <si>
    <t>A measurement of the estrogen hormone in a biological specimen.</t>
  </si>
  <si>
    <t>Estrogen Measurement</t>
  </si>
  <si>
    <t>C74857</t>
  </si>
  <si>
    <t>ESTRONE</t>
  </si>
  <si>
    <t>Estrone</t>
  </si>
  <si>
    <t>Estrone; Oestrone</t>
  </si>
  <si>
    <t>A measurement of the estrone hormone in a biological specimen.</t>
  </si>
  <si>
    <t>Estrone Measurement</t>
  </si>
  <si>
    <t>C135373</t>
  </si>
  <si>
    <t>ESV</t>
  </si>
  <si>
    <t>End Systolic Volume</t>
  </si>
  <si>
    <t>End Systolic Blood Volume; End Systolic Volume</t>
  </si>
  <si>
    <t>The volume of blood remaining in the ventricle or atrium at end systole.</t>
  </si>
  <si>
    <t>C170584</t>
  </si>
  <si>
    <t>ETG</t>
  </si>
  <si>
    <t>Ethyl Glucuronide</t>
  </si>
  <si>
    <t>A measurement of the ethyl glucuronide in a biological specimen.</t>
  </si>
  <si>
    <t>Ethyl Glucuronide Measurement</t>
  </si>
  <si>
    <t>C170583</t>
  </si>
  <si>
    <t>ETGETS</t>
  </si>
  <si>
    <t>Ethyl Glucuronide Ethyl Sulfate</t>
  </si>
  <si>
    <t>A measurement of the ethyl glucuronide and/or ethyl sulfate in a biological specimen.</t>
  </si>
  <si>
    <t>Ethyl Glucuronide And Ethyl Sulfate Measurement</t>
  </si>
  <si>
    <t>C74693</t>
  </si>
  <si>
    <t>ETHANOL</t>
  </si>
  <si>
    <t>Ethanol</t>
  </si>
  <si>
    <t>Alcohol; Ethanol</t>
  </si>
  <si>
    <t>A measurement of the ethanol present in a biological specimen.</t>
  </si>
  <si>
    <t>Ethanol Measurement</t>
  </si>
  <si>
    <t>C184616</t>
  </si>
  <si>
    <t>ETHCHVNL</t>
  </si>
  <si>
    <t>Ethchlorvynol</t>
  </si>
  <si>
    <t>A measurement of the ethchlorvynol in a biological specimen.</t>
  </si>
  <si>
    <t>Ethchlorvynol Measurement</t>
  </si>
  <si>
    <t>C184584</t>
  </si>
  <si>
    <t>ETHESTNL</t>
  </si>
  <si>
    <t>Ethylestrenol</t>
  </si>
  <si>
    <t>A measurement of the ethylestrenol in a biological specimen.</t>
  </si>
  <si>
    <t>Ethylestrenol Measurement</t>
  </si>
  <si>
    <t>C184617</t>
  </si>
  <si>
    <t>ETHNMATE</t>
  </si>
  <si>
    <t>Ethinamate</t>
  </si>
  <si>
    <t>A measurement of the ethinamate in a biological specimen.</t>
  </si>
  <si>
    <t>Ethinamate Measurement</t>
  </si>
  <si>
    <t>C102266</t>
  </si>
  <si>
    <t>ETP</t>
  </si>
  <si>
    <t>Endogenous Thrombin Potential</t>
  </si>
  <si>
    <t>A measurement of the total concentration of thrombin generated in the presence of a substrate in a plasma or blood sample.</t>
  </si>
  <si>
    <t>Endogenous Thrombin Potential Measurement</t>
  </si>
  <si>
    <t>C102263</t>
  </si>
  <si>
    <t>ETPAUC</t>
  </si>
  <si>
    <t>ETP Area Under Curve</t>
  </si>
  <si>
    <t>Endogenous Thrombin Potential Area Under Curve; ETP Area Under Curve</t>
  </si>
  <si>
    <t>A measurement of the area under the thrombin generation curve.</t>
  </si>
  <si>
    <t>Endogenous Thrombin Potential Area Under Curve Measurement</t>
  </si>
  <si>
    <t>C102264</t>
  </si>
  <si>
    <t>ETPLT</t>
  </si>
  <si>
    <t>ETP Lag Time</t>
  </si>
  <si>
    <t>Endogenous Thrombin Potential Lag Time; ETP Lag Time</t>
  </si>
  <si>
    <t>A measurement of time from the start of the thrombin generation test to the point where a predetermined amount of thrombin is generated.</t>
  </si>
  <si>
    <t>Endogenous Thrombin Potential Lag Time Measurement</t>
  </si>
  <si>
    <t>C102265</t>
  </si>
  <si>
    <t>ETPLTR</t>
  </si>
  <si>
    <t>ETP Lag Time Relative</t>
  </si>
  <si>
    <t>Endogenous Thrombin Potential Lag Time Relative; ETP Lag Time Relative</t>
  </si>
  <si>
    <t>A relative measurement (ratio or percentage) of time from the start of the thrombin generation test to the point where a predetermined amount of thrombin is generated.</t>
  </si>
  <si>
    <t>Endogenous Thrombin Potential Lag Time Relative Measurement</t>
  </si>
  <si>
    <t>C102267</t>
  </si>
  <si>
    <t>ETPPH</t>
  </si>
  <si>
    <t>ETP Peak Height</t>
  </si>
  <si>
    <t>Endogenous Thrombin Potential Peak Height; ETP Peak Height</t>
  </si>
  <si>
    <t>A measurement of the maximum concentration of thrombin generated during a thrombin generation test.</t>
  </si>
  <si>
    <t>Endogenous Thrombin Potential Peak Height Measurement</t>
  </si>
  <si>
    <t>C102268</t>
  </si>
  <si>
    <t>ETPPHR</t>
  </si>
  <si>
    <t>ETP Peak Height Relative</t>
  </si>
  <si>
    <t>Endogenous Thrombin Potential Peak Height Relative; ETP Peak Height Relative</t>
  </si>
  <si>
    <t>A relative (ratio or percentage) of the maximum concentration of thrombin generated during a thrombin generation test.</t>
  </si>
  <si>
    <t>Endogenous Thrombin Potential Peak Height Relative Measurement</t>
  </si>
  <si>
    <t>C102269</t>
  </si>
  <si>
    <t>ETPTP</t>
  </si>
  <si>
    <t>ETP Time to Peak</t>
  </si>
  <si>
    <t>Endogenous Thrombin Potential Time to Peak; ETP Time to Peak</t>
  </si>
  <si>
    <t>A measurement of the time it takes to generate the maximum concentration of thrombin.</t>
  </si>
  <si>
    <t>Endogenous Thrombin Potential Time to Peak Measurement</t>
  </si>
  <si>
    <t>C102270</t>
  </si>
  <si>
    <t>ETPTPR</t>
  </si>
  <si>
    <t>ETP Time to Peak Relative</t>
  </si>
  <si>
    <t>Endogenous Thrombin Potential Time to Peak Relative; ETP Time to Peak Relative</t>
  </si>
  <si>
    <t>A relative (ratio or percentage) measurement of the time it takes to generate the maximum concentration of thrombin.</t>
  </si>
  <si>
    <t>Endogenous Thrombin Potential Time to Peak Relative Measurement</t>
  </si>
  <si>
    <t>C170585</t>
  </si>
  <si>
    <t>ETS</t>
  </si>
  <si>
    <t>Ethyl Sulfate</t>
  </si>
  <si>
    <t>A measurement of the ethyl sulfate in a biological specimen.</t>
  </si>
  <si>
    <t>Ethyl Sulfate Measurement</t>
  </si>
  <si>
    <t>C176304</t>
  </si>
  <si>
    <t>EUDCA</t>
  </si>
  <si>
    <t>Epimerized Ursodeoxycholate</t>
  </si>
  <si>
    <t>Epimerized Ursodeoxycholate; Epimerized Ursodeoxycholic Acid</t>
  </si>
  <si>
    <t>A measurement of the epimerized ursodeoxycholate in a biological specimen.</t>
  </si>
  <si>
    <t>Epimerized Ursodeoxycholate Measurement</t>
  </si>
  <si>
    <t>C126060</t>
  </si>
  <si>
    <t>EURSBIND</t>
  </si>
  <si>
    <t>EudraCT Resubmission Indicator</t>
  </si>
  <si>
    <t>An indication as to whether the trial being submitted to the EudraCT is a trial that has been previously submitted to the EudraCT system.</t>
  </si>
  <si>
    <t>C139243</t>
  </si>
  <si>
    <t>EV_05FVC</t>
  </si>
  <si>
    <t>Forced Expiratory Volume in 0.05 S/FVC</t>
  </si>
  <si>
    <t>Forced Expiratory Volume in 0.05 S/FVC; Forced Expiratory Volume in 0.05 Seconds over FVC</t>
  </si>
  <si>
    <t>The ratio of the volume of gas that is forcibly exhaled during the first 0.05 seconds following maximal inhalation to that of the forced vital capacity.</t>
  </si>
  <si>
    <t>Forced Expiratory Volume in 0.05 Second to FVC Ratio Measurement</t>
  </si>
  <si>
    <t>C139244</t>
  </si>
  <si>
    <t>EV_1FVC</t>
  </si>
  <si>
    <t>Forced Expiratory Volume in 0.1 S/FVC</t>
  </si>
  <si>
    <t>Forced Expiratory Volume in 0.1 S/FVC; Forced Expiratory Volume in 0.1 Seconds over FVC</t>
  </si>
  <si>
    <t>The ratio of the volume of gas that is forcibly exhaled during the first 0.1 seconds following maximal inhalation to that of the forced vital capacity.</t>
  </si>
  <si>
    <t>Forced Expiratory Volume in 0.1 Second to FVC Ratio Measurement</t>
  </si>
  <si>
    <t>C139245</t>
  </si>
  <si>
    <t>EV_2FVC</t>
  </si>
  <si>
    <t>Forced Expiratory Volume in 0.2 S/FVC</t>
  </si>
  <si>
    <t>Forced Expiratory Volume in 0.2 S/FVC; Forced Expiratory Volume in 0.2 Seconds over FVC</t>
  </si>
  <si>
    <t>The ratio of the volume of gas that is forcibly exhaled during the first 0.2 seconds following maximal inhalation to that of the forced vital capacity.</t>
  </si>
  <si>
    <t>Forced Expiratory Volume in 0.2 Second to FVC Ratio Measurement</t>
  </si>
  <si>
    <t>C147484</t>
  </si>
  <si>
    <t>EVC</t>
  </si>
  <si>
    <t>Expiratory Vital Capacity</t>
  </si>
  <si>
    <t>The maximum volume of air an individual can exhale from the point of maximal inhalation.</t>
  </si>
  <si>
    <t>C199984</t>
  </si>
  <si>
    <t>EVCPP</t>
  </si>
  <si>
    <t>Percent Predicted EVC</t>
  </si>
  <si>
    <t>The maximum volume of air an individual can exhale from the point of maximal inhalation as a percentage of the predicted normal value.</t>
  </si>
  <si>
    <t>Percent Predicted Expiratory Vital Capacity</t>
  </si>
  <si>
    <t>C126061</t>
  </si>
  <si>
    <t>EVSNDID</t>
  </si>
  <si>
    <t>EudraVigilance Sender ID</t>
  </si>
  <si>
    <t>A unique identifier assigned to the organization that is transmitting an adverse drug reaction report to the EudraVigilance system.</t>
  </si>
  <si>
    <t>EudraVigilance Sender Identifier</t>
  </si>
  <si>
    <t>C126090</t>
  </si>
  <si>
    <t>EVSNDORG</t>
  </si>
  <si>
    <t>EudraVigilance Sender Organization</t>
  </si>
  <si>
    <t>The name of the group or institution that is transmitting an adverse drug reaction report to the EudraVigilance system.</t>
  </si>
  <si>
    <t>C132482</t>
  </si>
  <si>
    <t>EWEIGHT</t>
  </si>
  <si>
    <t>Estimated Weight</t>
  </si>
  <si>
    <t>Estimated Body Weight; Estimated Weight</t>
  </si>
  <si>
    <t>An approximate determination of the body weight of the subject.</t>
  </si>
  <si>
    <t>Estimated Body Weight</t>
  </si>
  <si>
    <t>C127792</t>
  </si>
  <si>
    <t>EXPARECN</t>
  </si>
  <si>
    <t>Expanded Access Record NCT Number</t>
  </si>
  <si>
    <t>The unique alphanumeric identifier for the study with associated expanded access record, as assigned by the clinicaltrials.gov protocol registration and results system (PRS).</t>
  </si>
  <si>
    <t>Clinicaltrials.gov NCT Number for the Expanded Access Record</t>
  </si>
  <si>
    <t>C127793</t>
  </si>
  <si>
    <t>EXPASTAT</t>
  </si>
  <si>
    <t>Expanded Access Status</t>
  </si>
  <si>
    <t>Status indicating availability of an experimental drug or device outside any clinical trial protocol. (clinicaltrials.gov)</t>
  </si>
  <si>
    <t>Trial Expanded Access Status</t>
  </si>
  <si>
    <t>C202343</t>
  </si>
  <si>
    <t>EXPREAMT</t>
  </si>
  <si>
    <t>Expected Remaining Amount</t>
  </si>
  <si>
    <t>The quantity of a product that is expected to remain after dosing, consumption, or use.</t>
  </si>
  <si>
    <t>C120931</t>
  </si>
  <si>
    <t>EXPRELTM</t>
  </si>
  <si>
    <t>Expiration Relaxation Time</t>
  </si>
  <si>
    <t>The time required to exhale 63.2% of the total expiratory volume, as measured from the start of exhalation.</t>
  </si>
  <si>
    <t>C139274</t>
  </si>
  <si>
    <t>EXTTIND</t>
  </si>
  <si>
    <t>Extension Trial Indicator</t>
  </si>
  <si>
    <t>An indication as to whether the clinical trial is an extension trial.</t>
  </si>
  <si>
    <t>C147474</t>
  </si>
  <si>
    <t>EYDCOMGR</t>
  </si>
  <si>
    <t>Eye Drop Comfort Grade</t>
  </si>
  <si>
    <t>The position on a scale to assess the degree of comfort associated with the administration of an eye drop.</t>
  </si>
  <si>
    <t>C184640</t>
  </si>
  <si>
    <t>EZOGABIN</t>
  </si>
  <si>
    <t>Ezogabine</t>
  </si>
  <si>
    <t>A measurement of the ezogabine in a biological specimen.</t>
  </si>
  <si>
    <t>Ezogabine Measurement</t>
  </si>
  <si>
    <t>C82012</t>
  </si>
  <si>
    <t>FABP1</t>
  </si>
  <si>
    <t>Fatty Acid Binding Protein 1</t>
  </si>
  <si>
    <t>FABP1; Fatty Acid Binding Protein 1; L-FABP; L-Type Fatty Acid-Binding Protein; Liver Fatty Acid-Binding Protein</t>
  </si>
  <si>
    <t>A measurement of the fatty acid binding protein 1 in a biological specimen.</t>
  </si>
  <si>
    <t>Fatty Acid Binding Protein 1 Measurement</t>
  </si>
  <si>
    <t>C106521</t>
  </si>
  <si>
    <t>FABP3</t>
  </si>
  <si>
    <t>Fatty Acid Binding Protein 3</t>
  </si>
  <si>
    <t>FABP-11; Fatty Acid Binding Protein 3; Fatty Acid Binding Protein 3, Muscle And Heart; Fatty Acid Binding Protein, Heart; H-FABP; Heart-Type Fatty Acid-Binding Protein; M-FABP</t>
  </si>
  <si>
    <t>A measurement of the fatty acid binding protein 3 in a biological specimen.</t>
  </si>
  <si>
    <t>Fatty Acid Binding Protein 3 Measurement</t>
  </si>
  <si>
    <t>C199922</t>
  </si>
  <si>
    <t>FABP4</t>
  </si>
  <si>
    <t>Fatty Acid Binding Protein 4</t>
  </si>
  <si>
    <t>A-FABP; Adipocyte-Type Fatty Acid-Binding Protein; Fatty Acid Binding Protein 4; Fatty Acid-Binding Protein, Adipocyte</t>
  </si>
  <si>
    <t>A measurement of the fatty acid binding protein 4 in a biological specimen.</t>
  </si>
  <si>
    <t>Fatty Acid Binding Protein 4 Measurement</t>
  </si>
  <si>
    <t>C154838</t>
  </si>
  <si>
    <t>FABS</t>
  </si>
  <si>
    <t>Absolute Bioavailability</t>
  </si>
  <si>
    <t>The fraction of the treatment dose that reaches the systemic circulation; this is the ratio of the amount of drug in the system (area under the curve) after extravascular administration of a test formulation divided by the drug in the system (area under t</t>
  </si>
  <si>
    <t>C142241</t>
  </si>
  <si>
    <t>FAC</t>
  </si>
  <si>
    <t>Fractional Area Change</t>
  </si>
  <si>
    <t>The percent reduction in the area of a given structure with the following formula: (EDA-ESA)/EDA times 100, where EDA is end diastolic area and ESA is end systolic area.</t>
  </si>
  <si>
    <t>C221672</t>
  </si>
  <si>
    <t>FACSYM</t>
  </si>
  <si>
    <t>Facial Symmetry</t>
  </si>
  <si>
    <t>An assessment of visual balance and proportion between opposing structures in the face.</t>
  </si>
  <si>
    <t>Facial Symmetry Assessment</t>
  </si>
  <si>
    <t>C96626</t>
  </si>
  <si>
    <t>FACTII</t>
  </si>
  <si>
    <t>Factor II</t>
  </si>
  <si>
    <t>Factor II; Prothrombin</t>
  </si>
  <si>
    <t>A measurement of the coagulation factor II in a biological specimen.</t>
  </si>
  <si>
    <t>Prothrombin Measurement</t>
  </si>
  <si>
    <t>C81959</t>
  </si>
  <si>
    <t>FACTIII</t>
  </si>
  <si>
    <t>Factor III</t>
  </si>
  <si>
    <t>Factor III; Soluble CD142; Tissue Factor, CD142</t>
  </si>
  <si>
    <t>A measurement of the coagulation factor III in a biological specimen.</t>
  </si>
  <si>
    <t>Factor III Measurement</t>
  </si>
  <si>
    <t>C98725</t>
  </si>
  <si>
    <t>FACTIX</t>
  </si>
  <si>
    <t>Factor IX</t>
  </si>
  <si>
    <t>Christmas Factor; Factor IX</t>
  </si>
  <si>
    <t>A measurement of the coagulation factor IX in a biological specimen.</t>
  </si>
  <si>
    <t>Factor IX Measurement</t>
  </si>
  <si>
    <t>C103395</t>
  </si>
  <si>
    <t>FACTIXA</t>
  </si>
  <si>
    <t>Factor IX Activity</t>
  </si>
  <si>
    <t>Christmas Factor Activity; Factor IX Activity</t>
  </si>
  <si>
    <t>A measurement of the biological activity of coagulation factor IX in a biological specimen.</t>
  </si>
  <si>
    <t>Factor IX Activity Measurement</t>
  </si>
  <si>
    <t>C98726</t>
  </si>
  <si>
    <t>FACTV</t>
  </si>
  <si>
    <t>Factor V</t>
  </si>
  <si>
    <t>Factor V; Labile Factor</t>
  </si>
  <si>
    <t>A measurement of the coagulation factor V in a biological specimen.</t>
  </si>
  <si>
    <t>Factor V Measurement</t>
  </si>
  <si>
    <t>C103396</t>
  </si>
  <si>
    <t>FACTVA</t>
  </si>
  <si>
    <t>Factor V Activity</t>
  </si>
  <si>
    <t>Factor V Activity; Labile Factor Activity</t>
  </si>
  <si>
    <t>A measurement of the biological activity of coagulation factor V in a biological specimen.</t>
  </si>
  <si>
    <t>Factor V Activity Measurement</t>
  </si>
  <si>
    <t>C81960</t>
  </si>
  <si>
    <t>FACTVII</t>
  </si>
  <si>
    <t>Factor VII</t>
  </si>
  <si>
    <t>Factor VII; Proconvertin; Stable Factor</t>
  </si>
  <si>
    <t>A measurement of the coagulation factor VII in a biological specimen.</t>
  </si>
  <si>
    <t>Factor VII Measurement</t>
  </si>
  <si>
    <t>C103397</t>
  </si>
  <si>
    <t>FACTVIIA</t>
  </si>
  <si>
    <t>Factor VII Activity</t>
  </si>
  <si>
    <t>Factor VII Activity; Proconvertin Activity; Stable Factor Activity</t>
  </si>
  <si>
    <t>A measurement of the biological activity of coagulation factor VII in a biological specimen.</t>
  </si>
  <si>
    <t>Factor VII Activity Measurement</t>
  </si>
  <si>
    <t>C81961</t>
  </si>
  <si>
    <t>FACTVIII</t>
  </si>
  <si>
    <t>Factor VIII</t>
  </si>
  <si>
    <t>Anti-hemophilic Factor; Factor VIII</t>
  </si>
  <si>
    <t>A measurement of the coagulation factor VIII in a biological specimen.</t>
  </si>
  <si>
    <t>Factor VIII Measurement</t>
  </si>
  <si>
    <t>C102271</t>
  </si>
  <si>
    <t>FACTVL</t>
  </si>
  <si>
    <t>Factor V Leiden</t>
  </si>
  <si>
    <t>A measurement of the coagulation factor V Leiden in a biological specimen.</t>
  </si>
  <si>
    <t>Factor V Leiden Measurement</t>
  </si>
  <si>
    <t>C98799</t>
  </si>
  <si>
    <t>FACTVW</t>
  </si>
  <si>
    <t>von Willebrand Factor</t>
  </si>
  <si>
    <t>von Willebrand Factor; von Willebrand Factor Antigen</t>
  </si>
  <si>
    <t>A measurement of the von Willebrand coagulation factor in a biological specimen.</t>
  </si>
  <si>
    <t>von Willebrand Factor Measurement</t>
  </si>
  <si>
    <t>C122117</t>
  </si>
  <si>
    <t>FACTVWA</t>
  </si>
  <si>
    <t>von Willebrand Factor Activity</t>
  </si>
  <si>
    <t>A measurement of the biological activity of von Willebrand coagulation factor in a biological specimen.</t>
  </si>
  <si>
    <t>von Willebrand Factor Activity Measurement</t>
  </si>
  <si>
    <t>C147336</t>
  </si>
  <si>
    <t>FACTVWMU</t>
  </si>
  <si>
    <t>von Willebrand Factor Multimers</t>
  </si>
  <si>
    <t>A measurement of the von Willebrand Factor multimers (an aggregate of multiple von Willebrand factor antigens that are held together with non-covalent bonds) in a biological specimen.</t>
  </si>
  <si>
    <t>von Willebrand Factor Multimers Measurement</t>
  </si>
  <si>
    <t>C98727</t>
  </si>
  <si>
    <t>FACTX</t>
  </si>
  <si>
    <t>Factor X</t>
  </si>
  <si>
    <t>A measurement of the coagulation factor X in a biological specimen.</t>
  </si>
  <si>
    <t>Factor X Measurement</t>
  </si>
  <si>
    <t>C122118</t>
  </si>
  <si>
    <t>FACTXA</t>
  </si>
  <si>
    <t>Factor X Activity</t>
  </si>
  <si>
    <t>A measurement of the biological activity of coagulation factor X in a biological specimen.</t>
  </si>
  <si>
    <t>Factor X Activity Measurement</t>
  </si>
  <si>
    <t>C163435</t>
  </si>
  <si>
    <t>FACTXI</t>
  </si>
  <si>
    <t>Factor XI</t>
  </si>
  <si>
    <t>A measurement of the factor XI in a biological specimen.</t>
  </si>
  <si>
    <t>Factor XI Measurement</t>
  </si>
  <si>
    <t>C163436</t>
  </si>
  <si>
    <t>FACTXIA</t>
  </si>
  <si>
    <t>Factor XI Activity</t>
  </si>
  <si>
    <t>Factor XI Activity; Factor XIa Activity</t>
  </si>
  <si>
    <t>A measurement of the biological activity of coagulation factor XI in a biological specimen.</t>
  </si>
  <si>
    <t>Factor XI Activity Measurement</t>
  </si>
  <si>
    <t>C163437</t>
  </si>
  <si>
    <t>FACTXII</t>
  </si>
  <si>
    <t>Factor XII</t>
  </si>
  <si>
    <t>A measurement of the factor XII in a biological specimen.</t>
  </si>
  <si>
    <t>Factor XII Measurement</t>
  </si>
  <si>
    <t>C163438</t>
  </si>
  <si>
    <t>FACTXIIA</t>
  </si>
  <si>
    <t>Factor XII Activity</t>
  </si>
  <si>
    <t>A measurement of the biological activity of coagulation factor XII in a biological specimen.</t>
  </si>
  <si>
    <t>Factor XII Activity Measurement</t>
  </si>
  <si>
    <t>C112277</t>
  </si>
  <si>
    <t>FACTXIII</t>
  </si>
  <si>
    <t>Factor XIII</t>
  </si>
  <si>
    <t>Factor XIII; Fibrin Stabilizing Factor</t>
  </si>
  <si>
    <t>A measurement of the coagulation factor XIII in a biological specimen.</t>
  </si>
  <si>
    <t>Factor XIII Measurement</t>
  </si>
  <si>
    <t>C102272</t>
  </si>
  <si>
    <t>FACTXIV</t>
  </si>
  <si>
    <t>Factor XIV</t>
  </si>
  <si>
    <t>Autoprothrombin IIA; Factor XIV; Protein C; Protein C Antigen; Protein C, Inactivator of Coagulation Factors Va and VIIIa</t>
  </si>
  <si>
    <t>A measurement of the coagulation factor XIV in a biological specimen.</t>
  </si>
  <si>
    <t>Factor XIV Measurement</t>
  </si>
  <si>
    <t>C105442</t>
  </si>
  <si>
    <t>FACTXIVA</t>
  </si>
  <si>
    <t>Factor XIV Activity</t>
  </si>
  <si>
    <t>Factor XIV Activity; Protein C Activity; Protein C Function</t>
  </si>
  <si>
    <t>A measurement of the biological activity of coagulation factor XIV in a biological specimen.</t>
  </si>
  <si>
    <t>Factor XIV Activity Measurement</t>
  </si>
  <si>
    <t>C124341</t>
  </si>
  <si>
    <t>FAI</t>
  </si>
  <si>
    <t>Free Androgen Index</t>
  </si>
  <si>
    <t>A measurement of the androgen status in a biological specimen. This is calculated by a mathematical formula that takes into account the total testosterone level, sex hormone binding globulin, and a constant.</t>
  </si>
  <si>
    <t>C100946</t>
  </si>
  <si>
    <t>FARMCIR</t>
  </si>
  <si>
    <t>Forearm Circumference</t>
  </si>
  <si>
    <t>The distance around an individual's forearm.</t>
  </si>
  <si>
    <t>C165960</t>
  </si>
  <si>
    <t>FAS</t>
  </si>
  <si>
    <t>Fas Cell Surface Death Receptor</t>
  </si>
  <si>
    <t>ALPS1A; APT1; Fas Cell Surface Death Receptor; FAS1; FASTM; Soluble CD95; TNF Receptor Superfamily Member 6; TNFRSF6</t>
  </si>
  <si>
    <t>A measurement of the Fas cell surface death receptor in a biological specimen.</t>
  </si>
  <si>
    <t>Fas Cell Surface Death Receptor Measurement</t>
  </si>
  <si>
    <t>C199921</t>
  </si>
  <si>
    <t>FASLG</t>
  </si>
  <si>
    <t>Fas Ligand</t>
  </si>
  <si>
    <t>Fas Ligand; Soluble CD178; Soluble CD95L; Tumor Necrosis Factor Ligand Superfamily Member 6</t>
  </si>
  <si>
    <t>A measurement of the Fas ligand in a biological specimen.</t>
  </si>
  <si>
    <t>Fas Ligand Measurement</t>
  </si>
  <si>
    <t>C96648</t>
  </si>
  <si>
    <t>FAT</t>
  </si>
  <si>
    <t>Fat</t>
  </si>
  <si>
    <t>A measurement of the fat in a biological specimen.</t>
  </si>
  <si>
    <t>Fat Measurement</t>
  </si>
  <si>
    <t>C80200</t>
  </si>
  <si>
    <t>FATACFR</t>
  </si>
  <si>
    <t>Free Fatty Acid</t>
  </si>
  <si>
    <t>Free Fatty Acid; Non-Esterified Fatty Acid, Free</t>
  </si>
  <si>
    <t>A measurement of the total non-esterified fatty acids in a biological specimen.</t>
  </si>
  <si>
    <t>Non-esterified Fatty Acids Measurement</t>
  </si>
  <si>
    <t>C80206</t>
  </si>
  <si>
    <t>FATACFRS</t>
  </si>
  <si>
    <t>Free Fatty Acid, Saturated</t>
  </si>
  <si>
    <t>Free Fatty Acid, Saturated; Non-esterified Fatty Acid, Saturated</t>
  </si>
  <si>
    <t>A measurement of the saturated non-esterified fatty acids in a biological specimen.</t>
  </si>
  <si>
    <t>Saturated Non-esterified Fatty Acids Measurement</t>
  </si>
  <si>
    <t>C80209</t>
  </si>
  <si>
    <t>FATACFRU</t>
  </si>
  <si>
    <t>Free Fatty Acid, Unsaturated</t>
  </si>
  <si>
    <t>Free Fatty Acid, Unsaturated; Non-esterified Fatty Acid, Unsaturated</t>
  </si>
  <si>
    <t>A measurement of the unsaturated non-esterified fatty acids in a biological specimen.</t>
  </si>
  <si>
    <t>Unsaturated Non-esterified Fatty Acids Measurement</t>
  </si>
  <si>
    <t>C147337</t>
  </si>
  <si>
    <t>FATACVLC</t>
  </si>
  <si>
    <t>Fatty Acids, Very Long Chain</t>
  </si>
  <si>
    <t>A measurement of the very long chain fatty acids (containing 22 or more carbon atoms) in a biological specimen.</t>
  </si>
  <si>
    <t>Very Long Chain Fatty Acids Measurement</t>
  </si>
  <si>
    <t>C81947</t>
  </si>
  <si>
    <t>FATBODOV</t>
  </si>
  <si>
    <t>Fat Bodies, Oval</t>
  </si>
  <si>
    <t>A measurement of the oval-shaped fat bodies, usually renal proximal tubular cells with lipid aggregates in the cytoplasm, in a biological specimen.</t>
  </si>
  <si>
    <t>Oval Fat Body Measurement</t>
  </si>
  <si>
    <t>C98728</t>
  </si>
  <si>
    <t>FATDROP</t>
  </si>
  <si>
    <t>Fat Droplet</t>
  </si>
  <si>
    <t>A measurement of the triglyceride aggregates within a biological specimen.</t>
  </si>
  <si>
    <t>Fat Droplet Measurement</t>
  </si>
  <si>
    <t>C156516</t>
  </si>
  <si>
    <t>FATLVIDX</t>
  </si>
  <si>
    <t>Fatty Liver Index</t>
  </si>
  <si>
    <t>Fatty Liver Index; FLI</t>
  </si>
  <si>
    <t>A calculation that indicates the likely presence of fatty liver disease, taking into account waist circumference, body mass index, triglyceride concentrations, and gamma-glutamyltransferase activity. (Bedogni G, Bellentani S, Miglioli L, Masutti F, Passal</t>
  </si>
  <si>
    <t>C158256</t>
  </si>
  <si>
    <t>FATMASS</t>
  </si>
  <si>
    <t>Fat Mass</t>
  </si>
  <si>
    <t>A measurement of the fat weight associated with a body part or whole body.</t>
  </si>
  <si>
    <t>C187806</t>
  </si>
  <si>
    <t>FATTOTSD</t>
  </si>
  <si>
    <t>Fat/Total Solids</t>
  </si>
  <si>
    <t>A relative measurement (ratio or percentage) of the fat to total solid material in a biological specimen (for example a stool specimen).</t>
  </si>
  <si>
    <t>Fats to Total Solids Ratio Measurement</t>
  </si>
  <si>
    <t>C154840</t>
  </si>
  <si>
    <t>FB</t>
  </si>
  <si>
    <t>Fraction Bound</t>
  </si>
  <si>
    <t>The percent or ratio of bound substance concentration to the total concentration.</t>
  </si>
  <si>
    <t>C172507</t>
  </si>
  <si>
    <t>FBNCTCE</t>
  </si>
  <si>
    <t>Fibronectin, Cellular</t>
  </si>
  <si>
    <t>Fibronectin, Cellular; Insoluble Fibronectin</t>
  </si>
  <si>
    <t>A measurement of the cellular fibronectin in a biological specimen.</t>
  </si>
  <si>
    <t>Cellular Fibronectin Measurement</t>
  </si>
  <si>
    <t>C92786</t>
  </si>
  <si>
    <t>FBNCTFT</t>
  </si>
  <si>
    <t>Fibronectin, Fetal</t>
  </si>
  <si>
    <t>A measurement of the fetal isoform of fibronectin in a biological specimen</t>
  </si>
  <si>
    <t>Fetal Fibronectin Test</t>
  </si>
  <si>
    <t>C177951</t>
  </si>
  <si>
    <t>FBNCTMFT</t>
  </si>
  <si>
    <t>Fibronectin, Maternal + Fetal</t>
  </si>
  <si>
    <t>A measurement of the maternal plasma fibronectin and fetal fibronectin in a biological specimen.</t>
  </si>
  <si>
    <t>Maternal and Fetal Fibronectin Measurement</t>
  </si>
  <si>
    <t>C172508</t>
  </si>
  <si>
    <t>FBNCTPL</t>
  </si>
  <si>
    <t>Fibronectin, Plasma</t>
  </si>
  <si>
    <t>Fibronectin, Plasma; Soluble Fibronectin</t>
  </si>
  <si>
    <t>A measurement of the plasma fibronectin in a biological specimen.</t>
  </si>
  <si>
    <t>Plasma Fibronectin Measurement</t>
  </si>
  <si>
    <t>C147151</t>
  </si>
  <si>
    <t>FBODYIND</t>
  </si>
  <si>
    <t>Observed Foreign Body Indicator</t>
  </si>
  <si>
    <t>An indication as to whether a medical or non-medical foreign body is present in a subject.</t>
  </si>
  <si>
    <t>C105443</t>
  </si>
  <si>
    <t>FBRTST</t>
  </si>
  <si>
    <t>FibroTest Score</t>
  </si>
  <si>
    <t>FibroSURE Score; FibroTest Score</t>
  </si>
  <si>
    <t>A biomarker test that measures liver pathology through the assessment of a six-parameter blood test (for Alpha-2-macroglobulin, Haptoglobin, Apolipoprotein A1, Gamma-glutamyl transpeptidase (GGT), Total bilirubin, and Alanine aminotransferase (ALT)), taki</t>
  </si>
  <si>
    <t>FibroTest Score Measurement</t>
  </si>
  <si>
    <t>C158259</t>
  </si>
  <si>
    <t>FCGPCPC</t>
  </si>
  <si>
    <t>Choline, Free+GPC+PCh</t>
  </si>
  <si>
    <t>Choline, Free + Glycerophosphorylcholine + Phosphorylcholine; Choline, Free+GPC+PCh</t>
  </si>
  <si>
    <t>A measurement of the free choline plus glycerophosphorylcholine (GCP) plus phosphorylcholine (PCh) in a biological specimen.</t>
  </si>
  <si>
    <t>Free Choline and Glycerophosphorylcholine and Phosphorylcholine Measurement</t>
  </si>
  <si>
    <t>C98770</t>
  </si>
  <si>
    <t>FCNTRY</t>
  </si>
  <si>
    <t>Planned Country of Investigational Sites</t>
  </si>
  <si>
    <t>The country name of planned study facility which has received IRB approval.</t>
  </si>
  <si>
    <t>Planned Country of Investigational Site</t>
  </si>
  <si>
    <t>C154752</t>
  </si>
  <si>
    <t>FCT8INH</t>
  </si>
  <si>
    <t>Factor VIII Inhibitor</t>
  </si>
  <si>
    <t>Alloantibody, Factor VIII Inhibitor; Factor VIII Antibody</t>
  </si>
  <si>
    <t>A measurement of the factor VIII inhibitor (antibody) in a biological specimen.</t>
  </si>
  <si>
    <t>Factor VIII Inhibitor Measurement</t>
  </si>
  <si>
    <t>C204628</t>
  </si>
  <si>
    <t>FCT9INH</t>
  </si>
  <si>
    <t>Factor IX Inhibitor</t>
  </si>
  <si>
    <t>Alloantibody, Factor IX Inhibitor; Factor IX Antibody</t>
  </si>
  <si>
    <t>A measurement of the factor IX inhibitor (antibody) in a biological specimen.</t>
  </si>
  <si>
    <t>Factor IX Inhibitor Measurement</t>
  </si>
  <si>
    <t>C103398</t>
  </si>
  <si>
    <t>FCTVIIAA</t>
  </si>
  <si>
    <t>Factor VIIa Activity</t>
  </si>
  <si>
    <t>A measurement of the biological activity of coagulation factor VIIa in a biological specimen.</t>
  </si>
  <si>
    <t>Factor VIIa Activity Measurement</t>
  </si>
  <si>
    <t>C103399</t>
  </si>
  <si>
    <t>FCTVIIIA</t>
  </si>
  <si>
    <t>Factor VIII Activity</t>
  </si>
  <si>
    <t>Anti-hemophilic Factor Activity; Factor VIII Activity; Factor VIII:C</t>
  </si>
  <si>
    <t>A measurement of the biological activity of coagulation factor VIII in a biological specimen.</t>
  </si>
  <si>
    <t>Factor VIII Activity Measurement</t>
  </si>
  <si>
    <t>C174313</t>
  </si>
  <si>
    <t>FCTXIIIA</t>
  </si>
  <si>
    <t>Factor XIII Activity</t>
  </si>
  <si>
    <t>A measurement of the biological activity of coagulation factor XIII in a biological specimen.</t>
  </si>
  <si>
    <t>Factor XIII Activity Measurement</t>
  </si>
  <si>
    <t>C123629</t>
  </si>
  <si>
    <t>FDADEIND</t>
  </si>
  <si>
    <t>FDA-Regulated Device Study Indicator</t>
  </si>
  <si>
    <t>An indication as to whether the study involves an FDA-regulated device.</t>
  </si>
  <si>
    <t>C123630</t>
  </si>
  <si>
    <t>FDADRIND</t>
  </si>
  <si>
    <t>FDA-Regulated Drug Study Indicator</t>
  </si>
  <si>
    <t>An indication as to whether the study involves an FDA-regulated drug.</t>
  </si>
  <si>
    <t>C156603</t>
  </si>
  <si>
    <t>FDATCHSP</t>
  </si>
  <si>
    <t>FDA Technical Specification</t>
  </si>
  <si>
    <t>The name and version of the FDA technical specification that is being used in the study submission.</t>
  </si>
  <si>
    <t>FDA Technical Specification Name and Version</t>
  </si>
  <si>
    <t>C82013</t>
  </si>
  <si>
    <t>FDP</t>
  </si>
  <si>
    <t>Fibrin Degradation Products</t>
  </si>
  <si>
    <t>A measurement of the fibrin degradation products in a biological specimen.</t>
  </si>
  <si>
    <t>Fibrin Degradation Products Measurement</t>
  </si>
  <si>
    <t>C99723</t>
  </si>
  <si>
    <t>FDP5PS</t>
  </si>
  <si>
    <t>FDG PET 5PS Score</t>
  </si>
  <si>
    <t>A 5 point scale originally devised by Barrington et al. (2014) to assess the response to treatment of lymphoma by FDG-PET scanning, and has since been validated to assess treatment responses in a number of additional solid and non-solid tumors.</t>
  </si>
  <si>
    <t>London Deauville Criteria Point Scale</t>
  </si>
  <si>
    <t>C114219</t>
  </si>
  <si>
    <t>FECA</t>
  </si>
  <si>
    <t>Fractional Calcium Excretion</t>
  </si>
  <si>
    <t>A measurement of the fractional excretion of calcium that is computed based upon the concentrations of calcium and creatinine in both blood and urine.</t>
  </si>
  <si>
    <t>Fractional Excretion of Calcium</t>
  </si>
  <si>
    <t>C114220</t>
  </si>
  <si>
    <t>FECL</t>
  </si>
  <si>
    <t>Fractional Chloride Excretion</t>
  </si>
  <si>
    <t>A measurement of the fractional excretion of chloride that is computed based upon the concentrations of chloride and creatinine in both blood and urine.</t>
  </si>
  <si>
    <t>Fractional Excretion of Chloride</t>
  </si>
  <si>
    <t>C139250</t>
  </si>
  <si>
    <t>FEF_05</t>
  </si>
  <si>
    <t>Forced Expiratory Flow in 0.05 Second</t>
  </si>
  <si>
    <t>The forced expiratory flow rate during the first 0.05 second of a forced exhalation.</t>
  </si>
  <si>
    <t>C139251</t>
  </si>
  <si>
    <t>FEF_1</t>
  </si>
  <si>
    <t>Forced Expiratory Flow in 0.1 Second</t>
  </si>
  <si>
    <t>The forced expiratory flow rate during the first 0.1 second of a forced exhalation.</t>
  </si>
  <si>
    <t>C139252</t>
  </si>
  <si>
    <t>FEF_2</t>
  </si>
  <si>
    <t>Forced Expiratory Flow in 0.2 Second</t>
  </si>
  <si>
    <t>The forced expiratory flow rate during the first 0.2 second of a forced exhalation.</t>
  </si>
  <si>
    <t>C119545</t>
  </si>
  <si>
    <t>FEF2575</t>
  </si>
  <si>
    <t>Forced Expiratory Flow 25-75%</t>
  </si>
  <si>
    <t>The mean forced expiratory flow rate at 25-75% of the forced vital capacity. (NCI)</t>
  </si>
  <si>
    <t>Forced Expiratory Flow at 25-75 Percent</t>
  </si>
  <si>
    <t>C119546</t>
  </si>
  <si>
    <t>FEF2575P</t>
  </si>
  <si>
    <t>Percent Predicted FEF25-75</t>
  </si>
  <si>
    <t>The mean forced expiratory flow rate at 25-75% of the forced vital capacity as a proportion of the predicted normal value. (NCI)</t>
  </si>
  <si>
    <t>Percent Predicted Forced Expiratory Flow at 25-75 Percent</t>
  </si>
  <si>
    <t>C139253</t>
  </si>
  <si>
    <t>FEF50</t>
  </si>
  <si>
    <t>Forced Expiratory Flow 50%</t>
  </si>
  <si>
    <t>The mean forced expiratory flow rate at 50% of the forced vital capacity. (NCI)</t>
  </si>
  <si>
    <t>Forced Expiratory Flow at 50 Percent Forced Vital Capacity</t>
  </si>
  <si>
    <t>C114222</t>
  </si>
  <si>
    <t>FEK</t>
  </si>
  <si>
    <t>Fractional Potassium Excretion</t>
  </si>
  <si>
    <t>A measurement of the fractional excretion of potassium that is computed based upon the concentrations of potassium and creatinine in both blood and urine.</t>
  </si>
  <si>
    <t>Fractional Excretion of Potassium</t>
  </si>
  <si>
    <t>C122119</t>
  </si>
  <si>
    <t>FEMG</t>
  </si>
  <si>
    <t>Fractional Magnesium Excretion</t>
  </si>
  <si>
    <t>A measurement of the fractional excretion of magnesium that is computed based upon the concentrations of magnesium and creatinine in both blood and urine.</t>
  </si>
  <si>
    <t>Fractional Excretion of Magnesium</t>
  </si>
  <si>
    <t>C184525</t>
  </si>
  <si>
    <t>FEN3M</t>
  </si>
  <si>
    <t>3-Methylfentanyl</t>
  </si>
  <si>
    <t>A measurement of the 3-methylfentanyl in a biological specimen.</t>
  </si>
  <si>
    <t>3-Methylfentanyl Measurement</t>
  </si>
  <si>
    <t>C107435</t>
  </si>
  <si>
    <t>FENA</t>
  </si>
  <si>
    <t>Fractional Sodium Excretion</t>
  </si>
  <si>
    <t>A measurement of the fractional excretion of sodium that is computed based upon the concentrations of sodium and creatinine in both blood and urine.</t>
  </si>
  <si>
    <t>Fractional Excretion of Sodium</t>
  </si>
  <si>
    <t>C184528</t>
  </si>
  <si>
    <t>FENACE</t>
  </si>
  <si>
    <t>Acetylfentanyl</t>
  </si>
  <si>
    <t>Acetyl Fentanyl; Acetylfentanyl</t>
  </si>
  <si>
    <t>A measurement of the acetylfentanyl in a biological specimen.</t>
  </si>
  <si>
    <t>Acetylfentanyl Measurement</t>
  </si>
  <si>
    <t>C184537</t>
  </si>
  <si>
    <t>FENAM</t>
  </si>
  <si>
    <t>Alpha-Methylfentanyl</t>
  </si>
  <si>
    <t>A measurement of the alpha-methylfentanyl in a biological specimen.</t>
  </si>
  <si>
    <t>Alpha-Methylfentanyl Measurement</t>
  </si>
  <si>
    <t>C184530</t>
  </si>
  <si>
    <t>FENBOHT</t>
  </si>
  <si>
    <t>Beta-Hydroxythiofentanyl</t>
  </si>
  <si>
    <t>A measurement of the beta-hydroxythiofentanyl in a biological specimen.</t>
  </si>
  <si>
    <t>Beta-Hydroxythiofentanyl Measurement</t>
  </si>
  <si>
    <t>C184533</t>
  </si>
  <si>
    <t>FENBUT</t>
  </si>
  <si>
    <t>Butyrylfentanyl</t>
  </si>
  <si>
    <t>Butyrfentanyl; Butyryl Fentanyl; Butyrylfentanyl</t>
  </si>
  <si>
    <t>A measurement of the butyrylfentanyl in a biological specimen.</t>
  </si>
  <si>
    <t>Butyrylfentanyl Measurement</t>
  </si>
  <si>
    <t>C184618</t>
  </si>
  <si>
    <t>FENCMFMN</t>
  </si>
  <si>
    <t>Fencamfamin</t>
  </si>
  <si>
    <t>Fencamfamin; Fencamfamine</t>
  </si>
  <si>
    <t>A measurement of the fencamfamin in a biological specimen.</t>
  </si>
  <si>
    <t>Fencamfamin Measurement</t>
  </si>
  <si>
    <t>C184619</t>
  </si>
  <si>
    <t>FENFLRMN</t>
  </si>
  <si>
    <t>Fenfluramine</t>
  </si>
  <si>
    <t>A measurement of the fenfluramine in a biological specimen.</t>
  </si>
  <si>
    <t>Fenfluramine Measurement</t>
  </si>
  <si>
    <t>C184541</t>
  </si>
  <si>
    <t>FENFUR</t>
  </si>
  <si>
    <t>Furanylfentanyl</t>
  </si>
  <si>
    <t>Furanyl Fentanyl; Furanylfentanyl</t>
  </si>
  <si>
    <t>A measurement of the furanylfentanyl in a biological specimen.</t>
  </si>
  <si>
    <t>Furanylfentanyl Measurement</t>
  </si>
  <si>
    <t>C184558</t>
  </si>
  <si>
    <t>FENPF</t>
  </si>
  <si>
    <t>Para-Fluorofentanyl</t>
  </si>
  <si>
    <t>A measurement of the para-fluorofentanyl in a biological specimen.</t>
  </si>
  <si>
    <t>Para-Fluorofentanyl Measurement</t>
  </si>
  <si>
    <t>C184620</t>
  </si>
  <si>
    <t>FENPRPRX</t>
  </si>
  <si>
    <t>Fenproporex</t>
  </si>
  <si>
    <t>A measurement of the fenproporex in a biological specimen.</t>
  </si>
  <si>
    <t>Fenproporex Measurement</t>
  </si>
  <si>
    <t>C147338</t>
  </si>
  <si>
    <t>FENTANYL</t>
  </si>
  <si>
    <t>Fentanyl</t>
  </si>
  <si>
    <t>A measurement of the fentanyl in a biological specimen.</t>
  </si>
  <si>
    <t>Fentanyl Measurement</t>
  </si>
  <si>
    <t>C184607</t>
  </si>
  <si>
    <t>FENVAL</t>
  </si>
  <si>
    <t>Valerylfentanyl</t>
  </si>
  <si>
    <t>Valeryl Fentanyl; Valerylfentanyl</t>
  </si>
  <si>
    <t>A measurement of the valerylfentanyl in a biological specimen.</t>
  </si>
  <si>
    <t>Valerylfentanyl Measurement</t>
  </si>
  <si>
    <t>C147339</t>
  </si>
  <si>
    <t>FEP</t>
  </si>
  <si>
    <t>Erythrocyte Protoporphyrin, Free</t>
  </si>
  <si>
    <t>A measurement of the free erythrocyte protoporphyrin (zinc bound plus unbound protoporphyrin) in a biological specimen.</t>
  </si>
  <si>
    <t>Free Erythrocyte Protoporphyrin Measurement</t>
  </si>
  <si>
    <t>C114221</t>
  </si>
  <si>
    <t>FEPI</t>
  </si>
  <si>
    <t>Fractional Phosphorus Excretion</t>
  </si>
  <si>
    <t>Fractional Inorganic Phosphate Excretion; Fractional Phosphorus Excretion</t>
  </si>
  <si>
    <t>A measurement of the fractional excretion of phosphorus that is computed based upon the concentrations of phosphorus and creatinine in both blood and urine.</t>
  </si>
  <si>
    <t>Fractional Excretion of Phosphate</t>
  </si>
  <si>
    <t>C74737</t>
  </si>
  <si>
    <t>FERRITIN</t>
  </si>
  <si>
    <t>Ferritin</t>
  </si>
  <si>
    <t>A measurement of the ferritin in a biological specimen.</t>
  </si>
  <si>
    <t>Ferritin Measurement</t>
  </si>
  <si>
    <t>C201471</t>
  </si>
  <si>
    <t>FET</t>
  </si>
  <si>
    <t>Forced Expiratory Time</t>
  </si>
  <si>
    <t>The time taken to fully expirate air from the lungs.</t>
  </si>
  <si>
    <t>C120834</t>
  </si>
  <si>
    <t>FETLDTHN</t>
  </si>
  <si>
    <t>Number of Late Fetal Deaths</t>
  </si>
  <si>
    <t>A measurement of the total number of fetal deaths (death of a fetus at 16 weeks, 0 days to 19 weeks, 6 days of gestation) experienced by a female subject.</t>
  </si>
  <si>
    <t>C139246</t>
  </si>
  <si>
    <t>FEV_05</t>
  </si>
  <si>
    <t>Forced Expiratory Volume in 0.05 Second</t>
  </si>
  <si>
    <t>The volume of air that can be forcibly exhaled during the first 0.05 second following maximal inhalation.</t>
  </si>
  <si>
    <t>C139247</t>
  </si>
  <si>
    <t>FEV_1</t>
  </si>
  <si>
    <t>Forced Expiratory Volume in 0.1 Second</t>
  </si>
  <si>
    <t>The volume of air that can be forcibly exhaled during the first 0.1 second following maximal inhalation.</t>
  </si>
  <si>
    <t>C139248</t>
  </si>
  <si>
    <t>FEV_2</t>
  </si>
  <si>
    <t>Forced Expiratory Volume in 0.2 Second</t>
  </si>
  <si>
    <t>The volume of air that can be forcibly exhaled during the first 0.2 second following maximal inhalation.</t>
  </si>
  <si>
    <t>C139262</t>
  </si>
  <si>
    <t>FEV_5</t>
  </si>
  <si>
    <t>Forced Expiratory Volume in 0.5 Second</t>
  </si>
  <si>
    <t>The volume of air that can be forcibly exhaled during the first half second following maximal inhalation.</t>
  </si>
  <si>
    <t>C174362</t>
  </si>
  <si>
    <t>FEV_75</t>
  </si>
  <si>
    <t>Forced Expiratory Volume in 0.75 Second</t>
  </si>
  <si>
    <t>The volume of air that can be forcibly exhaled during the first 0.75 second following maximal inhalation.</t>
  </si>
  <si>
    <t>C139249</t>
  </si>
  <si>
    <t>FEV_PEF</t>
  </si>
  <si>
    <t>FEV at PEF</t>
  </si>
  <si>
    <t>FEV at PEF; Forced Expiratory Volume at Peak Expiratory Flow</t>
  </si>
  <si>
    <t>The volume of gas that is forcibly exhaled at the peak of expiratory flow.</t>
  </si>
  <si>
    <t>Forced Expiratory Volume at Peak Expiratory Flow</t>
  </si>
  <si>
    <t>C38084</t>
  </si>
  <si>
    <t>FEV1</t>
  </si>
  <si>
    <t>Forced Expiratory Volume in 1 Second</t>
  </si>
  <si>
    <t>The volume of air that can be forcibly exhaled during the first second following maximal inhalation.</t>
  </si>
  <si>
    <t>C111359</t>
  </si>
  <si>
    <t>FEV1FVC</t>
  </si>
  <si>
    <t>FEV1/FVC</t>
  </si>
  <si>
    <t>A relative measurement (ratio or percentage) of the forced expiratory volume during the first second of exhalation to the largest observed expired volume during a forced vital capacity maneuver.</t>
  </si>
  <si>
    <t>Forced Expiratory Volume in 1 Second to Forced Vital Capacity Ratio Measurement</t>
  </si>
  <si>
    <t>C123565</t>
  </si>
  <si>
    <t>FEV1FVC6</t>
  </si>
  <si>
    <t>FEV1/FVC6</t>
  </si>
  <si>
    <t>A relative measurement (ratio or percentage) of the forced expiratory volume during the first second of exhalation to the observed expired volume during the first six seconds of a forced vital capacity maneuver.</t>
  </si>
  <si>
    <t>Forced Expiratory Volume in 1 Second to Forced Vital Capacity in 6 Seconds</t>
  </si>
  <si>
    <t>C112377</t>
  </si>
  <si>
    <t>FEV1FVCP</t>
  </si>
  <si>
    <t>Percent Predicted FEV1/FVC</t>
  </si>
  <si>
    <t>A measurement (ratio or percentage) of FEV1/FVC relative to the predicted normal value.</t>
  </si>
  <si>
    <t>Percent Predicted Forced Expiratory Volume in 1 Second Divided by Forced Vital Capacity</t>
  </si>
  <si>
    <t>C112376</t>
  </si>
  <si>
    <t>FEV1PP</t>
  </si>
  <si>
    <t>Percent Predicted FEV1</t>
  </si>
  <si>
    <t>Forced expiratory volume in one second as a proportion of the predicted normal value.</t>
  </si>
  <si>
    <t>Percent Predicted Forced Expiratory Volume in 1 Second</t>
  </si>
  <si>
    <t>C112285</t>
  </si>
  <si>
    <t>FEV1REV</t>
  </si>
  <si>
    <t>FEV1 Reversibility</t>
  </si>
  <si>
    <t>The change in FEV1 following administration of a bronchodilator relative to the pre-treatment FEV1 value.</t>
  </si>
  <si>
    <t>Forced Expiratory Volume in 1 Second Reversibility</t>
  </si>
  <si>
    <t>C170626</t>
  </si>
  <si>
    <t>FEV1SVC</t>
  </si>
  <si>
    <t>FEV1/SVC</t>
  </si>
  <si>
    <t>A relative measurement (ratio or percentage) of the forced expiratory volume during the first second of exhalation to the largest observed expired volume during a slow vital capacity maneuver.</t>
  </si>
  <si>
    <t>Forced Expiratory Volume in 1 Second to Slow Vital Capacity Ratio Measurement</t>
  </si>
  <si>
    <t>C132453</t>
  </si>
  <si>
    <t>FEV3</t>
  </si>
  <si>
    <t>Forced Expiratory Volume in 3 Seconds</t>
  </si>
  <si>
    <t>The volume of air that can be forcibly exhaled during the first three seconds following maximal inhalation.</t>
  </si>
  <si>
    <t>C170625</t>
  </si>
  <si>
    <t>FEV3FVC</t>
  </si>
  <si>
    <t>FEV3/FVC</t>
  </si>
  <si>
    <t>A relative measurement (ratio or percentage) of the forced expiratory volume during the first three seconds of exhalation to the largest observed expired volume during a forced vital capacity maneuver.</t>
  </si>
  <si>
    <t>Forced Expiratory Volume in 3 Seconds to Forced Vital Capacity Ratio Measurement</t>
  </si>
  <si>
    <t>C170627</t>
  </si>
  <si>
    <t>FEV3PP</t>
  </si>
  <si>
    <t>Percent Predicted FEV3</t>
  </si>
  <si>
    <t>Forced expiratory volume in three seconds as a proportion of the predicted normal value.</t>
  </si>
  <si>
    <t>Percent Predicted Forced Expiratory Volume in 3 Seconds</t>
  </si>
  <si>
    <t>C47843</t>
  </si>
  <si>
    <t>FEV6</t>
  </si>
  <si>
    <t>Forced Expiratory Volume in 6 Seconds</t>
  </si>
  <si>
    <t>The volume of air that can be forcibly exhaled during the first six seconds following maximal inhalation.</t>
  </si>
  <si>
    <t>C112378</t>
  </si>
  <si>
    <t>FEV6PP</t>
  </si>
  <si>
    <t>Percent Predicted FEV6</t>
  </si>
  <si>
    <t>Forced expiratory volume in six seconds as a proportion of the predicted normal value.</t>
  </si>
  <si>
    <t>Percent Predicted Forced Expiratory Volume in 6 Seconds</t>
  </si>
  <si>
    <t>C154727</t>
  </si>
  <si>
    <t>FGF19</t>
  </si>
  <si>
    <t>Fibroblast Growth Factor 19</t>
  </si>
  <si>
    <t>FGF 19; Fibroblast Growth Factor 19</t>
  </si>
  <si>
    <t>A measurement of the fibroblast growth factor 19 in a biological specimen.</t>
  </si>
  <si>
    <t>Fibroblast Growth Factor 19 Measurement</t>
  </si>
  <si>
    <t>C112280</t>
  </si>
  <si>
    <t>FGF21</t>
  </si>
  <si>
    <t>Fibroblast Growth Factor 21</t>
  </si>
  <si>
    <t>FGF 21; Fibroblast Growth Factor 21</t>
  </si>
  <si>
    <t>A measurement of the fibroblast growth factor 21 in a biological specimen.</t>
  </si>
  <si>
    <t>Fibroblast Growth Factor 21 Measurement</t>
  </si>
  <si>
    <t>C96650</t>
  </si>
  <si>
    <t>FGF23</t>
  </si>
  <si>
    <t>Fibroblast Growth Factor 23</t>
  </si>
  <si>
    <t>Fibroblast Growth Factor 23; Phosphatonin</t>
  </si>
  <si>
    <t>A measurement of the total fibroblast growth factor 23 in a biological specimen.</t>
  </si>
  <si>
    <t>Fibroblast Growth Factor 23 Measurement</t>
  </si>
  <si>
    <t>C135419</t>
  </si>
  <si>
    <t>FGF23C</t>
  </si>
  <si>
    <t>Fibroblast Growth Factor 23, C-Terminal</t>
  </si>
  <si>
    <t>A measurement of the C-terminal fibroblast growth factor 23 in a biological specimen.</t>
  </si>
  <si>
    <t>C-Terminal Fibroblast Growth Factor 23 Measurement</t>
  </si>
  <si>
    <t>C135420</t>
  </si>
  <si>
    <t>FGF23I</t>
  </si>
  <si>
    <t>Fibroblast Growth Factor 23, Intact</t>
  </si>
  <si>
    <t>A measurement of the intact fibroblast growth factor 23 in a biological specimen.</t>
  </si>
  <si>
    <t>Intact Fibroblast Growth Factor 23 Measurement</t>
  </si>
  <si>
    <t>C130162</t>
  </si>
  <si>
    <t>FGF9</t>
  </si>
  <si>
    <t>Fibroblast Growth Factor 9</t>
  </si>
  <si>
    <t>FGF 9; Fibroblast Growth Factor 9</t>
  </si>
  <si>
    <t>A measurement of the fibroblast growth factor 9 in a biological specimen.</t>
  </si>
  <si>
    <t>Fibroblast Growth Factor 9 Measurement</t>
  </si>
  <si>
    <t>C82014</t>
  </si>
  <si>
    <t>FGFBF</t>
  </si>
  <si>
    <t>Fibroblast Growth Factor Basic Form</t>
  </si>
  <si>
    <t>FGF2; Fibroblast Growth Factor Basic Form</t>
  </si>
  <si>
    <t>A measurement of the basic form of fibroblast growth factor in a biological specimen.</t>
  </si>
  <si>
    <t>Fibroblast Growth Factor Basic Form Measurement</t>
  </si>
  <si>
    <t>C138330</t>
  </si>
  <si>
    <t>FIB4IDX</t>
  </si>
  <si>
    <t>Fibrosis-4 Index</t>
  </si>
  <si>
    <t>FIB4; Fibrosis-4 Index</t>
  </si>
  <si>
    <t>A scoring system that evaluates liver pathology through the assessment of multiple blood test parameters, taking into account age, alanine aminotransferase, aspartate aminotransferase, and platelet count.</t>
  </si>
  <si>
    <t>Fibrosis-4 Score</t>
  </si>
  <si>
    <t>C185968</t>
  </si>
  <si>
    <t>FIBB</t>
  </si>
  <si>
    <t>Fibroblasts</t>
  </si>
  <si>
    <t>A measurement of the fibroblasts in a biological specimen.</t>
  </si>
  <si>
    <t>Fibroblast Count</t>
  </si>
  <si>
    <t>C209590</t>
  </si>
  <si>
    <t>FIBERV</t>
  </si>
  <si>
    <t>Vegetable Fiber</t>
  </si>
  <si>
    <t>Vegetable Fiber; Vegetable Fibers</t>
  </si>
  <si>
    <t>A measurement of the vegetable fiber in a biological specimen.</t>
  </si>
  <si>
    <t>Vegetable Fiber Measurement</t>
  </si>
  <si>
    <t>C161484</t>
  </si>
  <si>
    <t>FIBLIND</t>
  </si>
  <si>
    <t>Fibrotic Lesion Indicator</t>
  </si>
  <si>
    <t>An indication as to whether a fibrotic lesion is present.</t>
  </si>
  <si>
    <t>C189498</t>
  </si>
  <si>
    <t>FIBMONO</t>
  </si>
  <si>
    <t>Fibrin Monomer</t>
  </si>
  <si>
    <t>Fibrin Monomer; Soluble Fibrin Monomer</t>
  </si>
  <si>
    <t>A measurement of the fibrin monomer in a biological specimen.</t>
  </si>
  <si>
    <t>Fibrin Monomer Measurement</t>
  </si>
  <si>
    <t>C64606</t>
  </si>
  <si>
    <t>FIBRINO</t>
  </si>
  <si>
    <t>Fibrinogen</t>
  </si>
  <si>
    <t>Fibrinogen; Fibrinogen Antigen</t>
  </si>
  <si>
    <t>A measurement of the total fibrinogen (functional and non-functional) in a biological specimen.</t>
  </si>
  <si>
    <t>Fibrinogen Measurement</t>
  </si>
  <si>
    <t>C139075</t>
  </si>
  <si>
    <t>FIBRINOF</t>
  </si>
  <si>
    <t>Fibrinogen, Functional</t>
  </si>
  <si>
    <t>A measurement of the functional fibrinogen (fibrinogen that is capable of being converted to fibrin) in a biological specimen.</t>
  </si>
  <si>
    <t>Functional Fibrinogen Measurement</t>
  </si>
  <si>
    <t>C127765</t>
  </si>
  <si>
    <t>FIBROSIS</t>
  </si>
  <si>
    <t>Fibrosis</t>
  </si>
  <si>
    <t>An evaluation of fibrosis in a biological specimen.</t>
  </si>
  <si>
    <t>Fibrosis Assessment</t>
  </si>
  <si>
    <t>C198283</t>
  </si>
  <si>
    <t>FICOLIN3</t>
  </si>
  <si>
    <t>Ficolin-3</t>
  </si>
  <si>
    <t>FCN3; Ficolin-3</t>
  </si>
  <si>
    <t>A measurement of the ficolin-3 in a biological specimen.</t>
  </si>
  <si>
    <t>Ficolin-3 Measurement</t>
  </si>
  <si>
    <t>C124418</t>
  </si>
  <si>
    <t>FIF25</t>
  </si>
  <si>
    <t>Forced Inspiratory Flow at 25%</t>
  </si>
  <si>
    <t>The forced inspiratory flow rate at the point on the inspiratory flow-volume curve where 25 percent of the total volume of air has been inhaled.</t>
  </si>
  <si>
    <t>C124419</t>
  </si>
  <si>
    <t>FIF50</t>
  </si>
  <si>
    <t>Forced Inspiratory Flow at 50%</t>
  </si>
  <si>
    <t>The forced inspiratory flow rate at the point on the inspiratory flow-volume curve where 50 percent of the total volume of air has been inhaled.</t>
  </si>
  <si>
    <t>C124420</t>
  </si>
  <si>
    <t>FIF75</t>
  </si>
  <si>
    <t>Forced Inspiratory Flow at 75%</t>
  </si>
  <si>
    <t>The forced inspiratory flow rate at the point on the inspiratory flow-volume curve where 75 percent of the total volume of air has been inhaled.</t>
  </si>
  <si>
    <t>C112333</t>
  </si>
  <si>
    <t>FIFMAX</t>
  </si>
  <si>
    <t>Maximum Forced Inspiratory Flow</t>
  </si>
  <si>
    <t>The fastest rate of inspired air achieved during a forced inspiration maneuver.</t>
  </si>
  <si>
    <t>C112379</t>
  </si>
  <si>
    <t>FIFMAXPP</t>
  </si>
  <si>
    <t>Percent Predicted FIFmax</t>
  </si>
  <si>
    <t>The fastest rate of inspired air achieved during a forced inspiration maneuver expressed as a percentage of the expected result value for healthy individuals with similar characteristics.</t>
  </si>
  <si>
    <t>Percent Predicted Forced Inspiratory Flow Maximum</t>
  </si>
  <si>
    <t>C38082</t>
  </si>
  <si>
    <t>FIO2</t>
  </si>
  <si>
    <t>Fraction of Inspired Oxygen</t>
  </si>
  <si>
    <t>A measurement of the volumetric fraction of oxygen in the inhaled gas.</t>
  </si>
  <si>
    <t>C189550</t>
  </si>
  <si>
    <t>FIRMBCRA</t>
  </si>
  <si>
    <t>Firmicutes/Bacteroidetes Ratio</t>
  </si>
  <si>
    <t>A ratio measurement of the members from the phylum Firmicutes to the members from the phylum Bacteroidetes in a biological specimen.</t>
  </si>
  <si>
    <t>Firmicutes to Bacteroidetes Ratio Measurement</t>
  </si>
  <si>
    <t>C111360</t>
  </si>
  <si>
    <t>FIV1</t>
  </si>
  <si>
    <t>Forced Inspiratory Volume in 1 Second</t>
  </si>
  <si>
    <t>The volume of air that a subject can breathe in during the first second of inhalation after maximum exhalation.</t>
  </si>
  <si>
    <t>C112380</t>
  </si>
  <si>
    <t>FIV1PP</t>
  </si>
  <si>
    <t>Percent Predicted FIV1</t>
  </si>
  <si>
    <t>The volume of air that a subject can breathe in during the first second of inhalation after maximum exhalation as a proportion of the predicted normal value.</t>
  </si>
  <si>
    <t>Percent Predicted Forced Inspiratory Volume in 1 Second</t>
  </si>
  <si>
    <t>C139263</t>
  </si>
  <si>
    <t>FIVC</t>
  </si>
  <si>
    <t>Forced Inspiratory Vital Capacity</t>
  </si>
  <si>
    <t>The difference in lung volume between maximal expiration to residual volume followed immediately by full inspiration to total lung capacity during forceful inhalation.</t>
  </si>
  <si>
    <t>C170588</t>
  </si>
  <si>
    <t>FIXAAC</t>
  </si>
  <si>
    <t>Factor IX Activity Actual/Control</t>
  </si>
  <si>
    <t>Factor IX Activity Actual/Control; Factor IX Activity Actual/Factor IX Activity Control; Factor IX Activity Actual/Normal</t>
  </si>
  <si>
    <t>A relative measurement (ratio or percentage) of the biological activity of factor IX dependent coagulation in a subject's specimen when compared to the same activity in a control specimen.</t>
  </si>
  <si>
    <t>Factor IX Activity Actual to Control Ratio Measurement</t>
  </si>
  <si>
    <t>C135421</t>
  </si>
  <si>
    <t>FLAGEL</t>
  </si>
  <si>
    <t>Flagellates</t>
  </si>
  <si>
    <t>A measurement of the flagellates (protozoans that possess flagella) in a biological specimen.</t>
  </si>
  <si>
    <t>Flagellates Measurement</t>
  </si>
  <si>
    <t>C112283</t>
  </si>
  <si>
    <t>FLARESZ</t>
  </si>
  <si>
    <t>Flare Size</t>
  </si>
  <si>
    <t>The size of the area of redness that forms around the site of an antigenic challenge to the skin.</t>
  </si>
  <si>
    <t>Antigenic Skin Flare Size Measurement</t>
  </si>
  <si>
    <t>C158255</t>
  </si>
  <si>
    <t>FLMUTIND</t>
  </si>
  <si>
    <t>Flagged Mutations Present Indicator</t>
  </si>
  <si>
    <t>An indication as to whether the pre-specified mutations of interest are present in the subject.</t>
  </si>
  <si>
    <t>C139081</t>
  </si>
  <si>
    <t>FLNTRZPM</t>
  </si>
  <si>
    <t>Flunitrazepam</t>
  </si>
  <si>
    <t>A measurement of the flunitrazepam present in a biological specimen.</t>
  </si>
  <si>
    <t>Flunitrazepam Measurement</t>
  </si>
  <si>
    <t>C112281</t>
  </si>
  <si>
    <t>FLRLDIAM</t>
  </si>
  <si>
    <t>Flare Longest Diameter</t>
  </si>
  <si>
    <t>The longest diameter of the area of redness that forms around the site of an antigenic challenge to the skin.</t>
  </si>
  <si>
    <t>Antigenic Skin Flare Longest Diameter Measurement</t>
  </si>
  <si>
    <t>C112282</t>
  </si>
  <si>
    <t>FLRMDIAM</t>
  </si>
  <si>
    <t>Flare Mean Diameter</t>
  </si>
  <si>
    <t>The mean diameter of the area of redness that forms around the site of an antigenic challenge to the skin.</t>
  </si>
  <si>
    <t>Antigenic Skin Flare Mean Diameter Measurement</t>
  </si>
  <si>
    <t>C75373</t>
  </si>
  <si>
    <t>FLRZPM</t>
  </si>
  <si>
    <t>Flurazepam</t>
  </si>
  <si>
    <t>A measurement of the flurazepam present in a biological specimen.</t>
  </si>
  <si>
    <t>Flurazepam Measurement</t>
  </si>
  <si>
    <t>C174307</t>
  </si>
  <si>
    <t>FLT3</t>
  </si>
  <si>
    <t>FMS-like Receptor Tyrosine Kinase 3</t>
  </si>
  <si>
    <t>FMS-like Receptor Tyrosine Kinase 3; Soluble CD135</t>
  </si>
  <si>
    <t>A measurement of the FMS-like receptor tyrosine kinase 3 in a biological specimen.</t>
  </si>
  <si>
    <t>FMS-like Receptor Tyrosine Kinase 3 Measurement</t>
  </si>
  <si>
    <t>C174306</t>
  </si>
  <si>
    <t>FLT3L</t>
  </si>
  <si>
    <t>FMS-like Tyrosine Kinase 3 Ligand</t>
  </si>
  <si>
    <t>A measurement of the FMS-like tyrosine kinase 3 ligand in a biological specimen.</t>
  </si>
  <si>
    <t>FMS-like Tyrosine Kinase 3 Ligand Measurement</t>
  </si>
  <si>
    <t>C85581</t>
  </si>
  <si>
    <t>FLUCP</t>
  </si>
  <si>
    <t>Fluctuation%</t>
  </si>
  <si>
    <t>The difference between Cmin and Cmax standardized to Cavg, between dose time and Tau.</t>
  </si>
  <si>
    <t>Concentration Variability Between Dose Time and Tau</t>
  </si>
  <si>
    <t>C171508</t>
  </si>
  <si>
    <t>FLUDOUTE</t>
  </si>
  <si>
    <t>Fluid Output, Estimated</t>
  </si>
  <si>
    <t>An estimate of the total volume of fluid discharged over a set period of time.</t>
  </si>
  <si>
    <t>Estimated Fluid Output</t>
  </si>
  <si>
    <t>C214727</t>
  </si>
  <si>
    <t>FLUID</t>
  </si>
  <si>
    <t>Fluid</t>
  </si>
  <si>
    <t>A evaluation of fluid in a biological specimen or location.</t>
  </si>
  <si>
    <t>Fluid Assessment</t>
  </si>
  <si>
    <t>C171455</t>
  </si>
  <si>
    <t>FLUIDOUT</t>
  </si>
  <si>
    <t>Fluid Output</t>
  </si>
  <si>
    <t>A measurement of the total volume of fluid discharged over a set period of time.</t>
  </si>
  <si>
    <t>C122120</t>
  </si>
  <si>
    <t>FLUORIDE</t>
  </si>
  <si>
    <t>Fluoride</t>
  </si>
  <si>
    <t>A measurement of the fluoride in a biological specimen.</t>
  </si>
  <si>
    <t>Fluoride Measurement</t>
  </si>
  <si>
    <t>C158219</t>
  </si>
  <si>
    <t>FLUOXTN</t>
  </si>
  <si>
    <t>Fluoxetine</t>
  </si>
  <si>
    <t>A measurement of the fluoxetine drug present in a biological specimen.</t>
  </si>
  <si>
    <t>Fluoxetine Measurement</t>
  </si>
  <si>
    <t>C187816</t>
  </si>
  <si>
    <t>FLUOXTNN</t>
  </si>
  <si>
    <t>Norfluoxetine</t>
  </si>
  <si>
    <t>A measurement of the norfluoxetine in a biological specimen.</t>
  </si>
  <si>
    <t>Norfluoxetine Measurement</t>
  </si>
  <si>
    <t>C177980</t>
  </si>
  <si>
    <t>FLUPHZN</t>
  </si>
  <si>
    <t>Fluphenazine</t>
  </si>
  <si>
    <t>A measurement of the fluphenazine in a biological specimen.</t>
  </si>
  <si>
    <t>Fluphenazine Measurement</t>
  </si>
  <si>
    <t>C147340</t>
  </si>
  <si>
    <t>FLUVOXAM</t>
  </si>
  <si>
    <t>Fluvoxamine</t>
  </si>
  <si>
    <t>A measurement of the fluvoxamine present in a biological specimen.</t>
  </si>
  <si>
    <t>Fluvoxamine Measurement</t>
  </si>
  <si>
    <t>C184585</t>
  </si>
  <si>
    <t>FLXMSTRN</t>
  </si>
  <si>
    <t>Fluoxymesterone</t>
  </si>
  <si>
    <t>A measurement of the fluoxymesterone in a biological specimen.</t>
  </si>
  <si>
    <t>Fluoxymesterone Measurement</t>
  </si>
  <si>
    <t>C184704</t>
  </si>
  <si>
    <t>FM</t>
  </si>
  <si>
    <t>Fraction of the Dose Metabolized</t>
  </si>
  <si>
    <t>The fraction of the bioavailable dose which has been metabolized.</t>
  </si>
  <si>
    <t>C198357</t>
  </si>
  <si>
    <t>FMPSTDTC</t>
  </si>
  <si>
    <t>First Menstrual Period Start Date</t>
  </si>
  <si>
    <t>The date of the first day of the first menstrual cycle.</t>
  </si>
  <si>
    <t>C189539</t>
  </si>
  <si>
    <t>FNU</t>
  </si>
  <si>
    <t>Fusobacterium nucleatum</t>
  </si>
  <si>
    <t>A measurement of the Fusobacterium nucleatum in a biological specimen.</t>
  </si>
  <si>
    <t>Fusobacterium nucleatum Measurement</t>
  </si>
  <si>
    <t>C186048</t>
  </si>
  <si>
    <t>FNZPMAOM</t>
  </si>
  <si>
    <t>Flunitrazepam and/or Metabolites</t>
  </si>
  <si>
    <t>A measurement of the flunitrazepam and/or its metabolite(s) present in a biological specimen, for an assay that can measure both flunitrazepam and its metabolites.</t>
  </si>
  <si>
    <t>Flunitrazepam and/or Metabolites Measurement</t>
  </si>
  <si>
    <t>C154909</t>
  </si>
  <si>
    <t>FOCLOIND</t>
  </si>
  <si>
    <t>Fontanelle Closure Indicator</t>
  </si>
  <si>
    <t>An indication as to whether the fontanelle is closed.</t>
  </si>
  <si>
    <t>C132431</t>
  </si>
  <si>
    <t>FOLH1</t>
  </si>
  <si>
    <t>Folate Hydrolase 1</t>
  </si>
  <si>
    <t>A measurement of the folate hydrolase 1 in a biological specimen.</t>
  </si>
  <si>
    <t>Folate Hydrolase 1 Measurement</t>
  </si>
  <si>
    <t>C132367</t>
  </si>
  <si>
    <t>FOLHMRNA</t>
  </si>
  <si>
    <t>Folate Hydrolase mRNA</t>
  </si>
  <si>
    <t>A measurement of the folate hydrolase mRNA in a biological specimen.</t>
  </si>
  <si>
    <t>Folate Hydrolase mRNA Measurement</t>
  </si>
  <si>
    <t>C204649</t>
  </si>
  <si>
    <t>FORMALD</t>
  </si>
  <si>
    <t>Formaldehyde</t>
  </si>
  <si>
    <t>Formaldehyde; Formic Aldehyde; Methanal</t>
  </si>
  <si>
    <t>A measurement of the formaldehyde in a specimen.</t>
  </si>
  <si>
    <t>Formaldehyde Measurement</t>
  </si>
  <si>
    <t>C166072</t>
  </si>
  <si>
    <t>FOXP3</t>
  </si>
  <si>
    <t>Forkhead Box Protein 3</t>
  </si>
  <si>
    <t>AIID; DIETER; Forkhead Box P3; Forkhead Box Protein 3; IPEX; JM2; PIDX; SCURFIN; XPID</t>
  </si>
  <si>
    <t>A measurement of the forkhead box protein 3 in a biological specimen.</t>
  </si>
  <si>
    <t>Forkhead Box Protein P3 Measurement</t>
  </si>
  <si>
    <t>C147341</t>
  </si>
  <si>
    <t>FPP</t>
  </si>
  <si>
    <t>Protoporphyrin, Free</t>
  </si>
  <si>
    <t>A measurement of the free protoporphyrin (unbound to iron in hemoglobin) in a biological specimen.</t>
  </si>
  <si>
    <t>Free Protoporphyrin Measurement</t>
  </si>
  <si>
    <t>C89800</t>
  </si>
  <si>
    <t>FRC</t>
  </si>
  <si>
    <t>Functional Residual Capacity</t>
  </si>
  <si>
    <t>The volume of air remaining in the lungs after a normal exhalation. (NCI)</t>
  </si>
  <si>
    <t>C126052</t>
  </si>
  <si>
    <t>FRCPP</t>
  </si>
  <si>
    <t>Percent Predicted FRC</t>
  </si>
  <si>
    <t>The functional residual capacity as a proportion of the predicted normal value.</t>
  </si>
  <si>
    <t>Percent Predicted Functional Residual Capacity</t>
  </si>
  <si>
    <t>C154839</t>
  </si>
  <si>
    <t>FREL</t>
  </si>
  <si>
    <t>Relative Bioavailability</t>
  </si>
  <si>
    <t>The fraction of the treatment dose that reaches the systemic circulation relative to a reference route or reference formulation. The ratio of the amount of drug in the system (area under the curve) after administration of a test formulation divided by the</t>
  </si>
  <si>
    <t>C156576</t>
  </si>
  <si>
    <t>FREXINT</t>
  </si>
  <si>
    <t>Fract Excr from T1 to T2</t>
  </si>
  <si>
    <t>The fraction of the administered dose that is recovered from the specimen type specified in PPSPEC, over the interval between T1 and T2.</t>
  </si>
  <si>
    <t>Fractional Excretion from T1 to T2</t>
  </si>
  <si>
    <t>C161349</t>
  </si>
  <si>
    <t>FRFEABS</t>
  </si>
  <si>
    <t>Fractional Iron Absorption</t>
  </si>
  <si>
    <t>A relative measurement (ratio or percentage) of the iron absorbed into tissue or cells to the total available iron.</t>
  </si>
  <si>
    <t>C49680</t>
  </si>
  <si>
    <t>FRMSIZE</t>
  </si>
  <si>
    <t>Body Frame Size</t>
  </si>
  <si>
    <t>The categorization of a person's body frame into small, medium and large based on the measurement of wrist circumference or the breadth of the elbow. (NCI)</t>
  </si>
  <si>
    <t>C186049</t>
  </si>
  <si>
    <t>FRNG</t>
  </si>
  <si>
    <t>Glycated Ferritin</t>
  </si>
  <si>
    <t>A measurement of the glycated ferritin in a biological specimen.</t>
  </si>
  <si>
    <t>Glycated Ferritin Measurement</t>
  </si>
  <si>
    <t>C186050</t>
  </si>
  <si>
    <t>FRNGFRN</t>
  </si>
  <si>
    <t>Glycated Ferritin/Ferritin</t>
  </si>
  <si>
    <t>A relative measurement (ratio or percentage) of the glycated ferritin to total ferritin in a biological specimen.</t>
  </si>
  <si>
    <t>Glycated Ferritin to Ferritin Ratio Measurement</t>
  </si>
  <si>
    <t>C209591</t>
  </si>
  <si>
    <t>FRNGO</t>
  </si>
  <si>
    <t>Glycosylated Ferritin</t>
  </si>
  <si>
    <t>A measurement of the glycosylated ferritin in a biological specimen.</t>
  </si>
  <si>
    <t>Glycosylated Ferritin Measurement</t>
  </si>
  <si>
    <t>C209592</t>
  </si>
  <si>
    <t>FRNGOFRN</t>
  </si>
  <si>
    <t>Glycosylated Ferritin/Ferritin</t>
  </si>
  <si>
    <t>A relative measurement (ratio or percentage) of the glycosylated ferritin to total ferritin in a biological specimen.</t>
  </si>
  <si>
    <t>Glycosylated Ferritin to Ferritin Ratio Measurement</t>
  </si>
  <si>
    <t>C186214</t>
  </si>
  <si>
    <t>FRTLSTAT</t>
  </si>
  <si>
    <t>Fertility Status</t>
  </si>
  <si>
    <t>The status of an individual with respect to their ability to produce offspring.</t>
  </si>
  <si>
    <t>C172521</t>
  </si>
  <si>
    <t>FRTNHC</t>
  </si>
  <si>
    <t>Ferritin Heavy Chain</t>
  </si>
  <si>
    <t>Apoferritin; Ferritin Heavy Chain; FTH; FTH1</t>
  </si>
  <si>
    <t>A measurement of the ferritin heavy chain in a biological specimen.</t>
  </si>
  <si>
    <t>Ferritin Heavy Chain Measurement</t>
  </si>
  <si>
    <t>C172522</t>
  </si>
  <si>
    <t>FRTNLC</t>
  </si>
  <si>
    <t>Ferritin Light Chain</t>
  </si>
  <si>
    <t>Ferritin Light Chain; FTL; L Apoferritin</t>
  </si>
  <si>
    <t>A measurement of the ferritin light chain in a biological specimen.</t>
  </si>
  <si>
    <t>Ferritin Light Chain Measurement</t>
  </si>
  <si>
    <t>C74678</t>
  </si>
  <si>
    <t>FRUCT</t>
  </si>
  <si>
    <t>Fructosamine</t>
  </si>
  <si>
    <t>Fructosamine; Glycated Serum Protein</t>
  </si>
  <si>
    <t>A measurement of the fructosamine in a biological specimen.</t>
  </si>
  <si>
    <t>Fructosamine Measurement</t>
  </si>
  <si>
    <t>C147342</t>
  </si>
  <si>
    <t>FRUCTOSE</t>
  </si>
  <si>
    <t>Fructose</t>
  </si>
  <si>
    <t>A measurement of the fructose in a biological specimen.</t>
  </si>
  <si>
    <t>Fructose Measurement</t>
  </si>
  <si>
    <t>C161350</t>
  </si>
  <si>
    <t>FRUMCRTP</t>
  </si>
  <si>
    <t>Fructosamine Corrected for Total Protein</t>
  </si>
  <si>
    <t>A measurement of fructosamine, which has been corrected for total protein, in a biological specimen.</t>
  </si>
  <si>
    <t>Fructosamine Corrected for Total Protein Measurement</t>
  </si>
  <si>
    <t>C186051</t>
  </si>
  <si>
    <t>FRZPMAOM</t>
  </si>
  <si>
    <t>Flurazepam and/or Metabolites</t>
  </si>
  <si>
    <t>A measurement of the flurazepam and/or its metabolite(s) present in a biological specimen, for an assay that can measure both flurazepam and its metabolites.</t>
  </si>
  <si>
    <t>Flurazepam and/or Metabolites Measurement</t>
  </si>
  <si>
    <t>C74783</t>
  </si>
  <si>
    <t>FSH</t>
  </si>
  <si>
    <t>Follicle Stimulating Hormone</t>
  </si>
  <si>
    <t>A measurement of the follicle stimulating hormone (FSH) in a biological specimen.</t>
  </si>
  <si>
    <t>Follicle Stimulating Hormone Measurement</t>
  </si>
  <si>
    <t>C201480</t>
  </si>
  <si>
    <t>FSXIAGE</t>
  </si>
  <si>
    <t>Age at First Sexual Intercourse</t>
  </si>
  <si>
    <t>The age at which first sexual intercourse occurred.</t>
  </si>
  <si>
    <t>C201481</t>
  </si>
  <si>
    <t>FSXOAGE</t>
  </si>
  <si>
    <t>Age at First Oral Sex</t>
  </si>
  <si>
    <t>The age at which first oral sex occurred.</t>
  </si>
  <si>
    <t>C174372</t>
  </si>
  <si>
    <t>FTEWT</t>
  </si>
  <si>
    <t>Fetal Estimated Weight</t>
  </si>
  <si>
    <t>An approximate determination of the weight of the fetus.</t>
  </si>
  <si>
    <t>C158297</t>
  </si>
  <si>
    <t>FTHDCIRC</t>
  </si>
  <si>
    <t>Fetal Head Circumference</t>
  </si>
  <si>
    <t>A circumferential measurement of the fetal head at the widest point.</t>
  </si>
  <si>
    <t>C92716</t>
  </si>
  <si>
    <t>FTHR</t>
  </si>
  <si>
    <t>Fetal Heart Rate</t>
  </si>
  <si>
    <t>Fetal Heart Rate; Fetal HR</t>
  </si>
  <si>
    <t>The number of fetal heartbeats per unit of time.</t>
  </si>
  <si>
    <t>C174375</t>
  </si>
  <si>
    <t>FTMANDL</t>
  </si>
  <si>
    <t>Fetal Mandibular Length</t>
  </si>
  <si>
    <t>A measurement of the length of the fetal mandible.</t>
  </si>
  <si>
    <t>C174373</t>
  </si>
  <si>
    <t>FTSAD</t>
  </si>
  <si>
    <t>Fetal Sagittal Abdominal Diameter</t>
  </si>
  <si>
    <t>Fetal SAD; Fetal Sagittal Abdominal Diameter</t>
  </si>
  <si>
    <t>A measurement of the sagittal abdominal diameter of the fetus.</t>
  </si>
  <si>
    <t>C209682</t>
  </si>
  <si>
    <t>FTSTUIND</t>
  </si>
  <si>
    <t>Full-Time Student Indicator</t>
  </si>
  <si>
    <t>An indication as to whether the subject is a full-time student.</t>
  </si>
  <si>
    <t>C214762</t>
  </si>
  <si>
    <t>FTSZGAC</t>
  </si>
  <si>
    <t>Fetal Size-for-Gestational Age Category</t>
  </si>
  <si>
    <t>An assessed relationship of the fetal size and gestational age to that of a reference population, expressed as a category.</t>
  </si>
  <si>
    <t>C174374</t>
  </si>
  <si>
    <t>FTWTGAPL</t>
  </si>
  <si>
    <t>Fetal Weight-for-Gest Age Percentile</t>
  </si>
  <si>
    <t>Fetal Weight-for-Gest Age Percentile; Fetal Weight-for-Gestational Age Percentile</t>
  </si>
  <si>
    <t>An assessed relationship of the fetal weight and gestational age to that of a reference population, expressed as a percentile.</t>
  </si>
  <si>
    <t>Fetal Weight-for-Gestational Age Percentile</t>
  </si>
  <si>
    <t>C135490</t>
  </si>
  <si>
    <t>FU</t>
  </si>
  <si>
    <t>Fraction Unbound</t>
  </si>
  <si>
    <t>The percent or ratio of free substance concentration to the total concentration. (NCI)</t>
  </si>
  <si>
    <t>SS</t>
  </si>
  <si>
    <t>C186215</t>
  </si>
  <si>
    <t>FUAVSTAT</t>
  </si>
  <si>
    <t>Follow-Up Availability Status</t>
  </si>
  <si>
    <t>The state or condition of the subject's availability to provide information about their health status after they are no longer receiving study treatment.</t>
  </si>
  <si>
    <t>C122190</t>
  </si>
  <si>
    <t>FULLTRMN</t>
  </si>
  <si>
    <t>Number of Full Term Births</t>
  </si>
  <si>
    <t>A measurement of the total number of birth events (both live and dead) at which the gestational age of the neonate is 39 weeks and 0 days through 40 weeks and 6 days.</t>
  </si>
  <si>
    <t>C154876</t>
  </si>
  <si>
    <t>FUNDHT</t>
  </si>
  <si>
    <t>Fundal Height</t>
  </si>
  <si>
    <t>A measurement of the distance between the pubic symphysis and the top of the palpable uterus.</t>
  </si>
  <si>
    <t>C154813</t>
  </si>
  <si>
    <t>FUNGI</t>
  </si>
  <si>
    <t>Fungi</t>
  </si>
  <si>
    <t>Fungi; Fungus</t>
  </si>
  <si>
    <t>A measurement of the fungi in a biological specimen.</t>
  </si>
  <si>
    <t>Fungi Measurement</t>
  </si>
  <si>
    <t>C147343</t>
  </si>
  <si>
    <t>FUNGIFIL</t>
  </si>
  <si>
    <t>Fungi, Filamentous</t>
  </si>
  <si>
    <t>A measurement of the filamentous fungi in a biological specimen.</t>
  </si>
  <si>
    <t>Filamentous Fungi Count</t>
  </si>
  <si>
    <t>C147344</t>
  </si>
  <si>
    <t>FUNGYLK</t>
  </si>
  <si>
    <t>Fungi, Yeast-Like</t>
  </si>
  <si>
    <t>A measurement of the yeast-like fungi in a biological specimen.</t>
  </si>
  <si>
    <t>Yeast-Like Fungi Count</t>
  </si>
  <si>
    <t>C184586</t>
  </si>
  <si>
    <t>FURAZBL</t>
  </si>
  <si>
    <t>Furazabol</t>
  </si>
  <si>
    <t>A measurement of the furazabol in a biological specimen.</t>
  </si>
  <si>
    <t>Furazabol Measurement</t>
  </si>
  <si>
    <t>C170587</t>
  </si>
  <si>
    <t>FVAAC</t>
  </si>
  <si>
    <t>Factor V Activity Actual/Control</t>
  </si>
  <si>
    <t>Factor V Activity Actual/Control; Factor V Activity Actual/Factor V Activity Control; Factor V Activity Actual/Normal</t>
  </si>
  <si>
    <t>A relative measurement (ratio or percentage) of the biological activity of factor V dependent coagulation in a subject's specimen when compared to the same activity in a control specimen.</t>
  </si>
  <si>
    <t>Factor V Activity Actual to Control Ratio Measurement</t>
  </si>
  <si>
    <t>C111361</t>
  </si>
  <si>
    <t>FVC</t>
  </si>
  <si>
    <t>Forced Vital Capacity</t>
  </si>
  <si>
    <t>The volume of air that can be forcibly exhaled following maximal inhalation.</t>
  </si>
  <si>
    <t>C124421</t>
  </si>
  <si>
    <t>FVC6</t>
  </si>
  <si>
    <t>Forced Vital Capacity in 6 Seconds</t>
  </si>
  <si>
    <t>C112381</t>
  </si>
  <si>
    <t>FVCPP</t>
  </si>
  <si>
    <t>Percent Predicted Forced Vital Capacity</t>
  </si>
  <si>
    <t>Forced vital capacity as a proportion of the predicted normal value.</t>
  </si>
  <si>
    <t>C170589</t>
  </si>
  <si>
    <t>FVIIAAC</t>
  </si>
  <si>
    <t>Factor VII Activity Actual/Control</t>
  </si>
  <si>
    <t>Factor VII Activity Actual/Control; Factor VII Activity Actual/Factor VII Activity Control; Factor VII Activity Actual/Normal</t>
  </si>
  <si>
    <t>A relative measurement (ratio or percentage) of the biological activity of factor VII dependent coagulation in a subject's specimen when compared to the same activity in a control specimen.</t>
  </si>
  <si>
    <t>Factor VII Activity Actual to Control Ratio Measurement</t>
  </si>
  <si>
    <t>C147345</t>
  </si>
  <si>
    <t>FVIIIAAC</t>
  </si>
  <si>
    <t>Factor VIII Activity Actual/Control</t>
  </si>
  <si>
    <t>Factor VIII Activity Actual/Control; Factor VIII Activity Actual/Factor VIII Activity Control; Factor VIII Activity Actual/Normal</t>
  </si>
  <si>
    <t>A relative measurement (ratio or percentage) of the biological activity of factor VIII dependent coagulation in a subject's specimen when compared to the same activity in a control specimen.</t>
  </si>
  <si>
    <t>Factor VIII Activity Actual to Control Ratio Measurement</t>
  </si>
  <si>
    <t>C170586</t>
  </si>
  <si>
    <t>FXAAC</t>
  </si>
  <si>
    <t>Factor X Activity Actual/Control</t>
  </si>
  <si>
    <t>Factor X Activity Actual/Control; Factor X Activity Actual/Factor X Activity Control; Factor X Activity Actual/Normal</t>
  </si>
  <si>
    <t>A relative measurement (ratio or percentage) of the biological activity of factor X dependent coagulation in a subject's specimen when compared to the same activity in a control specimen.</t>
  </si>
  <si>
    <t>Factor X Activity Actual/Control Ratio Measurement</t>
  </si>
  <si>
    <t>C170590</t>
  </si>
  <si>
    <t>FXAC</t>
  </si>
  <si>
    <t>Factor X Actual/Control</t>
  </si>
  <si>
    <t>Factor X Actual/Control; Factor X Actual/Normal</t>
  </si>
  <si>
    <t>A relative measurement (ratio or percentage) of the factor X in a subject's specimen when compared to a control specimen.</t>
  </si>
  <si>
    <t>Factor X Actual to Control Ratio Measurement</t>
  </si>
  <si>
    <t>C147346</t>
  </si>
  <si>
    <t>FXIVAAC</t>
  </si>
  <si>
    <t>Factor XIV Activity Actual/Control</t>
  </si>
  <si>
    <t>Factor XIV Activity Actual/Control; Factor XIV Activity Actual/Factor XIV Activity Control; Factor XIV Activity Actual/Normal; Protein C Activity Actual/Control</t>
  </si>
  <si>
    <t>A relative measurement (ratio or percentage) of the biological activity of factor XIV dependent coagulation in a subject's specimen when compared to the same activity in a control specimen.</t>
  </si>
  <si>
    <t>Factor XIV Activity Actual to Control Ratio Measurement</t>
  </si>
  <si>
    <t>C170594</t>
  </si>
  <si>
    <t>FXIVAC</t>
  </si>
  <si>
    <t>Factor XIV Actual/Control</t>
  </si>
  <si>
    <t>Factor XIV Actual/Control; Protein C Actual/Control</t>
  </si>
  <si>
    <t>A relative measurement (ratio or percentage) of the factor XIV in a subject's specimen when compared to a control specimen.</t>
  </si>
  <si>
    <t>Factor XIV Actual to Control Ratio Measurement</t>
  </si>
  <si>
    <t>C80184</t>
  </si>
  <si>
    <t>G6PD</t>
  </si>
  <si>
    <t>Glucose-6-Phosphate Dehydrogenase</t>
  </si>
  <si>
    <t>A measurement of the glucose-6-phosphate dehydrogenase in a biological specimen.</t>
  </si>
  <si>
    <t>Glucose-6-Phosphate Dehydrogenase Measurement</t>
  </si>
  <si>
    <t>C139065</t>
  </si>
  <si>
    <t>G6PDA</t>
  </si>
  <si>
    <t>Glucose-6-Phosphate Dehydrogenase Act</t>
  </si>
  <si>
    <t>A measurement of the biological activity of glucose-6-phosphate dehydrogenase in a biological specimen.</t>
  </si>
  <si>
    <t>Glucose-6-Phosphate Dehydrogenase Activity</t>
  </si>
  <si>
    <t>C132368</t>
  </si>
  <si>
    <t>G6PDRBC</t>
  </si>
  <si>
    <t>G6PD-Deficient Erythrocytes</t>
  </si>
  <si>
    <t>A measurement of the glucose-6-phosphate dehydrogenase deficient erythrocytes in a biological specimen.</t>
  </si>
  <si>
    <t>G6PD-Deficient Erythrocytes Count</t>
  </si>
  <si>
    <t>C132369</t>
  </si>
  <si>
    <t>G6PDRBRB</t>
  </si>
  <si>
    <t>G6PD-Deficient Erythrocytes/Erythrocytes</t>
  </si>
  <si>
    <t>A relative measurement (ratio or percentage) of G6PD-deficient erythrocytes to total erythrocytes in a biological specimen.</t>
  </si>
  <si>
    <t>G6PD-Deficient Erythrocytes to Erythrocytes Ratio Measurement</t>
  </si>
  <si>
    <t>C189502</t>
  </si>
  <si>
    <t>GAA</t>
  </si>
  <si>
    <t>Acid Alpha-Glucosidase</t>
  </si>
  <si>
    <t>Acid Alpha-Glucosidase; Acid Maltase; Alpha-1,4-glucosidase</t>
  </si>
  <si>
    <t>A measurement of the acid alpha-glucosidase in a biological specimen.</t>
  </si>
  <si>
    <t>Acid Alpha-Glucosidase Measurement</t>
  </si>
  <si>
    <t>C82015</t>
  </si>
  <si>
    <t>GAD1</t>
  </si>
  <si>
    <t>Glutamic Acid Decarboxylase 1</t>
  </si>
  <si>
    <t>Glutamic Acid Decarboxylase 1; Glutamic Acid Decarboxylase 67</t>
  </si>
  <si>
    <t>A measurement of the glutamic acid decarboxylase 1 in a biological specimen.</t>
  </si>
  <si>
    <t>Glutamic Acid Decarboxylase 1 Measurement</t>
  </si>
  <si>
    <t>C82016</t>
  </si>
  <si>
    <t>GAD2</t>
  </si>
  <si>
    <t>Glutamic Acid Decarboxylase 2</t>
  </si>
  <si>
    <t>Glutamic Acid Decarboxylase 2; Glutamic Acid Decarboxylase 65</t>
  </si>
  <si>
    <t>A measurement of the glutamic acid decarboxylase 2 in a biological specimen.</t>
  </si>
  <si>
    <t>Glutamic Acid Decarboxylase 2 Measurement</t>
  </si>
  <si>
    <t>C81308</t>
  </si>
  <si>
    <t>GAL</t>
  </si>
  <si>
    <t>Galactose</t>
  </si>
  <si>
    <t>A measurement of the galactose in a biological specimen.</t>
  </si>
  <si>
    <t>Galactose Measurement</t>
  </si>
  <si>
    <t>C186052</t>
  </si>
  <si>
    <t>GAL1PHOS</t>
  </si>
  <si>
    <t>Galactose-1-Phosphate</t>
  </si>
  <si>
    <t>A measurement of the galactose-1-phosphate in a biological specimen.</t>
  </si>
  <si>
    <t>Galactose-1-Phosphate Measurement</t>
  </si>
  <si>
    <t>C81251</t>
  </si>
  <si>
    <t>GAL1PUT</t>
  </si>
  <si>
    <t>Galactose-1-Phos Uridylyltransferase</t>
  </si>
  <si>
    <t>G1PUT; Galactose 1 Phosphate Uridyl Transferase; Galactose-1-Phos Uridylyltransferase; Galactose-1-Phosphate Uridylyltransferase; GALT</t>
  </si>
  <si>
    <t>A measurement of the galactose-1-phosphate uridyltransferase in a biological specimen.</t>
  </si>
  <si>
    <t>Galactose-1-Phosphate Uridyltransferase Measurement</t>
  </si>
  <si>
    <t>C80182</t>
  </si>
  <si>
    <t>GALANIN</t>
  </si>
  <si>
    <t>Galanin</t>
  </si>
  <si>
    <t>A measurement of the galanin in a biological specimen.</t>
  </si>
  <si>
    <t>Galanin Measurement</t>
  </si>
  <si>
    <t>C163439</t>
  </si>
  <si>
    <t>GALM</t>
  </si>
  <si>
    <t>Galactose Mutarotase</t>
  </si>
  <si>
    <t>A measurement of the galactose mutarotase in a biological specimen.</t>
  </si>
  <si>
    <t>Galactose Mutarotase Measurement</t>
  </si>
  <si>
    <t>C154766</t>
  </si>
  <si>
    <t>GAMBTAC</t>
  </si>
  <si>
    <t>Gamma-Aminobutyric Acid</t>
  </si>
  <si>
    <t>GABA; Gamma-aminobutyrate; Gamma-Aminobutyric Acid</t>
  </si>
  <si>
    <t>A measurement of the gamma-aminobutyric acid in a biological specimen.</t>
  </si>
  <si>
    <t>Gamma-Aminobutyric Acid Measurement</t>
  </si>
  <si>
    <t>C184524</t>
  </si>
  <si>
    <t>GAPDH</t>
  </si>
  <si>
    <t>Glyceraldehyde-3-Phosphate Dehydrogenase</t>
  </si>
  <si>
    <t>GAPDH; Glyceraldehyde 3 Phosphate Dehydrogenase; Glyceraldehyde-3-Phosphate Dehydrogenase</t>
  </si>
  <si>
    <t>A measurement of the glyceraldehyde-3-phosphate dehydrogenase in a biological specimen.</t>
  </si>
  <si>
    <t>Glyceraldehyde-3-Phosphate Dehydrogenase Measurement</t>
  </si>
  <si>
    <t>C221610</t>
  </si>
  <si>
    <t>GARDNERE</t>
  </si>
  <si>
    <t>Gardnerella</t>
  </si>
  <si>
    <t>A measurement of the organisms that are not assigned to the species level but are assigned to the Gardnerella genus level in a biological specimen.</t>
  </si>
  <si>
    <t>Gardnerella Measurement</t>
  </si>
  <si>
    <t>C189582</t>
  </si>
  <si>
    <t>GAS</t>
  </si>
  <si>
    <t>Streptococcus Group A</t>
  </si>
  <si>
    <t>A measurement of the Streptococcus group A in a biological specimen.</t>
  </si>
  <si>
    <t>Group A Streptococcus Measurement</t>
  </si>
  <si>
    <t>C74858</t>
  </si>
  <si>
    <t>GASTRIN</t>
  </si>
  <si>
    <t>Gastrin</t>
  </si>
  <si>
    <t>A measurement of the gastrin hormone in a biological specimen.</t>
  </si>
  <si>
    <t>Gastrin Measurement</t>
  </si>
  <si>
    <t>C116211</t>
  </si>
  <si>
    <t>GATCPHRL</t>
  </si>
  <si>
    <t>Gamma Tocopherol</t>
  </si>
  <si>
    <t>A measurement of the gamma tocopherol in a biological specimen.</t>
  </si>
  <si>
    <t>Gamma Tocopherol Measurement</t>
  </si>
  <si>
    <t>C124422</t>
  </si>
  <si>
    <t>GAW</t>
  </si>
  <si>
    <t>Airway Conductance</t>
  </si>
  <si>
    <t>The instantaneous rate of air flow in the airway, expressed as the pressure difference between any given part of the airway and the alveoli; it is the reciprocal of airway resistance (Raw).</t>
  </si>
  <si>
    <t>C209593</t>
  </si>
  <si>
    <t>GB3</t>
  </si>
  <si>
    <t>Globotriaosylceramide</t>
  </si>
  <si>
    <t>Gb3; GL-3; GL3; Globotriaosylceramide; sCD77; Soluble CD77</t>
  </si>
  <si>
    <t>A measurement of the globotriaosylceramide in a biological specimen.</t>
  </si>
  <si>
    <t>Globotriaosylceramide Measurement</t>
  </si>
  <si>
    <t>C184520</t>
  </si>
  <si>
    <t>GBA</t>
  </si>
  <si>
    <t>Glucosylceramidase Beta</t>
  </si>
  <si>
    <t>Beta-Glucocerebrosidase; GBA; Glucocerebrosidase Beta; Glucosylceramidase; Glucosylceramidase Beta</t>
  </si>
  <si>
    <t>A measurement of the glucosylceramidase beta in a biological specimen.</t>
  </si>
  <si>
    <t>Glucosylceramidase Beta Measurement</t>
  </si>
  <si>
    <t>C163440</t>
  </si>
  <si>
    <t>GBP1</t>
  </si>
  <si>
    <t>Guanylate Binding Protein 1</t>
  </si>
  <si>
    <t>A measurement of the guanylate binding protein 1 in a biological specimen.</t>
  </si>
  <si>
    <t>Guanylate Binding Protein 1 Measurement</t>
  </si>
  <si>
    <t>C163441</t>
  </si>
  <si>
    <t>GBP2</t>
  </si>
  <si>
    <t>Guanylate Binding Protein 2</t>
  </si>
  <si>
    <t>A measurement of the guanylate binding protein 2 in a biological specimen.</t>
  </si>
  <si>
    <t>Guanylate Binding Protein 2 Measurement</t>
  </si>
  <si>
    <t>C189583</t>
  </si>
  <si>
    <t>GBS</t>
  </si>
  <si>
    <t>Streptococcus Group B</t>
  </si>
  <si>
    <t>A measurement of the Streptococcus group B in a biological specimen.</t>
  </si>
  <si>
    <t>Group B Streptococcus Measurement</t>
  </si>
  <si>
    <t>C176305</t>
  </si>
  <si>
    <t>GCDCA</t>
  </si>
  <si>
    <t>Glycochenodeoxycholate</t>
  </si>
  <si>
    <t>Glycochenodeoxycholate; Glycochenodeoxycholic Acid</t>
  </si>
  <si>
    <t>A measurement of the glycochenodeoxycholate in a biological specimen.</t>
  </si>
  <si>
    <t>Glycochenodeoxycholate Measurement</t>
  </si>
  <si>
    <t>C176299</t>
  </si>
  <si>
    <t>GCHT</t>
  </si>
  <si>
    <t>Glycocholate</t>
  </si>
  <si>
    <t>Cholylglycine; Glycocholate; Glycocholic Acid</t>
  </si>
  <si>
    <t>A measurement of the glycocholate in a biological specimen.</t>
  </si>
  <si>
    <t>Glycocholate Measurement</t>
  </si>
  <si>
    <t>C209455</t>
  </si>
  <si>
    <t>GCS</t>
  </si>
  <si>
    <t>Global Circumferential Strain</t>
  </si>
  <si>
    <t>A measurement of the global myocardial circumferential strain of the ventricle or atrium, via an automated algorithm.</t>
  </si>
  <si>
    <t>Global Circumferential Strain Measurement</t>
  </si>
  <si>
    <t>C209530</t>
  </si>
  <si>
    <t>GCS_C</t>
  </si>
  <si>
    <t>Global Circumferential Strain, Cal</t>
  </si>
  <si>
    <t>Global Circumferential Strain, Cal; Global Circumferential Strain, Calculated</t>
  </si>
  <si>
    <t>A calculation of the global myocardial circumferential strain of the ventricle or atrium, by averaging the collected segmental circumferential strains.</t>
  </si>
  <si>
    <t>Calculated Global Circumferential Strain Measurement</t>
  </si>
  <si>
    <t>C82018</t>
  </si>
  <si>
    <t>GCSF</t>
  </si>
  <si>
    <t>Granulocyte Colony Stimulating Factor</t>
  </si>
  <si>
    <t>A measurement of the granulocyte colony stimulating factor in a biological specimen.</t>
  </si>
  <si>
    <t>Granulocyte Colony Stimulating Factor Measurement</t>
  </si>
  <si>
    <t>C150845</t>
  </si>
  <si>
    <t>GDA</t>
  </si>
  <si>
    <t>Guanine Deaminase</t>
  </si>
  <si>
    <t>Guanase; Guanine Aminohydrolase; Guanine Deaminase</t>
  </si>
  <si>
    <t>A measurement of the guanine deaminase in a biological specimen.</t>
  </si>
  <si>
    <t>Guanine Deaminase Measurement</t>
  </si>
  <si>
    <t>C135422</t>
  </si>
  <si>
    <t>GDF11</t>
  </si>
  <si>
    <t>Growth Differentiation Factor 11</t>
  </si>
  <si>
    <t>BMP-11; Bone Morphogenetic Protein 11; Growth Differentiation Factor 11</t>
  </si>
  <si>
    <t>A measurement of the growth differentiation factor 11 in a biological specimen.</t>
  </si>
  <si>
    <t>Growth Differentiation Factor 11 Measurement</t>
  </si>
  <si>
    <t>C181406</t>
  </si>
  <si>
    <t>GDF15</t>
  </si>
  <si>
    <t>Growth Differentiation Factor 15</t>
  </si>
  <si>
    <t>GDF-15; Growth Differentiation Factor 15; Macrophage Inhibitory Cytokine-1; MIC-1</t>
  </si>
  <si>
    <t>A measurement of the growth differentiation factor 15 in a biological specimen.</t>
  </si>
  <si>
    <t>Growth Differentiation Factor 15 Measurement</t>
  </si>
  <si>
    <t>C199913</t>
  </si>
  <si>
    <t>GDF2</t>
  </si>
  <si>
    <t>Growth Differentiation Factor 2</t>
  </si>
  <si>
    <t>BMP-9; BMP9; Bone Morphogenetic Protein 9; Growth Differentiation Factor 2; Growth/Differentiation Factor 2</t>
  </si>
  <si>
    <t>A measurement of the growth differentiation factor 2 in a biological specimen.</t>
  </si>
  <si>
    <t>Growth Differentiation Factor 2 Measurement</t>
  </si>
  <si>
    <t>C135423</t>
  </si>
  <si>
    <t>GDF8</t>
  </si>
  <si>
    <t>Growth Differentiation Factor 8</t>
  </si>
  <si>
    <t>Growth Differentiation Factor 8; Myostatin</t>
  </si>
  <si>
    <t>A measurement of the growth differentiation factor 8 in a biological specimen.</t>
  </si>
  <si>
    <t>Growth Differentiation Factor 8 Measurement</t>
  </si>
  <si>
    <t>C165961</t>
  </si>
  <si>
    <t>GDIGA1</t>
  </si>
  <si>
    <t>Galactose-Deficient IgA1</t>
  </si>
  <si>
    <t>Galactose-Deficient IgA1; Gd-IgA1</t>
  </si>
  <si>
    <t>A measurement of the galactose-deficient IgA1 in a biological specimen.</t>
  </si>
  <si>
    <t>Galactose-Deficient IgA1 Measurement</t>
  </si>
  <si>
    <t>C124342</t>
  </si>
  <si>
    <t>GEC</t>
  </si>
  <si>
    <t>Galactose Elimination Capacity</t>
  </si>
  <si>
    <t>A liver function test that measures galactose elimination capacity in a biological specimen.</t>
  </si>
  <si>
    <t>C158277</t>
  </si>
  <si>
    <t>GENIDENT</t>
  </si>
  <si>
    <t>Gender Identity</t>
  </si>
  <si>
    <t>A person's internally held sense of their gender, which may or may not correspond to the individual's genotypic or phenotypic sex. [The NCI Thesaurus contains biomedical terminologies that NCI does not own or control. This concept contains gender-related</t>
  </si>
  <si>
    <t>C189528</t>
  </si>
  <si>
    <t>GFAP</t>
  </si>
  <si>
    <t>Glial Fibrillary Acidic Protein</t>
  </si>
  <si>
    <t>A measurement of the glial fibrillary acidic protein in a biological specimen.</t>
  </si>
  <si>
    <t>Glial Fibrillary Acidic Protein Measurement</t>
  </si>
  <si>
    <t>C90505</t>
  </si>
  <si>
    <t>GFR</t>
  </si>
  <si>
    <t>Glomerular Filtration Rate</t>
  </si>
  <si>
    <t>A kidney function test that measures the fluid volume that is filtered from the kidney glomeruli to the Bowman's capsule per unit of time.</t>
  </si>
  <si>
    <t>C98734</t>
  </si>
  <si>
    <t>GFRBSA</t>
  </si>
  <si>
    <t>Glomerular Filtration Rate Adj for BSA</t>
  </si>
  <si>
    <t>A measurement of the glomerular filtration rate adjusted for body surface area.</t>
  </si>
  <si>
    <t>Glomerular Filtration Rate Adjusted for BSA</t>
  </si>
  <si>
    <t>C100450</t>
  </si>
  <si>
    <t>GFRBSB2M</t>
  </si>
  <si>
    <t>GFR from B-2 Microglobulin Adj for BSA</t>
  </si>
  <si>
    <t>A direct measurement of the glomerular filtration rate (GFR) based on the clearance of beta-2 microglobulin after adjusting it for the standard body surface area value 1.73m2.</t>
  </si>
  <si>
    <t>Direct Glomerular Filtration Rate from Beta-2 Microglobulin Adjusted for Standard BSA Measurement</t>
  </si>
  <si>
    <t>C100449</t>
  </si>
  <si>
    <t>GFRBSBTP</t>
  </si>
  <si>
    <t>GFR from Beta-Trace Protein Adj for BSA</t>
  </si>
  <si>
    <t>A direct measurement of the glomerular filtration rate (GFR) based on the clearance of beta-trace protein after adjusting it for the standard body surface area value 1.73m2.</t>
  </si>
  <si>
    <t>Direct Glomerular Filtration Rate from Beta-Trace Protein Adjusted for Standard BSA Measurement</t>
  </si>
  <si>
    <t>C127614</t>
  </si>
  <si>
    <t>GFRBSCCC</t>
  </si>
  <si>
    <t>GFR from Cystatin C and Creat Adj BSA</t>
  </si>
  <si>
    <t>An estimation of the glomerular filtration rate adjusted for standard body surface area (1.73m2) based on cystatin C and creatinine.</t>
  </si>
  <si>
    <t>Estimated Glomeluar Filtration Rate from Cystatin C and Creatinine Adjusted for Standard BSA</t>
  </si>
  <si>
    <t>C98735</t>
  </si>
  <si>
    <t>GFRBSCRT</t>
  </si>
  <si>
    <t>GFR from Creatinine Adjusted for BSA</t>
  </si>
  <si>
    <t>An estimation of the glomerular filtration rate adjusted for standard body surface area (1.73m2) based on creatinine.</t>
  </si>
  <si>
    <t>Estimated Glomerular Filtration Rate from Creatinine Adjusted for Standard BSA</t>
  </si>
  <si>
    <t>C163442</t>
  </si>
  <si>
    <t>GFRBSCU</t>
  </si>
  <si>
    <t>GFR from Creat and UreaN Adj BSA</t>
  </si>
  <si>
    <t>GFR from Creat and UreaN Adj BSA; GFR from Creatinine and Urea Nitrogen Adjusted for BSA</t>
  </si>
  <si>
    <t>An estimation of the glomerular filtration rate adjusted for standard body surface area (1.73m2) based on creatinine and urea nitrogen.</t>
  </si>
  <si>
    <t>Estimated Glomerular Filtration Rate from Creatinine and Urea Nitrogen Adjusted for Standard BSA</t>
  </si>
  <si>
    <t>C163443</t>
  </si>
  <si>
    <t>GFRBSCUA</t>
  </si>
  <si>
    <t>GFR from Creat,UreaN,Alb Adj BSA</t>
  </si>
  <si>
    <t>GFR from Creat,UreaN,Alb Adj BSA; GFR from Creatinine, Urea Nitrogen and Albumin Adjusted for BSA</t>
  </si>
  <si>
    <t>An estimation of the glomerular filtration rate adjusted for standard body surface area (1.73m2) based on creatinine, urea nitrogen, and albumin.</t>
  </si>
  <si>
    <t>Estimated Glomerular Filtration Rate from Creatinine, Urea Nitrogen, and Albumin Adjusted for Standard BSA</t>
  </si>
  <si>
    <t>C98736</t>
  </si>
  <si>
    <t>GFRBSCYC</t>
  </si>
  <si>
    <t>GFR from Cystatin C Adjusted for BSA</t>
  </si>
  <si>
    <t>An estimation of the glomerular filtration rate adjusted for standard body surface area (1.73m2) based on cystatin C.</t>
  </si>
  <si>
    <t>Estimated Glomerular Filtration Rate from Cystatin C Adjusted for Standard BSA</t>
  </si>
  <si>
    <t>C110935</t>
  </si>
  <si>
    <t>GFRE</t>
  </si>
  <si>
    <t>Glomerular Filtration Rate, Estimated</t>
  </si>
  <si>
    <t>eGFR; Glomerular Filtration Rate, Estimated</t>
  </si>
  <si>
    <t>A kidney function test that estimates the fluid volume that is filtered from the kidney glomeruli to the Bowman's capsule per unit of time, which may or may not be indexed for body surface area.</t>
  </si>
  <si>
    <t>Estimated Glomerular Filtration Rate</t>
  </si>
  <si>
    <t>C214680</t>
  </si>
  <si>
    <t>GFREI</t>
  </si>
  <si>
    <t>GFR, Estimated Indexed</t>
  </si>
  <si>
    <t>eGFR, Indexed; Estimated Glomerular Filtration Rate Adj for 1.73m2; GFR, Estimated Indexed; Indexed eGFR; Indexed Estimated Glomerular Filtration Rate</t>
  </si>
  <si>
    <t>An estimated GFR (eGFR) that takes into account a standardized body surface area (BSA) value of 1.73m2.</t>
  </si>
  <si>
    <t>Indexed Estimated Glomerular Filtration Rate</t>
  </si>
  <si>
    <t>C214679</t>
  </si>
  <si>
    <t>GFRENI</t>
  </si>
  <si>
    <t>GFR, Estimated Non-Indexed</t>
  </si>
  <si>
    <t>Absolute GFR; De-Indexed eGFR; eGFR, Non-Indexed; Estimated Glomerular Filtration Rate Adj for BSA; GFR, Estimated Non-Indexed; Individual eGFR; Non-Indexed eGFR; Non-Indexed Estimated Glomerular Filtration Rate</t>
  </si>
  <si>
    <t>An estimated GFR (eGFR) that takes into account the individual's actual body surface area (BSA) value.</t>
  </si>
  <si>
    <t>Non-Indexed Estimated Glomerular Filtration Rate</t>
  </si>
  <si>
    <t>C214681</t>
  </si>
  <si>
    <t>GFRNIB2M</t>
  </si>
  <si>
    <t>GFR from B-2 Microglobulin Adj for aBSA</t>
  </si>
  <si>
    <t>GFR from B-2 Microglobulin Adj for aBSA; GFR from B-2 Microglobulin Adjusted for Actual BSA</t>
  </si>
  <si>
    <t>A direct measurement of the glomerular filtration rate (GFR) based on the clearance of beta-2 microglobulin after adjusting it for the individual's actual body surface area value.</t>
  </si>
  <si>
    <t>Glomerular Filtration Rate from B-2 Microglobulin Adjusted for Actual BSA Measurement</t>
  </si>
  <si>
    <t>C214682</t>
  </si>
  <si>
    <t>GFRNIBTP</t>
  </si>
  <si>
    <t>GFR from Beta-Trace Protein Adj for aBSA</t>
  </si>
  <si>
    <t>GFR from Beta-Trace Protein Adj for aBSA; GFR from Beta-Trace Protein Adjusted for Actual BSA</t>
  </si>
  <si>
    <t>A direct measurement of the glomerular filtration rate (GFR) based on the clearance of beta-trace protein after adjusting it for the individual's actual body surface area value.</t>
  </si>
  <si>
    <t>Glomerular Filtration Rate from Beta-Trace Protein Adjusted for Actual BSA Measurement</t>
  </si>
  <si>
    <t>C214683</t>
  </si>
  <si>
    <t>GFRNICCC</t>
  </si>
  <si>
    <t>GFR from Cystatin C and Creat Adj aBSA</t>
  </si>
  <si>
    <t>An estimation of the glomerular filtration rate adjusted for an individual's actual body surface area based on cystatin C and creatinine.</t>
  </si>
  <si>
    <t>Glomerular Filtration Rate from Cystatin C and Creatinine Adjusted for Actual BSA</t>
  </si>
  <si>
    <t>C214686</t>
  </si>
  <si>
    <t>GFRNICRT</t>
  </si>
  <si>
    <t>GFR from Creatinine Adjusted for aBSA</t>
  </si>
  <si>
    <t>GFR from Creatinine Adjusted for aBSA; GFR from Creatinine Adjusted for Actual BSA</t>
  </si>
  <si>
    <t>An estimation of the glomerular filtration rate adjusted for an individual's actual body surface area based on creatinine.</t>
  </si>
  <si>
    <t>Glomerular Filtration Rate from Creatinine Adjusted for Actual BSA</t>
  </si>
  <si>
    <t>C214684</t>
  </si>
  <si>
    <t>GFRNICU</t>
  </si>
  <si>
    <t>GFR from Creat and UreaN Adj aBSA</t>
  </si>
  <si>
    <t>GFR from Creat and UreaN Adj aBSA; GFR from Creatinine and Urea Nitrogen Adjusted for Actual BSA</t>
  </si>
  <si>
    <t>An estimation of the glomerular filtration rate adjusted for an individual's actual body surface area based on creatinine and urea nitrogen.</t>
  </si>
  <si>
    <t>Glomerular Filtration Rate from Creatinine and Urea Nitrogen Adjusted for Actual Body Surface Area Measurement</t>
  </si>
  <si>
    <t>C214685</t>
  </si>
  <si>
    <t>GFRNICUA</t>
  </si>
  <si>
    <t>GFR from Creat,UreaN,Alb Adj aBSA</t>
  </si>
  <si>
    <t>GFR from Creat,UreaN,Alb Adj aBSA; GFR from Creatinine, Urea Nitrogen and Albumin Adjusted for Actual BSA</t>
  </si>
  <si>
    <t>An estimation of the glomerular filtration rate adjusted for an individual's actual body surface area based on creatinine, urea nitrogen, and albumin.</t>
  </si>
  <si>
    <t>Glomerular Filtration Rate from Creatinine, Urea Nitrogen, and Albumin Adjusted for Actual Body Surface Area Measurement</t>
  </si>
  <si>
    <t>C214687</t>
  </si>
  <si>
    <t>GFRNICYC</t>
  </si>
  <si>
    <t>GFR from Cystatin C Adjusted for aBSA</t>
  </si>
  <si>
    <t>GFR from Cystatin C Adjusted for aBSA; GFR from Cystatin C Adjusted for Actual BSA</t>
  </si>
  <si>
    <t>An estimation of the glomerular filtration rate adjusted for an individual's actual body surface area based on cystatin C.</t>
  </si>
  <si>
    <t>Glomerular Filtration Rate from Cystatin C Adjusted for Actual BSA</t>
  </si>
  <si>
    <t>C64847</t>
  </si>
  <si>
    <t>GGT</t>
  </si>
  <si>
    <t>Gamma Glutamyl Transferase</t>
  </si>
  <si>
    <t>A measurement of the gamma glutamyl transferase in a biological specimen.</t>
  </si>
  <si>
    <t>Gamma Glutamyl Transpeptidase Measurement</t>
  </si>
  <si>
    <t>C79446</t>
  </si>
  <si>
    <t>GGTCREAT</t>
  </si>
  <si>
    <t>Gamma Glutamyl Transferase/Creatinine</t>
  </si>
  <si>
    <t>A relative measurement (ratio or percentage) of the gamma glutamyl transferase to creatinine in a biological specimen.</t>
  </si>
  <si>
    <t>Gamma Glutamyl Transferase to Creatinine Ratio Measurement</t>
  </si>
  <si>
    <t>C165962</t>
  </si>
  <si>
    <t>GGTEXR</t>
  </si>
  <si>
    <t>GammaGlutamyl Transferase Excretion Rate</t>
  </si>
  <si>
    <t>Gamma Glutamyl Transferase Excretion Rate</t>
  </si>
  <si>
    <t>A measurement of the amount of gamma glutamyl transferase being excreted in a biological specimen over a defined amount of time (e.g. one hour).</t>
  </si>
  <si>
    <t>C75357</t>
  </si>
  <si>
    <t>GHB</t>
  </si>
  <si>
    <t>Gamma-Hydroxybutyrate</t>
  </si>
  <si>
    <t>4-Hydroxybutanoic Acid; Gamma-Hydroxybutyrate; Gamma-Hydroxybutyric Acid</t>
  </si>
  <si>
    <t>A measurement of the gamma-hydroxybutyrate in a biological specimen.</t>
  </si>
  <si>
    <t>Gamma-Hydroxybutyrate Measurement</t>
  </si>
  <si>
    <t>C163444</t>
  </si>
  <si>
    <t>GHBP</t>
  </si>
  <si>
    <t>Growth Hormone Binding Protein</t>
  </si>
  <si>
    <t>GH Binding Protein; Growth Hormone Binding Protein; Somatotropin Receptor</t>
  </si>
  <si>
    <t>A measurement of the growth hormone binding protein in a biological specimen.</t>
  </si>
  <si>
    <t>Growth Hormone Binding Protein Measurement</t>
  </si>
  <si>
    <t>C147493</t>
  </si>
  <si>
    <t>GHISTXQL</t>
  </si>
  <si>
    <t>General Histopathologic Exam, Qual</t>
  </si>
  <si>
    <t>General Histopathologic Examination, Qualitative; General Histopathological Exam, Qual</t>
  </si>
  <si>
    <t>A qualitative microscopic examination of tissue sections to determine the presence of pathologic finding(s). This term is intended to be used for non-targeted examinations.</t>
  </si>
  <si>
    <t>Qualitative Histopathologic Examination</t>
  </si>
  <si>
    <t>C112286</t>
  </si>
  <si>
    <t>GHRELIN</t>
  </si>
  <si>
    <t>Ghrelin</t>
  </si>
  <si>
    <t>Ghrelin; Growth Hormone Secretagogue Receptor Ligand; Motilin-related Peptide; Total Ghrelin</t>
  </si>
  <si>
    <t>A measurement of total ghrelin in a biological specimen.</t>
  </si>
  <si>
    <t>Ghrelin Measurement</t>
  </si>
  <si>
    <t>C112219</t>
  </si>
  <si>
    <t>GHRELINA</t>
  </si>
  <si>
    <t>Active Ghrelin</t>
  </si>
  <si>
    <t>A measurement of active ghrelin in a biological specimen.</t>
  </si>
  <si>
    <t>Active Ghrelin Measurement</t>
  </si>
  <si>
    <t>C186155</t>
  </si>
  <si>
    <t>GIARDDNA</t>
  </si>
  <si>
    <t>Giardia DNA</t>
  </si>
  <si>
    <t>A measurement of the DNA from any member of the genus Giardia in a biological specimen.</t>
  </si>
  <si>
    <t>Giardia DNA Measurement</t>
  </si>
  <si>
    <t>C106537</t>
  </si>
  <si>
    <t>GIPI</t>
  </si>
  <si>
    <t>Glucose-dep Insulinotropic Pep, Intact</t>
  </si>
  <si>
    <t>Glucose-dep Insulinotropic Pep, Intact; Intact Gastric Inhibitory Polypeptide; Intact GIP; Intact Glucose-dependent Insulinotropic Peptide</t>
  </si>
  <si>
    <t>A measurement of the intact (containing amino acids 1-42) glucose-dependent insulinotropic peptide in a biological specimen.</t>
  </si>
  <si>
    <t>Intact Glucose-dependent Insulinotropic Peptide Measurement</t>
  </si>
  <si>
    <t>C184522</t>
  </si>
  <si>
    <t>GL1</t>
  </si>
  <si>
    <t>Glucosylceramide</t>
  </si>
  <si>
    <t>GL1; Glucocerebroside; Glucosylceramide</t>
  </si>
  <si>
    <t>A measurement of the glucosylceramide in a biological specimen.</t>
  </si>
  <si>
    <t>Glucosylceramide Measurement</t>
  </si>
  <si>
    <t>C154822</t>
  </si>
  <si>
    <t>GLAAG</t>
  </si>
  <si>
    <t>Giardia lamblia Antigen</t>
  </si>
  <si>
    <t>A measurement of the Giardia lamblia antigen in a biological specimen.</t>
  </si>
  <si>
    <t>Giardia lamblia Antigen Measurement</t>
  </si>
  <si>
    <t>C189542</t>
  </si>
  <si>
    <t>GLACRAG</t>
  </si>
  <si>
    <t>Giardia lamblia/Cryptosporidium Antigen</t>
  </si>
  <si>
    <t>A measurement of the antigen from Giardia lamblia and/or any member of the genus Cryptosporidium in a biological specimen.</t>
  </si>
  <si>
    <t>Giardia lamblia/Cryptosporidium Antigen Measurement</t>
  </si>
  <si>
    <t>C166038</t>
  </si>
  <si>
    <t>GLADNA</t>
  </si>
  <si>
    <t>Giardia lamblia DNA</t>
  </si>
  <si>
    <t>Giardia duodenalis DNA; Giardia intestinalis DNA; Giardia lamblia DNA</t>
  </si>
  <si>
    <t>A measurement of the Giardia lamblia DNA in a biological specimen.</t>
  </si>
  <si>
    <t>Giardia lamblia DNA Measurement</t>
  </si>
  <si>
    <t>C142276</t>
  </si>
  <si>
    <t>GLBCREAT</t>
  </si>
  <si>
    <t>Globulin/Creatinine</t>
  </si>
  <si>
    <t>A relative measurement (ratio or percentage) of the globulin to creatinine in a biological specimen.</t>
  </si>
  <si>
    <t>Globulin to Creatinine Ratio Measurement</t>
  </si>
  <si>
    <t>C176308</t>
  </si>
  <si>
    <t>GLCHT</t>
  </si>
  <si>
    <t>Glycolithocholate</t>
  </si>
  <si>
    <t>Glycolithocholate; Glycolithocholic Acid</t>
  </si>
  <si>
    <t>A measurement of the glycolithocholate in a biological specimen.</t>
  </si>
  <si>
    <t>Glycolithocholate Measurement</t>
  </si>
  <si>
    <t>C172493</t>
  </si>
  <si>
    <t>GLCTN3</t>
  </si>
  <si>
    <t>Galectin-3</t>
  </si>
  <si>
    <t>Galactose-Specific Lectin 3; Galectin-3; GALIG; MAC-2</t>
  </si>
  <si>
    <t>A measurement of the galectin-3 in a biological specimen.</t>
  </si>
  <si>
    <t>Galectin-3 Measurement</t>
  </si>
  <si>
    <t>C186053</t>
  </si>
  <si>
    <t>GLCTN3BP</t>
  </si>
  <si>
    <t>Galectin-3 Binding Protein</t>
  </si>
  <si>
    <t>Galectin-3 Binding Protein; LGALS3BP; M2BP; Mac-2 Binding Protein</t>
  </si>
  <si>
    <t>A measurement of the galectin-3 binding protein in a biological specimen.</t>
  </si>
  <si>
    <t>Galectin-3 Binding Protein Measurement</t>
  </si>
  <si>
    <t>C79448</t>
  </si>
  <si>
    <t>GLDH</t>
  </si>
  <si>
    <t>Glutamate Dehydrogenase</t>
  </si>
  <si>
    <t>A measurement of the glutamate dehydrogenase in a biological specimen.</t>
  </si>
  <si>
    <t>Glutamate Dehydrogenase Measurement</t>
  </si>
  <si>
    <t>C201451</t>
  </si>
  <si>
    <t>GLMC4</t>
  </si>
  <si>
    <t>Glutamate C4 Enriched</t>
  </si>
  <si>
    <t>A measurement of the C4 enriched glutamate in a biological specimen.</t>
  </si>
  <si>
    <t>C4 Enriched Glutamate Measurement</t>
  </si>
  <si>
    <t>C187954</t>
  </si>
  <si>
    <t>GLMC4GLM</t>
  </si>
  <si>
    <t>Glutamate C4 Enriched/Glutamate</t>
  </si>
  <si>
    <t>A relative measurement (ratio or percentage) of the C4 enriched glutamate to total glutamate in a biological specimen.</t>
  </si>
  <si>
    <t>C4 Enriched Glutamate to Total Glutamate Ratio Measurement</t>
  </si>
  <si>
    <t>C122121</t>
  </si>
  <si>
    <t>GLN</t>
  </si>
  <si>
    <t>Glutamine</t>
  </si>
  <si>
    <t>A measurement of the glutamine in a biological specimen.</t>
  </si>
  <si>
    <t>Glutamine Measurement</t>
  </si>
  <si>
    <t>C201452</t>
  </si>
  <si>
    <t>GLNC4</t>
  </si>
  <si>
    <t>Glutamine C4 Enriched</t>
  </si>
  <si>
    <t>A measurement of the C4 enriched glutamine in a biological specimen.</t>
  </si>
  <si>
    <t>C4 Enriched Glutamine Measurement</t>
  </si>
  <si>
    <t>C187955</t>
  </si>
  <si>
    <t>GLNC4GLN</t>
  </si>
  <si>
    <t>Glutamine C4 Enriched/Glutamine</t>
  </si>
  <si>
    <t>A relative measurement (ratio or percentage) of the C4 enriched glutamine to total glutamine in a biological specimen.</t>
  </si>
  <si>
    <t>C4 Enriched Glutamine to Total Glutamine Ratio Measurement</t>
  </si>
  <si>
    <t>C202437</t>
  </si>
  <si>
    <t>GLNCTN</t>
  </si>
  <si>
    <t>Glutamine/Creatine</t>
  </si>
  <si>
    <t>A relative measurement (ratio or percentage) of the glutamine to creatine in a biological specimen.</t>
  </si>
  <si>
    <t>Glutamine to Creatine Ratio Measurement</t>
  </si>
  <si>
    <t>C191341</t>
  </si>
  <si>
    <t>GLNTRFX</t>
  </si>
  <si>
    <t>Galant Reflex</t>
  </si>
  <si>
    <t>An involuntary, primal response in the neonate in which a finger is run down one side of the spine and the neonate laterally flexes toward that side.</t>
  </si>
  <si>
    <t>C163445</t>
  </si>
  <si>
    <t>GLOBA</t>
  </si>
  <si>
    <t>Alpha Globulin</t>
  </si>
  <si>
    <t>A measurement of the total alpha globulins in a biological specimen.</t>
  </si>
  <si>
    <t>Alpha Globulin Measurement</t>
  </si>
  <si>
    <t>C92252</t>
  </si>
  <si>
    <t>GLOBA1</t>
  </si>
  <si>
    <t>Alpha-1 Globulin</t>
  </si>
  <si>
    <t>A1-Globulin; Alpha-1 Globulin</t>
  </si>
  <si>
    <t>A measurement of the proteins contributing to the alpha 1 fraction in a biological specimen.</t>
  </si>
  <si>
    <t>Alpha-1 Globulin Measurement</t>
  </si>
  <si>
    <t>C92253</t>
  </si>
  <si>
    <t>GLOBA1PT</t>
  </si>
  <si>
    <t>Alpha-1 Globulin/Total Protein</t>
  </si>
  <si>
    <t>A relative measurement (ratio or percentage) of alpha-1-fraction proteins to total proteins in a biological specimen.</t>
  </si>
  <si>
    <t>Alpha-1 Globulin to Total Protein Ratio Measurement</t>
  </si>
  <si>
    <t>C92254</t>
  </si>
  <si>
    <t>GLOBA2</t>
  </si>
  <si>
    <t>Alpha-2 Globulin</t>
  </si>
  <si>
    <t>A2-Globulin; Alpha-2 Globulin</t>
  </si>
  <si>
    <t>A measurement of the proteins contributing to the alpha 2 fraction in a biological specimen.</t>
  </si>
  <si>
    <t>Alpha-2 Globulin Measurement</t>
  </si>
  <si>
    <t>C92255</t>
  </si>
  <si>
    <t>GLOBA2PT</t>
  </si>
  <si>
    <t>Alpha-2 Globulin/Total Protein</t>
  </si>
  <si>
    <t>A relative measurement (ratio or percentage) of alpha-2-fraction proteins to total proteins in a biological specimen.</t>
  </si>
  <si>
    <t>Alpha-2 Globulin to Total Protein Ratio Measurement</t>
  </si>
  <si>
    <t>C92256</t>
  </si>
  <si>
    <t>GLOBB</t>
  </si>
  <si>
    <t>Beta Globulin</t>
  </si>
  <si>
    <t>A measurement of the proteins contributing to the beta fraction in a biological specimen.</t>
  </si>
  <si>
    <t>Beta Globulin Measurement</t>
  </si>
  <si>
    <t>C119274</t>
  </si>
  <si>
    <t>GLOBB1</t>
  </si>
  <si>
    <t>Beta-1 Globulin</t>
  </si>
  <si>
    <t>A measurement of the beta-1 globulin in a biological specimen.</t>
  </si>
  <si>
    <t>Beta-1 Globulin Measurement</t>
  </si>
  <si>
    <t>C142277</t>
  </si>
  <si>
    <t>GLOBB1BP</t>
  </si>
  <si>
    <t>Beta-1 Globulin/Beta Protein</t>
  </si>
  <si>
    <t>A relative measurement (ratio or percentage) of the beta-1-fraction proteins to the total beta protein fraction in a biological specimen.</t>
  </si>
  <si>
    <t>Beta-1 Globulin to Total Beta Protein Ratio Measurement</t>
  </si>
  <si>
    <t>C119275</t>
  </si>
  <si>
    <t>GLOBB1PT</t>
  </si>
  <si>
    <t>Beta-1 Globulin/Total Protein</t>
  </si>
  <si>
    <t>A relative measurement (ratio or percentage) of beta-1-fraction proteins to total proteins in a biological specimen.</t>
  </si>
  <si>
    <t>Beta-1 Globulin to Total Protein Ratio Measurement</t>
  </si>
  <si>
    <t>C119276</t>
  </si>
  <si>
    <t>GLOBB2</t>
  </si>
  <si>
    <t>Beta-2 Globulin</t>
  </si>
  <si>
    <t>A measurement of the beta-2 globulin in a biological specimen.</t>
  </si>
  <si>
    <t>Beta-2 Globulin Measurement</t>
  </si>
  <si>
    <t>C119277</t>
  </si>
  <si>
    <t>GLOBB2PT</t>
  </si>
  <si>
    <t>Beta-2 Globulin/Total Protein</t>
  </si>
  <si>
    <t>A relative measurement (ratio or percentage) of beta-2-fraction proteins to total proteins in a biological specimen.</t>
  </si>
  <si>
    <t>Beta-2 Globulin to Total Protein Ratio Measurement</t>
  </si>
  <si>
    <t>C92294</t>
  </si>
  <si>
    <t>GLOBBPT</t>
  </si>
  <si>
    <t>Beta Globulin/Total Protein</t>
  </si>
  <si>
    <t>A relative measurement (ratio or percentage) of beta fraction proteins to total proteins in a biological specimen.</t>
  </si>
  <si>
    <t>Beta Globulin to Total Protein Ratio Measurement</t>
  </si>
  <si>
    <t>C92257</t>
  </si>
  <si>
    <t>GLOBG</t>
  </si>
  <si>
    <t>Gamma Globulin</t>
  </si>
  <si>
    <t>A measurement of the proteins contributing to the gamma fraction in a biological specimen.</t>
  </si>
  <si>
    <t>Gamma Globulin Measurement</t>
  </si>
  <si>
    <t>C92295</t>
  </si>
  <si>
    <t>GLOBGPT</t>
  </si>
  <si>
    <t>Gamma Globulin/Total Protein</t>
  </si>
  <si>
    <t>A relative measurement (ratio or percentage) of gamma fraction proteins to total proteins in a biological specimen.</t>
  </si>
  <si>
    <t>Gamma Globulin to Total Protein Ratio Measurement</t>
  </si>
  <si>
    <t>C74738</t>
  </si>
  <si>
    <t>GLOBUL</t>
  </si>
  <si>
    <t>Globulin</t>
  </si>
  <si>
    <t>A measurement of the globulin protein in a biological specimen.</t>
  </si>
  <si>
    <t>Globulin Protein Measurement</t>
  </si>
  <si>
    <t>C135465</t>
  </si>
  <si>
    <t>GLOMLTIS</t>
  </si>
  <si>
    <t>Glomerulitis</t>
  </si>
  <si>
    <t>An evaluation of glomerulitis in a biological specimen.</t>
  </si>
  <si>
    <t>Glomerulitis Assessment</t>
  </si>
  <si>
    <t>C135466</t>
  </si>
  <si>
    <t>GLOMPATH</t>
  </si>
  <si>
    <t>Glomerulopathy</t>
  </si>
  <si>
    <t>An evaluation of glomerulopathy in a biological specimen.</t>
  </si>
  <si>
    <t>Glomerulopathy Assessment</t>
  </si>
  <si>
    <t>C80183</t>
  </si>
  <si>
    <t>GLP1</t>
  </si>
  <si>
    <t>Glucagon-Like Peptide-1</t>
  </si>
  <si>
    <t>Glucagon-Like Peptide-1; Total Glucagon-Like Peptide-1</t>
  </si>
  <si>
    <t>A measurement of the total glucagon-like peptide-1 in a biological specimen.</t>
  </si>
  <si>
    <t>Glucagon-like Peptide-1 Measurement</t>
  </si>
  <si>
    <t>C80164</t>
  </si>
  <si>
    <t>GLP1AC</t>
  </si>
  <si>
    <t>Glucagon-Like Peptide-1, Active Form</t>
  </si>
  <si>
    <t>A measurement of the active form of glucagon-like peptide-1 in a biological specimen.</t>
  </si>
  <si>
    <t>Active Glucagon-like Peptide-1 Measurement</t>
  </si>
  <si>
    <t>C154768</t>
  </si>
  <si>
    <t>GLP1IAC</t>
  </si>
  <si>
    <t>Glucagon-Like Peptide-1, Inactive Form</t>
  </si>
  <si>
    <t>A measurement of the inactive form of glucagon-like peptide-1 in a biological specimen.</t>
  </si>
  <si>
    <t>Inactive Glucagon-Like Peptide-1 Measurement</t>
  </si>
  <si>
    <t>C209456</t>
  </si>
  <si>
    <t>GLS</t>
  </si>
  <si>
    <t>Global Longitudinal Strain</t>
  </si>
  <si>
    <t>A measurement of the global myocardial longitudinal strain of the ventricle or atrium, via an automated algorithm.</t>
  </si>
  <si>
    <t>Global Longitudinal Strain Measurement</t>
  </si>
  <si>
    <t>C209531</t>
  </si>
  <si>
    <t>GLS_C</t>
  </si>
  <si>
    <t>Global Longitudinal Strain, Cal</t>
  </si>
  <si>
    <t>Global Longitudinal Strain, Cal; Global Longitudinal Strain, Calculated</t>
  </si>
  <si>
    <t>A calculation of the global myocardial longitudinal strain of the ventricle or atrium, by averaging the collected longitudinal strains from all or any of the three imaging views (i.e., 4-, 3-, 2-chamber views).</t>
  </si>
  <si>
    <t>Calculated Global Longitudinal Strain Measurement</t>
  </si>
  <si>
    <t>C154817</t>
  </si>
  <si>
    <t>GLTAG</t>
  </si>
  <si>
    <t>Galactomannan Antigen</t>
  </si>
  <si>
    <t>A measurement of the galactomannan antigen in a biological specimen.</t>
  </si>
  <si>
    <t>Galactomannan Antigen Measurement</t>
  </si>
  <si>
    <t>C150844</t>
  </si>
  <si>
    <t>GLTRCE</t>
  </si>
  <si>
    <t>Glitter Cells</t>
  </si>
  <si>
    <t>A measurement of the glitter cells in a biological specimen.</t>
  </si>
  <si>
    <t>Glitter Cell Count</t>
  </si>
  <si>
    <t>C184571</t>
  </si>
  <si>
    <t>GLTTHMD</t>
  </si>
  <si>
    <t>Glutethimide</t>
  </si>
  <si>
    <t>A measurement of the glutethimide in a biological specimen.</t>
  </si>
  <si>
    <t>Glutethimide Measurement</t>
  </si>
  <si>
    <t>C132370</t>
  </si>
  <si>
    <t>GLUBD13</t>
  </si>
  <si>
    <t>1,3-Beta-D-Glucan</t>
  </si>
  <si>
    <t>A measurement of the 1,3-beta-D-glucan in a biological specimen.</t>
  </si>
  <si>
    <t>1,3-Beta-D-Glucan Measurement</t>
  </si>
  <si>
    <t>C105585</t>
  </si>
  <si>
    <t>GLUC</t>
  </si>
  <si>
    <t>Glucose</t>
  </si>
  <si>
    <t>A measurement of the glucose in a biological specimen.</t>
  </si>
  <si>
    <t>Glucose Measurement</t>
  </si>
  <si>
    <t>C74859</t>
  </si>
  <si>
    <t>GLUCAGON</t>
  </si>
  <si>
    <t>Glucagon</t>
  </si>
  <si>
    <t>A measurement of the glucagon hormone in a biological specimen.</t>
  </si>
  <si>
    <t>Glucagon Measurement</t>
  </si>
  <si>
    <t>C96652</t>
  </si>
  <si>
    <t>GLUCCLR</t>
  </si>
  <si>
    <t>Glucose Clearance</t>
  </si>
  <si>
    <t>A measurement of the volume of serum or plasma that would be cleared of glucose by excretion of urine for a specified unit of time (e.g. one minute).</t>
  </si>
  <si>
    <t>Glucose Clearance Measurement</t>
  </si>
  <si>
    <t>C79447</t>
  </si>
  <si>
    <t>GLUCCRT</t>
  </si>
  <si>
    <t>Glucose/Creatinine</t>
  </si>
  <si>
    <t>A relative measurement (ratio or percentage) of the glucose to creatinine in a biological specimen.</t>
  </si>
  <si>
    <t>Glucose to Creatinine Ratio Measurement</t>
  </si>
  <si>
    <t>C150818</t>
  </si>
  <si>
    <t>GLUCEXR</t>
  </si>
  <si>
    <t>Glucose Excretion Rate</t>
  </si>
  <si>
    <t>A measurement of the amount of glucose being excreted in a biological specimen over a defined amount of time (e.g. one hour).</t>
  </si>
  <si>
    <t>C163446</t>
  </si>
  <si>
    <t>GLUCPE</t>
  </si>
  <si>
    <t>Plasma Equivalent Glucose</t>
  </si>
  <si>
    <t>A measurement of the plasma equivalent glucose in a biological specimen.</t>
  </si>
  <si>
    <t>Plasma Equivalent Glucose Measurement</t>
  </si>
  <si>
    <t>C163447</t>
  </si>
  <si>
    <t>GLUCPED</t>
  </si>
  <si>
    <t>Plasma Equivalent Glucose Distribution</t>
  </si>
  <si>
    <t>A measurement of the plasma equivalent glucose distribution in a biological specimen.</t>
  </si>
  <si>
    <t>Plasma Equivalent Glucose Distribution Measurement</t>
  </si>
  <si>
    <t>C202435</t>
  </si>
  <si>
    <t>GLUCTN</t>
  </si>
  <si>
    <t>Glutamate/Creatine</t>
  </si>
  <si>
    <t>Glutamate/Creatine; Glutamic Acid/Creatine</t>
  </si>
  <si>
    <t>A relative measurement (ratio or percentage) of the glutamate to creatine in a biological specimen.</t>
  </si>
  <si>
    <t>Glutamate to Creatine Ratio Measurement</t>
  </si>
  <si>
    <t>C176296</t>
  </si>
  <si>
    <t>GLUCWBE</t>
  </si>
  <si>
    <t>Whole Blood Equivalent Glucose</t>
  </si>
  <si>
    <t>A measurement of the whole blood equivalent glucose in a biological specimen.</t>
  </si>
  <si>
    <t>Whole Blood Equivalent Glucose Measurement</t>
  </si>
  <si>
    <t>C186054</t>
  </si>
  <si>
    <t>GLURLGLU</t>
  </si>
  <si>
    <t>Glucose, Radiolabeled/Glucose</t>
  </si>
  <si>
    <t>Glucose, Enriched/Glucose; Glucose, Radiolabeled/Glucose</t>
  </si>
  <si>
    <t>A relative measurement (ratio or percentage) of radiolabeled glucose to total glucose in a biological specimen.</t>
  </si>
  <si>
    <t>Radiolabeled Glucose to Glucose Ratio Measurement</t>
  </si>
  <si>
    <t>C74739</t>
  </si>
  <si>
    <t>GLUTAM</t>
  </si>
  <si>
    <t>Glutamate</t>
  </si>
  <si>
    <t>Glutamate; Glutamic Acid</t>
  </si>
  <si>
    <t>A measurement of the glutamate in a biological specimen.</t>
  </si>
  <si>
    <t>Glutamate Measurement</t>
  </si>
  <si>
    <t>C214678</t>
  </si>
  <si>
    <t>GLUTENIP</t>
  </si>
  <si>
    <t>Gluten Immunogenic Peptide</t>
  </si>
  <si>
    <t>GIP; Gluten Immunogenic Peptide; Gluten Immunogenic Peptides</t>
  </si>
  <si>
    <t>A measurement of gluten immunogenic peptide in a biological specimen.</t>
  </si>
  <si>
    <t>Gluten Immunogenic Peptide Measurement</t>
  </si>
  <si>
    <t>C156563</t>
  </si>
  <si>
    <t>GLX</t>
  </si>
  <si>
    <t>Glutamate and Glutamine</t>
  </si>
  <si>
    <t>A measurement of the glutamate and glutamine in a biological specimen.</t>
  </si>
  <si>
    <t>Glutamate and Glutamine Measurement</t>
  </si>
  <si>
    <t>C201453</t>
  </si>
  <si>
    <t>GLXC3</t>
  </si>
  <si>
    <t>Glutamate and Glutamine C3 Enriched</t>
  </si>
  <si>
    <t>A measurement of the C3 enriched glutamate and glutamine in a biological specimen.</t>
  </si>
  <si>
    <t>C3 Enriched Glutamate and Glutamine Measurement</t>
  </si>
  <si>
    <t>C187953</t>
  </si>
  <si>
    <t>GLXC3GLX</t>
  </si>
  <si>
    <t>Glutamate and Glutamine C3 Enriched/GLX</t>
  </si>
  <si>
    <t>Glutamate and Glutamine C3 Enriched/Glutamate and Glutamine; Glutamate and Glutamine C3 Enriched/GLX</t>
  </si>
  <si>
    <t>A relative measurement (ratio or percentage) of the C3 enriched glutamate and glutamine to total glutamate and glutamine in a biological specimen.</t>
  </si>
  <si>
    <t>C3 Enriched Glutamate and Glutamine to Total Glutamate and Glutamine Ratio Measurement</t>
  </si>
  <si>
    <t>C202439</t>
  </si>
  <si>
    <t>GLXCYR</t>
  </si>
  <si>
    <t>Glutamate-Glutamine Cycle Rate</t>
  </si>
  <si>
    <t>Glutamate and Glutamine Cycle Rate; Glutamate-Glutamine Cycle Rate; Glutamate/GABA-Glutamine Cycle Rate</t>
  </si>
  <si>
    <t>A measurement of the metabolic rate of the glutamate-glutamine cycle in a biological specimen.</t>
  </si>
  <si>
    <t>Glutamate-Creatine Cycle Rate Measurement</t>
  </si>
  <si>
    <t>C122122</t>
  </si>
  <si>
    <t>GLY</t>
  </si>
  <si>
    <t>Glycine</t>
  </si>
  <si>
    <t>A measurement of the glycine in a biological specimen.</t>
  </si>
  <si>
    <t>Glycine Measurement</t>
  </si>
  <si>
    <t>C158221</t>
  </si>
  <si>
    <t>GLYCREAT</t>
  </si>
  <si>
    <t>Glycine/Creatinine</t>
  </si>
  <si>
    <t>A relative measurement (ratio) of the glycine to the creatinine in a biological specimen.</t>
  </si>
  <si>
    <t>Glycine to Creatinine Ratio Measurement</t>
  </si>
  <si>
    <t>C132371</t>
  </si>
  <si>
    <t>GLYCRL</t>
  </si>
  <si>
    <t>Glycerol</t>
  </si>
  <si>
    <t>A measurement of the total glycerol in a specimen.</t>
  </si>
  <si>
    <t>Glycerol Measurement</t>
  </si>
  <si>
    <t>C100448</t>
  </si>
  <si>
    <t>GLYCRLFR</t>
  </si>
  <si>
    <t>Free Glycerol</t>
  </si>
  <si>
    <t>Free Glycerin; Free Glycerol</t>
  </si>
  <si>
    <t>A measurement of the amount of unbound glycerol in a biological specimen.</t>
  </si>
  <si>
    <t>Free Glycerol Measurement</t>
  </si>
  <si>
    <t>C221431</t>
  </si>
  <si>
    <t>GLYG</t>
  </si>
  <si>
    <t>Glycogen</t>
  </si>
  <si>
    <t>A measurement of the glycogen in a biological specimen.</t>
  </si>
  <si>
    <t>Glycogen Measurement</t>
  </si>
  <si>
    <t>C221655</t>
  </si>
  <si>
    <t>GLYGNPV</t>
  </si>
  <si>
    <t>Glycogen Norm for Phantom Volume</t>
  </si>
  <si>
    <t>Glycogen Norm for Phantom Volume; Glycogen Normalized for Phantom Volume</t>
  </si>
  <si>
    <t>A measurement of glycogen normalized for imaging phantom volume, in a biological specimen.</t>
  </si>
  <si>
    <t>Glycogen Normalized for Phantom Volume Measurement</t>
  </si>
  <si>
    <t>C221657</t>
  </si>
  <si>
    <t>GLYGNTW</t>
  </si>
  <si>
    <t>Glycogen Norm for Tissue Weight</t>
  </si>
  <si>
    <t>Glycogen Norm for Tissue Weight; Glycogen Normalized for Tissue Weight</t>
  </si>
  <si>
    <t>A measurement of glycogen normalized for tissue weight, in a biological specimen.</t>
  </si>
  <si>
    <t>Glycogen Normalized for Tissue Weight Measurement</t>
  </si>
  <si>
    <t>C221656</t>
  </si>
  <si>
    <t>GLYGNTWV</t>
  </si>
  <si>
    <t>Glycogen Norm for Tissue Water Vol</t>
  </si>
  <si>
    <t>Glycogen Norm for Tissue Water Vol; Glycogen Normalized for Tissue Water Volume</t>
  </si>
  <si>
    <t>A measurement of glycogen normalized for tissue water volume, in a biological specimen.</t>
  </si>
  <si>
    <t>Glycogen Normalized for Tissue Water Volume Measurement</t>
  </si>
  <si>
    <t>C184516</t>
  </si>
  <si>
    <t>GM3</t>
  </si>
  <si>
    <t>Ganglioside GM3</t>
  </si>
  <si>
    <t>Ganglioside GM3; Monosialodihexosylganglioside</t>
  </si>
  <si>
    <t>A measurement of the ganglioside GM3 in a biological specimen.</t>
  </si>
  <si>
    <t>Ganglioside GM3 Measurement</t>
  </si>
  <si>
    <t>C82019</t>
  </si>
  <si>
    <t>GMCSF</t>
  </si>
  <si>
    <t>Granulocyte Macrophage Colony Stm Factor</t>
  </si>
  <si>
    <t>A measurement of the granulocyte macrophage colony stimulating factor in a biological specimen.</t>
  </si>
  <si>
    <t>Granulocyte Macrophage Colony Stm Factor Measurement</t>
  </si>
  <si>
    <t>C174310</t>
  </si>
  <si>
    <t>GMI</t>
  </si>
  <si>
    <t>Glucose Management Indicator</t>
  </si>
  <si>
    <t>An approximate measure (expressed as a % or mmol/mol) of an individual's expected hemoglobin A1c/hemoglobin level, based on the mean glucose measured over a period of at least 10 days by continuous glucose monitoring.</t>
  </si>
  <si>
    <t>C154812</t>
  </si>
  <si>
    <t>GMNBAC</t>
  </si>
  <si>
    <t>Gram Negative Bacteria</t>
  </si>
  <si>
    <t>A measurement of the gram negative bacteria in a biological specimen.</t>
  </si>
  <si>
    <t>Gram Negative Bacteria Measurement</t>
  </si>
  <si>
    <t>C161401</t>
  </si>
  <si>
    <t>GMNCOC</t>
  </si>
  <si>
    <t>Gram Negative Cocci</t>
  </si>
  <si>
    <t>A measurement of the gram negative cocci-shaped bacteria in a biological specimen.</t>
  </si>
  <si>
    <t>Gram Negative Cocci Measurement</t>
  </si>
  <si>
    <t>C154811</t>
  </si>
  <si>
    <t>GMPBAC</t>
  </si>
  <si>
    <t>Gram Positive Bacteria</t>
  </si>
  <si>
    <t>A measurement of the gram positive bacteria in a biological specimen.</t>
  </si>
  <si>
    <t>Gram Positive Bacteria Measurement</t>
  </si>
  <si>
    <t>C74860</t>
  </si>
  <si>
    <t>GNRH</t>
  </si>
  <si>
    <t>Gonadotropin Releasing Hormone</t>
  </si>
  <si>
    <t>Gonadotropin Releasing Hormone; Luteinising Hormone Releasing Hormone</t>
  </si>
  <si>
    <t>A measurement of the gonadotropin releasing hormone in a biological specimen.</t>
  </si>
  <si>
    <t>Gonadotropin Releasing Hormone Measurement</t>
  </si>
  <si>
    <t>C189621</t>
  </si>
  <si>
    <t>GOBCE</t>
  </si>
  <si>
    <t>Goblet Cells</t>
  </si>
  <si>
    <t>A measurement of the goblet cells in a biological specimen.</t>
  </si>
  <si>
    <t>Goblet Cell Count</t>
  </si>
  <si>
    <t>C189622</t>
  </si>
  <si>
    <t>GOBCEPIC</t>
  </si>
  <si>
    <t>Goblet Cells/Epithelial Cells</t>
  </si>
  <si>
    <t>A relative measurement (ratio or percentage) of the goblet cells to total epithelial cells in a biological specimen.</t>
  </si>
  <si>
    <t>Goblet Cell to Epithelial Cell Ratio Measurement</t>
  </si>
  <si>
    <t>C80186</t>
  </si>
  <si>
    <t>GOLD</t>
  </si>
  <si>
    <t>Gold</t>
  </si>
  <si>
    <t>A measurement of the gold in a biological specimen.</t>
  </si>
  <si>
    <t>Gold Measurement</t>
  </si>
  <si>
    <t>C181502</t>
  </si>
  <si>
    <t>GPBAEST</t>
  </si>
  <si>
    <t>Greulich and Pyle Bone Age Estimation</t>
  </si>
  <si>
    <t>Greulich and Pyle Bone Age Estimation; Greulich and Pyle Skeletal Maturity Estimation</t>
  </si>
  <si>
    <t>An estimated assessment of an individual's skeletal maturity (bone age) based on comparison of standard radiographic images of the bones of the hand and wrist. (Greulich WW, Pyle SI. Radiographic atlas of skeletal development of the hand and wrist. The Am</t>
  </si>
  <si>
    <t>C198284</t>
  </si>
  <si>
    <t>GPBB</t>
  </si>
  <si>
    <t>Glycogen Phosphorylase Isoenzyme BB</t>
  </si>
  <si>
    <t>A measurement of the glycogen phosphorylase isoenzyme BB in a biological specimen.</t>
  </si>
  <si>
    <t>Glycogen Phosphorylase Isoenzyme BB Measurement</t>
  </si>
  <si>
    <t>C158261</t>
  </si>
  <si>
    <t>GPCPC</t>
  </si>
  <si>
    <t>GPC+PCh</t>
  </si>
  <si>
    <t>Glycerophosphorylcholine + Phosphorylcholine; GPC+PCh</t>
  </si>
  <si>
    <t>A measurement of the glycerophosphorylcholine (GPC) plus phosphorylcholine (PC) in a biological specimen.</t>
  </si>
  <si>
    <t>Glycerophosphorylcholine and Phosphorylcholine Measurement</t>
  </si>
  <si>
    <t>C187807</t>
  </si>
  <si>
    <t>GPDA</t>
  </si>
  <si>
    <t>Glycylproline Dipeptidyl Aminopeptidase</t>
  </si>
  <si>
    <t>Glycylproline Dipeptidyl Aminopeptidase; GPDA</t>
  </si>
  <si>
    <t>A measurement of the glycylproline dipeptidyl aminopeptidase in a biological specimen.</t>
  </si>
  <si>
    <t>Glycylproline Dipeptidyl Aminopeptidase Measurement</t>
  </si>
  <si>
    <t>C174365</t>
  </si>
  <si>
    <t>GPSDEXP</t>
  </si>
  <si>
    <t>GPS Coord of Potential Disease Exposure</t>
  </si>
  <si>
    <t>GPS Coord of Potential Disease Exposure; GPS Coordinates of Potential Disease Exposure</t>
  </si>
  <si>
    <t>The global position system (GPS) coordinates for the location at which an individual was potentially exposed to a disease.</t>
  </si>
  <si>
    <t>GPS Coordinates of Potential Disease Exposure</t>
  </si>
  <si>
    <t>C187958</t>
  </si>
  <si>
    <t>GRAESTHE</t>
  </si>
  <si>
    <t>Graphesthesia</t>
  </si>
  <si>
    <t>An evaluation of graphesthesia (the ability to recognize symbols when they're traced on the skin).</t>
  </si>
  <si>
    <t>Graphesthesia Evaluation</t>
  </si>
  <si>
    <t>C96654</t>
  </si>
  <si>
    <t>GRAN</t>
  </si>
  <si>
    <t>Granulocytes</t>
  </si>
  <si>
    <t>Granulocytes; Polymorphonuclear Leukocytes</t>
  </si>
  <si>
    <t>A measurement of the granulocytes in a biological specimen.</t>
  </si>
  <si>
    <t>Granulocyte Count</t>
  </si>
  <si>
    <t>C186055</t>
  </si>
  <si>
    <t>GRANB</t>
  </si>
  <si>
    <t>Granulocytes Band Form</t>
  </si>
  <si>
    <t>Banded Granulocytes; Granulocytes Band Form</t>
  </si>
  <si>
    <t>A measurement of the banded granulocytes in a biological specimen.</t>
  </si>
  <si>
    <t>Granulocytes Band Form Count</t>
  </si>
  <si>
    <t>C127615</t>
  </si>
  <si>
    <t>GRANBCE</t>
  </si>
  <si>
    <t>Granulocytes Band Form/Total Cells</t>
  </si>
  <si>
    <t>A relative measurement (ratio or percentage) of the banded granulocytes to total cells in a biological specimen.</t>
  </si>
  <si>
    <t>Band Form Granulocyte to Total Cell Ratio Measurement</t>
  </si>
  <si>
    <t>C98866</t>
  </si>
  <si>
    <t>GRANCE</t>
  </si>
  <si>
    <t>Granulocytes/Total Cells</t>
  </si>
  <si>
    <t>A relative measurement (ratio or percentage) of the granulocytes to total cells in a biological specimen (for example a bone marrow specimen).</t>
  </si>
  <si>
    <t>Granulocyte to Total Cell Ratio Measurement</t>
  </si>
  <si>
    <t>C96675</t>
  </si>
  <si>
    <t>GRANIM</t>
  </si>
  <si>
    <t>Immature Granulocytes</t>
  </si>
  <si>
    <t>A measurement of the total immature granulocytes in a biological specimen.</t>
  </si>
  <si>
    <t>Immature Granulocyte Count</t>
  </si>
  <si>
    <t>C100445</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</si>
  <si>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</si>
  <si>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</si>
  <si>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</si>
  <si>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</si>
  <si>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C147351</t>
  </si>
  <si>
    <t>GRANLE</t>
  </si>
  <si>
    <t>Granulocytes/Leukocytes</t>
  </si>
  <si>
    <t>Gran/Leuk; Granulocytes/Leukocytes; Polymorphonuclear Leukocytes/Leukocytes</t>
  </si>
  <si>
    <t>A relative measurement (ratio or percentage) of the granulocytes to total leukocytes in a biological specimen.</t>
  </si>
  <si>
    <t>Granulocytes to Leukocytes Ratio Measurement</t>
  </si>
  <si>
    <t>C204672</t>
  </si>
  <si>
    <t>GRANPRLF</t>
  </si>
  <si>
    <t>Granulocyte Proliferation</t>
  </si>
  <si>
    <t>An evaluation of granulocyte proliferation in a biological specimen.</t>
  </si>
  <si>
    <t>Granulocyte Proliferation Measurement</t>
  </si>
  <si>
    <t>C186056</t>
  </si>
  <si>
    <t>GRANSG</t>
  </si>
  <si>
    <t>Granulocytes Segmented</t>
  </si>
  <si>
    <t>A measurement of the segmented granulocytes in a biological specimen.</t>
  </si>
  <si>
    <t>Segmented Granulocyte Count</t>
  </si>
  <si>
    <t>C127616</t>
  </si>
  <si>
    <t>GRANSGCE</t>
  </si>
  <si>
    <t>Granulocytes Segmented/Total Cells</t>
  </si>
  <si>
    <t>Granulocytes Segmented/Total Cells; Segmented Granulocytes/Total Cells</t>
  </si>
  <si>
    <t>A relative measurement (ratio or percentage) of the segmented granulocytes to total cells in a biological specimen.</t>
  </si>
  <si>
    <t>Segmented Granulocyte to Total Cell Ratio Measurement</t>
  </si>
  <si>
    <t>C165963</t>
  </si>
  <si>
    <t>GRANULIN</t>
  </si>
  <si>
    <t>Granulin</t>
  </si>
  <si>
    <t>A measurement of the granulin in a biological specimen.</t>
  </si>
  <si>
    <t>Granulin Measurement</t>
  </si>
  <si>
    <t>C73435</t>
  </si>
  <si>
    <t>GRAVIND</t>
  </si>
  <si>
    <t>Gravida Indicator</t>
  </si>
  <si>
    <t>Gravida; Gravida Indicator</t>
  </si>
  <si>
    <t>An indication as to whether the subject is or has ever been pregnant.</t>
  </si>
  <si>
    <t>Gravida</t>
  </si>
  <si>
    <t>C135522</t>
  </si>
  <si>
    <t>GRFTSTAT</t>
  </si>
  <si>
    <t>Graft Status</t>
  </si>
  <si>
    <t>The condition of the donated organ or tissue. (NCI)</t>
  </si>
  <si>
    <t>C139210</t>
  </si>
  <si>
    <t>GRIPSTR</t>
  </si>
  <si>
    <t>Grip Strength</t>
  </si>
  <si>
    <t>An assessment of muscle strength that measures that force with which one holds or grasps.</t>
  </si>
  <si>
    <t>C119567</t>
  </si>
  <si>
    <t>GRLIDENT</t>
  </si>
  <si>
    <t>Graft Lesion Identification</t>
  </si>
  <si>
    <t>An indication that a graft with a lesion has been located and characterized.</t>
  </si>
  <si>
    <t>C165964</t>
  </si>
  <si>
    <t>GRN</t>
  </si>
  <si>
    <t>Progranulin</t>
  </si>
  <si>
    <t>A measurement of the progranulin in a biological specimen.</t>
  </si>
  <si>
    <t>Progranulin Measurement</t>
  </si>
  <si>
    <t>C176334</t>
  </si>
  <si>
    <t>GRNLMA</t>
  </si>
  <si>
    <t>Granuloma</t>
  </si>
  <si>
    <t>An evaluation of granuloma(s) in a biological specimen.</t>
  </si>
  <si>
    <t>Granuloma Assessment</t>
  </si>
  <si>
    <t>C186057</t>
  </si>
  <si>
    <t>GRO</t>
  </si>
  <si>
    <t>Growth Regulated Oncogene</t>
  </si>
  <si>
    <t>A measurement of the total growth regulated oncogene proteins in a biological specimen.</t>
  </si>
  <si>
    <t>Growth Regulated Oncogene Measurement</t>
  </si>
  <si>
    <t>C74861</t>
  </si>
  <si>
    <t>GRWHIH</t>
  </si>
  <si>
    <t>Growth Hormone Inhibiting Hormone</t>
  </si>
  <si>
    <t>Growth Hormone Inhibiting Hormone; Somatostatin</t>
  </si>
  <si>
    <t>A measurement of the growth hormone inhibiting hormone in a biological specimen.</t>
  </si>
  <si>
    <t>Growth Hormone Inhibiting Hormone Measurement</t>
  </si>
  <si>
    <t>C74862</t>
  </si>
  <si>
    <t>GRWHRH</t>
  </si>
  <si>
    <t>Growth Hormone Releasing Hormone</t>
  </si>
  <si>
    <t>Growth Hormone Releasing Hormone; Somatocrinin</t>
  </si>
  <si>
    <t>A measurement of the growth hormone releasing hormone in a biological specimen.</t>
  </si>
  <si>
    <t>Growth Hormone Releasing Hormone Measurement</t>
  </si>
  <si>
    <t>C80185</t>
  </si>
  <si>
    <t>GST</t>
  </si>
  <si>
    <t>Glutathione S-Transferase, Total</t>
  </si>
  <si>
    <t>A measurement of the total glutathione-s-transferase in a biological specimen.</t>
  </si>
  <si>
    <t>Glutathione-S-Transferase Measurement</t>
  </si>
  <si>
    <t>C124435</t>
  </si>
  <si>
    <t>GSTABRTH</t>
  </si>
  <si>
    <t>Gestational Age at Birth</t>
  </si>
  <si>
    <t>The gestational age of the subject at birth.</t>
  </si>
  <si>
    <t>C79433</t>
  </si>
  <si>
    <t>GSTAL</t>
  </si>
  <si>
    <t>Alpha Glutathione-S-Transferase</t>
  </si>
  <si>
    <t>A measurement of the alpha form of glutathione S-transferase in a biological specimen.</t>
  </si>
  <si>
    <t>Alpha Glutathione-S-Transferase Measurement</t>
  </si>
  <si>
    <t>C80166</t>
  </si>
  <si>
    <t>GSTALCRT</t>
  </si>
  <si>
    <t>Glutathione S-Transferase, Alpha/Creat</t>
  </si>
  <si>
    <t>A relative measurement (ratio or percentage) of the alpha glutathione-S-transferase to creatinine in a biological specimen.</t>
  </si>
  <si>
    <t>Alpha Glutathione-S-Transferase to Creatinine Ratio Measurement</t>
  </si>
  <si>
    <t>C119278</t>
  </si>
  <si>
    <t>GSTALEXR</t>
  </si>
  <si>
    <t>Alpha-GST Excretion Rate</t>
  </si>
  <si>
    <t>A measurement of the amount of Alpha Glutathione-S-Transferase being excreted in a biological specimen over a defined period of time (e.g. one hour).</t>
  </si>
  <si>
    <t>C79435</t>
  </si>
  <si>
    <t>GSTCREAT</t>
  </si>
  <si>
    <t>Glutathione-S-Transferase/Creatinine</t>
  </si>
  <si>
    <t>A relative measurement (ratio or percentage) of the glutathione S-transferase to creatinine in a biological specimen.</t>
  </si>
  <si>
    <t>Glutathione-S-Transferase to Creatinine Ratio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</si>
  <si>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</si>
  <si>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</si>
  <si>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</si>
  <si>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</si>
  <si>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</si>
  <si>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</si>
  <si>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</si>
  <si>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</si>
  <si>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</si>
  <si>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</si>
  <si>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C80203</t>
  </si>
  <si>
    <t>GSTPI</t>
  </si>
  <si>
    <t>Glutathione S-Transferase, Pi</t>
  </si>
  <si>
    <t>A measurement of the Pi glutathione-s-transferase in a biological specimen.</t>
  </si>
  <si>
    <t>Pi Glutathione S-Transferase Measurement</t>
  </si>
  <si>
    <t>C119279</t>
  </si>
  <si>
    <t>GSTPIEXR</t>
  </si>
  <si>
    <t>Pi-GST Excretion Rate</t>
  </si>
  <si>
    <t>A measurement of the amount of Pi Glutathione-S-Transferase being excreted in a biological specimen over a defined period of time (e.g. one hour).</t>
  </si>
  <si>
    <t>C80207</t>
  </si>
  <si>
    <t>GSTTH</t>
  </si>
  <si>
    <t>Glutathione S-Transferase, Theta</t>
  </si>
  <si>
    <t>A measurement of the theta glutathione-s-transferase in a biological specimen.</t>
  </si>
  <si>
    <t>Theta Glutathione S-Transferase Measurement</t>
  </si>
  <si>
    <t>C163449</t>
  </si>
  <si>
    <t>GSTY1</t>
  </si>
  <si>
    <t>Glutathione S-Transferase, Y1</t>
  </si>
  <si>
    <t>A measurement of the Y1 subunit of glutathione-s-transferase in a biological specimen.</t>
  </si>
  <si>
    <t>Glutathione S-Transferase Y1 Subunit Measurement</t>
  </si>
  <si>
    <t>C176302</t>
  </si>
  <si>
    <t>GUDCA</t>
  </si>
  <si>
    <t>Glycoursodeoxycholate</t>
  </si>
  <si>
    <t>Glycoursodeoxycholate; Glycoursodeoxycholic Acid</t>
  </si>
  <si>
    <t>A measurement of the glycoursodeoxycholate in a biological specimen.</t>
  </si>
  <si>
    <t>Glycoursodeoxycholate Measurement</t>
  </si>
  <si>
    <t>C80165</t>
  </si>
  <si>
    <t>GUSA</t>
  </si>
  <si>
    <t>Glucuronidase, Alpha</t>
  </si>
  <si>
    <t>A measurement of the alpha glucuronidase in a biological specimen.</t>
  </si>
  <si>
    <t>Alpha Glucuronidase Measurement</t>
  </si>
  <si>
    <t>C80170</t>
  </si>
  <si>
    <t>GUSB</t>
  </si>
  <si>
    <t>Glucuronidase, Beta</t>
  </si>
  <si>
    <t>A measurement of the beta glucuronidase in a biological specimen.</t>
  </si>
  <si>
    <t>Beta Glucuronidase Measurement</t>
  </si>
  <si>
    <t>C161402</t>
  </si>
  <si>
    <t>GVA</t>
  </si>
  <si>
    <t>Gardnerella vaginalis</t>
  </si>
  <si>
    <t>Corynebacterium vaginalis; Gardnerella vaginalis</t>
  </si>
  <si>
    <t>A measurement of the Gardnerella vaginalis in a biological specimen.</t>
  </si>
  <si>
    <t>Gardnerella vaginalis Measurement</t>
  </si>
  <si>
    <t>C201439</t>
  </si>
  <si>
    <t>GVADNA</t>
  </si>
  <si>
    <t>Gardnerella vaginalis DNA</t>
  </si>
  <si>
    <t>A measurement of the Gardnerella vaginalis DNA in a biological specimen.</t>
  </si>
  <si>
    <t>Gardnerella vaginalis DNA Measurement</t>
  </si>
  <si>
    <t>C166073</t>
  </si>
  <si>
    <t>GZMB</t>
  </si>
  <si>
    <t>Granzyme B</t>
  </si>
  <si>
    <t>C11; CCPI; CGL1; CSPB; CTLA1; CTSGL1; Granzyme B; HLP; SECT</t>
  </si>
  <si>
    <t>A measurement of the granzyme B in a biological specimen.</t>
  </si>
  <si>
    <t>Granzyme B Measurement</t>
  </si>
  <si>
    <t>C181419</t>
  </si>
  <si>
    <t>H2FLRZPM</t>
  </si>
  <si>
    <t>Hydroxyethylflurazepam</t>
  </si>
  <si>
    <t>2-Hydroxyethylflurazepam; Hydroxyethylflurazepam</t>
  </si>
  <si>
    <t>A measurement of the hydroxyethylflurazepam a biological specimen.</t>
  </si>
  <si>
    <t>Hydroxyethylflurazepam Measurement</t>
  </si>
  <si>
    <t>C186058</t>
  </si>
  <si>
    <t>H411DC6A</t>
  </si>
  <si>
    <t>6a OH-tetrahydro-11-DeH-Corticosterone</t>
  </si>
  <si>
    <t>6-Alpha Hydroxytetrahydro-11-Dehydrocorticosterone; 6a OH-tetrahydro-11-DeH-Corticosterone</t>
  </si>
  <si>
    <t>A measurement of the 6-alpha hydroxytetrahydro-11-dehydrocorticosterone in a biological specimen.</t>
  </si>
  <si>
    <t>6a OH-tetrahydro-11-DeH-Corticosterone Measurement</t>
  </si>
  <si>
    <t>C186059</t>
  </si>
  <si>
    <t>H411DS6A</t>
  </si>
  <si>
    <t>6a OH-tetrahydro-11-Deoxycortisol</t>
  </si>
  <si>
    <t>6-Alpha Hydroxytetrahydro-11-Deoxycortisol; 6a OH-tetrahydro-11-Deoxycortisol</t>
  </si>
  <si>
    <t>A measurement of the 6-alpha hydroxytetrahydro-11-deoxycortisol in a biological specimen.</t>
  </si>
  <si>
    <t>6a OH-tetrahydro-11-Deoxycortisol Measurement</t>
  </si>
  <si>
    <t>C147457</t>
  </si>
  <si>
    <t>HAEMINF</t>
  </si>
  <si>
    <t>Haemophilus influenzae</t>
  </si>
  <si>
    <t>H. influenzae; Haemophilus influenzae</t>
  </si>
  <si>
    <t>A measurement of the Haemophilus influenza virus in a biological specimen.</t>
  </si>
  <si>
    <t>Haemophilus influenzae Measurement</t>
  </si>
  <si>
    <t>C147458</t>
  </si>
  <si>
    <t>HAEMOPH</t>
  </si>
  <si>
    <t>Haemophilus</t>
  </si>
  <si>
    <t>A measurement of the organisms that are not assigned to the species level but are assigned to the Haemophilus genus level in a biological specimen.</t>
  </si>
  <si>
    <t>Haemophilus Measurement</t>
  </si>
  <si>
    <t>C165965</t>
  </si>
  <si>
    <t>HAHA</t>
  </si>
  <si>
    <t>Human Anti-Human Antibody</t>
  </si>
  <si>
    <t>A measurement of the total human anti-human antibody in a biological specimen.</t>
  </si>
  <si>
    <t>Human Anti-Human Antibody Measurement</t>
  </si>
  <si>
    <t>C74604</t>
  </si>
  <si>
    <t>HAIRYCE</t>
  </si>
  <si>
    <t>Hairy Cells</t>
  </si>
  <si>
    <t>A measurement of the hairy cells (b-cell lymphocytes with hairy projections from the cytoplasm) in a biological specimen.</t>
  </si>
  <si>
    <t>Hairy Cell Count</t>
  </si>
  <si>
    <t>C75343</t>
  </si>
  <si>
    <t>HALLUC</t>
  </si>
  <si>
    <t>Hallucinogen</t>
  </si>
  <si>
    <t>A measurement of any hallucinogenic class drug present in a biological specimen.</t>
  </si>
  <si>
    <t>Hallucinogen Measurement</t>
  </si>
  <si>
    <t>C177964</t>
  </si>
  <si>
    <t>HALOPRDL</t>
  </si>
  <si>
    <t>Haloperidol</t>
  </si>
  <si>
    <t>A measurement of the haloperidol in a biological specimen.</t>
  </si>
  <si>
    <t>Haloperidol Measurement</t>
  </si>
  <si>
    <t>C177954</t>
  </si>
  <si>
    <t>HALPRZLA</t>
  </si>
  <si>
    <t>Alpha-Hydroxyalprazolam</t>
  </si>
  <si>
    <t>A measurement of the alpha-hydroxyalprazolam in a biological specimen.</t>
  </si>
  <si>
    <t>Alpha-Hydroxyalprazolam Measurement</t>
  </si>
  <si>
    <t>C147352</t>
  </si>
  <si>
    <t>HALPRZLM</t>
  </si>
  <si>
    <t>Hydroxyalprazolam</t>
  </si>
  <si>
    <t>A measurement of the total hydroxyalprazolam present in a biological specimen.</t>
  </si>
  <si>
    <t>Hydroxyalprazolam Measurement</t>
  </si>
  <si>
    <t>C103406</t>
  </si>
  <si>
    <t>HAMAB</t>
  </si>
  <si>
    <t>Human Anti-Mouse Antibody</t>
  </si>
  <si>
    <t>HAMA; Human Anti-Mouse Antibody</t>
  </si>
  <si>
    <t>A measurement of the human anti-mouse antibody in a biological specimen.</t>
  </si>
  <si>
    <t>Human Anti-Mouse Antibody Measurement</t>
  </si>
  <si>
    <t>C114182</t>
  </si>
  <si>
    <t>HANDDOM</t>
  </si>
  <si>
    <t>Dominant Hand</t>
  </si>
  <si>
    <t>The preferred hand of use for controlled and efficient performance of motor tasks.</t>
  </si>
  <si>
    <t>C74740</t>
  </si>
  <si>
    <t>HAPTOG</t>
  </si>
  <si>
    <t>Haptoglobin</t>
  </si>
  <si>
    <t>A measurement of the haptoglobin protein in a biological specimen.</t>
  </si>
  <si>
    <t>Haptoglobin Protein Measurement</t>
  </si>
  <si>
    <t>C209641</t>
  </si>
  <si>
    <t>HASAG</t>
  </si>
  <si>
    <t>Hepatitis A Virus Surface Antigen</t>
  </si>
  <si>
    <t>HAsAg; Hepatitis A Virus Surface Antigen</t>
  </si>
  <si>
    <t>A measurement of the surface antigen reaction of a biological specimen to the Hepatitis A virus.</t>
  </si>
  <si>
    <t>Hepatits A Virus Surface Antigen Measurement</t>
  </si>
  <si>
    <t>C98740</t>
  </si>
  <si>
    <t>HASIGEAB</t>
  </si>
  <si>
    <t>Human Anti-Sheep IgE Antibody</t>
  </si>
  <si>
    <t>A measurement of the human anti-sheep IgE antibodies in a biological specimen.</t>
  </si>
  <si>
    <t>Human Anti-Sheep IgE Antibody Measurement</t>
  </si>
  <si>
    <t>C98741</t>
  </si>
  <si>
    <t>HASIGGAB</t>
  </si>
  <si>
    <t>Human Anti-Sheep IgG Antibody</t>
  </si>
  <si>
    <t>A measurement of the human anti-sheep IgG antibodies in a biological specimen.</t>
  </si>
  <si>
    <t>Human Anti-Sheep IgG Antibody Measurement</t>
  </si>
  <si>
    <t>C98742</t>
  </si>
  <si>
    <t>HASIGMAB</t>
  </si>
  <si>
    <t>Human Anti-Sheep IgM Antibody</t>
  </si>
  <si>
    <t>A measurement of the human anti-sheep IgM antibodies in a biological specimen.</t>
  </si>
  <si>
    <t>Human Anti-Sheep IgM Antibody Measurement</t>
  </si>
  <si>
    <t>C187852</t>
  </si>
  <si>
    <t>HAVRNA</t>
  </si>
  <si>
    <t>Hepatitis A Virus RNA</t>
  </si>
  <si>
    <t>A measurement of the hepatitis A virus RNA in a biological specimen.</t>
  </si>
  <si>
    <t>Hepatitis A Virus RNA Measurement</t>
  </si>
  <si>
    <t>C163450</t>
  </si>
  <si>
    <t>HBA1A</t>
  </si>
  <si>
    <t>Hemoglobin A1A</t>
  </si>
  <si>
    <t>Glycated Hemoglobin 1A; Hemoglobin A1A</t>
  </si>
  <si>
    <t>A measurement of the glycated hemoglobin A1A in a biological specimen.</t>
  </si>
  <si>
    <t>Hemoglobin A1A Measurement</t>
  </si>
  <si>
    <t>C163451</t>
  </si>
  <si>
    <t>HBA1B</t>
  </si>
  <si>
    <t>Hemoglobin A1B</t>
  </si>
  <si>
    <t>Glycated Hemoglobin 1B; Hemoglobin A1B</t>
  </si>
  <si>
    <t>A measurement of the glycated hemoglobin A1B in a biological specimen.</t>
  </si>
  <si>
    <t>Hemoglobin A1B Measurement</t>
  </si>
  <si>
    <t>C64849</t>
  </si>
  <si>
    <t>HBA1C</t>
  </si>
  <si>
    <t>Hemoglobin A1C</t>
  </si>
  <si>
    <t>HbA1c; Hemoglobin A1C</t>
  </si>
  <si>
    <t>A measurement of the glycated hemoglobin A1C in a biological specimen.</t>
  </si>
  <si>
    <t>Hemoglobin A1C Measurement</t>
  </si>
  <si>
    <t>C111207</t>
  </si>
  <si>
    <t>HBA1CHGB</t>
  </si>
  <si>
    <t>Hemoglobin A1C/Hemoglobin</t>
  </si>
  <si>
    <t>Glycated Hemoglobin/Hemoglobin; HbA1c/Hemoglobin; Hemoglobin A1C/Hemoglobin</t>
  </si>
  <si>
    <t>A relative measurement (ratio or percentage) of the glycated hemoglobin A1C to total hemoglobin in a biological specimen.</t>
  </si>
  <si>
    <t>Hemoglobin A1C to Hemoglobin Ratio Measurement</t>
  </si>
  <si>
    <t>C147353</t>
  </si>
  <si>
    <t>HBA2PHB</t>
  </si>
  <si>
    <t>Hemoglobin A2 Prime/Total Hemoglobin</t>
  </si>
  <si>
    <t>A relative measurement (ratio or percentage) of the hemoglobin A2 prime to total hemoglobin in a biological specimen.</t>
  </si>
  <si>
    <t>Hemoglobin A2 Prime to Total Hemoglobin Ratio Measurement</t>
  </si>
  <si>
    <t>C147354</t>
  </si>
  <si>
    <t>HBBARTHB</t>
  </si>
  <si>
    <t>Hemoglobin Barts/Total Hemoglobin</t>
  </si>
  <si>
    <t>A relative measurement (ratio or percentage) of the hemoglobin Barts to total hemoglobin in a biological specimen.</t>
  </si>
  <si>
    <t>Hemoglobin Barts to Total Hemoglobin Ratio Measurement</t>
  </si>
  <si>
    <t>C166039</t>
  </si>
  <si>
    <t>HBCAG</t>
  </si>
  <si>
    <t>Hepatitis B Virus Core Antigen</t>
  </si>
  <si>
    <t>A measurement of the Hepatitis B virus core antigen in a biological specimen.</t>
  </si>
  <si>
    <t>Hepatitis B Virus Core Antigen Measurement</t>
  </si>
  <si>
    <t>C147355</t>
  </si>
  <si>
    <t>HBCOHGB</t>
  </si>
  <si>
    <t>Carboxyhemoglobin/Total Hemoglobin</t>
  </si>
  <si>
    <t>A relative measurement (ratio or percentage) of the amount of carboxyhemoglobin compared to total hemoglobin in a biological specimen.</t>
  </si>
  <si>
    <t>Carboxyhemoglobin to Total Hemoglobin Ratio Measurement</t>
  </si>
  <si>
    <t>C103404</t>
  </si>
  <si>
    <t>HBDNA</t>
  </si>
  <si>
    <t>Hepatitis B Virus DNA</t>
  </si>
  <si>
    <t>A measurement of the Hepatitis B virus DNA in a biological specimen.</t>
  </si>
  <si>
    <t>Hepatitis B DNA Measurement</t>
  </si>
  <si>
    <t>C221543</t>
  </si>
  <si>
    <t>HBDOXHGB</t>
  </si>
  <si>
    <t>Deoxyhemoglobin/Total Hemoglobin</t>
  </si>
  <si>
    <t>A relative measurement (ratio or percentage) of the deoxyhemoglobin to total hemoglobin in a biological specimen.</t>
  </si>
  <si>
    <t>Deoxyhemoglobin to Hemoglobin Ratio Measurement</t>
  </si>
  <si>
    <t>C96663</t>
  </si>
  <si>
    <t>HBEAG</t>
  </si>
  <si>
    <t>Hepatitis B Virus e Antigen</t>
  </si>
  <si>
    <t>A measurement of the hepatitis B e antigen in a biological specimen.</t>
  </si>
  <si>
    <t>Hepatitis B Virus e Antigen Measurement</t>
  </si>
  <si>
    <t>C199892</t>
  </si>
  <si>
    <t>HBEGF</t>
  </si>
  <si>
    <t>Heparin Binding EGF Like Growth Factor</t>
  </si>
  <si>
    <t>HB-EGF; HEGFL; Heparin Binding EGF Like Growth Factor; Heparin-Binding EGF-Like Growth Factor; Proheparin-Binding EGF-Like Growth Factor</t>
  </si>
  <si>
    <t>A measurement of the heparin binding EGF like growth factor in a biological specimen.</t>
  </si>
  <si>
    <t>Heparin Binding EGF Like Growth Factor Measurement</t>
  </si>
  <si>
    <t>C147356</t>
  </si>
  <si>
    <t>HBGCHTHB</t>
  </si>
  <si>
    <t>Hemoglobin G Coushatta/Total Hemoglobin</t>
  </si>
  <si>
    <t>A relative measurement (ratio or percentage) of the hemoglobin G Coushatta to total hemoglobin in a biological specimen.</t>
  </si>
  <si>
    <t>Hemoglobin G Coushatta to Total Hemoglobin Ratio Measurement</t>
  </si>
  <si>
    <t>C158234</t>
  </si>
  <si>
    <t>HBHIB</t>
  </si>
  <si>
    <t>Hemoglobin H Inclusion Bodies</t>
  </si>
  <si>
    <t>HBH Inclusion Bodies; Hemoglobin H Inclusion Bodies; HGH Inclusion Bodies</t>
  </si>
  <si>
    <t>A measurement of the hemoglobin H inclusion bodies in a biological specimen.</t>
  </si>
  <si>
    <t>Hemoglobin H Inclusion Bodies Measurement</t>
  </si>
  <si>
    <t>C147357</t>
  </si>
  <si>
    <t>HBLEPRHB</t>
  </si>
  <si>
    <t>Hemoglobin Lepore/Total Hemoglobin</t>
  </si>
  <si>
    <t>A relative measurement (ratio or percentage) of the Lepore hemoglobin to total hemoglobin in a biological specimen.</t>
  </si>
  <si>
    <t>Hemoglobin Lepore to Total Hemoglobin Ratio Measurement</t>
  </si>
  <si>
    <t>C166040</t>
  </si>
  <si>
    <t>HBNUAC</t>
  </si>
  <si>
    <t>Hepatitis B Virus Nucleic Acid</t>
  </si>
  <si>
    <t>A measurement of the hepatitis B virus nucleic acid in a biological specimen.</t>
  </si>
  <si>
    <t>Hepatitis B Virus Nucleic Acid Measurement</t>
  </si>
  <si>
    <t>C147358</t>
  </si>
  <si>
    <t>HBOARBHB</t>
  </si>
  <si>
    <t>Hemoglobin O-Arab/Total Hemoglobin</t>
  </si>
  <si>
    <t>A relative measurement (ratio or percentage) of the hemoglobin O-Arab to total hemoglobin in a biological specimen.</t>
  </si>
  <si>
    <t>Hemoglobin O-Arab to Total Hemoglobin Ratio Measurement</t>
  </si>
  <si>
    <t>C201442</t>
  </si>
  <si>
    <t>HBOVAG</t>
  </si>
  <si>
    <t>Human Bocavirus Antigen</t>
  </si>
  <si>
    <t>A measurement of the Human bocavirus antigen in a biological specimen.</t>
  </si>
  <si>
    <t>Human Bocavirus Antigen Measurement</t>
  </si>
  <si>
    <t>C184656</t>
  </si>
  <si>
    <t>HBOVDNA</t>
  </si>
  <si>
    <t>Human bocavirus DNA</t>
  </si>
  <si>
    <t>A measurement of the Human bocavirus DNA in a biological specimen.</t>
  </si>
  <si>
    <t>Human Bocavirus DNA Measurement</t>
  </si>
  <si>
    <t>C198315</t>
  </si>
  <si>
    <t>HBOVNUAC</t>
  </si>
  <si>
    <t>Human Bocavirus Nucleic Acid</t>
  </si>
  <si>
    <t>A measurement of the Human bocavirus nucleic acid in a biological specimen.</t>
  </si>
  <si>
    <t>Human Bocavirus Nucleic Acid Measurement</t>
  </si>
  <si>
    <t>C147359</t>
  </si>
  <si>
    <t>HBOXHGB</t>
  </si>
  <si>
    <t>Oxyhemoglobin/Total Hemoglobin</t>
  </si>
  <si>
    <t>FO2 Hb; Fractioned Oxyhemoglobin; Oxyhemoglobin/Total Hemoglobin</t>
  </si>
  <si>
    <t>A relative measurement (ratio or percentage) of the amount of oxyhemoglobin compared to total hemoglobin in a biological specimen.</t>
  </si>
  <si>
    <t>Oxyhemoglobin to Total Hemoglobin Ratio Measurement</t>
  </si>
  <si>
    <t>C198316</t>
  </si>
  <si>
    <t>HBRNA</t>
  </si>
  <si>
    <t>Hepatitis B Virus RNA</t>
  </si>
  <si>
    <t>A measurement of the Hepatitis B virus RNA in a biological specimen.</t>
  </si>
  <si>
    <t>Hepatitis B Virus RNA Measurement</t>
  </si>
  <si>
    <t>C64850</t>
  </si>
  <si>
    <t>HBSAG</t>
  </si>
  <si>
    <t>Hepatitis B Virus Surface Antigen</t>
  </si>
  <si>
    <t>HBsAg; Hepatitis B Virus Surface Antigen</t>
  </si>
  <si>
    <t>A measurement of the surface antigen reaction of a biological specimen to the Hepatitis B virus.</t>
  </si>
  <si>
    <t>Hepatitis B Virus Surface Antigen Measurement</t>
  </si>
  <si>
    <t>C189553</t>
  </si>
  <si>
    <t>HBV</t>
  </si>
  <si>
    <t>Hepatitis B Virus</t>
  </si>
  <si>
    <t>A measurement of the hepatitis B virus in a biological specimen.</t>
  </si>
  <si>
    <t>Hepatitis B Virus Measurement</t>
  </si>
  <si>
    <t>C116196</t>
  </si>
  <si>
    <t>HCAG</t>
  </si>
  <si>
    <t>Hepatitis C Virus Antigen</t>
  </si>
  <si>
    <t>A measurement of the hepatitis C virus antigen in a biological specimen.</t>
  </si>
  <si>
    <t>Hepatitis C Virus Antigen Measurement</t>
  </si>
  <si>
    <t>C135424</t>
  </si>
  <si>
    <t>HCCAG</t>
  </si>
  <si>
    <t>Hepatitis C Virus Core Antigen</t>
  </si>
  <si>
    <t>A measurement of the hepatitis C virus core antigen in a biological specimen.</t>
  </si>
  <si>
    <t>Hepatitis C Virus Core Antigen Measurement</t>
  </si>
  <si>
    <t>C139062</t>
  </si>
  <si>
    <t>HCENLIND</t>
  </si>
  <si>
    <t>Heart Chamber Enlargement Indicator</t>
  </si>
  <si>
    <t>An indication as to whether there is an enlarged heart chamber.</t>
  </si>
  <si>
    <t>C64851</t>
  </si>
  <si>
    <t>HCG</t>
  </si>
  <si>
    <t>Choriogonadotropin Beta</t>
  </si>
  <si>
    <t>Choriogonadotropin Beta; Pregnancy Test</t>
  </si>
  <si>
    <t>A measurement of the Choriogonadotropin Beta in a biological specimen.</t>
  </si>
  <si>
    <t>Choriogonadotropin Beta Measurement</t>
  </si>
  <si>
    <t>C147360</t>
  </si>
  <si>
    <t>HCGFR</t>
  </si>
  <si>
    <t>Choriogonadotropin Beta, Free</t>
  </si>
  <si>
    <t>A measurement of the free choriogonadotropin beta in a biological specimen.</t>
  </si>
  <si>
    <t>Free Choriogonadotropin Beta Measurement</t>
  </si>
  <si>
    <t>C147128</t>
  </si>
  <si>
    <t>HCGND</t>
  </si>
  <si>
    <t>Choriogonadotropin</t>
  </si>
  <si>
    <t>A measurement of the total choriogonadotropin in a biological specimen.</t>
  </si>
  <si>
    <t>Choriogonadotropin Measurement</t>
  </si>
  <si>
    <t>C147361</t>
  </si>
  <si>
    <t>HCGNDI</t>
  </si>
  <si>
    <t>Choriogonadotropin, Intact</t>
  </si>
  <si>
    <t>A measurement of the intact choriogonadotropin in a biological specimen.</t>
  </si>
  <si>
    <t>Intact Choriogonadotropin Measurement</t>
  </si>
  <si>
    <t>C186060</t>
  </si>
  <si>
    <t>HCH4</t>
  </si>
  <si>
    <t>Hydrogen+Methane</t>
  </si>
  <si>
    <t>H+CH4; Hydrogen+Methane</t>
  </si>
  <si>
    <t>A measurement of the hydrogen and methane in a biological specimen.</t>
  </si>
  <si>
    <t>Hydrogen and Methane Measurement</t>
  </si>
  <si>
    <t>C176300</t>
  </si>
  <si>
    <t>HCHT</t>
  </si>
  <si>
    <t>Hyocholate</t>
  </si>
  <si>
    <t>Hyocholate; Hyocholic Acid</t>
  </si>
  <si>
    <t>A measurement of the hyocholate in a biological specimen.</t>
  </si>
  <si>
    <t>Hyocholate Measurement</t>
  </si>
  <si>
    <t>C166041</t>
  </si>
  <si>
    <t>HCNUAC</t>
  </si>
  <si>
    <t>Hepatitis C Virus Nucleic Acid</t>
  </si>
  <si>
    <t>A measurement of the hepatitis C virus nucleic acid in a biological specimen.</t>
  </si>
  <si>
    <t>Hepatitis C Virus Nucleic Acid Measurement</t>
  </si>
  <si>
    <t>C181428</t>
  </si>
  <si>
    <t>HCOA3</t>
  </si>
  <si>
    <t>3beta-Hydroxy-5-Cholestenoic Acid</t>
  </si>
  <si>
    <t>3-HCOA; 3-Hydroxy-5-cholestenoic acid; 3beta-Hydroxy-5-Cholestenoic Acid</t>
  </si>
  <si>
    <t>A measurement of the 3beta-hydroxy-5-cholestenoic acid in a biological specimen.</t>
  </si>
  <si>
    <t>3beta-Hydroxy-5-Cholestenoic Acid Measurement</t>
  </si>
  <si>
    <t>C178007</t>
  </si>
  <si>
    <t>HCOV229E</t>
  </si>
  <si>
    <t>Human Coronavirus 229E</t>
  </si>
  <si>
    <t>A measurement of the Human coronavirus 229E in a biological specimen.</t>
  </si>
  <si>
    <t>Human Coronavirus 229E Measurement</t>
  </si>
  <si>
    <t>C178008</t>
  </si>
  <si>
    <t>HCOVHKU1</t>
  </si>
  <si>
    <t>Human Coronavirus HKU1</t>
  </si>
  <si>
    <t>A measurement of the Human coronavirus HKU1 in a biological specimen.</t>
  </si>
  <si>
    <t>Human Coronavirus HKU1 Measurement</t>
  </si>
  <si>
    <t>C178009</t>
  </si>
  <si>
    <t>HCOVNL63</t>
  </si>
  <si>
    <t>Human Coronavirus NL63</t>
  </si>
  <si>
    <t>A measurement of the Human coronavirus NL63 in a biological specimen.</t>
  </si>
  <si>
    <t>Human Coronavirus NL63 Measurement</t>
  </si>
  <si>
    <t>C178010</t>
  </si>
  <si>
    <t>HCOVOC43</t>
  </si>
  <si>
    <t>Human Coronavirus OC43</t>
  </si>
  <si>
    <t>A measurement of the Human coronavirus OC43 in a biological specimen.</t>
  </si>
  <si>
    <t>Human Coronavirus OC43 Measurement</t>
  </si>
  <si>
    <t>C154816</t>
  </si>
  <si>
    <t>HCPAG</t>
  </si>
  <si>
    <t>Histoplasma capsulatum Antigen</t>
  </si>
  <si>
    <t>A measurement of the Histoplasma capsulatum antigen in a biological specimen.</t>
  </si>
  <si>
    <t>Histoplasma capsulatum Antigen Measurement</t>
  </si>
  <si>
    <t>C205753</t>
  </si>
  <si>
    <t>HCRAPCTL</t>
  </si>
  <si>
    <t>Head Circumference-for-Age Percentile</t>
  </si>
  <si>
    <t>Head Circumference-for-Age Percentile; Head Occipital-Frontal Circumference-for-Age Percentile</t>
  </si>
  <si>
    <t>An assessed relationship of an individual's head circumference and age to that of a reference population, expressed as a percentile.</t>
  </si>
  <si>
    <t>C142330</t>
  </si>
  <si>
    <t>HCRNA</t>
  </si>
  <si>
    <t>Hepatitis C Virus RNA</t>
  </si>
  <si>
    <t>A measurement of the Hepatitis C virus RNA in a biological specimen.</t>
  </si>
  <si>
    <t>Hepatitis C Virus RNA Measurement</t>
  </si>
  <si>
    <t>C64796</t>
  </si>
  <si>
    <t>HCT</t>
  </si>
  <si>
    <t>Hematocrit</t>
  </si>
  <si>
    <t>Erythrocyte Volume Fraction; EVF; Hematocrit; Packed Cell Volume; PCV</t>
  </si>
  <si>
    <t>The percentage of a whole blood specimen that is composed of red blood cells (erythrocytes).</t>
  </si>
  <si>
    <t>Hematocrit Measurement</t>
  </si>
  <si>
    <t>C189554</t>
  </si>
  <si>
    <t>HCV</t>
  </si>
  <si>
    <t>Hepatitis C Virus</t>
  </si>
  <si>
    <t>A measurement of the hepatitis C virus in a biological specimen.</t>
  </si>
  <si>
    <t>Hepatitis C Virus Measurement</t>
  </si>
  <si>
    <t>C81255</t>
  </si>
  <si>
    <t>HDCIRC</t>
  </si>
  <si>
    <t>Head Circumference</t>
  </si>
  <si>
    <t>A circumferential measurement of the head at the widest point.</t>
  </si>
  <si>
    <t>C112287</t>
  </si>
  <si>
    <t>HDCL</t>
  </si>
  <si>
    <t>Hemodialysis Clearance</t>
  </si>
  <si>
    <t>The clearance of a substance from the blood during a hemodialysis session.</t>
  </si>
  <si>
    <t>C116213</t>
  </si>
  <si>
    <t>HDER</t>
  </si>
  <si>
    <t>Hemodialysis Extraction Ratio</t>
  </si>
  <si>
    <t>The fractional content of a substance removed from the blood during a hemodialysis session.</t>
  </si>
  <si>
    <t>C105587</t>
  </si>
  <si>
    <t>HDL</t>
  </si>
  <si>
    <t>HDL Cholesterol</t>
  </si>
  <si>
    <t>A measurement of the high density lipoprotein cholesterol in a biological specimen.</t>
  </si>
  <si>
    <t>High Density Lipoprotein Cholesterol Measurement</t>
  </si>
  <si>
    <t>C209594</t>
  </si>
  <si>
    <t>HDL_LDL</t>
  </si>
  <si>
    <t>HDL+LDL Cholesterol</t>
  </si>
  <si>
    <t>A measurement of the high density lipoprotein cholesterol and the low density lipoprotein cholesterol in a biological specimen.</t>
  </si>
  <si>
    <t>High Density Lipoprotein Cholesterol and Low Density Lipoprotein Cholesterol Measurement</t>
  </si>
  <si>
    <t>C80187</t>
  </si>
  <si>
    <t>HDL2</t>
  </si>
  <si>
    <t>HDL-Cholesterol Subclass 2</t>
  </si>
  <si>
    <t>A measurement of the high-density lipoprotein (HDL) cholesterol subclass 2 in a biological specimen.</t>
  </si>
  <si>
    <t>HDL-Cholesterol Subclass 2 Measurement</t>
  </si>
  <si>
    <t>C80188</t>
  </si>
  <si>
    <t>HDL3</t>
  </si>
  <si>
    <t>HDL-Cholesterol Subclass 3</t>
  </si>
  <si>
    <t>A measurement of the high-density lipoprotein (HDL) cholesterol subclass 3 in a biological specimen.</t>
  </si>
  <si>
    <t>HDL-Cholesterol Subclass 3 Measurement</t>
  </si>
  <si>
    <t>C147362</t>
  </si>
  <si>
    <t>HDLCCHOL</t>
  </si>
  <si>
    <t>HDL Cholesterol/Total Cholesterol</t>
  </si>
  <si>
    <t>A relative measurement (ratio or percentage) of the amount of HDL cholesterol compared to total cholesterol in a biological specimen.</t>
  </si>
  <si>
    <t>HDL Cholesterol to Total Cholesterol Ratio Measurement</t>
  </si>
  <si>
    <t>C100425</t>
  </si>
  <si>
    <t>HDLCLDLC</t>
  </si>
  <si>
    <t>HDL Cholesterol/LDL Cholesterol</t>
  </si>
  <si>
    <t>A relative measurement (ratio or percentage) of the amount of HDL cholesterol compared to LDL cholesterol in a biological specimen.</t>
  </si>
  <si>
    <t>HDL Cholesterol to LDL Cholesterol Ratio Measurement</t>
  </si>
  <si>
    <t>C156513</t>
  </si>
  <si>
    <t>HDLPL</t>
  </si>
  <si>
    <t>HDL Phospholipid</t>
  </si>
  <si>
    <t>HDL Phospholipid; HDL-PL</t>
  </si>
  <si>
    <t>A measurement of the high density lipoprotein phospholipid in a biological specimen.</t>
  </si>
  <si>
    <t>HDL Phospholipid Measurement</t>
  </si>
  <si>
    <t>C103402</t>
  </si>
  <si>
    <t>HDLPSZ</t>
  </si>
  <si>
    <t>HDL Particle Size</t>
  </si>
  <si>
    <t>A measurement of the average particle size of high-density lipoprotein in a biological specimen.</t>
  </si>
  <si>
    <t>HDL Particle Size Measurement</t>
  </si>
  <si>
    <t>C189510</t>
  </si>
  <si>
    <t>HDR51AGT</t>
  </si>
  <si>
    <t>HLA-DR51 Antigen Type</t>
  </si>
  <si>
    <t>The identification of the type of human leukocyte antigen, class II, antigen-D-related 51 (HLA-DR51), in a biological specimen.</t>
  </si>
  <si>
    <t>HLA-DR51 Antigen Measurement</t>
  </si>
  <si>
    <t>C189511</t>
  </si>
  <si>
    <t>HDR52AGT</t>
  </si>
  <si>
    <t>HLA-DR52 Antigen Type</t>
  </si>
  <si>
    <t>The identification of the type of human leukocyte antigen, class II, antigen-D-related 52 (HLA-DR52), in a biological specimen.</t>
  </si>
  <si>
    <t>HLA-DR52 Antigen Measurement</t>
  </si>
  <si>
    <t>C189512</t>
  </si>
  <si>
    <t>HDR53AGT</t>
  </si>
  <si>
    <t>HLA-DR53 Antigen Type</t>
  </si>
  <si>
    <t>The identification of the type of human leukocyte antigen, class II, antigen-D-related 53 (HLA-DR53), in a biological specimen.</t>
  </si>
  <si>
    <t>HLA-DR53 Antigen Measurement</t>
  </si>
  <si>
    <t>C186156</t>
  </si>
  <si>
    <t>HDVRNA</t>
  </si>
  <si>
    <t>Hepatitis D Virus RNA</t>
  </si>
  <si>
    <t>A measurement of the hepatitis D virus RNA in a biological specimen.</t>
  </si>
  <si>
    <t>Hepatitis D Virus RNA Measurement</t>
  </si>
  <si>
    <t>C106525</t>
  </si>
  <si>
    <t>HDW</t>
  </si>
  <si>
    <t>Hemoglobin Distribution Width</t>
  </si>
  <si>
    <t>Hemoglobin Concentration Distribution Width; Hemoglobin Distribution Width</t>
  </si>
  <si>
    <t>A measurement of the distribution of the hemoglobin concentration in red blood cells.</t>
  </si>
  <si>
    <t>Hemoglobin Distribution Width Measurement</t>
  </si>
  <si>
    <t>C139070</t>
  </si>
  <si>
    <t>HDWR</t>
  </si>
  <si>
    <t>Ret Hemoglobin Distribution Width</t>
  </si>
  <si>
    <t>Ret Hemoglobin Distribution Width; Reticulocyte Hemoglobin Concentration Distribution Width</t>
  </si>
  <si>
    <t>A measurement of the distribution of the hemoglobin concentration in reticulocytes.</t>
  </si>
  <si>
    <t>Reticulocyte Hemoglobin Distribution Width</t>
  </si>
  <si>
    <t>C163452</t>
  </si>
  <si>
    <t>HE4</t>
  </si>
  <si>
    <t>Human Epididymis Protein 4</t>
  </si>
  <si>
    <t>A measurement of the human epididymis protein 4 in a biological specimen.</t>
  </si>
  <si>
    <t>Human Epididymis Protein 4 Measurement</t>
  </si>
  <si>
    <t>C166042</t>
  </si>
  <si>
    <t>HEAG</t>
  </si>
  <si>
    <t>Hepatitis E Virus Antigen</t>
  </si>
  <si>
    <t>A measurement of the Hepatitis E virus antigen in a biological specimen.</t>
  </si>
  <si>
    <t>Hepatitis E Virus Antigen Measurement</t>
  </si>
  <si>
    <t>C25347</t>
  </si>
  <si>
    <t>HEIGHT</t>
  </si>
  <si>
    <t>Height</t>
  </si>
  <si>
    <t>The vertical measurement or distance from the base to the top of an object; the vertical dimension of extension. (NCI)</t>
  </si>
  <si>
    <t>C74709</t>
  </si>
  <si>
    <t>HEINZ</t>
  </si>
  <si>
    <t>Heinz Bodies</t>
  </si>
  <si>
    <t>Heinz Bodies; Heinz-Erhlich Bodies</t>
  </si>
  <si>
    <t>A measurement of the Heinz bodies (small round inclusions within the body of a red blood cell) in a biological specimen.</t>
  </si>
  <si>
    <t>Heinz-Ehrlich Body Measurement</t>
  </si>
  <si>
    <t>C111206</t>
  </si>
  <si>
    <t>HEINZRBC</t>
  </si>
  <si>
    <t>Heinz Bodies/Erythrocytes</t>
  </si>
  <si>
    <t>A relative measurement (ratio or percentage) of the erythrocytes that contain heinz bodies to total erythrocytes in a biological specimen.</t>
  </si>
  <si>
    <t>Heinz Body to Erythrocyte Ratio Measurement</t>
  </si>
  <si>
    <t>C74658</t>
  </si>
  <si>
    <t>HELMETCE</t>
  </si>
  <si>
    <t>Helmet Cells</t>
  </si>
  <si>
    <t>A measurement of the Helmet cells (specialized Keratocytes with two projections on either end that are tapered and hornlike) in a biological specimen.</t>
  </si>
  <si>
    <t>Helmet Cell Count</t>
  </si>
  <si>
    <t>C165966</t>
  </si>
  <si>
    <t>HELMOV10</t>
  </si>
  <si>
    <t>Helicase MOV-10 Protein</t>
  </si>
  <si>
    <t>Helicase MOV-10 Protein; Moloney Leukemia Virus 10 Protein</t>
  </si>
  <si>
    <t>A measurement of helicase MOV-10 protein in a biological specimen.</t>
  </si>
  <si>
    <t>Helicase MOV-10 Protein Measurement</t>
  </si>
  <si>
    <t>C201498</t>
  </si>
  <si>
    <t>HEMAIMP</t>
  </si>
  <si>
    <t>Hematologic Improvement</t>
  </si>
  <si>
    <t>An assessment of the improvement of specified blood cell counts as a response to treatment.</t>
  </si>
  <si>
    <t>C179823</t>
  </si>
  <si>
    <t>HEMAIND</t>
  </si>
  <si>
    <t>Hematoma Indicator</t>
  </si>
  <si>
    <t>An indication as to whether hematoma has occurred.</t>
  </si>
  <si>
    <t>C123622</t>
  </si>
  <si>
    <t>HEMARESP</t>
  </si>
  <si>
    <t>Hematologic Response</t>
  </si>
  <si>
    <t>An assessment of the hematologic response of the disease to the therapy.</t>
  </si>
  <si>
    <t>C111208</t>
  </si>
  <si>
    <t>HEMOLYSI</t>
  </si>
  <si>
    <t>Hemolytic Index</t>
  </si>
  <si>
    <t>Hemolysis; Hemolytic Index</t>
  </si>
  <si>
    <t>A measurement of the destruction of red blood cells in a biological specimen.</t>
  </si>
  <si>
    <t>C187851</t>
  </si>
  <si>
    <t>HEMOZOIN</t>
  </si>
  <si>
    <t>Hemozoin</t>
  </si>
  <si>
    <t>A measurement of hemozoin in a biological specimen. Hemozoin is a breakdown product of hemoglobin and iron-containing pigment that accumulates as cytoplasmic granules in blood-feeding parasites.</t>
  </si>
  <si>
    <t>Hemozoin Measurement</t>
  </si>
  <si>
    <t>C165967</t>
  </si>
  <si>
    <t>HEPARIN</t>
  </si>
  <si>
    <t>Heparin</t>
  </si>
  <si>
    <t>A measurement of the heparin in a biological specimen.</t>
  </si>
  <si>
    <t>Heparin Measurement</t>
  </si>
  <si>
    <t>C181484</t>
  </si>
  <si>
    <t>HEPBLLN</t>
  </si>
  <si>
    <t>Hepatocellular Ballooning</t>
  </si>
  <si>
    <t>Ballooning Degeneration; Hepatocellular Ballooning</t>
  </si>
  <si>
    <t>An evaluation of hepatocellular ballooning in a biological specimen.</t>
  </si>
  <si>
    <t>Hepatocellular Ballooning Assessment</t>
  </si>
  <si>
    <t>C204636</t>
  </si>
  <si>
    <t>HEPBP</t>
  </si>
  <si>
    <t>Heparin-Binding Protein</t>
  </si>
  <si>
    <t>Azurocidin; CAP37; Cationic Antimicrobial Protein CAP37; HBP; Heparin-Binding Protein</t>
  </si>
  <si>
    <t>A measurement of the heparin-binding protein in a biological specimen.</t>
  </si>
  <si>
    <t>Heparin-Binding Protein Measurement</t>
  </si>
  <si>
    <t>C174387</t>
  </si>
  <si>
    <t>HEPCIDIN</t>
  </si>
  <si>
    <t>Hepcidin</t>
  </si>
  <si>
    <t>A measurement of the total hepcidin in a biological specimen.</t>
  </si>
  <si>
    <t>Hepcidin Measurement</t>
  </si>
  <si>
    <t>C199897</t>
  </si>
  <si>
    <t>HEPSIN</t>
  </si>
  <si>
    <t>Hepsin</t>
  </si>
  <si>
    <t>HEPS; Hepsin; Serine Protease Hepsin; TMPRSS1; Transmembrane Protease Serine 1</t>
  </si>
  <si>
    <t>A measurement of the hepsin in a biological specimen.</t>
  </si>
  <si>
    <t>Hepsin Measurement</t>
  </si>
  <si>
    <t>C112312</t>
  </si>
  <si>
    <t>HER2</t>
  </si>
  <si>
    <t>Human Epidermal Growth Factor Receptor 2</t>
  </si>
  <si>
    <t>ERBB2; HER2/NEU; Human Epidermal Growth Factor Receptor 2</t>
  </si>
  <si>
    <t>A measurement of HER2 protein in a biological specimen.</t>
  </si>
  <si>
    <t>Human Epidermal Growth Factor Receptor 2 Measurement</t>
  </si>
  <si>
    <t>C112291</t>
  </si>
  <si>
    <t>HER2S</t>
  </si>
  <si>
    <t>Soluble HER2</t>
  </si>
  <si>
    <t>HER2 Antigen; HER2/NEU Antigen; HER2/NEU Shed Antigen; Soluble HER2; Soluble HER2/NEU</t>
  </si>
  <si>
    <t>A measurement of the soluble HER2 protein in a biological specimen.</t>
  </si>
  <si>
    <t>Soluble HER2 Antigen Measurement</t>
  </si>
  <si>
    <t>C163453</t>
  </si>
  <si>
    <t>HERC5</t>
  </si>
  <si>
    <t>Hect Domain and RLD 5</t>
  </si>
  <si>
    <t>E3 ISG15--Protein Ligase HERC5; HECT and RLD Domain Containing E3 Ubiquitin Protein Ligase 5; Hect Domain and RLD 5</t>
  </si>
  <si>
    <t>A measurement of the hect domain and RLD 5 in a biological specimen.</t>
  </si>
  <si>
    <t>Hect Domain and RLD 5 Measurement</t>
  </si>
  <si>
    <t>C142331</t>
  </si>
  <si>
    <t>HERNA</t>
  </si>
  <si>
    <t>Hepatitis E Virus RNA</t>
  </si>
  <si>
    <t>A measurement of the Hepatitis E virus RNA in a biological specimen.</t>
  </si>
  <si>
    <t>Hepatitis E Virus RNA Measurement</t>
  </si>
  <si>
    <t>C116186</t>
  </si>
  <si>
    <t>HETRPH</t>
  </si>
  <si>
    <t>Heterophils</t>
  </si>
  <si>
    <t>A measurement of heterophils (granular leukocytes) in a biological specimen from avian species.</t>
  </si>
  <si>
    <t>Heterophil Measurement</t>
  </si>
  <si>
    <t>C116187</t>
  </si>
  <si>
    <t>HETRPHLE</t>
  </si>
  <si>
    <t>Heterophils/Leukocytes</t>
  </si>
  <si>
    <t>A relative measurement (ratio or percentage) of heterophils to leukocytes in a biological specimen from avian species.</t>
  </si>
  <si>
    <t>Heterophils to Leukocytes Ratio Measurement</t>
  </si>
  <si>
    <t>C181411</t>
  </si>
  <si>
    <t>HEXA</t>
  </si>
  <si>
    <t>Hexosaminidase A</t>
  </si>
  <si>
    <t>Beta-Hexosaminidase Subunit Alpha; Beta-N-Acetylhexosaminidase Subunit Alpha; Hexosaminidase A; Hexosaminidase Subunit A; Hexosaminidase Subunit Alpha; N-Acetyl-Beta-Glucosaminidase Subunit Alpha</t>
  </si>
  <si>
    <t>A measurement of the hexosaminidase A in a biological specimen.</t>
  </si>
  <si>
    <t>Hexosaminidase A Measurement</t>
  </si>
  <si>
    <t>C96668</t>
  </si>
  <si>
    <t>HEXK</t>
  </si>
  <si>
    <t>Hexokinase</t>
  </si>
  <si>
    <t>A measurement of the hexokinase in a biological specimen.</t>
  </si>
  <si>
    <t>Hexokinase Measurement</t>
  </si>
  <si>
    <t>C64848</t>
  </si>
  <si>
    <t>HGB</t>
  </si>
  <si>
    <t>Hemoglobin</t>
  </si>
  <si>
    <t>Hemoglobin; Hemoglobin Monomer</t>
  </si>
  <si>
    <t>A measurement of the total erythrocyte associated hemoglobin in a biological specimen.</t>
  </si>
  <si>
    <t>Hemoglobin Measurement</t>
  </si>
  <si>
    <t>C92258</t>
  </si>
  <si>
    <t>HGBA</t>
  </si>
  <si>
    <t>Hemoglobin A</t>
  </si>
  <si>
    <t>A measurement of the hemoglobin A in a biological specimen.</t>
  </si>
  <si>
    <t>Hemoglobin A Measurement</t>
  </si>
  <si>
    <t>C147363</t>
  </si>
  <si>
    <t>HGBA1HGB</t>
  </si>
  <si>
    <t>Hemoglobin A1/Total Hemoglobin</t>
  </si>
  <si>
    <t>A relative measurement (ratio or percentage) of the hemoglobin A1 to total hemoglobin in a biological specimen.</t>
  </si>
  <si>
    <t>Hemoglobin A1 to Total Hemoglobin Ratio Measurement</t>
  </si>
  <si>
    <t>C92259</t>
  </si>
  <si>
    <t>HGBA2</t>
  </si>
  <si>
    <t>Hemoglobin A2</t>
  </si>
  <si>
    <t>A measurement of the hemoglobin A2 in a biological specimen.</t>
  </si>
  <si>
    <t>Hemoglobin A2 Measurement</t>
  </si>
  <si>
    <t>C81277</t>
  </si>
  <si>
    <t>HGBA2HGB</t>
  </si>
  <si>
    <t>Hemoglobin A2/Total Hemoglobin</t>
  </si>
  <si>
    <t>A relative measurement (ratio or percentage) of the hemoglobin A2 to total hemoglobin in a biological specimen.</t>
  </si>
  <si>
    <t>Hemoglobin A2 to Total Hemoglobin Ratio Measurement</t>
  </si>
  <si>
    <t>C81276</t>
  </si>
  <si>
    <t>HGBAHGB</t>
  </si>
  <si>
    <t>Hemoglobin A/Total Hemoglobin</t>
  </si>
  <si>
    <t>A relative measurement (ratio or percentage) of the hemoglobin A to total hemoglobin in a biological specimen.</t>
  </si>
  <si>
    <t>Hemoglobin A to Total Hemoglobin Ratio Measurement</t>
  </si>
  <si>
    <t>C92260</t>
  </si>
  <si>
    <t>HGBB</t>
  </si>
  <si>
    <t>Hemoglobin B</t>
  </si>
  <si>
    <t>A measurement of the hemoglobin B in a biological specimen.</t>
  </si>
  <si>
    <t>Hemoglobin B Measurement</t>
  </si>
  <si>
    <t>C92261</t>
  </si>
  <si>
    <t>HGBC</t>
  </si>
  <si>
    <t>Hemoglobin C</t>
  </si>
  <si>
    <t>A measurement of the hemoglobin C in a biological specimen.</t>
  </si>
  <si>
    <t>Hemoglobin C Measurement</t>
  </si>
  <si>
    <t>C81278</t>
  </si>
  <si>
    <t>HGBCHGB</t>
  </si>
  <si>
    <t>Hemoglobin C/Total Hemoglobin</t>
  </si>
  <si>
    <t>A relative measurement (ratio or percentage) of the hemoglobin C to total hemoglobin in a biological specimen.</t>
  </si>
  <si>
    <t>Hemoglobin C to Total Hemoglobin Ratio Measurement</t>
  </si>
  <si>
    <t>C156515</t>
  </si>
  <si>
    <t>HGBCS</t>
  </si>
  <si>
    <t>Hemoglobin Casts</t>
  </si>
  <si>
    <t>A measurement of the hemoglobin casts present in a biological specimen.</t>
  </si>
  <si>
    <t>Hemoglobin Cast Measurement</t>
  </si>
  <si>
    <t>C147364</t>
  </si>
  <si>
    <t>HGBDHGB</t>
  </si>
  <si>
    <t>Hemoglobin D/Total Hemoglobin</t>
  </si>
  <si>
    <t>A relative measurement (ratio or percentage) of the hemoglobin D to total hemoglobin in a biological specimen.</t>
  </si>
  <si>
    <t>Hemoglobin D to Total Hemoglobin Ratio Measurement</t>
  </si>
  <si>
    <t>C124343</t>
  </si>
  <si>
    <t>HGBDOXY</t>
  </si>
  <si>
    <t>Deoxyhemoglobin</t>
  </si>
  <si>
    <t>A measurement of the deoxyhemoglobin, hemoglobin without oxygen, in a biological specimen.</t>
  </si>
  <si>
    <t>Deoxyhemoglobin Measurement</t>
  </si>
  <si>
    <t>C147365</t>
  </si>
  <si>
    <t>HGBEHGB</t>
  </si>
  <si>
    <t>Hemoglobin E/Total Hemoglobin</t>
  </si>
  <si>
    <t>A relative measurement (ratio or percentage) of the hemoglobin E to total hemoglobin in a biological specimen.</t>
  </si>
  <si>
    <t>Hemoglobin E to Total Hemoglobin Ratio Measurement</t>
  </si>
  <si>
    <t>C92262</t>
  </si>
  <si>
    <t>HGBF</t>
  </si>
  <si>
    <t>Hemoglobin F</t>
  </si>
  <si>
    <t>Fetal Hemoglobin; Hemoglobin F</t>
  </si>
  <si>
    <t>A measurement of the hemoglobin F in a biological specimen.</t>
  </si>
  <si>
    <t>Hemoglobin F Measurement</t>
  </si>
  <si>
    <t>C147366</t>
  </si>
  <si>
    <t>HGBFHGB</t>
  </si>
  <si>
    <t>Hemoglobin F/Total Hemoglobin</t>
  </si>
  <si>
    <t>A relative measurement (ratio or percentage) of the fetal hemoglobin (hemoglobin F) to total hemoglobin in a biological specimen.</t>
  </si>
  <si>
    <t>Hemoglobin F to Total Hemoglobin Ratio Measurement</t>
  </si>
  <si>
    <t>C161363</t>
  </si>
  <si>
    <t>HGBFPATN</t>
  </si>
  <si>
    <t>Hemoglobin Fraction Pattern</t>
  </si>
  <si>
    <t>A description of the hemoglobin fraction pattern in a biological specimen.</t>
  </si>
  <si>
    <t>C127617</t>
  </si>
  <si>
    <t>HGBFR</t>
  </si>
  <si>
    <t>Hemoglobin, Free</t>
  </si>
  <si>
    <t>A measurement of the hemoglobin external to erythrocytes in a biological specimen.</t>
  </si>
  <si>
    <t>Free Hemoglobin Measurement</t>
  </si>
  <si>
    <t>C209595</t>
  </si>
  <si>
    <t>HGBHHGB</t>
  </si>
  <si>
    <t>Hemoglobin H/Total Hemoglobin</t>
  </si>
  <si>
    <t>HB H/Total Hemoglobin; Hemoglobin H/Total Hemoglobin</t>
  </si>
  <si>
    <t>A relative measurement (ratio or percentage) of the hemoglobin H to total hemoglobin in a biological specimen.</t>
  </si>
  <si>
    <t>Hemoglobin H to Hemoglobin Ratio Measurement</t>
  </si>
  <si>
    <t>C96689</t>
  </si>
  <si>
    <t>HGBMET</t>
  </si>
  <si>
    <t>Methemoglobin</t>
  </si>
  <si>
    <t>A measurement of the methemoglobin in a biological specimen.</t>
  </si>
  <si>
    <t>Methemoglobin Measurement</t>
  </si>
  <si>
    <t>C147367</t>
  </si>
  <si>
    <t>HGBMHGB</t>
  </si>
  <si>
    <t>Methemoglobin/Total Hemoglobin</t>
  </si>
  <si>
    <t>FMET HB; Fractionated Methemoglobin; Methemoglobin/Total Hemoglobin</t>
  </si>
  <si>
    <t>A relative measurement (ratio or percentage) of the amount of methemoglobin compared to total hemoglobin in a biological specimen.</t>
  </si>
  <si>
    <t>Methemoglobin to Total Hemoglobin Ratio Measurement</t>
  </si>
  <si>
    <t>C96616</t>
  </si>
  <si>
    <t>HGBOXY</t>
  </si>
  <si>
    <t>Oxyhemoglobin</t>
  </si>
  <si>
    <t>A measurement of the oxyhemoglobin, oxygen-bound hemoglobin, in a biological specimen.</t>
  </si>
  <si>
    <t>Oxyhemoglobin Measurement</t>
  </si>
  <si>
    <t>C202443</t>
  </si>
  <si>
    <t>HGBRESP</t>
  </si>
  <si>
    <t>Hemoglobin Response</t>
  </si>
  <si>
    <t>An assessment of the disease response to therapy based on hemoglobin measurement.</t>
  </si>
  <si>
    <t>C122123</t>
  </si>
  <si>
    <t>HGBS</t>
  </si>
  <si>
    <t>Hemoglobin S</t>
  </si>
  <si>
    <t>Hemoglobin S; Sickle Hemoglobin</t>
  </si>
  <si>
    <t>A measurement of the hemoglobin S in a biological specimen.</t>
  </si>
  <si>
    <t>Hemoglobin S Measurement</t>
  </si>
  <si>
    <t>C81279</t>
  </si>
  <si>
    <t>HGBSHGB</t>
  </si>
  <si>
    <t>Hemoglobin S/Total Hemoglobin</t>
  </si>
  <si>
    <t>A relative measurement (ratio or percentage) of the hemoglobin S to total hemoglobin in a biological specimen.</t>
  </si>
  <si>
    <t>Hemoglobin S to Total Hemoglobin Ratio Measurement</t>
  </si>
  <si>
    <t>C135425</t>
  </si>
  <si>
    <t>HGBTET</t>
  </si>
  <si>
    <t>Hemoglobin Tetramer</t>
  </si>
  <si>
    <t>A measurement of the hemoglobin tetramer in a biological specimen.</t>
  </si>
  <si>
    <t>Hemoglobin Tetramer Measurement</t>
  </si>
  <si>
    <t>C103845</t>
  </si>
  <si>
    <t>HGBVAR</t>
  </si>
  <si>
    <t>Hemoglobin Variants</t>
  </si>
  <si>
    <t>A statement that indicates a defined set of hemoglobin variants were looked for in a biological specimen.</t>
  </si>
  <si>
    <t>Hemoglobin Variant Measurement</t>
  </si>
  <si>
    <t>C135426</t>
  </si>
  <si>
    <t>HGF</t>
  </si>
  <si>
    <t>Hepatocyte Growth Factor</t>
  </si>
  <si>
    <t>A measurement of the hepatocyte growth factor in a biological specimen.</t>
  </si>
  <si>
    <t>Hepatocyte Growth Factor Measurement</t>
  </si>
  <si>
    <t>C172514</t>
  </si>
  <si>
    <t>HGFR</t>
  </si>
  <si>
    <t>Hepatocyte Growth Factor Receptor</t>
  </si>
  <si>
    <t>c-Met; Hepatocyte Growth Factor Receptor; MET Proto-Oncogene, Receptor Tyrosine Kinase; Tyrosine-Protein Kinase Met</t>
  </si>
  <si>
    <t>A measurement of the hepatocyte growth factor receptor in a biological specimen.</t>
  </si>
  <si>
    <t>Hepatocyte Growth Factor Receptor Measurement</t>
  </si>
  <si>
    <t>C181453</t>
  </si>
  <si>
    <t>HGFRFR</t>
  </si>
  <si>
    <t>Hepatocyte Growth Factor Receptor, Free</t>
  </si>
  <si>
    <t>A measurement of the free (unbound) hepatocyte growth factor receptor in a biological specimen.</t>
  </si>
  <si>
    <t>Free Hepatocyte Growth Factor Receptor Measurement</t>
  </si>
  <si>
    <t>C187809</t>
  </si>
  <si>
    <t>HGPRT</t>
  </si>
  <si>
    <t>Hypoxanthine-Guanine PRT</t>
  </si>
  <si>
    <t>Hypoxanthine-Guanine Phosphoribosyltransferase; Hypoxanthine-Guanine PRT</t>
  </si>
  <si>
    <t>A measurement of the hypoxanthine-guanine phosphoribosyltransferase in a biological specimen.</t>
  </si>
  <si>
    <t>Hypoxanthine-Guanine Phosphoribosyltransferase Measurement</t>
  </si>
  <si>
    <t>C199936</t>
  </si>
  <si>
    <t>HHV6</t>
  </si>
  <si>
    <t>Human Herpesvirus 6</t>
  </si>
  <si>
    <t>A measurement of the human herpesvirus 6 in a biological specimen.</t>
  </si>
  <si>
    <t>Human Herpesvirus 6 Measurement</t>
  </si>
  <si>
    <t>C187855</t>
  </si>
  <si>
    <t>HHV6DNA</t>
  </si>
  <si>
    <t>Human Herpesvirus 6 DNA</t>
  </si>
  <si>
    <t>A measurement of the human herpesvirus 6 DNA in a biological specimen.</t>
  </si>
  <si>
    <t>Human Herpesvirus 6 DNA Measurement</t>
  </si>
  <si>
    <t>C199937</t>
  </si>
  <si>
    <t>HHV7</t>
  </si>
  <si>
    <t>Human Herpesvirus 7</t>
  </si>
  <si>
    <t>A measurement of the human herpesvirus 7 in a biological specimen.</t>
  </si>
  <si>
    <t>Human Herpesvirus 7 Measurement</t>
  </si>
  <si>
    <t>C189549</t>
  </si>
  <si>
    <t>HHV7DNA</t>
  </si>
  <si>
    <t>Human Herpesvirus 7 DNA</t>
  </si>
  <si>
    <t>A measurement of the human herpesvirus 7 DNA in a biological specimen.</t>
  </si>
  <si>
    <t>Human Herpesvirus 7 DNA Measurement</t>
  </si>
  <si>
    <t>C189316</t>
  </si>
  <si>
    <t>HHV8</t>
  </si>
  <si>
    <t>Human Herpes Virus 8</t>
  </si>
  <si>
    <t>Human Herpes Virus 8; Human Herpesvirus 8</t>
  </si>
  <si>
    <t>A measurement of the human herpes virus 8 in a biological specimen.</t>
  </si>
  <si>
    <t>Human Herpesvirus 8 Measurement</t>
  </si>
  <si>
    <t>C189552</t>
  </si>
  <si>
    <t>HHV8DNA</t>
  </si>
  <si>
    <t>Human Herpesvirus 8 DNA</t>
  </si>
  <si>
    <t>A measurement of the human herpesvirus 8 DNA in a biological specimen.</t>
  </si>
  <si>
    <t>Human Herpesvirus 8 DNA Measurement</t>
  </si>
  <si>
    <t>C209683</t>
  </si>
  <si>
    <t>HIEMPIND</t>
  </si>
  <si>
    <t>Employer Based Health Insurance Ind</t>
  </si>
  <si>
    <t>An indication as to whether the subject is covered by their own or a family member's employer-based health insurance.</t>
  </si>
  <si>
    <t>Employer Based Health Insurance Indicator</t>
  </si>
  <si>
    <t>C209684</t>
  </si>
  <si>
    <t>HIIHSIND</t>
  </si>
  <si>
    <t>Indian Health Service Insurance Ind</t>
  </si>
  <si>
    <t>An indication as to whether the subject is covered by their own or a family member's U.S. Indian Health Service insurance.</t>
  </si>
  <si>
    <t>Indian Health Service Insurance Indicator</t>
  </si>
  <si>
    <t>C209446</t>
  </si>
  <si>
    <t>HIIND</t>
  </si>
  <si>
    <t>Health Insurance Indicator</t>
  </si>
  <si>
    <t>An indication as to whether the subject is covered by health insurance.</t>
  </si>
  <si>
    <t>C209685</t>
  </si>
  <si>
    <t>HIMILIND</t>
  </si>
  <si>
    <t>Military Health Insurance Indicator</t>
  </si>
  <si>
    <t>An indication as to whether the subject is covered by their own or a family member's military-based health insurance.</t>
  </si>
  <si>
    <t>C186157</t>
  </si>
  <si>
    <t>HINDNA</t>
  </si>
  <si>
    <t>Haemophilus influenzae DNA</t>
  </si>
  <si>
    <t>A measurement of the Haemophilus influenza virus DNA in a biological specimen.</t>
  </si>
  <si>
    <t>Haemophilus influenzae DNA Measurement</t>
  </si>
  <si>
    <t>C100947</t>
  </si>
  <si>
    <t>HIPCIR</t>
  </si>
  <si>
    <t>Hip Circumference</t>
  </si>
  <si>
    <t>The distance around an individual's pelvic area or hips.</t>
  </si>
  <si>
    <t>C209686</t>
  </si>
  <si>
    <t>HIPRVIND</t>
  </si>
  <si>
    <t>Private Health Insurance Indicator</t>
  </si>
  <si>
    <t>An indication as to whether the subject is covered by their own or a family member's privately-bought health insurance.</t>
  </si>
  <si>
    <t>C122124</t>
  </si>
  <si>
    <t>HIS</t>
  </si>
  <si>
    <t>Histidine</t>
  </si>
  <si>
    <t>A measurement of the histidine in a biological specimen.</t>
  </si>
  <si>
    <t>Histidine Measurement</t>
  </si>
  <si>
    <t>C80189</t>
  </si>
  <si>
    <t>HISTAMIN</t>
  </si>
  <si>
    <t>Histamine</t>
  </si>
  <si>
    <t>A measurement of the histamine in a biological specimen.</t>
  </si>
  <si>
    <t>Histamine Measurement</t>
  </si>
  <si>
    <t>C154802</t>
  </si>
  <si>
    <t>HISTTYPC</t>
  </si>
  <si>
    <t>Histologic Type of Cancer</t>
  </si>
  <si>
    <t>The determination of the histologic type of cancer in a biological specimen.</t>
  </si>
  <si>
    <t>C161395</t>
  </si>
  <si>
    <t>HIV</t>
  </si>
  <si>
    <t>Human Immunodeficiency Virus</t>
  </si>
  <si>
    <t>A measurement of the Human Immunodeficiency Virus in a biological specimen.</t>
  </si>
  <si>
    <t>Human Immunodeficiency Virus Measurement</t>
  </si>
  <si>
    <t>C92265</t>
  </si>
  <si>
    <t>HIV124AG</t>
  </si>
  <si>
    <t>HIV-1 p24 Antigen</t>
  </si>
  <si>
    <t>A measurement of the HIV-1 p24 antigen in a biological specimen.</t>
  </si>
  <si>
    <t>HIV-1 p24 Antigen Measurement</t>
  </si>
  <si>
    <t>C163539</t>
  </si>
  <si>
    <t>HIV12AGB</t>
  </si>
  <si>
    <t>HIV-1/2 Antigen/Antibody</t>
  </si>
  <si>
    <t>A measurement of the HIV-1/HIV-2 antigens and/or HIV-1/HIV-2 antibodies in a biological specimen (to be used when the antigen is not specified).</t>
  </si>
  <si>
    <t>HIV-1/2 Antigen/Antibody Measurement</t>
  </si>
  <si>
    <t>C139085</t>
  </si>
  <si>
    <t>HIV12P24</t>
  </si>
  <si>
    <t>HIV-1/2 Antibody + HIV-1 p24 Antigen</t>
  </si>
  <si>
    <t>A measurement of the antibody reaction of a biological specimen to either the HIV-1 or HIV-2 virus and the measurement of HIV-1 p24 antigen in a biological specimen.</t>
  </si>
  <si>
    <t>HIV-1/2 Antibody and HIV-1 p24 Antigen Measurement</t>
  </si>
  <si>
    <t>C161393</t>
  </si>
  <si>
    <t>HIV12RNA</t>
  </si>
  <si>
    <t>HIV-1/2 RNA</t>
  </si>
  <si>
    <t>A measurement of the HIV-1 and/or HIV-2 RNA in a biological specimen.</t>
  </si>
  <si>
    <t>HIV-1/2 RNA Measurement</t>
  </si>
  <si>
    <t>C166043</t>
  </si>
  <si>
    <t>HIV1AB24</t>
  </si>
  <si>
    <t>HIV-1 Antibody + HIV-1 p24 Antigen</t>
  </si>
  <si>
    <t>A measurement of the antibody reaction to the HIV-1 virus and the measurement of HIV-1 p24 antigen in a biological specimen.</t>
  </si>
  <si>
    <t>HIV-1 Antibody and HIV-1 p24 Antigen Measurement</t>
  </si>
  <si>
    <t>C154821</t>
  </si>
  <si>
    <t>HIV1AG</t>
  </si>
  <si>
    <t>HIV-1 Antigen</t>
  </si>
  <si>
    <t>A measurement of the HIV-1 antigen in a biological specimen.</t>
  </si>
  <si>
    <t>HIV-1 Antigen Measurement</t>
  </si>
  <si>
    <t>C92263</t>
  </si>
  <si>
    <t>HIV1MONA</t>
  </si>
  <si>
    <t>HIV-1 Group M and O Nucleic Acid</t>
  </si>
  <si>
    <t>A measurement of the HIV-1 group M and O nucleic acids in a biological specimen.</t>
  </si>
  <si>
    <t>HIV-1 Group M and O Nucleic Acid Measurement</t>
  </si>
  <si>
    <t>C199935</t>
  </si>
  <si>
    <t>HIV1NUAC</t>
  </si>
  <si>
    <t>HIV-1 Nucleic Acid</t>
  </si>
  <si>
    <t>A measurement of the HIV-1 nucleic acid in a biological specimen.</t>
  </si>
  <si>
    <t>HIV-1 Nucleic Acid Measurement</t>
  </si>
  <si>
    <t>C158238</t>
  </si>
  <si>
    <t>HIV1RNA</t>
  </si>
  <si>
    <t>HIV-1 RNA</t>
  </si>
  <si>
    <t>A measurement of the HIV-1 RNA in a biological specimen.</t>
  </si>
  <si>
    <t>HIV-1 RNA Measurement</t>
  </si>
  <si>
    <t>C158217</t>
  </si>
  <si>
    <t>HIV1SR</t>
  </si>
  <si>
    <t>HIV-1 Seroreactivity</t>
  </si>
  <si>
    <t>A measurement of the HIV-1 seroreactivity in a biological specimen.</t>
  </si>
  <si>
    <t>HIV-1 Seroreactivity Measurement</t>
  </si>
  <si>
    <t>C166044</t>
  </si>
  <si>
    <t>HIV2AB24</t>
  </si>
  <si>
    <t>HIV-2 Antibody + HIV-1 p24 Antigen</t>
  </si>
  <si>
    <t>A measurement of the antibody reaction to the HIV-2 virus and the measurement of HIV-1 p24 antigen in a biological specimen.</t>
  </si>
  <si>
    <t>HIV-2 Antibody And HIV-1 p24 Antigen Measurement</t>
  </si>
  <si>
    <t>C92266</t>
  </si>
  <si>
    <t>HIV2NUAC</t>
  </si>
  <si>
    <t>HIV-2 Nucleic Acid</t>
  </si>
  <si>
    <t>A measurement of the HIV-2 nucleic acids in a biological specimen.</t>
  </si>
  <si>
    <t>HIV-2 Nucleic Acid Measurement</t>
  </si>
  <si>
    <t>C166045</t>
  </si>
  <si>
    <t>HIV2RNA</t>
  </si>
  <si>
    <t>HIV-2 RNA</t>
  </si>
  <si>
    <t>A measurement of the HIV-2 RNA in a biological specimen.</t>
  </si>
  <si>
    <t>HIV-2 RNA Measurement</t>
  </si>
  <si>
    <t>C158216</t>
  </si>
  <si>
    <t>HIV2SR</t>
  </si>
  <si>
    <t>HIV-2 Seroreactivity</t>
  </si>
  <si>
    <t>A measurement of the HIV-2 seroreactivity in a biological specimen.</t>
  </si>
  <si>
    <t>HIV-2 Seroreactivity Measurement</t>
  </si>
  <si>
    <t>C201443</t>
  </si>
  <si>
    <t>HIVAGAB</t>
  </si>
  <si>
    <t>HIV Antigen/Antibody</t>
  </si>
  <si>
    <t>A measurement of the HIV antigens and/or HIV antibodies in a biological specimen.</t>
  </si>
  <si>
    <t>HIV Antigen/Antibody Measurement</t>
  </si>
  <si>
    <t>C139271</t>
  </si>
  <si>
    <t>HIVHRIND</t>
  </si>
  <si>
    <t>CDC HIV High Risk Donor Indicator</t>
  </si>
  <si>
    <t>An indication as to whether an organ donor may fall into one or more behavioral categories associated with increased risk of human immunodeficiency virus (HIV) infection, as defined by the 1994 Centers for Disease Control (CDC) Public Health Service Crite</t>
  </si>
  <si>
    <t>C198317</t>
  </si>
  <si>
    <t>HKU1NC</t>
  </si>
  <si>
    <t>HCoV-HKU1 Nucleic Acid</t>
  </si>
  <si>
    <t>HCoV-HKU1 Nucleic Acid; HCoV-HKU1 RNA; Human Coronavirus HKU1 Nucleic Acid</t>
  </si>
  <si>
    <t>A measurement of the Human coronavirus HKU1 nucleic acid in a biological specimen.</t>
  </si>
  <si>
    <t>Human Coronavirus HKU1 Nucleic Acid Measurement</t>
  </si>
  <si>
    <t>C184655</t>
  </si>
  <si>
    <t>HKU1RNA</t>
  </si>
  <si>
    <t>HCoV-HKU1 RNA</t>
  </si>
  <si>
    <t>HCoV-HKU1 RNA; Human Coronavirus HKU1 RNA</t>
  </si>
  <si>
    <t>A measurement of the Human coronavirus HKU1 RNA in a biological specimen.</t>
  </si>
  <si>
    <t>HCoV-HKU1 RNA Measurement</t>
  </si>
  <si>
    <t>C154746</t>
  </si>
  <si>
    <t>HLAA</t>
  </si>
  <si>
    <t>HLA Class IA Antigen</t>
  </si>
  <si>
    <t>A measurement of the HLA class IA antigen in a biological specimen.</t>
  </si>
  <si>
    <t>HLA Class IA Histocompatibility Antigen Measurement</t>
  </si>
  <si>
    <t>C181440</t>
  </si>
  <si>
    <t>HLAA03</t>
  </si>
  <si>
    <t>HLA A03 Antigen</t>
  </si>
  <si>
    <t>HLA A03 Antigen; HLA-A03 Antigen</t>
  </si>
  <si>
    <t>A measurement of the HLA A03 antigen in a biological specimen.</t>
  </si>
  <si>
    <t>HLA A03 Histocompatibility Antigen Measurement</t>
  </si>
  <si>
    <t>C181441</t>
  </si>
  <si>
    <t>HLAA2</t>
  </si>
  <si>
    <t>HLA A2 Antigen</t>
  </si>
  <si>
    <t>HLA A2 Antigen; HLA-A2 Antigen</t>
  </si>
  <si>
    <t>A measurement of the HLA A2 antigen in a biological specimen.</t>
  </si>
  <si>
    <t>HLA A2 Histocompatibility Antigen Measurement</t>
  </si>
  <si>
    <t>C181442</t>
  </si>
  <si>
    <t>HLAA24</t>
  </si>
  <si>
    <t>HLA A24 Antigen</t>
  </si>
  <si>
    <t>HLA A24 Antigen; HLA-A24 Antigen</t>
  </si>
  <si>
    <t>A measurement of the HLA A24 antigen in a biological specimen.</t>
  </si>
  <si>
    <t>HLA A24 Histocompatibility Antigen Measurement</t>
  </si>
  <si>
    <t>C181443</t>
  </si>
  <si>
    <t>HLAA3</t>
  </si>
  <si>
    <t>HLA A3 Antigen</t>
  </si>
  <si>
    <t>HLA A3 Antigen; HLA-A3 Antigen</t>
  </si>
  <si>
    <t>A measurement of the HLA A3 antigen in a biological specimen.</t>
  </si>
  <si>
    <t>HLA A3 Histocompatibility Antigen Measurement</t>
  </si>
  <si>
    <t>C128955</t>
  </si>
  <si>
    <t>HLAAAGT</t>
  </si>
  <si>
    <t>HLA-A Antigen Type</t>
  </si>
  <si>
    <t>The identification of the type of human leukocyte antigen, class I, group A (HLA-A), in a biological specimen.</t>
  </si>
  <si>
    <t>C128956</t>
  </si>
  <si>
    <t>HLAAMSC</t>
  </si>
  <si>
    <t>HLA-A Mismatch Count</t>
  </si>
  <si>
    <t>A measurement to determine the number of mismatches between the recipient and the donor for the human leukocyte antigen, class I, group A (HLA-A).</t>
  </si>
  <si>
    <t>C154747</t>
  </si>
  <si>
    <t>HLAB</t>
  </si>
  <si>
    <t>HLA Class IB Antigen</t>
  </si>
  <si>
    <t>A measurement of the HLA class IB antigen in a biological specimen.</t>
  </si>
  <si>
    <t>HLA Class IB Histocompatibility Antigen Measurement</t>
  </si>
  <si>
    <t>C100460</t>
  </si>
  <si>
    <t>HLAB27AG</t>
  </si>
  <si>
    <t>HLA-B27 Antigen</t>
  </si>
  <si>
    <t>HLA-B27 Antigen; Human Leukocyte Antigen B27</t>
  </si>
  <si>
    <t>A measurement of the human leukocyte antigen B27 (HLA-B27) in a biological specimen.</t>
  </si>
  <si>
    <t>HLA-B27 Antigen Measurement</t>
  </si>
  <si>
    <t>C128957</t>
  </si>
  <si>
    <t>HLABAGT</t>
  </si>
  <si>
    <t>HLA-B Antigen Type</t>
  </si>
  <si>
    <t>The identification of the type of human leukocyte antigen, class I, group B (HLA-B), in a biological specimen.</t>
  </si>
  <si>
    <t>C128958</t>
  </si>
  <si>
    <t>HLABMSC</t>
  </si>
  <si>
    <t>HLA-B Mismatch Count</t>
  </si>
  <si>
    <t>A measurement to determine the number of mismatches between the recipient and the donor for the human leukocyte antigen, class I, group B (HLA-B).</t>
  </si>
  <si>
    <t>C154748</t>
  </si>
  <si>
    <t>HLAC</t>
  </si>
  <si>
    <t>HLA Class IC Antigen</t>
  </si>
  <si>
    <t>A measurement of the HLA class IC antigen in a biological specimen.</t>
  </si>
  <si>
    <t>HLA Class IC Histocompatibility Antigen Measurement</t>
  </si>
  <si>
    <t>C181439</t>
  </si>
  <si>
    <t>HLACW</t>
  </si>
  <si>
    <t>HLA Cw Antigen</t>
  </si>
  <si>
    <t>HLA Cw Antigen; HLA-Cw Antigen</t>
  </si>
  <si>
    <t>A measurement of the HLA Cw antigen in a biological specimen.</t>
  </si>
  <si>
    <t>HLA Cw Histocompatibility Antigen Measurement</t>
  </si>
  <si>
    <t>C181417</t>
  </si>
  <si>
    <t>HLADPA1</t>
  </si>
  <si>
    <t>HLA DP Alpha1 Antigen</t>
  </si>
  <si>
    <t>HLA DP Alpha1 Antigen; HLA-DP Alpha1 Antigen</t>
  </si>
  <si>
    <t>A measurement of the HLA DP alpha1 antigen in a biological specimen.</t>
  </si>
  <si>
    <t>HLA DP Alpha1 Histocompatibility Antigen Measurement</t>
  </si>
  <si>
    <t>C181444</t>
  </si>
  <si>
    <t>HLADPB</t>
  </si>
  <si>
    <t>HLA DP Beta Antigen</t>
  </si>
  <si>
    <t>HLA DP Beta Antigen; HLA-DP Beta Antigen</t>
  </si>
  <si>
    <t>A measurement of the total HLA DP beta antigen in a biological specimen.</t>
  </si>
  <si>
    <t>HLA DP Beta Histocompatibility Antigen Measurement</t>
  </si>
  <si>
    <t>C154751</t>
  </si>
  <si>
    <t>HLADPB1</t>
  </si>
  <si>
    <t>HLA DP Beta1 Antigen</t>
  </si>
  <si>
    <t>A measurement of the HLA DP beta1 antigen in a biological specimen.</t>
  </si>
  <si>
    <t>HLA DP Beta1 Histocompatibility Antigen Measurement</t>
  </si>
  <si>
    <t>C186061</t>
  </si>
  <si>
    <t>HLADQ2</t>
  </si>
  <si>
    <t>HLA DQ2 Antigen</t>
  </si>
  <si>
    <t>HLA DQ2 Antigen; HLA-DQ2 Antigen</t>
  </si>
  <si>
    <t>A measurement of the HLA DQ2 antigen in a biological specimen.</t>
  </si>
  <si>
    <t>HLA DQ2 Antigen Measurement</t>
  </si>
  <si>
    <t>C186062</t>
  </si>
  <si>
    <t>HLADQ8</t>
  </si>
  <si>
    <t>HLA DQ8 Antigen</t>
  </si>
  <si>
    <t>HLA DQ8 Antigen; HLA-DQ8 Antigen</t>
  </si>
  <si>
    <t>A measurement of the HLA DQ8 antigen in a biological specimen.</t>
  </si>
  <si>
    <t>HLA DQ8 Antigen Measurement</t>
  </si>
  <si>
    <t>C181416</t>
  </si>
  <si>
    <t>HLADQA1</t>
  </si>
  <si>
    <t>HLA DQ Alpha1 Antigen</t>
  </si>
  <si>
    <t>HLA DQ Alpha1 Antigen; HLA-DQ Alpha1 Antigen</t>
  </si>
  <si>
    <t>A measurement of the HLA DQ alpha1 antigen in a biological specimen.</t>
  </si>
  <si>
    <t>HLA DQ Alpha1 Histocompatibility Antigen Measurement</t>
  </si>
  <si>
    <t>C154750</t>
  </si>
  <si>
    <t>HLADQB1</t>
  </si>
  <si>
    <t>HLA DQ Beta1 Antigen</t>
  </si>
  <si>
    <t>A measurement of the HLA DQ beta1 antigen in a biological specimen.</t>
  </si>
  <si>
    <t>HLA DQ Beta1 Histocompatibility Antigen Measurement</t>
  </si>
  <si>
    <t>C176962</t>
  </si>
  <si>
    <t>HLADR</t>
  </si>
  <si>
    <t>HLA DR Antigen</t>
  </si>
  <si>
    <t>HLA DR Antigen; HLA-DR Antigen</t>
  </si>
  <si>
    <t>A measurement of the total HLA DR antigen in a biological specimen.</t>
  </si>
  <si>
    <t>HLA DR Histocompatibility Antigen Measurement</t>
  </si>
  <si>
    <t>C221546</t>
  </si>
  <si>
    <t>HLADRA</t>
  </si>
  <si>
    <t>HLA DR Alpha Antigen</t>
  </si>
  <si>
    <t>HLA DR Alpha Antigen; HLA-DR Alpha Antigen</t>
  </si>
  <si>
    <t>A measurement of the total HLA DR alpha antigen in a biological specimen.</t>
  </si>
  <si>
    <t>HLA-DR Alpha Histocompatibility Antigen Measurement</t>
  </si>
  <si>
    <t>C128962</t>
  </si>
  <si>
    <t>HLADRAGT</t>
  </si>
  <si>
    <t>HLA-DR Antigen Type</t>
  </si>
  <si>
    <t>The identification of the type of human leukocyte antigen, class II, antigen-D-related (HLA-DR), in a biological specimen.</t>
  </si>
  <si>
    <t>C181192</t>
  </si>
  <si>
    <t>HLADRB</t>
  </si>
  <si>
    <t>HLA DR Beta Antigen</t>
  </si>
  <si>
    <t>HLA DR Beta Antigen; HLA-DR Beta Antigen</t>
  </si>
  <si>
    <t>A measurement of the total HLA DR beta antigen in a biological specimen.</t>
  </si>
  <si>
    <t>HLA DR Beta Histocompatibility Antigen Measurement</t>
  </si>
  <si>
    <t>C154749</t>
  </si>
  <si>
    <t>HLADRB1</t>
  </si>
  <si>
    <t>HLA DR Beta1 Antigen</t>
  </si>
  <si>
    <t>A measurement of the HLA DR beta1 antigen in a biological specimen.</t>
  </si>
  <si>
    <t>HLA DR Beta1 Histocompatibility Antigen Measurement</t>
  </si>
  <si>
    <t>C181415</t>
  </si>
  <si>
    <t>HLADRB2</t>
  </si>
  <si>
    <t>HLA DR Beta2 Antigen</t>
  </si>
  <si>
    <t>HLA DR Beta2 Antigen; HLA-DR Beta2 Antigen</t>
  </si>
  <si>
    <t>A measurement of the HLA DR beta2 antigen in a biological specimen.</t>
  </si>
  <si>
    <t>HLA DR Beta 2 Histocompatibility Antigen Measurement</t>
  </si>
  <si>
    <t>C181412</t>
  </si>
  <si>
    <t>HLADRB3</t>
  </si>
  <si>
    <t>HLA DR Beta3 Antigen</t>
  </si>
  <si>
    <t>HLA DR Beta3 Antigen; HLA-DR Beta3 Antigen</t>
  </si>
  <si>
    <t>A measurement of the HLA DR beta3 antigen in a biological specimen.</t>
  </si>
  <si>
    <t>HLA DR Beta 3 Histocompatibility Antigen Measurement</t>
  </si>
  <si>
    <t>C181413</t>
  </si>
  <si>
    <t>HLADRB4</t>
  </si>
  <si>
    <t>HLA DR Beta4 Antigen</t>
  </si>
  <si>
    <t>HLA DR Beta4 Antigen; HLA-DR Beta4 Antigen</t>
  </si>
  <si>
    <t>A measurement of the HLA DR beta4 antigen in a biological specimen.</t>
  </si>
  <si>
    <t>HLA DR Beta 4 Histocompatibility Antigen Measurement</t>
  </si>
  <si>
    <t>C181414</t>
  </si>
  <si>
    <t>HLADRB5</t>
  </si>
  <si>
    <t>HLA DR Beta5 Antigen</t>
  </si>
  <si>
    <t>HLA DR Beta5 Antigen; HLA-DR Beta5 Antigen</t>
  </si>
  <si>
    <t>A measurement of the HLA DR beta5 antigen in a biological specimen.</t>
  </si>
  <si>
    <t>HLA DR Beta 5 Histocompatibility Antigen Measurement</t>
  </si>
  <si>
    <t>C221542</t>
  </si>
  <si>
    <t>HLADRCE</t>
  </si>
  <si>
    <t>HLA-DR Antigen/Total Cells</t>
  </si>
  <si>
    <t>HLA DR Antigen/Total Cells; HLA-DR Antigen/Total Cells</t>
  </si>
  <si>
    <t>A relative measurement (ratio or percentage) of the human leukocyte antigen DR (HLA-DR) antigen to total cells in a biological specimen.</t>
  </si>
  <si>
    <t>HLA-DR Antigen to Total Cell Ratio Measurement</t>
  </si>
  <si>
    <t>C221541</t>
  </si>
  <si>
    <t>HLADRLE</t>
  </si>
  <si>
    <t>HLA-DR Antigen/Leukocytes</t>
  </si>
  <si>
    <t>HLA DR Antigen/Leukocytes; HLA-DR Antigen/Leukocytes</t>
  </si>
  <si>
    <t>A relative measurement (ratio or percentage) of the human leukocyte antigen DR (HLA-DR) antigen to leukocytes in a biological specimen.</t>
  </si>
  <si>
    <t>HLA-DR Antigen to Leukocyte Ratio Measurement</t>
  </si>
  <si>
    <t>C128963</t>
  </si>
  <si>
    <t>HLADRMSC</t>
  </si>
  <si>
    <t>HLA-DR Mismatch Count</t>
  </si>
  <si>
    <t>A measurement to determine the number of mismatches between the recipient and the donor for the human leukocyte antigen, class II, antigen-D-related (HLA-DR).</t>
  </si>
  <si>
    <t>C128966</t>
  </si>
  <si>
    <t>HLAIIPRA</t>
  </si>
  <si>
    <t>HLA Class II Panel Reactive Antibody</t>
  </si>
  <si>
    <t>A measurement of the panel reactive antibody (the reactivity between host immune cells and donor) human leukocyte antigen class II in a biological specimen.</t>
  </si>
  <si>
    <t>HLA Class II Panel Reactive Antibody Measurement</t>
  </si>
  <si>
    <t>C128967</t>
  </si>
  <si>
    <t>HLAIPRA</t>
  </si>
  <si>
    <t>HLA Class I Panel Reactive Antibody</t>
  </si>
  <si>
    <t>A measurement of the panel reactive antibody (the reactivity between host immune cells and donor) human leukocyte antigen class I in a biological specimen.</t>
  </si>
  <si>
    <t>HLA Class I Panel Reactive Antibody Measurement</t>
  </si>
  <si>
    <t>C128933</t>
  </si>
  <si>
    <t>HLAMSC</t>
  </si>
  <si>
    <t>HLA Mismatch Count</t>
  </si>
  <si>
    <t>A measurement to determine the number of mismatches between the recipient and the donor for the human leukocyte antigens (HLA).</t>
  </si>
  <si>
    <t>C98737</t>
  </si>
  <si>
    <t>HLTSUBJI</t>
  </si>
  <si>
    <t>Healthy Subject Indicator</t>
  </si>
  <si>
    <t>Indicate if persons who have not had the condition(s) being studied or otherwise related conditions or symptoms, as specified in the eligibility requirements, may participate in the study.</t>
  </si>
  <si>
    <t>C139078</t>
  </si>
  <si>
    <t>HLZPM</t>
  </si>
  <si>
    <t>Halazepam</t>
  </si>
  <si>
    <t>A measurement of the halazepam present in a biological specimen.</t>
  </si>
  <si>
    <t>Halazepam Measurement</t>
  </si>
  <si>
    <t>C191338</t>
  </si>
  <si>
    <t>HMCEADI</t>
  </si>
  <si>
    <t>Hematopoietic Cells/Adipocytes</t>
  </si>
  <si>
    <t>Hematopoietic Cells/Adipocytes; Hematopoietic Cells/Fat Cells; Hematopoietic Cells/Lipocytes</t>
  </si>
  <si>
    <t>A relative measurement (ratio) of the hematopoietic cells to adipocytes in a biological specimen.</t>
  </si>
  <si>
    <t>Hematopoietic Cells to Adipocytes Ratio Measurement</t>
  </si>
  <si>
    <t>C96659</t>
  </si>
  <si>
    <t>HMOSIDRN</t>
  </si>
  <si>
    <t>Hemosiderin</t>
  </si>
  <si>
    <t>A measurement of the hemosiderin complex in a biological specimen.</t>
  </si>
  <si>
    <t>Hemosiderin Measurement</t>
  </si>
  <si>
    <t>C184708</t>
  </si>
  <si>
    <t>HMPIND</t>
  </si>
  <si>
    <t>Has Menstrual Periods Indicator</t>
  </si>
  <si>
    <t>An indication as to whether the subject experiences menstrual cycles.</t>
  </si>
  <si>
    <t>C209596</t>
  </si>
  <si>
    <t>HMPMA1</t>
  </si>
  <si>
    <t>3-Hydroxy-1-Methyl-PropylmercapturicAcid</t>
  </si>
  <si>
    <t>(2R)-2-Acetamido-3-((4-hydroxybutan-2-yl)thio)propanoic acid; (2R)-HMPMA; 3-Hydroxy-1-Methyl-Propylmercapturate; 3-Hydroxy-1-Methyl-Propylmercapturic Acid; 3-Hydroxy-1-Methyl-PropylmercapturicAcid; HMPMA-1</t>
  </si>
  <si>
    <t>A measurement of the 3-hydroxy-1-methyl-propylmercapturic acid in a specimen.</t>
  </si>
  <si>
    <t>3-Hydroxy-1-Methyl-Propylmercapturic Acid Measurement</t>
  </si>
  <si>
    <t>C178011</t>
  </si>
  <si>
    <t>HMPV</t>
  </si>
  <si>
    <t>Human Metapneumovirus</t>
  </si>
  <si>
    <t>A measurement of the Human metapneumovirus in a biological specimen.</t>
  </si>
  <si>
    <t>Human Metapneumovirus Measurement</t>
  </si>
  <si>
    <t>C186158</t>
  </si>
  <si>
    <t>HMPVAG</t>
  </si>
  <si>
    <t>Human Metapneumovirus Antigen</t>
  </si>
  <si>
    <t>A measurement of the Human metapneumovirus antigen in a biological specimen.</t>
  </si>
  <si>
    <t>Human Metapneumovirus Antigen Measurement</t>
  </si>
  <si>
    <t>C198318</t>
  </si>
  <si>
    <t>HMPVNUAC</t>
  </si>
  <si>
    <t>Human Metapneumovirus Nucleic Acid</t>
  </si>
  <si>
    <t>A measurement of the Human metapneumovirus nucleic acid in a biological specimen.</t>
  </si>
  <si>
    <t>Human Metapneumovirus Nucleic Acid Measurement</t>
  </si>
  <si>
    <t>C191315</t>
  </si>
  <si>
    <t>HMPVRNA</t>
  </si>
  <si>
    <t>Human Metapneumovirus RNA</t>
  </si>
  <si>
    <t>A measurement of the Human Metapneumovirus RNA in a biological specimen.</t>
  </si>
  <si>
    <t>Human Metapneumovirus RNA Measurement</t>
  </si>
  <si>
    <t>C135386</t>
  </si>
  <si>
    <t>HMROIND</t>
  </si>
  <si>
    <t>Hospital Medical Record Obtained Ind</t>
  </si>
  <si>
    <t>Hospital Medical Record Obtained Ind; Hospital Medical Record Obtained Indicator</t>
  </si>
  <si>
    <t>An indication as to whether a hospital medical record was obtained.</t>
  </si>
  <si>
    <t>Hospital Medical Record Indicator</t>
  </si>
  <si>
    <t>C214722</t>
  </si>
  <si>
    <t>HNDMDST</t>
  </si>
  <si>
    <t>Hand Motions Distance</t>
  </si>
  <si>
    <t>Hand Motions Distance; Hand Movements Distance</t>
  </si>
  <si>
    <t>An assessment of the furthest distance at which a subject can perceive hand motions.</t>
  </si>
  <si>
    <t>Hand Motion Test</t>
  </si>
  <si>
    <t>C214723</t>
  </si>
  <si>
    <t>HNDMIND</t>
  </si>
  <si>
    <t>Hand Motions Indicator</t>
  </si>
  <si>
    <t>Hand Motions Indicator; Hand Movements Indicator</t>
  </si>
  <si>
    <t>An indication as to whether a subject can perceive hand motions at a pre-specified distance.</t>
  </si>
  <si>
    <t>Hand Motion Indicator</t>
  </si>
  <si>
    <t>C154758</t>
  </si>
  <si>
    <t>HOMOCIT</t>
  </si>
  <si>
    <t>Homocitrulline</t>
  </si>
  <si>
    <t>A measurement of the homocitrulline in a biological specimen.</t>
  </si>
  <si>
    <t>Homocitrulline Measurement</t>
  </si>
  <si>
    <t>C74741</t>
  </si>
  <si>
    <t>HOMOCY</t>
  </si>
  <si>
    <t>Homocysteine</t>
  </si>
  <si>
    <t>A measurement of the homocysteine amino acid in a biological specimen.</t>
  </si>
  <si>
    <t>Homocysteine Acid Measurement</t>
  </si>
  <si>
    <t>C181409</t>
  </si>
  <si>
    <t>HORBCRBC</t>
  </si>
  <si>
    <t>Hypochromic Erythrocytes/Erythrocytes</t>
  </si>
  <si>
    <t>A relative measurement (ratio or percentage) of the hypochromic erythrocytes to total erythrocytes in a biological specimen.</t>
  </si>
  <si>
    <t>Hypochromic Erythrocytes to Erythrocytes Ratio Measurement</t>
  </si>
  <si>
    <t>C74704</t>
  </si>
  <si>
    <t>HOWJOL</t>
  </si>
  <si>
    <t>Howell-Jolly Bodies</t>
  </si>
  <si>
    <t>A measurement of the Howell-Jolly bodies (spherical, blue-black condensed DNA inclusions within the body of a red blood cell that appear under Wright-stain) in a biological specimen.</t>
  </si>
  <si>
    <t>Howell-Jolly Body Measurement</t>
  </si>
  <si>
    <t>C186159</t>
  </si>
  <si>
    <t>HP1234RN</t>
  </si>
  <si>
    <t>Human Parainfluenza Virus 1/2/3/4 RNA</t>
  </si>
  <si>
    <t>A measurement of the RNA from the Human Parainfluenza virus 1, 2, 3 and/or 4 in a biological specimen.</t>
  </si>
  <si>
    <t>Human Parainfluenza Virus 1, 2, 3, and/or 4 RNA Measurement</t>
  </si>
  <si>
    <t>C186160</t>
  </si>
  <si>
    <t>HP123AG</t>
  </si>
  <si>
    <t>Human Parainfluenza Virus 1/2/3 Antigen</t>
  </si>
  <si>
    <t>A measurement of the Human Parainfluenza virus 1, 2, and/or 3 antigen in a biological specimen.</t>
  </si>
  <si>
    <t>Human Parainfluenza Virus 1, 2, and/or 3 Antigen Measurement</t>
  </si>
  <si>
    <t>C186161</t>
  </si>
  <si>
    <t>HP123RNA</t>
  </si>
  <si>
    <t>Human Parainfluenza Virus 1/2/3 RNA</t>
  </si>
  <si>
    <t>A measurement of the RNA from the Human Parainfluenza virus 1, 2, and/or 3 in a biological specimen.</t>
  </si>
  <si>
    <t>Human Parainfluenza Virus 1, 2, and/or 3 RNA Measurement</t>
  </si>
  <si>
    <t>C198319</t>
  </si>
  <si>
    <t>HPADNA</t>
  </si>
  <si>
    <t>Haemophilus parahaemolyticus DNA</t>
  </si>
  <si>
    <t>A measurement of the Haemophilus parahaemolyticus DNA in a biological specimen.</t>
  </si>
  <si>
    <t>Haemophilus parahaemolyticus DNA Measurement</t>
  </si>
  <si>
    <t>C186162</t>
  </si>
  <si>
    <t>HPIV1</t>
  </si>
  <si>
    <t>Human Parainfluenza Virus 1</t>
  </si>
  <si>
    <t>A measurement of the Human parainfluenza virus 1 in a biological specimen.</t>
  </si>
  <si>
    <t>Human Parainfluenza Virus 1 Measurement</t>
  </si>
  <si>
    <t>C154834</t>
  </si>
  <si>
    <t>HPIV1AG</t>
  </si>
  <si>
    <t>Human Parainfluenza Virus 1 Antigen</t>
  </si>
  <si>
    <t>Human Parainfluenza Virus 1 Antigen; Human Respirovirus 1 Antigen</t>
  </si>
  <si>
    <t>A measurement of the Human parainfluenza virus 1 antigen in a biological specimen.</t>
  </si>
  <si>
    <t>Human Parainfluenza Type 1 Antigen Measurement</t>
  </si>
  <si>
    <t>C198320</t>
  </si>
  <si>
    <t>HPIV1NC</t>
  </si>
  <si>
    <t>Human Parainfluenza Virus 1 Nucleic Acid</t>
  </si>
  <si>
    <t>A measurement of the Human parainfluenza virus 1 nucleic acid in a biological specimen.</t>
  </si>
  <si>
    <t>Human Parainfluenza Virus 1 Nucleic Acid Measurement</t>
  </si>
  <si>
    <t>C184662</t>
  </si>
  <si>
    <t>HPIV1RNA</t>
  </si>
  <si>
    <t>Human Parainfluenza Virus 1 RNA</t>
  </si>
  <si>
    <t>Human Parainfluenza Virus 1 RNA; Human Respirovirus 1 RNA</t>
  </si>
  <si>
    <t>A measurement of the Human parainfluenza virus 1 RNA in a biological specimen.</t>
  </si>
  <si>
    <t>Human Parainfluenza Virus 1 RNA Measurement</t>
  </si>
  <si>
    <t>C178012</t>
  </si>
  <si>
    <t>HPIV2</t>
  </si>
  <si>
    <t>Human Parainfluenza Virus 2</t>
  </si>
  <si>
    <t>A measurement of the Human parainfluenza virus 2 in a biological specimen.</t>
  </si>
  <si>
    <t>Human Parainfluenza Virus 2 Measurement</t>
  </si>
  <si>
    <t>C186163</t>
  </si>
  <si>
    <t>HPIV2AG</t>
  </si>
  <si>
    <t>Human Parainfluenza Virus 2 Antigen</t>
  </si>
  <si>
    <t>Human Orthorubulavirus 2 Antigen; Human Parainfluenza Virus 2 Antigen</t>
  </si>
  <si>
    <t>A measurement of the Human parainfluenza virus 2 antigen in a biological specimen.</t>
  </si>
  <si>
    <t>Human Parainfluenza Virus 2 Antigen Measurement</t>
  </si>
  <si>
    <t>C198321</t>
  </si>
  <si>
    <t>HPIV2NC</t>
  </si>
  <si>
    <t>Human Parainfluenza Virus 2 Nucleic Acid</t>
  </si>
  <si>
    <t>A measurement of the Human parainfluenza virus 2 nucleic acid in a biological specimen.</t>
  </si>
  <si>
    <t>Human Parainfluenza Virus 2 Nucleic Acid Measurement</t>
  </si>
  <si>
    <t>C184663</t>
  </si>
  <si>
    <t>HPIV2RNA</t>
  </si>
  <si>
    <t>Human Parainfluenza Virus 2 RNA</t>
  </si>
  <si>
    <t>Human Orthorubulavirus 2 RNA; Human Parainfluenza Virus 2 RNA</t>
  </si>
  <si>
    <t>A measurement of the Human parainfluenza virus 2 RNA in a biological specimen.</t>
  </si>
  <si>
    <t>Human Parainfluenza Virus 2 RNA Measurement</t>
  </si>
  <si>
    <t>C178013</t>
  </si>
  <si>
    <t>HPIV3</t>
  </si>
  <si>
    <t>Human Parainfluenza Virus 3</t>
  </si>
  <si>
    <t>A measurement of the Human parainfluenza virus 3 in a biological specimen.</t>
  </si>
  <si>
    <t>Human Parainfluenza Virus 3 Measurement</t>
  </si>
  <si>
    <t>C186164</t>
  </si>
  <si>
    <t>HPIV3AG</t>
  </si>
  <si>
    <t>Human Parainfluenza Virus 3 Antigen</t>
  </si>
  <si>
    <t>Human Parainfluenza Virus 3 Antigen; Human Respirovirus 3 Antigen</t>
  </si>
  <si>
    <t>A measurement of the Human parainfluenza virus 3 antigen in a biological specimen.</t>
  </si>
  <si>
    <t>Human Parainfluenza Virus 3 Antigen Measurement</t>
  </si>
  <si>
    <t>C198322</t>
  </si>
  <si>
    <t>HPIV3NC</t>
  </si>
  <si>
    <t>Human Parainfluenza Virus 3 Nucleic Acid</t>
  </si>
  <si>
    <t>A measurement of the Human parainfluenza virus 3 nucleic acid in a biological specimen.</t>
  </si>
  <si>
    <t>Human Parainfluenza Virus 3 Nucleic Acid Measurement</t>
  </si>
  <si>
    <t>C184664</t>
  </si>
  <si>
    <t>HPIV3RNA</t>
  </si>
  <si>
    <t>Human Parainfluenza Virus 3 RNA</t>
  </si>
  <si>
    <t>Human Parainfluenza Virus 3 RNA; Human Respirovirus 3 RNA</t>
  </si>
  <si>
    <t>A measurement of the Human parainfluenza virus 3 RNA in a biological specimen.</t>
  </si>
  <si>
    <t>Human Parainfluenza Virus 3 RNA Measurement</t>
  </si>
  <si>
    <t>C178014</t>
  </si>
  <si>
    <t>HPIV4</t>
  </si>
  <si>
    <t>Human Parainfluenza Virus 4</t>
  </si>
  <si>
    <t>A measurement of the Human parainfluenza virus 4 in a biological specimen.</t>
  </si>
  <si>
    <t>Human Parainfluenza Virus 4 Measurement</t>
  </si>
  <si>
    <t>C198323</t>
  </si>
  <si>
    <t>HPIV4BNC</t>
  </si>
  <si>
    <t>Human Parainfluenza Virus 4B NC</t>
  </si>
  <si>
    <t>Human Parainfluenza Virus 4B NC; Human Parainfluenza Virus 4B Nucleic Acid</t>
  </si>
  <si>
    <t>A measurement of the Human parainfluenza virus 4b nucleic acid in a biological specimen.</t>
  </si>
  <si>
    <t>Human Parainfluenza Virus 4B Nucleic Acid Measurement</t>
  </si>
  <si>
    <t>C198324</t>
  </si>
  <si>
    <t>HPIV4NC</t>
  </si>
  <si>
    <t>Human Parainfluenza Virus 4 Nucleic Acid</t>
  </si>
  <si>
    <t>A measurement of the Human parainfluenza virus 4 nucleic acid in a biological specimen.</t>
  </si>
  <si>
    <t>Human Parainfluenza Virus 4 Nucleic Acid Measurement</t>
  </si>
  <si>
    <t>C184651</t>
  </si>
  <si>
    <t>HPIV4RNA</t>
  </si>
  <si>
    <t>Human Parainfluenza Virus 4 RNA</t>
  </si>
  <si>
    <t>Human Orthorubulavirus 4 RNA; Human Parainfluenza Virus 4 RNA</t>
  </si>
  <si>
    <t>A measurement of the Human parainfluenza virus 4 RNA in a biological specimen.</t>
  </si>
  <si>
    <t>Human Parainfluenza Virus 4 RNA Measurement</t>
  </si>
  <si>
    <t>C154833</t>
  </si>
  <si>
    <t>HPIVAG</t>
  </si>
  <si>
    <t>Human Parainfluenza Antigen</t>
  </si>
  <si>
    <t>A measurement of the Human Parainfluenza antigen in a biological specimen.</t>
  </si>
  <si>
    <t>Human Parainfluenza Antigen Measurement</t>
  </si>
  <si>
    <t>C191316</t>
  </si>
  <si>
    <t>HPIVRNA</t>
  </si>
  <si>
    <t>Human Parainfluenza virus RNA</t>
  </si>
  <si>
    <t>A measurement of the Human parainfluenza virus RNA in a biological specimen.</t>
  </si>
  <si>
    <t>Human Parainfluenza virus RNA Measurement</t>
  </si>
  <si>
    <t>C209597</t>
  </si>
  <si>
    <t>HPMA3</t>
  </si>
  <si>
    <t>3-Hydroxypropyl Mercapturic Acid</t>
  </si>
  <si>
    <t>3-HPMA; 3-Hydroxypropyl Mercapturate; 3-Hydroxypropyl Mercapturic Acid; N-Acetyl-S-(3-Hydroxypropyl)Cysteine</t>
  </si>
  <si>
    <t>A measurement of the 3-hydroxypropyl mercapturic acid in a specimen.</t>
  </si>
  <si>
    <t>3-Hydroxypropyl Mercapturic Acid Measurement</t>
  </si>
  <si>
    <t>C64802</t>
  </si>
  <si>
    <t>HPOCROM</t>
  </si>
  <si>
    <t>Hypochromia</t>
  </si>
  <si>
    <t>Hypochromia; Hypochromic Erythrocytes</t>
  </si>
  <si>
    <t>An observation which indicates that the hemoglobin concentration in a red blood cell specimen has fallen below a specified level.</t>
  </si>
  <si>
    <t>C202449</t>
  </si>
  <si>
    <t>HPTMIND</t>
  </si>
  <si>
    <t>Hepatomegaly Indicator</t>
  </si>
  <si>
    <t>An indication as to whether hepatomegaly (enlarged liver) is present.</t>
  </si>
  <si>
    <t>C221590</t>
  </si>
  <si>
    <t>HPV</t>
  </si>
  <si>
    <t>Human Papillomavirus</t>
  </si>
  <si>
    <t>A measurement of the Human papillomavirus in a biological specimen.</t>
  </si>
  <si>
    <t>Human Papillomavirus Measurement</t>
  </si>
  <si>
    <t>C199938</t>
  </si>
  <si>
    <t>HPV11DNA</t>
  </si>
  <si>
    <t>Human Papillomavirus Type 11 DNA</t>
  </si>
  <si>
    <t>A measurement of the Human papillomavirus type 11 DNA in a biological specimen.</t>
  </si>
  <si>
    <t>Human Papillomavirus Type 11 DNA Measurement</t>
  </si>
  <si>
    <t>C199939</t>
  </si>
  <si>
    <t>HPV16DNA</t>
  </si>
  <si>
    <t>Human Papillomavirus Type 16 DNA</t>
  </si>
  <si>
    <t>A measurement of the Human papillomavirus type 16 DNA in a biological specimen.</t>
  </si>
  <si>
    <t>Human Papillomavirus Type 16 DNA Measurement</t>
  </si>
  <si>
    <t>C199940</t>
  </si>
  <si>
    <t>HPV18DNA</t>
  </si>
  <si>
    <t>Human Papillomavirus Type 18 DNA</t>
  </si>
  <si>
    <t>A measurement of the Human papillomavirus type 18 DNA in a biological specimen.</t>
  </si>
  <si>
    <t>Human Papillomavirus Type 18 DNA Measurement</t>
  </si>
  <si>
    <t>C189566</t>
  </si>
  <si>
    <t>HPV31</t>
  </si>
  <si>
    <t>Human Papillomavirus Type 31</t>
  </si>
  <si>
    <t>A measurement of the Human papillomavirus type 31 in a biological specimen.</t>
  </si>
  <si>
    <t>Human Papillomavirus Type 31 Measurement</t>
  </si>
  <si>
    <t>C199941</t>
  </si>
  <si>
    <t>HPV31DNA</t>
  </si>
  <si>
    <t>Human Papillomavirus Type 31 DNA</t>
  </si>
  <si>
    <t>A measurement of the Human papillomavirus type 31 DNA in a biological specimen.</t>
  </si>
  <si>
    <t>Human Papillomavirus Type 31 DNA Measurement</t>
  </si>
  <si>
    <t>C189567</t>
  </si>
  <si>
    <t>HPV33</t>
  </si>
  <si>
    <t>Human Papillomavirus Type 33</t>
  </si>
  <si>
    <t>A measurement of the Human papillomavirus type 33 in a biological specimen.</t>
  </si>
  <si>
    <t>Human Papillomavirus Type 33 Measurement</t>
  </si>
  <si>
    <t>C199942</t>
  </si>
  <si>
    <t>HPV33DNA</t>
  </si>
  <si>
    <t>Human Papillomavirus Type 33 DNA</t>
  </si>
  <si>
    <t>A measurement of the Human papillomavirus type 33 DNA in a biological specimen.</t>
  </si>
  <si>
    <t>Human Papillomavirus Type 33 DNA Measurement</t>
  </si>
  <si>
    <t>C189556</t>
  </si>
  <si>
    <t>HPV34</t>
  </si>
  <si>
    <t>Human Papillomavirus Type 34</t>
  </si>
  <si>
    <t>A measurement of the Human papillomavirus type 34 in a biological specimen.</t>
  </si>
  <si>
    <t>Human Papillomavirus Type 34 Measurement</t>
  </si>
  <si>
    <t>C189568</t>
  </si>
  <si>
    <t>HPV35</t>
  </si>
  <si>
    <t>Human Papillomavirus Type 35</t>
  </si>
  <si>
    <t>A measurement of the Human papillomavirus type 35 in a biological specimen.</t>
  </si>
  <si>
    <t>Human Papillomavirus Type 35 Measurement</t>
  </si>
  <si>
    <t>C199943</t>
  </si>
  <si>
    <t>HPV35DNA</t>
  </si>
  <si>
    <t>Human Papillomavirus Type 35 DNA</t>
  </si>
  <si>
    <t>A measurement of the Human papillomavirus type 35 DNA in a biological specimen.</t>
  </si>
  <si>
    <t>Human Papillomavirus Type 35 DNA Measurement</t>
  </si>
  <si>
    <t>C189569</t>
  </si>
  <si>
    <t>HPV39</t>
  </si>
  <si>
    <t>Human Papillomavirus Type 39</t>
  </si>
  <si>
    <t>A measurement of the Human papillomavirus type 39 in a biological specimen.</t>
  </si>
  <si>
    <t>Human Papillomavirus Type 39 Measurement</t>
  </si>
  <si>
    <t>C199944</t>
  </si>
  <si>
    <t>HPV39DNA</t>
  </si>
  <si>
    <t>Human Papillomavirus Type 39 DNA</t>
  </si>
  <si>
    <t>A measurement of the Human papillomavirus type 39 DNA in a biological specimen.</t>
  </si>
  <si>
    <t>Human Papillomavirus Type 39 DNA Measurement</t>
  </si>
  <si>
    <t>C189557</t>
  </si>
  <si>
    <t>HPV40</t>
  </si>
  <si>
    <t>Human Papillomavirus Type 40</t>
  </si>
  <si>
    <t>A measurement of the Human papillomavirus type 40 in a biological specimen.</t>
  </si>
  <si>
    <t>Human Papillomavirus Type 40 Measurement</t>
  </si>
  <si>
    <t>C189558</t>
  </si>
  <si>
    <t>HPV42</t>
  </si>
  <si>
    <t>Human Papillomavirus Type 42</t>
  </si>
  <si>
    <t>A measurement of the Human papillomavirus type 42 in a biological specimen.</t>
  </si>
  <si>
    <t>Human Papillomavirus Type 42 Measurement</t>
  </si>
  <si>
    <t>C189559</t>
  </si>
  <si>
    <t>HPV43</t>
  </si>
  <si>
    <t>Human Papillomavirus Type 43</t>
  </si>
  <si>
    <t>A measurement of the Human papillomavirus type 43 in a biological specimen.</t>
  </si>
  <si>
    <t>Human Papillomavirus Type 43 Measurement</t>
  </si>
  <si>
    <t>C189560</t>
  </si>
  <si>
    <t>HPV44</t>
  </si>
  <si>
    <t>Human Papillomavirus Type 44</t>
  </si>
  <si>
    <t>A measurement of the Human papillomavirus type 44 in a biological specimen.</t>
  </si>
  <si>
    <t>Human Papillomavirus Type 44 Measurement</t>
  </si>
  <si>
    <t>C189570</t>
  </si>
  <si>
    <t>HPV45</t>
  </si>
  <si>
    <t>Human Papillomavirus Type 45</t>
  </si>
  <si>
    <t>A measurement of the Human papillomavirus type 45 in a biological specimen.</t>
  </si>
  <si>
    <t>Human Papillomavirus Type 45 Measurement</t>
  </si>
  <si>
    <t>C199945</t>
  </si>
  <si>
    <t>HPV45DNA</t>
  </si>
  <si>
    <t>Human Papillomavirus Type 45 DNA</t>
  </si>
  <si>
    <t>A measurement of the Human papillomavirus type 45 DNA in a biological specimen.</t>
  </si>
  <si>
    <t>Human Papillomavirus Type 45 DNA Measurement</t>
  </si>
  <si>
    <t>C189571</t>
  </si>
  <si>
    <t>HPV51</t>
  </si>
  <si>
    <t>Human Papillomavirus Type 51</t>
  </si>
  <si>
    <t>A measurement of the Human papillomavirus type 51 in a biological specimen.</t>
  </si>
  <si>
    <t>Human Papillomavirus Type 51 Measurement</t>
  </si>
  <si>
    <t>C199946</t>
  </si>
  <si>
    <t>HPV51DNA</t>
  </si>
  <si>
    <t>Human Papillomavirus Type 51 DNA</t>
  </si>
  <si>
    <t>A measurement of the Human papillomavirus type 51 DNA in a biological specimen.</t>
  </si>
  <si>
    <t>Human Papillomavirus Type 51 DNA Measurement</t>
  </si>
  <si>
    <t>C189572</t>
  </si>
  <si>
    <t>HPV52</t>
  </si>
  <si>
    <t>Human Papillomavirus Type 52</t>
  </si>
  <si>
    <t>A measurement of the Human papillomavirus type 52 in a biological specimen.</t>
  </si>
  <si>
    <t>Human Papillomavirus Type 52 Measurement</t>
  </si>
  <si>
    <t>C199947</t>
  </si>
  <si>
    <t>HPV52DNA</t>
  </si>
  <si>
    <t>Human Papillomavirus Type 52 DNA</t>
  </si>
  <si>
    <t>A measurement of the Human papillomavirus type 52 DNA in a biological specimen.</t>
  </si>
  <si>
    <t>Human Papillomavirus Type 52 DNA Measurement</t>
  </si>
  <si>
    <t>C189561</t>
  </si>
  <si>
    <t>HPV53</t>
  </si>
  <si>
    <t>Human Papillomavirus Type 53</t>
  </si>
  <si>
    <t>A measurement of the Human papillomavirus type 53 in a biological specimen.</t>
  </si>
  <si>
    <t>Human Papillomavirus Type 53 Measurement</t>
  </si>
  <si>
    <t>C199948</t>
  </si>
  <si>
    <t>HPV53DNA</t>
  </si>
  <si>
    <t>Human Papillomavirus Type 53 DNA</t>
  </si>
  <si>
    <t>A measurement of the Human papillomavirus type 53 DNA in a biological specimen.</t>
  </si>
  <si>
    <t>Human Papillomavirus Type 53 DNA Measurement</t>
  </si>
  <si>
    <t>C189562</t>
  </si>
  <si>
    <t>HPV54</t>
  </si>
  <si>
    <t>Human Papillomavirus Type 54</t>
  </si>
  <si>
    <t>A measurement of the Human papillomavirus type 54 in a biological specimen.</t>
  </si>
  <si>
    <t>Human Papillomavirus Type 54 Measurement</t>
  </si>
  <si>
    <t>C189573</t>
  </si>
  <si>
    <t>HPV56</t>
  </si>
  <si>
    <t>Human Papillomavirus Type 56</t>
  </si>
  <si>
    <t>A measurement of the Human papillomavirus type 56 in a biological specimen.</t>
  </si>
  <si>
    <t>Human Papillomavirus Type 56 Measurement</t>
  </si>
  <si>
    <t>C199949</t>
  </si>
  <si>
    <t>HPV56DNA</t>
  </si>
  <si>
    <t>Human Papillomavirus Type 56 DNA</t>
  </si>
  <si>
    <t>A measurement of the Human papillomavirus type 56 DNA in a biological specimen.</t>
  </si>
  <si>
    <t>Human Papillomavirus Type 56 DNA Measurement</t>
  </si>
  <si>
    <t>C199950</t>
  </si>
  <si>
    <t>HPV57DNA</t>
  </si>
  <si>
    <t>Human Papillomavirus Type 57 DNA</t>
  </si>
  <si>
    <t>A measurement of the Human papillomavirus type 57 DNA in a biological specimen.</t>
  </si>
  <si>
    <t>Human Papillomavirus Type 57 DNA Measurement</t>
  </si>
  <si>
    <t>C189574</t>
  </si>
  <si>
    <t>HPV58</t>
  </si>
  <si>
    <t>Human Papillomavirus Type 58</t>
  </si>
  <si>
    <t>A measurement of the Human papillomavirus type 58 in a biological specimen.</t>
  </si>
  <si>
    <t>Human Papillomavirus Type 58 Measurement</t>
  </si>
  <si>
    <t>C199951</t>
  </si>
  <si>
    <t>HPV58DNA</t>
  </si>
  <si>
    <t>Human Papillomavirus Type 58 DNA</t>
  </si>
  <si>
    <t>A measurement of the Human papillomavirus type 58 DNA in a biological specimen.</t>
  </si>
  <si>
    <t>Human Papillomavirus Type 58 DNA Measurement</t>
  </si>
  <si>
    <t>C189575</t>
  </si>
  <si>
    <t>HPV59</t>
  </si>
  <si>
    <t>Human Papillomavirus Type 59</t>
  </si>
  <si>
    <t>A measurement of the Human papillomavirus type 59 in a biological specimen.</t>
  </si>
  <si>
    <t>Human Papillomavirus Type 59 Measurement</t>
  </si>
  <si>
    <t>C199952</t>
  </si>
  <si>
    <t>HPV59DNA</t>
  </si>
  <si>
    <t>Human Papillomavirus Type 59 DNA</t>
  </si>
  <si>
    <t>A measurement of the Human papillomavirus type 59 DNA in a biological specimen.</t>
  </si>
  <si>
    <t>Human Papillomavirus Type 59 DNA Measurement</t>
  </si>
  <si>
    <t>C189563</t>
  </si>
  <si>
    <t>HPV66</t>
  </si>
  <si>
    <t>Human Papillomavirus Type 66</t>
  </si>
  <si>
    <t>A measurement of the Human papillomavirus type 66 in a biological specimen.</t>
  </si>
  <si>
    <t>Human Papillomavirus Type 66 Measurement</t>
  </si>
  <si>
    <t>C199954</t>
  </si>
  <si>
    <t>HPV66DNA</t>
  </si>
  <si>
    <t>Human Papillomavirus Type 66 DNA</t>
  </si>
  <si>
    <t>A measurement of the Human papillomavirus type 66 DNA in a biological specimen.</t>
  </si>
  <si>
    <t>Human Papillomavirus Type 66 DNA Measurement</t>
  </si>
  <si>
    <t>C199955</t>
  </si>
  <si>
    <t>HPV67DNA</t>
  </si>
  <si>
    <t>Human Papillomavirus Type 67 DNA</t>
  </si>
  <si>
    <t>A measurement of the Human papillomavirus type 67 DNA in a biological specimen.</t>
  </si>
  <si>
    <t>Human Papillomavirus Type 67 DNA Measurement</t>
  </si>
  <si>
    <t>C189576</t>
  </si>
  <si>
    <t>HPV68</t>
  </si>
  <si>
    <t>Human Papillomavirus Type 68</t>
  </si>
  <si>
    <t>A measurement of the Human papillomavirus type 68 in a biological specimen.</t>
  </si>
  <si>
    <t>Human Papillomavirus Type 68 Measurement</t>
  </si>
  <si>
    <t>C199956</t>
  </si>
  <si>
    <t>HPV68DNA</t>
  </si>
  <si>
    <t>Human Papillomavirus Type 68 DNA</t>
  </si>
  <si>
    <t>A measurement of the Human papillomavirus type 68 DNA in a biological specimen.</t>
  </si>
  <si>
    <t>Human Papillomavirus Type 68 DNA Measurement</t>
  </si>
  <si>
    <t>C189577</t>
  </si>
  <si>
    <t>HPV69</t>
  </si>
  <si>
    <t>Human Papillomavirus Type 69</t>
  </si>
  <si>
    <t>A measurement of the Human papillomavirus type 69 in a biological specimen.</t>
  </si>
  <si>
    <t>Human Papillomavirus Type 69 Measurement</t>
  </si>
  <si>
    <t>C199953</t>
  </si>
  <si>
    <t>HPV6DNA</t>
  </si>
  <si>
    <t>Human Papillomavirus Type 6 DNA</t>
  </si>
  <si>
    <t>A measurement of the Human papillomavirus type 6 DNA in a biological specimen.</t>
  </si>
  <si>
    <t>Human Papillomavirus Type 6 DNA Measurement</t>
  </si>
  <si>
    <t>C189564</t>
  </si>
  <si>
    <t>HPV70</t>
  </si>
  <si>
    <t>Human Papillomavirus Type 70</t>
  </si>
  <si>
    <t>A measurement of the Human papillomavirus type 70 in a biological specimen.</t>
  </si>
  <si>
    <t>Human Papillomavirus Type 70 Measurement</t>
  </si>
  <si>
    <t>C189565</t>
  </si>
  <si>
    <t>HPV74</t>
  </si>
  <si>
    <t>Human Papillomavirus Type 74</t>
  </si>
  <si>
    <t>A measurement of the Human papillomavirus type 74 in a biological specimen.</t>
  </si>
  <si>
    <t>Human Papillomavirus Type 74 Measurement</t>
  </si>
  <si>
    <t>C199681</t>
  </si>
  <si>
    <t>HPVDNA</t>
  </si>
  <si>
    <t>Human Papillomavirus DNA</t>
  </si>
  <si>
    <t>A measurement of the Human papillomavirus DNA in a biological specimen.</t>
  </si>
  <si>
    <t>Human Papillomavirus DNA Measurement</t>
  </si>
  <si>
    <t>C186165</t>
  </si>
  <si>
    <t>HPVE67MR</t>
  </si>
  <si>
    <t>Human Papillomavirus E6/E7 mRNA</t>
  </si>
  <si>
    <t>Human Papillomavirus E6/E7 Messenger RNA; Human Papillomavirus E6/E7 mRNA</t>
  </si>
  <si>
    <t>A measurement of the human papillomavirus E6 and/or E7 protein-making mRNA in a biological specimen.</t>
  </si>
  <si>
    <t>Human Papillomavirus E6/E7 mRNA Measurement</t>
  </si>
  <si>
    <t>C189536</t>
  </si>
  <si>
    <t>HPY</t>
  </si>
  <si>
    <t>Helicobacter pylori</t>
  </si>
  <si>
    <t>A measurement of the Helicobacter pylori in a biological specimen.</t>
  </si>
  <si>
    <t>Helicobacter pylori Measurement</t>
  </si>
  <si>
    <t>C154819</t>
  </si>
  <si>
    <t>HPYAG</t>
  </si>
  <si>
    <t>Helicobacter pylori Antigen</t>
  </si>
  <si>
    <t>A measurement of the Helicobacter pylori antigen in a biological specimen.</t>
  </si>
  <si>
    <t>Helicobacter pylori Antigen Measurement</t>
  </si>
  <si>
    <t>C184666</t>
  </si>
  <si>
    <t>HPYDNA</t>
  </si>
  <si>
    <t>Helicobacter pylori DNA</t>
  </si>
  <si>
    <t>A measurement of the Helicobacter pylori DNA in a biological specimen.</t>
  </si>
  <si>
    <t>Helicobacter pylori DNA Measurement</t>
  </si>
  <si>
    <t>C49677</t>
  </si>
  <si>
    <t>HR</t>
  </si>
  <si>
    <t>Heart Rate</t>
  </si>
  <si>
    <t>The number of heartbeats per unit of time, usually expressed as beats per minute. (NCI)</t>
  </si>
  <si>
    <t>C199925</t>
  </si>
  <si>
    <t>HRHPDNM</t>
  </si>
  <si>
    <t>High-Risk HPV Types DNA, MLTTRG</t>
  </si>
  <si>
    <t>High Risk Human Papillomavirus Types DNA, Multi-Target; High-Risk HPV Types DNA, MLTTRG; High-Risk HPV Types DNA, Multi-Target</t>
  </si>
  <si>
    <t>A measurement of high-risk human papillomavirus DNA in a biological specimen. This is a multiple-target test.</t>
  </si>
  <si>
    <t>Multi-Target High Risk Human Papillomavirus Types DNA Measurement</t>
  </si>
  <si>
    <t>C199926</t>
  </si>
  <si>
    <t>HRHPMRNM</t>
  </si>
  <si>
    <t>High-Risk HPV Types mRNA, MLTTRG</t>
  </si>
  <si>
    <t>High Risk Human Papillomavirus Types mRNA, Multi-Target; High-Risk HPV Types mRNA, MLTTRG; High-Risk HPV Types mRNA, Multi-Target</t>
  </si>
  <si>
    <t>A measurement of high-risk human papillomavirus mRNA in a biological specimen. This is a multiple-target test.</t>
  </si>
  <si>
    <t>Multi-Target High Risk Human Papillomavirus Types mRNA Measurement</t>
  </si>
  <si>
    <t>C181408</t>
  </si>
  <si>
    <t>HRRBCRBC</t>
  </si>
  <si>
    <t>Hyperchromic Erythrocytes/Erythrocytes</t>
  </si>
  <si>
    <t>A relative measurement (ratio or percentage) of the hyperchromic erythrocytes to total erythrocytes in a biological specimen.</t>
  </si>
  <si>
    <t>Hyperchromic Erythrocytes to Erythrocytes Ratio Measurement</t>
  </si>
  <si>
    <t>C214702</t>
  </si>
  <si>
    <t>HRV</t>
  </si>
  <si>
    <t>Human rhinovirus</t>
  </si>
  <si>
    <t>A measurement of the Human rhinovirus in a biological specimen.</t>
  </si>
  <si>
    <t>Human rhinovirus Measurement</t>
  </si>
  <si>
    <t>C186166</t>
  </si>
  <si>
    <t>HRVABC</t>
  </si>
  <si>
    <t>Human rhinovirus A/B/C</t>
  </si>
  <si>
    <t>HRV A/B/C; Human rhinovirus A/B/C</t>
  </si>
  <si>
    <t>A measurement of the Human rhinovirus A, B and/or C in a biological specimen.</t>
  </si>
  <si>
    <t>Human rhinovirus A, B, and/or C Measurement</t>
  </si>
  <si>
    <t>C186167</t>
  </si>
  <si>
    <t>HRVABCAG</t>
  </si>
  <si>
    <t>Human rhinovirus A/B/C Antigen</t>
  </si>
  <si>
    <t>HRV A/B/C Antigen; Human rhinovirus A/B/C Antigen</t>
  </si>
  <si>
    <t>A measurement of the Human rhinovirus A, B and/or C antigen in a biological specimen.</t>
  </si>
  <si>
    <t>Human rhinovirus A, B, and/or C Antigen Measurement</t>
  </si>
  <si>
    <t>C199998</t>
  </si>
  <si>
    <t>HRVSDANN</t>
  </si>
  <si>
    <t>Heart Rate Variability, SDANN</t>
  </si>
  <si>
    <t>Heart Rate Variability, Average Standard Deviation NN Interval; Heart Rate Variability, SDANN</t>
  </si>
  <si>
    <t>A measurement of the fluctuation in the time intervals between adjacent heartbeats, based on the average standard deviation of the means of consecutive 5 minute NN intervals over a period of time.</t>
  </si>
  <si>
    <t>Heart Rate Variability, Average Standard Deviation NN Interval Measurement</t>
  </si>
  <si>
    <t>C199682</t>
  </si>
  <si>
    <t>HRVSDNN</t>
  </si>
  <si>
    <t>Heart Rate Variability, SDNN</t>
  </si>
  <si>
    <t>Heart Rate Variability, SDNN; Heart Rate Variability, Standard Deviation NN Interval</t>
  </si>
  <si>
    <t>A measurement of the fluctuation in the time intervals between adjacent heartbeats, based on the standard deviation of the NN interval.</t>
  </si>
  <si>
    <t>Heart Rate Variability, Standard Deviation NN Interval Measurement</t>
  </si>
  <si>
    <t>C135427</t>
  </si>
  <si>
    <t>HRYCECE</t>
  </si>
  <si>
    <t>Hairy Cells/Total Cells</t>
  </si>
  <si>
    <t>A relative measurement (ratio or percentage) of the hairy cells to total cells in a biological specimen.</t>
  </si>
  <si>
    <t>Hairy Cells to Total Cells Ratio Measurement</t>
  </si>
  <si>
    <t>C135428</t>
  </si>
  <si>
    <t>HRYCELE</t>
  </si>
  <si>
    <t>Hairy Cells/Leukocytes</t>
  </si>
  <si>
    <t>A relative measurement (ratio or percentage) of the hairy cells (B-cell lymphocytes with hairy projections from the cytoplasm) to all leukocytes in a biological specimen.</t>
  </si>
  <si>
    <t>Hairy Cells to Leukocytes Ratio Measurement</t>
  </si>
  <si>
    <t>C74640</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</si>
  <si>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</si>
  <si>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</si>
  <si>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</si>
  <si>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</si>
  <si>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C187853</t>
  </si>
  <si>
    <t>HS1</t>
  </si>
  <si>
    <t>Herpes Simplex Virus 1</t>
  </si>
  <si>
    <t>A measurement of the herpes simplex virus 1 in a biological specimen.</t>
  </si>
  <si>
    <t>Herpes Simplex Virus 1 Measurement</t>
  </si>
  <si>
    <t>C199927</t>
  </si>
  <si>
    <t>HS12</t>
  </si>
  <si>
    <t>Herpes Simplex Virus 1/2</t>
  </si>
  <si>
    <t>A measurement of the herpes simplex virus 1 and/or 2 in a biological specimen.</t>
  </si>
  <si>
    <t>Herpes Simplex Virus 1 and/or 2 Measurement</t>
  </si>
  <si>
    <t>C186168</t>
  </si>
  <si>
    <t>HS12AG</t>
  </si>
  <si>
    <t>Herpes Simplex Virus 1/2 Antigen</t>
  </si>
  <si>
    <t>Herpes Simplex Virus 1/2 Antigen; HSV 1/2 Antigen</t>
  </si>
  <si>
    <t>A measurement of the herpes simplex virus 1 and/or 2 antigen in a biological specimen.</t>
  </si>
  <si>
    <t>Herpes Simplex Virus 1 and/or 2 Antigen Measurement</t>
  </si>
  <si>
    <t>C199928</t>
  </si>
  <si>
    <t>HS12DNA</t>
  </si>
  <si>
    <t>Herpes Simplex Virus 1/2 DNA</t>
  </si>
  <si>
    <t>Herpes Simplex Virus 1/2 DNA; HSV 1/2 DNA</t>
  </si>
  <si>
    <t>A measurement of the herpes simplex virus 1 and/or 2 DNA in a biological specimen.</t>
  </si>
  <si>
    <t>Herpes Simplex Virus 1 and/or 2 DNA Measurement</t>
  </si>
  <si>
    <t>C186169</t>
  </si>
  <si>
    <t>HS1DNA</t>
  </si>
  <si>
    <t>Herpes Simplex Virus 1 DNA</t>
  </si>
  <si>
    <t>A measurement of the herpes simplex virus 1 DNA in a biological specimen.</t>
  </si>
  <si>
    <t>Herpes Simplex Virus 1 DNA Measurement</t>
  </si>
  <si>
    <t>C187854</t>
  </si>
  <si>
    <t>HS2</t>
  </si>
  <si>
    <t>Herpes Simplex Virus 2</t>
  </si>
  <si>
    <t>A measurement of the herpes simplex virus 2 in a biological specimen.</t>
  </si>
  <si>
    <t>Herpes Simplex Virus 2 Measurement</t>
  </si>
  <si>
    <t>C186170</t>
  </si>
  <si>
    <t>HS2DNA</t>
  </si>
  <si>
    <t>Herpes Simplex Virus 2 DNA</t>
  </si>
  <si>
    <t>A measurement of the Herpes simplex virus 2 DNA in a biological specimen.</t>
  </si>
  <si>
    <t>Herpes Simplex Virus 2 DNA Measurement</t>
  </si>
  <si>
    <t>C198258</t>
  </si>
  <si>
    <t>HSDTHIND</t>
  </si>
  <si>
    <t>Hospitalized at Time of Death Indicator</t>
  </si>
  <si>
    <t>An indication as to whether the subject was hospitalized at the time of death.</t>
  </si>
  <si>
    <t>C147368</t>
  </si>
  <si>
    <t>HSP70</t>
  </si>
  <si>
    <t>Heat Shock Protein 70</t>
  </si>
  <si>
    <t>A measurement of the heat shock protein 70 in a biological specimen.</t>
  </si>
  <si>
    <t>Heat Shock Protein 70 Measurement</t>
  </si>
  <si>
    <t>C147369</t>
  </si>
  <si>
    <t>HSP90A</t>
  </si>
  <si>
    <t>Heat Shock Protein 90 Alpha</t>
  </si>
  <si>
    <t>A measurement of the heat shock protein 90 alpha in a biological specimen.</t>
  </si>
  <si>
    <t>Heat Shock Protein 90 Alpha Measurement</t>
  </si>
  <si>
    <t>C176360</t>
  </si>
  <si>
    <t>HSPGCIND</t>
  </si>
  <si>
    <t>Hosp Due to Pregnancy Complication Ind</t>
  </si>
  <si>
    <t>Hosp Due to Pregnancy Complication Ind; Hospitalized Due to Pregnancy Complication Indicator</t>
  </si>
  <si>
    <t>An indication as to whether the individual was hospitalized due to a pregnancy complication.</t>
  </si>
  <si>
    <t>Hospitalized Due to Pregnancy Complication Indicator</t>
  </si>
  <si>
    <t>C163568</t>
  </si>
  <si>
    <t>HTAPCTL</t>
  </si>
  <si>
    <t>Height-for-Age Percentile</t>
  </si>
  <si>
    <t>An assessed relationship of an individual's height and age to that of a reference population, expressed as a percentile.</t>
  </si>
  <si>
    <t>C199957</t>
  </si>
  <si>
    <t>HTLVRNA</t>
  </si>
  <si>
    <t>Human T-Lymphotropic Virus RNA</t>
  </si>
  <si>
    <t>A measurement of the Human T-Lymphotropic virus RNA in a biological specimen.</t>
  </si>
  <si>
    <t>Human T-Lymphotropic Virus RNA Measurement</t>
  </si>
  <si>
    <t>C135491</t>
  </si>
  <si>
    <t>HTMAX</t>
  </si>
  <si>
    <t>Half Tmax</t>
  </si>
  <si>
    <t>The midpoint time between dosing time and Tmax.</t>
  </si>
  <si>
    <t>C81984</t>
  </si>
  <si>
    <t>HTPHAB</t>
  </si>
  <si>
    <t>Heterophile Antibodies</t>
  </si>
  <si>
    <t>A measurement of the heterophile antibodies in a biological specimen.</t>
  </si>
  <si>
    <t>Heterophile Antibody Measurement</t>
  </si>
  <si>
    <t>C142279</t>
  </si>
  <si>
    <t>HTTP</t>
  </si>
  <si>
    <t>Huntingtin Protein</t>
  </si>
  <si>
    <t>Huntingtin Protein; Total Huntingtin Protein</t>
  </si>
  <si>
    <t>A measurement of the total huntingtin protein in a biological specimen.</t>
  </si>
  <si>
    <t>Huntingtin Protein Measurement</t>
  </si>
  <si>
    <t>C142280</t>
  </si>
  <si>
    <t>HTTPM</t>
  </si>
  <si>
    <t>Huntingtin Protein, Mutant</t>
  </si>
  <si>
    <t>A measurement of the mutant huntingtin protein in a biological specimen.</t>
  </si>
  <si>
    <t>Mutant Huntingtin Protein Measurement</t>
  </si>
  <si>
    <t>C191292</t>
  </si>
  <si>
    <t>HTTPWT</t>
  </si>
  <si>
    <t>Huntingtin Protein, Wild Type</t>
  </si>
  <si>
    <t>A measurement of the wild type huntingtin protein in a biological specimen.</t>
  </si>
  <si>
    <t>Wild Type Huntingtin Protein Measurement</t>
  </si>
  <si>
    <t>C74863</t>
  </si>
  <si>
    <t>HVA</t>
  </si>
  <si>
    <t>Homovanillic Acid</t>
  </si>
  <si>
    <t>A measurement of the homovanillic acid metabolite in a biological specimen.</t>
  </si>
  <si>
    <t>Homovanillic Acid Measurement</t>
  </si>
  <si>
    <t>C186063</t>
  </si>
  <si>
    <t>HXANSD11</t>
  </si>
  <si>
    <t>11-Hydroxyandrostenedione</t>
  </si>
  <si>
    <t>A measurement of the 11-hydroxyandrostenedione in a biological specimen.</t>
  </si>
  <si>
    <t>11-Hydroxyandrostenedione Measurement</t>
  </si>
  <si>
    <t>C186064</t>
  </si>
  <si>
    <t>HXANST11</t>
  </si>
  <si>
    <t>11-Hydroxyandrosterone</t>
  </si>
  <si>
    <t>A measurement of the 11-hydroxyandrosterone in a biological specimen.</t>
  </si>
  <si>
    <t>11-Hydroxyandrosterone Measurement</t>
  </si>
  <si>
    <t>C209598</t>
  </si>
  <si>
    <t>HXBUPROP</t>
  </si>
  <si>
    <t>Hydroxybupropion</t>
  </si>
  <si>
    <t>6-Hydroxybupropion; BW 306U; Hydroxybupropion</t>
  </si>
  <si>
    <t>A measurement of the hydroxybupropion in a biological specimen.</t>
  </si>
  <si>
    <t>Hydroxybupropion Measurement</t>
  </si>
  <si>
    <t>C186065</t>
  </si>
  <si>
    <t>HXCSD17</t>
  </si>
  <si>
    <t>17-Hydroxycorticosteroids</t>
  </si>
  <si>
    <t>17-Hydroxycorticoid; 17-Hydroxycorticosteroid; 17-Hydroxycorticosteroids</t>
  </si>
  <si>
    <t>A measurement of the 17-hydroxycorticosteroids in a biological specimen.</t>
  </si>
  <si>
    <t>17-Hydroxycorticosteroid Measurement</t>
  </si>
  <si>
    <t>C186066</t>
  </si>
  <si>
    <t>HXCSL18</t>
  </si>
  <si>
    <t>18-Hydroxycortisol</t>
  </si>
  <si>
    <t>A measurement of the 18-hydroxycortisol in a biological specimen.</t>
  </si>
  <si>
    <t>18-Hydroxycortisol Measurement</t>
  </si>
  <si>
    <t>C186067</t>
  </si>
  <si>
    <t>HXCSN18</t>
  </si>
  <si>
    <t>18-Hydroxycorticosterone</t>
  </si>
  <si>
    <t>A measurement of the 18-hydroxycorticosterone in a biological specimen.</t>
  </si>
  <si>
    <t>18-Hydroxycorticosterone Measurement</t>
  </si>
  <si>
    <t>C221545</t>
  </si>
  <si>
    <t>HXDCNCIS</t>
  </si>
  <si>
    <t>Hexadecenoate Cis</t>
  </si>
  <si>
    <t>cis-Hexadecenoic Acid; Hexadecenoate Cis; Hexadecenoic Acid Cis; Sapienic Acid</t>
  </si>
  <si>
    <t>A measurement of the hexadecenoate cis in a biological specimen.</t>
  </si>
  <si>
    <t>Hexadecenoate cis Measurement</t>
  </si>
  <si>
    <t>C186068</t>
  </si>
  <si>
    <t>HXDX18</t>
  </si>
  <si>
    <t>18-Hydroxydeoxycorticosterone</t>
  </si>
  <si>
    <t>A measurement of the 18-hydroxydeoxycorticosterone in a biological specimen.</t>
  </si>
  <si>
    <t>18-Hydroxydeoxycorticosterone Measurement</t>
  </si>
  <si>
    <t>C209599</t>
  </si>
  <si>
    <t>HXEMA</t>
  </si>
  <si>
    <t>2-Hydroxyethyl Mercapturic Acid</t>
  </si>
  <si>
    <t>2-Hydroxyethyl Mercapturate; 2-Hydroxyethyl Mercapturic Acid; HEMA; N-Acetyl-S-(2-Hydroxyethyl)Cysteine</t>
  </si>
  <si>
    <t>A measurement of the 2-hydroxyethyl mercapturic acid in a specimen.</t>
  </si>
  <si>
    <t>2-Hydroxyethyl Mercapturic Acid Measurement</t>
  </si>
  <si>
    <t>C186069</t>
  </si>
  <si>
    <t>HXETCL11</t>
  </si>
  <si>
    <t>11-Hydroxyetiocholanolone</t>
  </si>
  <si>
    <t>A measurement of the 11-hydroxyetiocholanolone in a biological specimen.</t>
  </si>
  <si>
    <t>11-Hydroxyetiocholanolone Measurement</t>
  </si>
  <si>
    <t>C191293</t>
  </si>
  <si>
    <t>HXGLUR2</t>
  </si>
  <si>
    <t>2-Hydroxyglutarate</t>
  </si>
  <si>
    <t>2-Hydroxyglutarate; 2-Hydroxyglutaric Acid; Alpha-Hydroxyglutaric Acid</t>
  </si>
  <si>
    <t>A measurement of the 2-hydroxyglutarate in a biological specimen.</t>
  </si>
  <si>
    <t>2-Hydroxyglutarate Measurement</t>
  </si>
  <si>
    <t>C187788</t>
  </si>
  <si>
    <t>HXNE4</t>
  </si>
  <si>
    <t>4-Hydroxynonenal</t>
  </si>
  <si>
    <t>4-HNE; 4-hydroxy-2-nonenal; 4-Hydroxynonenal; HNE</t>
  </si>
  <si>
    <t>A measurement of the 4-hydroxynonenal in a biological specimen.</t>
  </si>
  <si>
    <t>4-Hydroxynonenal Measurement</t>
  </si>
  <si>
    <t>C186070</t>
  </si>
  <si>
    <t>HXPRGN17</t>
  </si>
  <si>
    <t>17-Hydroxypregnenolone</t>
  </si>
  <si>
    <t>A measurement of the 17-hydroxypregnenolone in a biological specimen.</t>
  </si>
  <si>
    <t>17-Hydroxypregnenolone Measurement</t>
  </si>
  <si>
    <t>C112319</t>
  </si>
  <si>
    <t>HYALUAC</t>
  </si>
  <si>
    <t>Hyaluronic Acid</t>
  </si>
  <si>
    <t>A measurement of hyaluronic acid in a biological specimen.</t>
  </si>
  <si>
    <t>Hyaluronic Acid Measurement</t>
  </si>
  <si>
    <t>C74879</t>
  </si>
  <si>
    <t>HYDCDN</t>
  </si>
  <si>
    <t>Hydrocodone</t>
  </si>
  <si>
    <t>A measurement of the hydrocodone present in a biological specimen.</t>
  </si>
  <si>
    <t>Hydrocodone Measurement</t>
  </si>
  <si>
    <t>C154732</t>
  </si>
  <si>
    <t>HYDMDZ1</t>
  </si>
  <si>
    <t>1-Hydroxymidazolam</t>
  </si>
  <si>
    <t>1'-Hydroxymidazolam; 1-Hydroxymidazolam; Alpha-Hydroxymidazolam</t>
  </si>
  <si>
    <t>A measurement of the 1-Hydroxymidazolam present in a biological specimen.</t>
  </si>
  <si>
    <t>1-Hydroxymidazolam Measurement</t>
  </si>
  <si>
    <t>C154731</t>
  </si>
  <si>
    <t>HYDMDZ4</t>
  </si>
  <si>
    <t>4-Hydroxymidazolam</t>
  </si>
  <si>
    <t>A measurement of the 4-hydroxymidazolam present in a biological specimen.</t>
  </si>
  <si>
    <t>4-Hydroxymidazolam Measurement</t>
  </si>
  <si>
    <t>C74880</t>
  </si>
  <si>
    <t>HYDMRPHN</t>
  </si>
  <si>
    <t>Hydromorphone</t>
  </si>
  <si>
    <t>A measurement of the hydromorphone present in a biological specimen.</t>
  </si>
  <si>
    <t>Hydromorphone Measurement</t>
  </si>
  <si>
    <t>C102275</t>
  </si>
  <si>
    <t>HYDROGEN</t>
  </si>
  <si>
    <t>Hydrogen</t>
  </si>
  <si>
    <t>A measurement of the hydrogen in a biological specimen.</t>
  </si>
  <si>
    <t>Hydrogen Measurement</t>
  </si>
  <si>
    <t>C96669</t>
  </si>
  <si>
    <t>HYPERCHR</t>
  </si>
  <si>
    <t>Hyperchromia</t>
  </si>
  <si>
    <t>Hyperchromia; Hyperchromic Erythrocytes</t>
  </si>
  <si>
    <t>A measurement of the prevalence of the erthrocytes with an elevated hemoglobin concentration.</t>
  </si>
  <si>
    <t>Hyperchromia Measurement</t>
  </si>
  <si>
    <t>C132432</t>
  </si>
  <si>
    <t>HYPERGR</t>
  </si>
  <si>
    <t>Hyperemia Grade</t>
  </si>
  <si>
    <t>The position on a scale to assess hyperemia.</t>
  </si>
  <si>
    <t>C178048</t>
  </si>
  <si>
    <t>HYPERMIA</t>
  </si>
  <si>
    <t>Hyperemia</t>
  </si>
  <si>
    <t>An evaluation of hyperemia (an increased amount of blood) in a biological specimen or location.</t>
  </si>
  <si>
    <t>Hyperemia Evaluation</t>
  </si>
  <si>
    <t>C147370</t>
  </si>
  <si>
    <t>HYPGST17</t>
  </si>
  <si>
    <t>17-Hydroxyprogesterone</t>
  </si>
  <si>
    <t>17-Hydroxyprogesterone; 17-OHP</t>
  </si>
  <si>
    <t>A measurement of the 17-Hydroxyprogesterone in a biological specimen.</t>
  </si>
  <si>
    <t>17-Hydroxyprogesterone Measurement</t>
  </si>
  <si>
    <t>C80190</t>
  </si>
  <si>
    <t>HYPRLN</t>
  </si>
  <si>
    <t>Hydroxyproline</t>
  </si>
  <si>
    <t>A measurement of the total hydroxyproline in a biological specimen.</t>
  </si>
  <si>
    <t>Hydroxyproline Measurement</t>
  </si>
  <si>
    <t>C74612</t>
  </si>
  <si>
    <t>HYPSEGCE</t>
  </si>
  <si>
    <t>Hypersegmented Cells</t>
  </si>
  <si>
    <t>A measurement of the hypersegmented (more than five lobes) neutrophils in a biological specimen.</t>
  </si>
  <si>
    <t>Hypersegmented Neutrophil Measurement</t>
  </si>
  <si>
    <t>C154767</t>
  </si>
  <si>
    <t>HYXLYS</t>
  </si>
  <si>
    <t>Hydroxylysine</t>
  </si>
  <si>
    <t>A measurement of the hydroxylysine in a biological specimen.</t>
  </si>
  <si>
    <t>Hydroxylysine Measurement</t>
  </si>
  <si>
    <t>C163454</t>
  </si>
  <si>
    <t>IA5OHEXR</t>
  </si>
  <si>
    <t>5-HydroxyindoleaceticAcid Excretion Rate</t>
  </si>
  <si>
    <t>5-Hydroxyindoleacetic Acid Excretion Rate; 5-HydroxyindoleaceticAcid Excretion Rate</t>
  </si>
  <si>
    <t>A measurement of the amount of 5-hydroxyindoleacetic acid being excreted in a biological specimen over a defined amount of time (e.g. one hour).</t>
  </si>
  <si>
    <t>5-Hydroxyindoleacetic Acid Excretion Rate</t>
  </si>
  <si>
    <t>C112217</t>
  </si>
  <si>
    <t>IAA5OH</t>
  </si>
  <si>
    <t>5-Hydroxyindoleacetic Acid</t>
  </si>
  <si>
    <t>5-Hydroxyindoleacetate; 5-Hydroxyindoleacetic Acid</t>
  </si>
  <si>
    <t>A measurement of 5-hydroxyindoleacetic acid in a biological specimen.</t>
  </si>
  <si>
    <t>5-Hydroxyindoleacetic Acid Measurement</t>
  </si>
  <si>
    <t>C170578</t>
  </si>
  <si>
    <t>IAA5OHCR</t>
  </si>
  <si>
    <t>5-Hydroxyindoleacetic Acid/Creatinine</t>
  </si>
  <si>
    <t>A relative measurement (ratio or percentage) of the 5-hydroxyindoleacetic acid to creatinine in a biological specimen.</t>
  </si>
  <si>
    <t>5-Hydroxyindoleacetic Acid to Creatinine Ratio Measurement</t>
  </si>
  <si>
    <t>C184514</t>
  </si>
  <si>
    <t>IAPOB</t>
  </si>
  <si>
    <t>IDL Apolipoprotein B</t>
  </si>
  <si>
    <t>A measurement of the apolipoprotein B in the intermediate density lipoprotein fraction of a biological specimen.</t>
  </si>
  <si>
    <t>IDL Apolipoprotein B Measurement</t>
  </si>
  <si>
    <t>C127622</t>
  </si>
  <si>
    <t>IAPP</t>
  </si>
  <si>
    <t>Islet Amyloid Polypeptide</t>
  </si>
  <si>
    <t>Amylin; Islet Amyloid Polypeptide</t>
  </si>
  <si>
    <t>A measurement of the islet amyloid polypeptide in a biological specimen.</t>
  </si>
  <si>
    <t>Islet Amyloid Polypeptide Measurement</t>
  </si>
  <si>
    <t>C74718</t>
  </si>
  <si>
    <t>IBCT</t>
  </si>
  <si>
    <t>Total Iron Binding Capacity</t>
  </si>
  <si>
    <t>A measurement of the amount of iron needed to fully saturate the transferrin in a biological specimen.</t>
  </si>
  <si>
    <t>C74719</t>
  </si>
  <si>
    <t>IBCU</t>
  </si>
  <si>
    <t>Unsaturated Iron Binding Capacity</t>
  </si>
  <si>
    <t>A measurement of the binding capacity of unsaturated iron in a biological specimen.</t>
  </si>
  <si>
    <t>Unsaturated Iron Binding Capacity Measurement</t>
  </si>
  <si>
    <t>C111362</t>
  </si>
  <si>
    <t>IC</t>
  </si>
  <si>
    <t>Inspiratory Capacity</t>
  </si>
  <si>
    <t>The maximum volume of air a subject can inhale into the lungs after a tidal exhalation (IRV plus TV).</t>
  </si>
  <si>
    <t>C81986</t>
  </si>
  <si>
    <t>IC512AG</t>
  </si>
  <si>
    <t>Islet Cell 512 Antigen</t>
  </si>
  <si>
    <t>A measurement of the islet cell 512 antigen in a biological specimen.</t>
  </si>
  <si>
    <t>Islet Cell 512 Antigen Measurement</t>
  </si>
  <si>
    <t>C124344</t>
  </si>
  <si>
    <t>ICAM</t>
  </si>
  <si>
    <t>Intercellular Adhesion Molecule</t>
  </si>
  <si>
    <t>A measurement of the total intercellular adhesion molecule in a biological specimen.</t>
  </si>
  <si>
    <t>Intercellular Adhesion Molecule Measurement</t>
  </si>
  <si>
    <t>C124345</t>
  </si>
  <si>
    <t>ICAM1</t>
  </si>
  <si>
    <t>Intercellular Adhesion Molecule 1</t>
  </si>
  <si>
    <t>Intercellular Adhesion Molecule 1; Soluble CD54</t>
  </si>
  <si>
    <t>A measurement of the intercellular adhesion molecule 1 in a biological specimen.</t>
  </si>
  <si>
    <t>Intercellular Adhesion Molecule 1 Measurement</t>
  </si>
  <si>
    <t>C165968</t>
  </si>
  <si>
    <t>ICAM3</t>
  </si>
  <si>
    <t>Intercellular Adhesion Molecule 3</t>
  </si>
  <si>
    <t>A measurement of the intercellular adhesion molecule 3 in a biological specimen.</t>
  </si>
  <si>
    <t>Intercellular Adhesion Molecule 3 Measurement</t>
  </si>
  <si>
    <t>C184512</t>
  </si>
  <si>
    <t>ICG</t>
  </si>
  <si>
    <t>Indocyanine Green</t>
  </si>
  <si>
    <t>A measurement of the indocyanine green in a biological specimen.</t>
  </si>
  <si>
    <t>Indocyanine Green Measurement</t>
  </si>
  <si>
    <t>C184513</t>
  </si>
  <si>
    <t>ICGCLR</t>
  </si>
  <si>
    <t>Indocyanine Green Clearance</t>
  </si>
  <si>
    <t>A measurement of the volume of serum or plasma that would be cleared of indocyanine green by excretion for a specified unit of time (e.g. one minute).</t>
  </si>
  <si>
    <t>Indocyanine Green Clearance Measurement</t>
  </si>
  <si>
    <t>C116255</t>
  </si>
  <si>
    <t>ICNETAS</t>
  </si>
  <si>
    <t>Inhibitory Concentration Net Assessment</t>
  </si>
  <si>
    <t>An indication of reduced or increased susceptibility of a microbial organism, or activity of a biological/biochemical reaction in response to the inhibitory concentration (IC50 and/or IC95) of a specific drug.</t>
  </si>
  <si>
    <t>Inhibitory Concentration Net Assessment Measurement</t>
  </si>
  <si>
    <t>C112382</t>
  </si>
  <si>
    <t>ICPP</t>
  </si>
  <si>
    <t>Percent Predicted Inspiratory Capacity</t>
  </si>
  <si>
    <t>The maximum volume of air a subject can inhale into the lungs after a tidal exhalation (IRV plus TV) as a proportion of the predicted normal value.</t>
  </si>
  <si>
    <t>C112321</t>
  </si>
  <si>
    <t>ICREV</t>
  </si>
  <si>
    <t>IC Reversibility</t>
  </si>
  <si>
    <t>The change in IC following administration of a bronchodilator relative to the pre-treatment IC value.</t>
  </si>
  <si>
    <t>Inspiratory Capacity Reversibility</t>
  </si>
  <si>
    <t>C111232</t>
  </si>
  <si>
    <t>ICTERUSI</t>
  </si>
  <si>
    <t>Icteric Index</t>
  </si>
  <si>
    <t>Icteric Index; Icterus</t>
  </si>
  <si>
    <t>A measurement of the yellow color of a biological specimen, due to the presence of bile pigments.</t>
  </si>
  <si>
    <t>C117976</t>
  </si>
  <si>
    <t>IDEALWT</t>
  </si>
  <si>
    <t>Ideal Body Weight</t>
  </si>
  <si>
    <t>A person's optimum weight as calculated by a standard methodology.</t>
  </si>
  <si>
    <t>C112325</t>
  </si>
  <si>
    <t>IDL</t>
  </si>
  <si>
    <t>IDL Cholesterol</t>
  </si>
  <si>
    <t>IDL Cholesterol; Intermediate Density Lipoprotein</t>
  </si>
  <si>
    <t>A measurement of the intermediate density lipoprotein in a biological specimen.</t>
  </si>
  <si>
    <t>Intermediate Density Lipoprotein Cholesterol Measurement</t>
  </si>
  <si>
    <t>C187810</t>
  </si>
  <si>
    <t>IDLLDL</t>
  </si>
  <si>
    <t>IDL Cholesterol/LDL Cholesterol</t>
  </si>
  <si>
    <t>A relative measurement (ratio) of the amount of intermediate density lipoprotein cholesterol compared to low density lipoprotein cholesterol in a biological specimen.</t>
  </si>
  <si>
    <t>IDL Cholesterol to LDL Cholesterol Ratio Measurement</t>
  </si>
  <si>
    <t>C116197</t>
  </si>
  <si>
    <t>IDLP</t>
  </si>
  <si>
    <t>IDL Particles</t>
  </si>
  <si>
    <t>IDL Particles; Intermediate Density Lipoproteins Particles</t>
  </si>
  <si>
    <t>A measurement of the concentration of IDL particles in a biological specimen.</t>
  </si>
  <si>
    <t>IDL Particles Measurement</t>
  </si>
  <si>
    <t>C189507</t>
  </si>
  <si>
    <t>IDLT</t>
  </si>
  <si>
    <t>IDL Triglyceride</t>
  </si>
  <si>
    <t>A measurement of the intermediate density lipoprotein triglyceride in a biological specimen.</t>
  </si>
  <si>
    <t>IDL Triglyceride Measurement</t>
  </si>
  <si>
    <t>C147371</t>
  </si>
  <si>
    <t>IDLVLDL3</t>
  </si>
  <si>
    <t>IDL+VLDL Cholesterol Subtype 3</t>
  </si>
  <si>
    <t>IDL Cholesterol and VLDL Cholesterol Subtype 3; IDL+VLDL Cholesterol Subtype 3</t>
  </si>
  <si>
    <t>A measurement of the intermediate density lipoprotein cholesterol and the very low density lipoprotein cholesterol subtype 3 in a biological specimen.</t>
  </si>
  <si>
    <t>IDL Cholesterol and VLDL Cholesterol Subtype 3 Measurement</t>
  </si>
  <si>
    <t>C122196</t>
  </si>
  <si>
    <t>IDRLDIAM</t>
  </si>
  <si>
    <t>Induration Longest Diameter</t>
  </si>
  <si>
    <t>The longest diameter of an area of hardness in the skin. (NCI)</t>
  </si>
  <si>
    <t>C142347</t>
  </si>
  <si>
    <t>IENFDEN</t>
  </si>
  <si>
    <t>Intraepidermal Nerve Fiber Density</t>
  </si>
  <si>
    <t>A measurement of the intraepidermal nerve fiber density in a biological specimen.</t>
  </si>
  <si>
    <t>C181490</t>
  </si>
  <si>
    <t>IEPINEOA</t>
  </si>
  <si>
    <t>Intraepithelial Neoplasia</t>
  </si>
  <si>
    <t>Epithelial Neoplasia; Intraepithelial Neoplasia</t>
  </si>
  <si>
    <t>An evaluation of intraepithelial neoplasia in a biological specimen.</t>
  </si>
  <si>
    <t>Intraepithelial Neoplasia Assessment</t>
  </si>
  <si>
    <t>C163455</t>
  </si>
  <si>
    <t>IFI27</t>
  </si>
  <si>
    <t>Interferon Alpha-Inducible Protein 27</t>
  </si>
  <si>
    <t>Interferon Alpha-Induced Protein 27; Interferon Alpha-Inducible Protein 27</t>
  </si>
  <si>
    <t>A measurement of the interferon alpha-inducible protein 27 in a biological specimen.</t>
  </si>
  <si>
    <t>Interferon Alpha-Inducible Protein 27 Measurement</t>
  </si>
  <si>
    <t>C163456</t>
  </si>
  <si>
    <t>IFI44</t>
  </si>
  <si>
    <t>Interferon-Induced Protein 44</t>
  </si>
  <si>
    <t>A measurement of the interferon-induced protein 44 in a biological specimen.</t>
  </si>
  <si>
    <t>Interferon-Induced Protein 44 Measurement</t>
  </si>
  <si>
    <t>C163457</t>
  </si>
  <si>
    <t>IFI44L</t>
  </si>
  <si>
    <t>Interferon-Induced Protein 44-Like</t>
  </si>
  <si>
    <t>A measurement of the interferon-induced protein 44-like in a biological specimen.</t>
  </si>
  <si>
    <t>Interferon-Induced Protein 44-Like Measurement</t>
  </si>
  <si>
    <t>C163458</t>
  </si>
  <si>
    <t>IFI6</t>
  </si>
  <si>
    <t>Interferon Alpha-Inducible Protein 6</t>
  </si>
  <si>
    <t>A measurement of the interferon alpha-inducible protein 6 in a biological specimen.</t>
  </si>
  <si>
    <t>Interferon Alpha-Inducible Protein 6 Measurement</t>
  </si>
  <si>
    <t>C163459</t>
  </si>
  <si>
    <t>IFIT1</t>
  </si>
  <si>
    <t>Interferon-Induced 56 kDa Protein</t>
  </si>
  <si>
    <t>Interferon-Induced 56 kDa Protein; Interferon-Induced Protein With Tetratricopeptide Repeats 1</t>
  </si>
  <si>
    <t>A measurement of the interferon-induced 56 KDa protein in a biological specimen.</t>
  </si>
  <si>
    <t>Interferon-Induced 56 kDa Protein Measurement</t>
  </si>
  <si>
    <t>C163460</t>
  </si>
  <si>
    <t>IFIT3</t>
  </si>
  <si>
    <t>Interferon-Induced 60 kDa Protein</t>
  </si>
  <si>
    <t>Interferon-Induced 60 kDa Protein; Interferon-Induced Protein With Tetratricopeptide Repeats 3</t>
  </si>
  <si>
    <t>A measurement of the interferon-induced 60 KDa protein in a biological specimen.</t>
  </si>
  <si>
    <t>Interferon-Induced 60 kDa Protein Measurement</t>
  </si>
  <si>
    <t>C81994</t>
  </si>
  <si>
    <t>IFNA</t>
  </si>
  <si>
    <t>Interferon Alpha</t>
  </si>
  <si>
    <t>A measurement of the total interferon alpha in a biological specimen.</t>
  </si>
  <si>
    <t>Interferon Alpha Measurement</t>
  </si>
  <si>
    <t>C184646</t>
  </si>
  <si>
    <t>IFNA2</t>
  </si>
  <si>
    <t>Interferon Alpha Type 2</t>
  </si>
  <si>
    <t>A measurement of the interferon alpha type 2 in a biological specimen.</t>
  </si>
  <si>
    <t>Interferon Alpha Type 2 Measurement</t>
  </si>
  <si>
    <t>C81995</t>
  </si>
  <si>
    <t>IFNB</t>
  </si>
  <si>
    <t>Interferon Beta</t>
  </si>
  <si>
    <t>A measurement of the interferon beta in a biological specimen.</t>
  </si>
  <si>
    <t>Interferon Beta Measurement</t>
  </si>
  <si>
    <t>C81996</t>
  </si>
  <si>
    <t>IFNG</t>
  </si>
  <si>
    <t>Interferon Gamma</t>
  </si>
  <si>
    <t>A measurement of the interferon gamma in a biological specimen.</t>
  </si>
  <si>
    <t>Interferon Gamma Measurement</t>
  </si>
  <si>
    <t>C81969</t>
  </si>
  <si>
    <t>IGA</t>
  </si>
  <si>
    <t>Immunoglobulin A</t>
  </si>
  <si>
    <t>A measurement of the total immunoglobulin A in a biological specimen.</t>
  </si>
  <si>
    <t>Immunoglobulin A Measurement</t>
  </si>
  <si>
    <t>C184515</t>
  </si>
  <si>
    <t>IGAC3</t>
  </si>
  <si>
    <t>Immunoglobulin A/Complement C3</t>
  </si>
  <si>
    <t>IgA/C3; IgA/Complement C3; Immunoglobulin A/Complement C3</t>
  </si>
  <si>
    <t>A relative measurement (ratio) of the immunoglobulin A to complement C3 in a biological specimen.</t>
  </si>
  <si>
    <t>Immunoglobulin A to Complement C3 Measurement</t>
  </si>
  <si>
    <t>C111233</t>
  </si>
  <si>
    <t>IGAGM</t>
  </si>
  <si>
    <t>IgG IgM IgA Total</t>
  </si>
  <si>
    <t>A measurement of the total IgG, IgM, and IgA in a biological specimen.</t>
  </si>
  <si>
    <t>IgG IgM IgA Total Measurement</t>
  </si>
  <si>
    <t>C98745</t>
  </si>
  <si>
    <t>IGD</t>
  </si>
  <si>
    <t>Immunoglobulin D</t>
  </si>
  <si>
    <t>A measurement of the Immunoglobulin D in a biological specimen.</t>
  </si>
  <si>
    <t>Immunoglobulin D Measurement</t>
  </si>
  <si>
    <t>C81970</t>
  </si>
  <si>
    <t>IGE</t>
  </si>
  <si>
    <t>Immunoglobulin E</t>
  </si>
  <si>
    <t>A measurement of the total Immunoglobulin E in a biological specimen.</t>
  </si>
  <si>
    <t>Immunoglobulin E Measurement</t>
  </si>
  <si>
    <t>C202392</t>
  </si>
  <si>
    <t>IGEFR</t>
  </si>
  <si>
    <t>Immunoglobulin E, Free</t>
  </si>
  <si>
    <t>A measurement of the free Immunoglobulin E in a biological specimen.</t>
  </si>
  <si>
    <t>Free Immunoglobulin 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</si>
  <si>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</si>
  <si>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</si>
  <si>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</si>
  <si>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</si>
  <si>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</si>
  <si>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</si>
  <si>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</si>
  <si>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</si>
  <si>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</si>
  <si>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</si>
  <si>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C128968</t>
  </si>
  <si>
    <t>IGFBP1</t>
  </si>
  <si>
    <t>Insulin-Like Growth Factor Binding Prot1</t>
  </si>
  <si>
    <t>Insulin-Like Growth Factor Binding Prot1; Insulin-Like Growth Factor Binding Protein 1</t>
  </si>
  <si>
    <t>A measurement of the total insulin-like growth factor binding protein 1 in a biological specimen.</t>
  </si>
  <si>
    <t>Insulin-Like Growth Factor Binding Protein 1 Measurement</t>
  </si>
  <si>
    <t>C128969</t>
  </si>
  <si>
    <t>IGFBP2</t>
  </si>
  <si>
    <t>Insulin-Like Growth Factor Binding Prot2</t>
  </si>
  <si>
    <t>Insulin-Like Growth Factor Binding Prot2; Insulin-Like Growth Factor Binding Protein 2</t>
  </si>
  <si>
    <t>A measurement of the insulin-like growth factor binding protein 2 in a biological specimen.</t>
  </si>
  <si>
    <t>Insulin-Like Growth Factor Binding Protein 2 Measurement</t>
  </si>
  <si>
    <t>C112322</t>
  </si>
  <si>
    <t>IGFBP3</t>
  </si>
  <si>
    <t>Insulin-Like Growth Factor Binding Prot3</t>
  </si>
  <si>
    <t>Insulin-Like Growth Factor Binding Prot3; Insulin-Like Growth Factor Binding Protein 3</t>
  </si>
  <si>
    <t>A measurement of the insulin-like growth factor binding protein 3 in a biological specimen.</t>
  </si>
  <si>
    <t>Insulin-Like Growth Factor Binding Protein 3 Measurement</t>
  </si>
  <si>
    <t>C165969</t>
  </si>
  <si>
    <t>IGFBP7</t>
  </si>
  <si>
    <t>Insulin-Like Growth Factor Binding Prot7</t>
  </si>
  <si>
    <t>AGM; FSTL2; IBP-7; IGFBP-7; IGFBP-7v; IGFBPRP1; Insulin-Like Growth Factor Binding Prot7; Insulin-like Growth Factor Binding Protein 7; MAC25; PSF; RAMSVPS; TAF</t>
  </si>
  <si>
    <t>A measurement of the insulin-like growth factor binding protein 7 in a biological specimen.</t>
  </si>
  <si>
    <t>Insulin-Like Growth Factor Binding Protein 7 Measurement</t>
  </si>
  <si>
    <t>C81971</t>
  </si>
  <si>
    <t>IGG</t>
  </si>
  <si>
    <t>Immunoglobulin G</t>
  </si>
  <si>
    <t>A measurement of the total immunoglobulin G in a biological specimen.</t>
  </si>
  <si>
    <t>Immunoglobulin G Measurement</t>
  </si>
  <si>
    <t>C122127</t>
  </si>
  <si>
    <t>IGG1</t>
  </si>
  <si>
    <t>Immunoglobulin G Subclass 1</t>
  </si>
  <si>
    <t>A measurement of the immunoglobulin G subclass 1 in a biological specimen.</t>
  </si>
  <si>
    <t>Immunoglobulin G Subclass 1 Measurement</t>
  </si>
  <si>
    <t>C122128</t>
  </si>
  <si>
    <t>IGG2</t>
  </si>
  <si>
    <t>Immunoglobulin G Subclass 2</t>
  </si>
  <si>
    <t>A measurement of the immunoglobulin G subclass 2 in a biological specimen.</t>
  </si>
  <si>
    <t>Immunoglobulin G Subclass 2 Measurement</t>
  </si>
  <si>
    <t>C122129</t>
  </si>
  <si>
    <t>IGG3</t>
  </si>
  <si>
    <t>Immunoglobulin G Subclass 3</t>
  </si>
  <si>
    <t>A measurement of the immunoglobulin G subclass 3 in a biological specimen.</t>
  </si>
  <si>
    <t>Immunoglobulin G Subclass 3 Measurement</t>
  </si>
  <si>
    <t>C122130</t>
  </si>
  <si>
    <t>IGG4</t>
  </si>
  <si>
    <t>Immunoglobulin G Subclass 4</t>
  </si>
  <si>
    <t>A measurement of the immunoglobulin G subclass 4 in a biological specimen.</t>
  </si>
  <si>
    <t>Immunoglobulin G Subclass 4 Measurement</t>
  </si>
  <si>
    <t>C147372</t>
  </si>
  <si>
    <t>IGGALB</t>
  </si>
  <si>
    <t>Immunoglobulin G/Albumin</t>
  </si>
  <si>
    <t>IgG/Albumin; Immunoglobulin G/Albumin</t>
  </si>
  <si>
    <t>A relative measurement (ratio or percentage) of the immunoglobulin G to albumin in a biological specimen.</t>
  </si>
  <si>
    <t>Immunoglobulin G to Albumin Ratio Measurement</t>
  </si>
  <si>
    <t>C147373</t>
  </si>
  <si>
    <t>IGGC</t>
  </si>
  <si>
    <t>IgG Clearance</t>
  </si>
  <si>
    <t>A measurement of the IgG clearance in a biological specimen.</t>
  </si>
  <si>
    <t>C147374</t>
  </si>
  <si>
    <t>IGGCALBC</t>
  </si>
  <si>
    <t>IgG Clearance/Albumin Clearance</t>
  </si>
  <si>
    <t>A relative measurement (ratio) of the IgG clearance to albumin clearance in a biological specimen.</t>
  </si>
  <si>
    <t>IgG Clearance to Albumin Clearance Ratio Measurement</t>
  </si>
  <si>
    <t>C119285</t>
  </si>
  <si>
    <t>IGGCREAT</t>
  </si>
  <si>
    <t>Immunoglobulin G/Creatinine</t>
  </si>
  <si>
    <t>A relative measurement (ratio or percentage) of the immunoglobulin G to creatinine in a biological specimen.</t>
  </si>
  <si>
    <t>Immunoglobulin G to Creatinine Ratio Measurement</t>
  </si>
  <si>
    <t>C147375</t>
  </si>
  <si>
    <t>IGGSYNRT</t>
  </si>
  <si>
    <t>IgG Synthesis Rate</t>
  </si>
  <si>
    <t>A measurement of the IgG synthesis rate in a biological specimen.</t>
  </si>
  <si>
    <t>C154737</t>
  </si>
  <si>
    <t>IGHG2</t>
  </si>
  <si>
    <t>Immunoglobulin Heavy Constant Gamma 2</t>
  </si>
  <si>
    <t>A measurement of the immunoglobulin heavy constant gamma 2 in a biological specimen.</t>
  </si>
  <si>
    <t>Immunoglobulin Heavy Constant Gamma 2 Measurement</t>
  </si>
  <si>
    <t>C154738</t>
  </si>
  <si>
    <t>IGHG4</t>
  </si>
  <si>
    <t>Immunoglobulin Heavy Constant Gamma 4</t>
  </si>
  <si>
    <t>A measurement of the immunoglobulin heavy constant gamma 4 in a biological specimen.</t>
  </si>
  <si>
    <t>Immunoglobulin Heavy Constant Gamma 4 Measurement</t>
  </si>
  <si>
    <t>C81972</t>
  </si>
  <si>
    <t>IGM</t>
  </si>
  <si>
    <t>Immunoglobulin M</t>
  </si>
  <si>
    <t>A measurement of the total immunoglobulin M in a biological specimen.</t>
  </si>
  <si>
    <t>Immunoglobulin M Measurement</t>
  </si>
  <si>
    <t>C117835</t>
  </si>
  <si>
    <t>IGSOL</t>
  </si>
  <si>
    <t>Soluble Immunoglobulin</t>
  </si>
  <si>
    <t>A measurement of the soluble total immunoglobulin in a biological specimen.</t>
  </si>
  <si>
    <t>Soluble Immunoglobulin Measurement</t>
  </si>
  <si>
    <t>C128970</t>
  </si>
  <si>
    <t>IL122340</t>
  </si>
  <si>
    <t>Interleukin 12+23 p40</t>
  </si>
  <si>
    <t>A measurement of the p40 subunit of the interleukins 12 and 23 in a biological specimen.</t>
  </si>
  <si>
    <t>Interleukin 12+23 p40 Measurement</t>
  </si>
  <si>
    <t>C172513</t>
  </si>
  <si>
    <t>IL18BP</t>
  </si>
  <si>
    <t>Interleukin 18 Binding Protein</t>
  </si>
  <si>
    <t>A measurement of the interleukin 18 binding protein in a biological specimen.</t>
  </si>
  <si>
    <t>Interleukin 18 Binding Protein Measurement</t>
  </si>
  <si>
    <t>C156519</t>
  </si>
  <si>
    <t>IL18EXR</t>
  </si>
  <si>
    <t>Interleukin 18 Excretion Rate</t>
  </si>
  <si>
    <t>A measurement of the amount of interleukin 18 being excreted in a biological specimen over a defined period of time (e.g. one hour).</t>
  </si>
  <si>
    <t>C156518</t>
  </si>
  <si>
    <t>IL1EXR</t>
  </si>
  <si>
    <t>Interleukin 1 Excretion Rate</t>
  </si>
  <si>
    <t>A measurement of the amount of interleukin 1 being excreted in a biological specimen over a defined period of time (e.g. one hour).</t>
  </si>
  <si>
    <t>C165970</t>
  </si>
  <si>
    <t>IL1R2</t>
  </si>
  <si>
    <t>Interleukin 1 Receptor Type 2</t>
  </si>
  <si>
    <t>CDw121b; IL-1R-2; IL-1RT2; IL1R2c; IL1RB; Interleukin 1 Receptor Type 2; Soluble CD121b</t>
  </si>
  <si>
    <t>A measurement of the interleukin 1 receptor type 2 in a biological specimen.</t>
  </si>
  <si>
    <t>Interleukin 1 Receptor Type 2 Measurement</t>
  </si>
  <si>
    <t>C142281</t>
  </si>
  <si>
    <t>IL1RL1</t>
  </si>
  <si>
    <t>Interleukin 1 Receptor-Like 1</t>
  </si>
  <si>
    <t>Interleukin 1 Receptor-Like 1; Protein ST2; sST2</t>
  </si>
  <si>
    <t>A measurement of the interleukin 1 receptor-like 1 in a biological specimen.</t>
  </si>
  <si>
    <t>Interleukin 1 Receptor-Like 1 Measurement</t>
  </si>
  <si>
    <t>C117836</t>
  </si>
  <si>
    <t>IL1SR1</t>
  </si>
  <si>
    <t>Soluble Interleukin-1 Receptor Type I</t>
  </si>
  <si>
    <t>A measurement of the soluble interleukin-1 receptor type I in a biological specimen.</t>
  </si>
  <si>
    <t>Soluble Interleukin-1 Receptor Type I Measurement</t>
  </si>
  <si>
    <t>C209600</t>
  </si>
  <si>
    <t>IL28B</t>
  </si>
  <si>
    <t>Interleukin 28B</t>
  </si>
  <si>
    <t>IFN-Lambda 3; Interleukin 28B</t>
  </si>
  <si>
    <t>A measurement of the interleukin 28B in a biological specimen.</t>
  </si>
  <si>
    <t>Interleukin 28B Measurement</t>
  </si>
  <si>
    <t>C158147</t>
  </si>
  <si>
    <t>IL2R</t>
  </si>
  <si>
    <t>Interleukin 2 Receptor</t>
  </si>
  <si>
    <t>A measurement of the interleukin 2 receptor in a biological specimen.</t>
  </si>
  <si>
    <t>Interleukin 2 Receptor Measurement</t>
  </si>
  <si>
    <t>C142282</t>
  </si>
  <si>
    <t>IL2RA</t>
  </si>
  <si>
    <t>Interleukin 2 Receptor Subunit Alpha</t>
  </si>
  <si>
    <t>IL-2Ra; Interleukin 2 Receptor Subunit Alpha; sCD25; Soluble CD25</t>
  </si>
  <si>
    <t>A measurement of the interleukin 2 receptor subunit alpha in a biological specimen.</t>
  </si>
  <si>
    <t>Interleukin 2 Receptor Subunit Alpha Measurement</t>
  </si>
  <si>
    <t>C142283</t>
  </si>
  <si>
    <t>IL2RB</t>
  </si>
  <si>
    <t>Interleukin 2 Receptor Subunit Beta</t>
  </si>
  <si>
    <t>IL-2Rb; Interleukin 2 Receptor Subunit Beta</t>
  </si>
  <si>
    <t>A measurement of the interleukin 2 receptor subunit beta in a biological specimen.</t>
  </si>
  <si>
    <t>Interleukin 2 Receptor Subunit Beta Measurement</t>
  </si>
  <si>
    <t>C158220</t>
  </si>
  <si>
    <t>IL2SR</t>
  </si>
  <si>
    <t>Soluble Interleukin 2 Receptor</t>
  </si>
  <si>
    <t>A measurement of the soluble interleukin 2 receptor (including all subunits) in a biological specimen.</t>
  </si>
  <si>
    <t>Soluble Interleukin 2 Receptor Measurement</t>
  </si>
  <si>
    <t>C117837</t>
  </si>
  <si>
    <t>IL6SR</t>
  </si>
  <si>
    <t>Soluble Interleukin 6 Receptor</t>
  </si>
  <si>
    <t>A measurement of the soluble interleukin 6 receptor in a biological specimen.</t>
  </si>
  <si>
    <t>Soluble Interleukin 6 Receptor Measurement</t>
  </si>
  <si>
    <t>C103410</t>
  </si>
  <si>
    <t>ILE</t>
  </si>
  <si>
    <t>Isoleucine</t>
  </si>
  <si>
    <t>A measurement of the isoleucine in a biological specimen.</t>
  </si>
  <si>
    <t>Isoleucine Measurement</t>
  </si>
  <si>
    <t>C177984</t>
  </si>
  <si>
    <t>ILOPRDN</t>
  </si>
  <si>
    <t>Iloperidone</t>
  </si>
  <si>
    <t>A measurement of the iloperidone in a biological specimen.</t>
  </si>
  <si>
    <t>Iloperidone Measurement</t>
  </si>
  <si>
    <t>C221658</t>
  </si>
  <si>
    <t>IMCLNPV</t>
  </si>
  <si>
    <t>IMCL Norm for Phantom Volume</t>
  </si>
  <si>
    <t>IMCL Norm for Phantom Volume; IMCL Normalized for Phantom Volume</t>
  </si>
  <si>
    <t>A measurement of intramyocellular lipid normalized for imaging phantom volume, in a biological specimen.</t>
  </si>
  <si>
    <t>Intramyocellular Lipid Normalized for Phantom Volume Measurement</t>
  </si>
  <si>
    <t>C221660</t>
  </si>
  <si>
    <t>IMCLNTW</t>
  </si>
  <si>
    <t>IMCL Norm for Tissue Weight</t>
  </si>
  <si>
    <t>IMCL Norm for Tissue Weight; IMCL Normalized for Tissue Weight; Intramyocellular Lipid Normalized for Tissue Weight</t>
  </si>
  <si>
    <t>A measurement of intramyocellular lipid normalized for tissue weight, in a biological specimen.</t>
  </si>
  <si>
    <t>Intramyocellular Lipid Normalized for Tissue Weight Measurement</t>
  </si>
  <si>
    <t>C221659</t>
  </si>
  <si>
    <t>IMCLNTWV</t>
  </si>
  <si>
    <t>IMCL Norm for Tissue Water Volume</t>
  </si>
  <si>
    <t>IMCL Norm for Tissue Water Volume; IMCL Normalized for Tissue Water Volume; Intramyocellular Lipid Normalized for Tissue Water Volume</t>
  </si>
  <si>
    <t>A measurement of intramyocellular lipid normalized for tissue water volume, in a biological specimen.</t>
  </si>
  <si>
    <t>Intramyocellular Lipid Normalized for Tissue Water Volume Measurement</t>
  </si>
  <si>
    <t>C186071</t>
  </si>
  <si>
    <t>IMIPRMN</t>
  </si>
  <si>
    <t>Imipramine</t>
  </si>
  <si>
    <t>A measurement of the imipramine in a biological specimen.</t>
  </si>
  <si>
    <t>Imipramine Measurement</t>
  </si>
  <si>
    <t>C81869</t>
  </si>
  <si>
    <t>IMMGLB</t>
  </si>
  <si>
    <t>Immunoglobulin</t>
  </si>
  <si>
    <t>A measurement of the total immunoglobulin in a biological specimen.</t>
  </si>
  <si>
    <t>Immunoglobulin Measurement</t>
  </si>
  <si>
    <t>C147376</t>
  </si>
  <si>
    <t>IMMGLC</t>
  </si>
  <si>
    <t>Immunoglobulin Light Chains</t>
  </si>
  <si>
    <t>A measurement of the total immunoglobulin (kappa and lambda) light chains in a biological specimen.</t>
  </si>
  <si>
    <t>Immunoglobulin Light Chain Measurement</t>
  </si>
  <si>
    <t>C156517</t>
  </si>
  <si>
    <t>IMMGLCFR</t>
  </si>
  <si>
    <t>Immunoglobulin Light Chains, Free</t>
  </si>
  <si>
    <t>A measurement of the total free immunoglobulin (kappa and lambda) light chains in a biological specimen.</t>
  </si>
  <si>
    <t>Free Immunoglobulin Light Chain Measurement</t>
  </si>
  <si>
    <t>C221651</t>
  </si>
  <si>
    <t>IMNCEINL</t>
  </si>
  <si>
    <t>Immune Cell Infiltration</t>
  </si>
  <si>
    <t>Immune Cell Infiltrate; Immune Cell Infiltration</t>
  </si>
  <si>
    <t>An evaluation of the immune cell infiltration in a biological specimen.</t>
  </si>
  <si>
    <t>Immune Cell Infiltration Assessment</t>
  </si>
  <si>
    <t>C156588</t>
  </si>
  <si>
    <t>INABOIND</t>
  </si>
  <si>
    <t>Induced Abortion Indicator</t>
  </si>
  <si>
    <t>An indication as to whether the female subject has ever had an induced abortion procedure.</t>
  </si>
  <si>
    <t>C120835</t>
  </si>
  <si>
    <t>INABORTN</t>
  </si>
  <si>
    <t>Number of Induced Abortions</t>
  </si>
  <si>
    <t>A measurement of the total number of induced abortions experienced by a female subject.</t>
  </si>
  <si>
    <t>C116184</t>
  </si>
  <si>
    <t>INCLBOD</t>
  </si>
  <si>
    <t>Inclusion Bodies</t>
  </si>
  <si>
    <t>A measurement of the inclusion bodies in a biological specimen.</t>
  </si>
  <si>
    <t>Inclusion Body Measurement</t>
  </si>
  <si>
    <t>C161375</t>
  </si>
  <si>
    <t>INCLBRBC</t>
  </si>
  <si>
    <t>Erythrocyte Inclusion Bodies</t>
  </si>
  <si>
    <t>A measurement of the erythrocyte inclusion bodies in a biological specimen.</t>
  </si>
  <si>
    <t>Erythrocyte Inclusion Bodies Measurement</t>
  </si>
  <si>
    <t>C154890</t>
  </si>
  <si>
    <t>INCMLVL</t>
  </si>
  <si>
    <t>Income Level</t>
  </si>
  <si>
    <t>An indication of the position on a scale measuring revenue or monetary support.</t>
  </si>
  <si>
    <t>C112038</t>
  </si>
  <si>
    <t>INDIC</t>
  </si>
  <si>
    <t>Trial Disease/Condition Indication</t>
  </si>
  <si>
    <t>Indication for Use; Trial Disease/Condition Indication; Trial Disease/Condition Indication Description</t>
  </si>
  <si>
    <t>A narrative representation of the condition, disease or disorder that the clinical trial is intended to investigate or address.</t>
  </si>
  <si>
    <t>Trial Indication</t>
  </si>
  <si>
    <t>C82044</t>
  </si>
  <si>
    <t>INDICAN</t>
  </si>
  <si>
    <t>Indican</t>
  </si>
  <si>
    <t>A measurement of the indican present in a biological specimen.</t>
  </si>
  <si>
    <t>Indican Measurement</t>
  </si>
  <si>
    <t>C139254</t>
  </si>
  <si>
    <t>INERTANC</t>
  </si>
  <si>
    <t>Inertance</t>
  </si>
  <si>
    <t>The measure of the force of the column of air in the conducting airways.</t>
  </si>
  <si>
    <t>Pulmonary Inertance</t>
  </si>
  <si>
    <t>C187857</t>
  </si>
  <si>
    <t>INFA</t>
  </si>
  <si>
    <t>Influenza A Virus</t>
  </si>
  <si>
    <t>A measurement of the Influenza A virus an biological specimen.</t>
  </si>
  <si>
    <t>Influenza A Virus Measurement</t>
  </si>
  <si>
    <t>C120677</t>
  </si>
  <si>
    <t>INFAAG</t>
  </si>
  <si>
    <t>Influenza A Antigen</t>
  </si>
  <si>
    <t>A measurement of the influenza A antigen in a biological specimen.</t>
  </si>
  <si>
    <t>Influenza A Antigen Measurement</t>
  </si>
  <si>
    <t>C184674</t>
  </si>
  <si>
    <t>INFAB</t>
  </si>
  <si>
    <t>Influenza A/B Virus</t>
  </si>
  <si>
    <t>A measurement of the influenza A and/or B virus in a biological specimen.</t>
  </si>
  <si>
    <t>Influenza A/B Virus Measurement</t>
  </si>
  <si>
    <t>C120678</t>
  </si>
  <si>
    <t>INFABAG</t>
  </si>
  <si>
    <t>Influenza A/B Antigen</t>
  </si>
  <si>
    <t>A measurement of the influenza A and/or B antigen in a biological specimen.</t>
  </si>
  <si>
    <t>Influenza A/B Antigen Measurement</t>
  </si>
  <si>
    <t>C199933</t>
  </si>
  <si>
    <t>INFABRNA</t>
  </si>
  <si>
    <t>Influenza A/B RNA</t>
  </si>
  <si>
    <t>A measurement of the influenza A and/or B RNA in a biological specimen.</t>
  </si>
  <si>
    <t>Influenza A and/or B RNA Measurement</t>
  </si>
  <si>
    <t>C199931</t>
  </si>
  <si>
    <t>INFAH1NC</t>
  </si>
  <si>
    <t>Influenza A H1 Nucleic Acid</t>
  </si>
  <si>
    <t>A measurement of the Influenza A virus subtype hemagglutinin (HA) 1 nucleic acid in an biological specimen.</t>
  </si>
  <si>
    <t>Influenza A H1 Nucleic Acid Measurement</t>
  </si>
  <si>
    <t>C199958</t>
  </si>
  <si>
    <t>INFAH1RN</t>
  </si>
  <si>
    <t>Influenza A H1 RNA</t>
  </si>
  <si>
    <t>A measurement of the Influenza A virus subtype hemagglutinin (HA) 1 RNA in an biological specimen.</t>
  </si>
  <si>
    <t>Influenza A H1 RNA Measurement</t>
  </si>
  <si>
    <t>C199932</t>
  </si>
  <si>
    <t>INFAH3NC</t>
  </si>
  <si>
    <t>Influenza A H3 Nucleic Acid</t>
  </si>
  <si>
    <t>A measurement of the Influenza A virus subtype hemagglutinin (HA) 3 nucleic acid in an biological specimen.</t>
  </si>
  <si>
    <t>Influenza A H3 Nucleic Acid Measurement</t>
  </si>
  <si>
    <t>C199959</t>
  </si>
  <si>
    <t>INFAH3RN</t>
  </si>
  <si>
    <t>Influenza A H3 RNA</t>
  </si>
  <si>
    <t>A measurement of the Influenza A virus subtype hemagglutinin (HA) 3 RNA in an biological specimen.</t>
  </si>
  <si>
    <t>Influenza A H3 RNA Measurement</t>
  </si>
  <si>
    <t>C198325</t>
  </si>
  <si>
    <t>INFANUAC</t>
  </si>
  <si>
    <t>Influenza A Nucleic Acid</t>
  </si>
  <si>
    <t>A measurement of the Influenza A virus nucleic acid in an biological specimen.</t>
  </si>
  <si>
    <t>Influenza A Nucleic Acid Measurement</t>
  </si>
  <si>
    <t>C191317</t>
  </si>
  <si>
    <t>INFARNA</t>
  </si>
  <si>
    <t>Influenza A RNA</t>
  </si>
  <si>
    <t>A measurement of the Influenza A virus RNA in a biological specimen.</t>
  </si>
  <si>
    <t>Influenza A RNA Measurement</t>
  </si>
  <si>
    <t>C187858</t>
  </si>
  <si>
    <t>INFB</t>
  </si>
  <si>
    <t>Influenza B Virus</t>
  </si>
  <si>
    <t>A measurement of the Influenza B virus an biological specimen.</t>
  </si>
  <si>
    <t>Influenza B Virus Measurement</t>
  </si>
  <si>
    <t>C120679</t>
  </si>
  <si>
    <t>INFBAG</t>
  </si>
  <si>
    <t>Influenza B Antigen</t>
  </si>
  <si>
    <t>A measurement of the influenza B antigen in a biological specimen.</t>
  </si>
  <si>
    <t>Influenza B Antigen Measurement</t>
  </si>
  <si>
    <t>C198326</t>
  </si>
  <si>
    <t>INFBNUAC</t>
  </si>
  <si>
    <t>Influenza B Nucleic Acid</t>
  </si>
  <si>
    <t>A measurement of the Influenza B virus nucleic acid in an biological specimen.</t>
  </si>
  <si>
    <t>Influenza B Nucleic Acid Measurement</t>
  </si>
  <si>
    <t>C191318</t>
  </si>
  <si>
    <t>INFBRNA</t>
  </si>
  <si>
    <t>Influenza B RNA</t>
  </si>
  <si>
    <t>A measurement of the Influenza B virus RNA in a biological specimen.</t>
  </si>
  <si>
    <t>Influenza B RNA Measurement</t>
  </si>
  <si>
    <t>C171512</t>
  </si>
  <si>
    <t>INFLTIND</t>
  </si>
  <si>
    <t>Infiltrates Indicator</t>
  </si>
  <si>
    <t>An indication as to whether infiltrates have occurred.</t>
  </si>
  <si>
    <t>C176287</t>
  </si>
  <si>
    <t>INFOSCOD</t>
  </si>
  <si>
    <t>Information Source for Cause of Death</t>
  </si>
  <si>
    <t>The person or authoritative source that provided the cause of death.</t>
  </si>
  <si>
    <t>C204696</t>
  </si>
  <si>
    <t>INFOSCSS</t>
  </si>
  <si>
    <t>Information Source for Survival Status</t>
  </si>
  <si>
    <t>The person or authoritative source that provided the information on survival status.</t>
  </si>
  <si>
    <t>C189356</t>
  </si>
  <si>
    <t>INFRTIND</t>
  </si>
  <si>
    <t>Infertility Indicator</t>
  </si>
  <si>
    <t>An indication as to whether the individual has experienced infertility.</t>
  </si>
  <si>
    <t>C82020</t>
  </si>
  <si>
    <t>INHIBINA</t>
  </si>
  <si>
    <t>Inhibin A</t>
  </si>
  <si>
    <t>A measurement of the inhibin A (a heterodimer of the Inhibin Subunit Alpha and Inhibin Subunit Beta A) in a biological specimen.</t>
  </si>
  <si>
    <t>Inhibin A Measurement</t>
  </si>
  <si>
    <t>C96681</t>
  </si>
  <si>
    <t>INHIBINB</t>
  </si>
  <si>
    <t>Inhibin B</t>
  </si>
  <si>
    <t>A measurement of the inhibin B (a heterodimer of the Inhibin Subunit Alpha and Inhibin Subunit Beta B) in a biological specimen.</t>
  </si>
  <si>
    <t>Inhibin B Measurement</t>
  </si>
  <si>
    <t>C171513</t>
  </si>
  <si>
    <t>INL1YIND</t>
  </si>
  <si>
    <t>Infant Less Than One Year Indicator</t>
  </si>
  <si>
    <t>An indication as to whether the subject is less than one year of age.</t>
  </si>
  <si>
    <t>C98748</t>
  </si>
  <si>
    <t>INLCLR</t>
  </si>
  <si>
    <t>Inulin Clearance</t>
  </si>
  <si>
    <t>A measurement of the volume of serum or plasma that would be cleared of inulin by excretion of urine for a specified unit of time (e.g. one minute).</t>
  </si>
  <si>
    <t>C201449</t>
  </si>
  <si>
    <t>INLNLNUM</t>
  </si>
  <si>
    <t>Number of Involved Lymph Node Levels</t>
  </si>
  <si>
    <t>Number of Involved Lymph Node Levels; Number of Involved Lymph Node Stations; Number of Positive Lymph Node Levels; Number of Positive Lymph Node Stations</t>
  </si>
  <si>
    <t>A measurement of the number of levels of lymph nodes that contain neoplastic cells.</t>
  </si>
  <si>
    <t>C156562</t>
  </si>
  <si>
    <t>INOSM</t>
  </si>
  <si>
    <t>Myo-Inositol</t>
  </si>
  <si>
    <t>mI; Myo-Inositol</t>
  </si>
  <si>
    <t>A measurement of the myo-inositol in a biological specimen.</t>
  </si>
  <si>
    <t>Myo-Inositol Measurement</t>
  </si>
  <si>
    <t>C182274</t>
  </si>
  <si>
    <t>INOSMCTN</t>
  </si>
  <si>
    <t>Myo-Inositol/Creatine</t>
  </si>
  <si>
    <t>A relative measurement (ratio or percentage) of the myo-inositol to creatine in a biological specimen.</t>
  </si>
  <si>
    <t>Myo-inositol/Creatine Ratio</t>
  </si>
  <si>
    <t>C64805</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</si>
  <si>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</si>
  <si>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</si>
  <si>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</si>
  <si>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</si>
  <si>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C116148</t>
  </si>
  <si>
    <t>INRSTIND</t>
  </si>
  <si>
    <t>In-Stent Restenosis Indicator</t>
  </si>
  <si>
    <t>An indication as to whether there is re-narrowing of a stent implanted at a lesion site to treat a prior stenosis, to a diameter stenosis of greater than 50% within the stent.</t>
  </si>
  <si>
    <t>C147377</t>
  </si>
  <si>
    <t>INSLNFR</t>
  </si>
  <si>
    <t>Insulin, Free</t>
  </si>
  <si>
    <t>A measurement of the free insulin in a biological specimen.</t>
  </si>
  <si>
    <t>Free Insulin Measurement</t>
  </si>
  <si>
    <t>C74788</t>
  </si>
  <si>
    <t>INSULIN</t>
  </si>
  <si>
    <t>Insulin</t>
  </si>
  <si>
    <t>A measurement of the insulin in a biological specimen.</t>
  </si>
  <si>
    <t>Insulin Measurement</t>
  </si>
  <si>
    <t>C186072</t>
  </si>
  <si>
    <t>INSULINI</t>
  </si>
  <si>
    <t>Insulin, Intact</t>
  </si>
  <si>
    <t>A measurement of the intact insulin in a biological specimen.</t>
  </si>
  <si>
    <t>Intact Insulin Measurement</t>
  </si>
  <si>
    <t>C123458</t>
  </si>
  <si>
    <t>INSULINR</t>
  </si>
  <si>
    <t>Insulin Resistance</t>
  </si>
  <si>
    <t>A measurement of the insulin resistance (a cell's inability to respond to insulin) in a biological specimen.</t>
  </si>
  <si>
    <t>Insulin Resistance Measurement</t>
  </si>
  <si>
    <t>C123459</t>
  </si>
  <si>
    <t>INSULINS</t>
  </si>
  <si>
    <t>Insulin Sensitivity</t>
  </si>
  <si>
    <t>A measurement of the insulin sensitivity (cells are stimulated by lower than normal insulin levels) in a biological specimen.</t>
  </si>
  <si>
    <t>Insulin Sensitivity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</si>
  <si>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</si>
  <si>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</si>
  <si>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</si>
  <si>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</si>
  <si>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</si>
  <si>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</si>
  <si>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</si>
  <si>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</si>
  <si>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</si>
  <si>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</si>
  <si>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</si>
  <si>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</si>
  <si>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</si>
  <si>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</si>
  <si>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</si>
  <si>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</si>
  <si>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</si>
  <si>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</si>
  <si>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Interleukin 12; Interleukin 12 p70</t>
  </si>
  <si>
    <t>A measurement of the interleukin 12 in a biological specimen.</t>
  </si>
  <si>
    <t>Interleukin 12 Measurement</t>
  </si>
  <si>
    <t>C127623</t>
  </si>
  <si>
    <t>INTLK12B</t>
  </si>
  <si>
    <t>Interleukin 12 Beta</t>
  </si>
  <si>
    <t>Interleukin 12 Beta; Interleukin 12 Beta Subunit; Interleukin 12 p40; Interleukin 12 p40 Subunit</t>
  </si>
  <si>
    <t>A measurement of p40 subunit of Interleukin 12 in a biological specimen.</t>
  </si>
  <si>
    <t>Interleukin 12 Beta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</si>
  <si>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</si>
  <si>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</si>
  <si>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</si>
  <si>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</si>
  <si>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</si>
  <si>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</si>
  <si>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</si>
  <si>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</si>
  <si>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</si>
  <si>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</si>
  <si>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</si>
  <si>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</si>
  <si>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</si>
  <si>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</si>
  <si>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</si>
  <si>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</si>
  <si>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</si>
  <si>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</si>
  <si>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</si>
  <si>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</si>
  <si>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</si>
  <si>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</si>
  <si>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</si>
  <si>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IL-17A; Interleukin 17; Interleukin 17A</t>
  </si>
  <si>
    <t>A measurement of the interleukin 17 in a biological specimen.</t>
  </si>
  <si>
    <t>Interleukin 17 Measurement</t>
  </si>
  <si>
    <t>C214675</t>
  </si>
  <si>
    <t>INTLK17C</t>
  </si>
  <si>
    <t>Interleukin 17C</t>
  </si>
  <si>
    <t>CX2; Cytokine CX2; IL-17C; Interleukin 17C</t>
  </si>
  <si>
    <t>A measurement of the interleukin 17C in a biological specimen.</t>
  </si>
  <si>
    <t>Interleukin 17C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</si>
  <si>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</si>
  <si>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</si>
  <si>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</si>
  <si>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</si>
  <si>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</si>
  <si>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</si>
  <si>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</si>
  <si>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</si>
  <si>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</si>
  <si>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</si>
  <si>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C122131</t>
  </si>
  <si>
    <t>INTLK1A</t>
  </si>
  <si>
    <t>Interleukin 1 Alpha</t>
  </si>
  <si>
    <t>A measurement of interleukin 1 alpha in a biological specimen.</t>
  </si>
  <si>
    <t>Interleukin 1 Alpha Measurement</t>
  </si>
  <si>
    <t>C112323</t>
  </si>
  <si>
    <t>INTLK1B</t>
  </si>
  <si>
    <t>Interleukin 1 Beta</t>
  </si>
  <si>
    <t>IL-1B; IL1Beta; Interleukin 1 Beta; Interleukin 1B</t>
  </si>
  <si>
    <t>A measurement of interleukin 1 beta in a biological specimen.</t>
  </si>
  <si>
    <t>Interleukin 1 Beta Measurement</t>
  </si>
  <si>
    <t>C112324</t>
  </si>
  <si>
    <t>INTLK1RA</t>
  </si>
  <si>
    <t>Interleukin 1 Receptor Antagonist</t>
  </si>
  <si>
    <t>IL-1RA; Interleukin 1 Receptor Antagonist</t>
  </si>
  <si>
    <t>A measurement of the interleukin 1 receptor antagonist in a biological specimen.</t>
  </si>
  <si>
    <t>Interleukin 1 Receptor Antagonist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</si>
  <si>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</si>
  <si>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</si>
  <si>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</si>
  <si>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</si>
  <si>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</si>
  <si>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</si>
  <si>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</si>
  <si>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</si>
  <si>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</si>
  <si>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</si>
  <si>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</si>
  <si>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</si>
  <si>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</si>
  <si>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</si>
  <si>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</si>
  <si>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</si>
  <si>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</si>
  <si>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</si>
  <si>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</si>
  <si>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</si>
  <si>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</si>
  <si>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</si>
  <si>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</si>
  <si>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Interleukin 23; Interleukin 23 p59</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</si>
  <si>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</si>
  <si>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</si>
  <si>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</si>
  <si>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</si>
  <si>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</si>
  <si>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</si>
  <si>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</si>
  <si>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</si>
  <si>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</si>
  <si>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</si>
  <si>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</si>
  <si>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</si>
  <si>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</si>
  <si>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</si>
  <si>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</si>
  <si>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</si>
  <si>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</si>
  <si>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</si>
  <si>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</si>
  <si>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</si>
  <si>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</si>
  <si>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</si>
  <si>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</si>
  <si>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</si>
  <si>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</si>
  <si>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total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</si>
  <si>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</si>
  <si>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</si>
  <si>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</si>
  <si>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</si>
  <si>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</si>
  <si>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</si>
  <si>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</si>
  <si>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</si>
  <si>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</si>
  <si>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</si>
  <si>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</si>
  <si>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</si>
  <si>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</si>
  <si>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</si>
  <si>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</si>
  <si>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</si>
  <si>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</si>
  <si>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</si>
  <si>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</si>
  <si>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</si>
  <si>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</si>
  <si>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</si>
  <si>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</si>
  <si>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</si>
  <si>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</si>
  <si>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</si>
  <si>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</si>
  <si>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</si>
  <si>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</si>
  <si>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</si>
  <si>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</si>
  <si>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</si>
  <si>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</si>
  <si>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</si>
  <si>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</si>
  <si>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</si>
  <si>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</si>
  <si>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</si>
  <si>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</si>
  <si>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</si>
  <si>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</si>
  <si>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</si>
  <si>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</si>
  <si>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</si>
  <si>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</si>
  <si>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</si>
  <si>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</si>
  <si>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</si>
  <si>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</si>
  <si>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</si>
  <si>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</si>
  <si>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</si>
  <si>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</si>
  <si>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</si>
  <si>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Chemokine (C-X-C Motif) Ligand 8; CXCL8; Interleukin 8</t>
  </si>
  <si>
    <t>A measurement of the interleukin 8 in a biological specimen.</t>
  </si>
  <si>
    <t>Interleukin 8 Measurement</t>
  </si>
  <si>
    <t>C74837</t>
  </si>
  <si>
    <t>INTLK9</t>
  </si>
  <si>
    <t>Interleukin 9</t>
  </si>
  <si>
    <t>A measurement of the interleukin 9 in a biological specimen.</t>
  </si>
  <si>
    <t>Interleukin 9 Measurement</t>
  </si>
  <si>
    <t>C135467</t>
  </si>
  <si>
    <t>INTMART</t>
  </si>
  <si>
    <t>Intimal Arteritis</t>
  </si>
  <si>
    <t>An evaluation of intimal arteritis in a biological specimen.</t>
  </si>
  <si>
    <t>Intimal Arteritis Assessment</t>
  </si>
  <si>
    <t>C98746</t>
  </si>
  <si>
    <t>INTMODEL</t>
  </si>
  <si>
    <t>Intervention Model</t>
  </si>
  <si>
    <t>The general design of the strategy for assigning interventions to participants in a clinical study. (clinicaltrials.gov)</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</si>
  <si>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</si>
  <si>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</si>
  <si>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</si>
  <si>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t>
  </si>
  <si>
    <t>C135468</t>
  </si>
  <si>
    <t>INTSFBRO</t>
  </si>
  <si>
    <t>Interstitial Fibrosis</t>
  </si>
  <si>
    <t>An evaluation of interstitial fibrosis in a biological specimen.</t>
  </si>
  <si>
    <t>Interstitial Fibrosis Assessment</t>
  </si>
  <si>
    <t>C98747</t>
  </si>
  <si>
    <t>INTTYPE</t>
  </si>
  <si>
    <t>Intervention Type</t>
  </si>
  <si>
    <t>The kind of product or procedure studied in a trial.</t>
  </si>
  <si>
    <t>C125945</t>
  </si>
  <si>
    <t>INULIN</t>
  </si>
  <si>
    <t>Inulin</t>
  </si>
  <si>
    <t>A measurement of the inulin in a biological specimen.</t>
  </si>
  <si>
    <t>Inulin Measurement</t>
  </si>
  <si>
    <t>C181193</t>
  </si>
  <si>
    <t>IODINE</t>
  </si>
  <si>
    <t>Iodine</t>
  </si>
  <si>
    <t>A measurement of the total iodine in a biological specimen.</t>
  </si>
  <si>
    <t>Iodine Measurement</t>
  </si>
  <si>
    <t>C181445</t>
  </si>
  <si>
    <t>IODINEFR</t>
  </si>
  <si>
    <t>Iodine, Free</t>
  </si>
  <si>
    <t>A measurement of the free (unbound) iodine in a biological specimen.</t>
  </si>
  <si>
    <t>Free Iodine Measurement</t>
  </si>
  <si>
    <t>C100439</t>
  </si>
  <si>
    <t>IOHEXCLR</t>
  </si>
  <si>
    <t>Iohexol Clearance</t>
  </si>
  <si>
    <t>A measurement of the volume of serum or plasma that would be cleared of Iohexol by excretion of urine for a specified unit of time (e.g. one minute).</t>
  </si>
  <si>
    <t>C125946</t>
  </si>
  <si>
    <t>IOHEXOL</t>
  </si>
  <si>
    <t>Iohexol</t>
  </si>
  <si>
    <t>A measurement of iohexol in a biological specimen.</t>
  </si>
  <si>
    <t>Iohexol Measurement</t>
  </si>
  <si>
    <t>C87143</t>
  </si>
  <si>
    <t>IOP</t>
  </si>
  <si>
    <t>Intraocular Pressure</t>
  </si>
  <si>
    <t>The fluid pressure within the eye.</t>
  </si>
  <si>
    <t>C98749</t>
  </si>
  <si>
    <t>IOTCLR</t>
  </si>
  <si>
    <t>Iothalamate Clearance</t>
  </si>
  <si>
    <t>A measurement of the volume of serum or plasma that would be cleared of iothalamate by excretion of urine for a specified unit of time (e.g. one minute).</t>
  </si>
  <si>
    <t>C98750</t>
  </si>
  <si>
    <t>IOTCLRBS</t>
  </si>
  <si>
    <t>Iothalamate Clearance Adjusted for BSA</t>
  </si>
  <si>
    <t>A measurement of the volume of serum or plasma that would be cleared of iothalamate by excretion of urine for a specified unit of time (e.g. one minute), adjusted for body surface area.</t>
  </si>
  <si>
    <t>C102276</t>
  </si>
  <si>
    <t>IRF</t>
  </si>
  <si>
    <t>Immature Reticulocyte Fraction</t>
  </si>
  <si>
    <t>A measurement of the immature reticulocyte fraction present in a biological specimen.</t>
  </si>
  <si>
    <t>Immature Reticulocyte Fraction Measurement</t>
  </si>
  <si>
    <t>C202422</t>
  </si>
  <si>
    <t>IRF4</t>
  </si>
  <si>
    <t>Interferon Regulatory Factor 4</t>
  </si>
  <si>
    <t>Interferon Regulatory Factor 4; Multiple Myeloma Oncogene 1; MUM1</t>
  </si>
  <si>
    <t>A measurement of the interferon regulatory factor 4 protein in a biological specimen.</t>
  </si>
  <si>
    <t>Interferon Regulatory Factor 4 Measurement</t>
  </si>
  <si>
    <t>C74679</t>
  </si>
  <si>
    <t>IRON</t>
  </si>
  <si>
    <t>Iron</t>
  </si>
  <si>
    <t>FE; Iron</t>
  </si>
  <si>
    <t>A measurement of the iron in a biological specimen.</t>
  </si>
  <si>
    <t>Iron Measurement</t>
  </si>
  <si>
    <t>C150819</t>
  </si>
  <si>
    <t>IRONEXR</t>
  </si>
  <si>
    <t>Iron Excretion Rate</t>
  </si>
  <si>
    <t>A measurement of the amount of iron being excreted in a biological specimen over a defined amount of time (e.g. one hour).</t>
  </si>
  <si>
    <t>C189353</t>
  </si>
  <si>
    <t>IRRMPIND</t>
  </si>
  <si>
    <t>Irregular Menstrual Periods Indicator</t>
  </si>
  <si>
    <t>An indication as to whether the individual has experienced irregular menstrual periods.</t>
  </si>
  <si>
    <t>C111237</t>
  </si>
  <si>
    <t>IRV</t>
  </si>
  <si>
    <t>Inspiratory Reserve Volume</t>
  </si>
  <si>
    <t>The maximum volume of air a subject can inhale into the lungs after a tidal inhalation.</t>
  </si>
  <si>
    <t>C112383</t>
  </si>
  <si>
    <t>IRVPP</t>
  </si>
  <si>
    <t>Percent Predicted IRV</t>
  </si>
  <si>
    <t>The maximum volume of air a subject can inhale into the lungs after a tidal inhalation as a proportion of the predicted normal value.</t>
  </si>
  <si>
    <t>Percent Predicted Inspiratory Reserve Volume</t>
  </si>
  <si>
    <t>C163461</t>
  </si>
  <si>
    <t>ISG15</t>
  </si>
  <si>
    <t>Ubiquitin-Like Protein ISG15</t>
  </si>
  <si>
    <t>ISG15 Ubiquitin-Like Modifier; Ubiquitin-Like Protein ISG15</t>
  </si>
  <si>
    <t>A measurement of the ubiquitin-like protein ISG15 in a biological specimen.</t>
  </si>
  <si>
    <t>Ubiquitin-Like Protein ISG15 Measurement</t>
  </si>
  <si>
    <t>C80494</t>
  </si>
  <si>
    <t>ISHMYOP</t>
  </si>
  <si>
    <t>Ischemic Myocardium Percentage</t>
  </si>
  <si>
    <t>The percentage of myocardial tissue which exhibits characteristics of inadequate blood flow (ischemia).</t>
  </si>
  <si>
    <t>C181496</t>
  </si>
  <si>
    <t>ISOMSABD</t>
  </si>
  <si>
    <t>Isometric Muscle Strength, Abduction</t>
  </si>
  <si>
    <t>An assessment of muscle strength that measures the force produced by static muscle contraction during the movement of a body part away from the midline of the body.</t>
  </si>
  <si>
    <t>C181500</t>
  </si>
  <si>
    <t>ISOMSADD</t>
  </si>
  <si>
    <t>Isometric Muscle Strength, Adduction</t>
  </si>
  <si>
    <t>An assessment of muscle strength that measures the force produced by static muscle contraction during the movement of a body part toward the midline of the body.</t>
  </si>
  <si>
    <t>C181497</t>
  </si>
  <si>
    <t>ISOMSDOR</t>
  </si>
  <si>
    <t>Isometric Muscle Strength, Dorsiflexion</t>
  </si>
  <si>
    <t>An assessment of muscle strength that measures the force produced by static muscle contraction during the movement of a body part bending upwards towards the dorsal surface of the body.</t>
  </si>
  <si>
    <t>C181499</t>
  </si>
  <si>
    <t>ISOMSER</t>
  </si>
  <si>
    <t>Isometric Muscle Strength, Extern Rotat</t>
  </si>
  <si>
    <t>Isometric Muscle Strength, Extern Rotat; Isometric Muscle Strength, External Rotation</t>
  </si>
  <si>
    <t>An assessment of muscle strength that measures the force produced by static muscle contraction during the rotational movement of a body part outward, away from the body.</t>
  </si>
  <si>
    <t>Isometric Muscle Strength, External Rotation</t>
  </si>
  <si>
    <t>C139215</t>
  </si>
  <si>
    <t>ISOMSEXT</t>
  </si>
  <si>
    <t>Isometric Muscle Strength, Extension</t>
  </si>
  <si>
    <t>An assessment of muscle strength that measures the force produced by static muscle contraction during the straightening (unbending) movement between body parts. (NCI)</t>
  </si>
  <si>
    <t>C139216</t>
  </si>
  <si>
    <t>ISOMSFL</t>
  </si>
  <si>
    <t>Isometric Muscle Strength, Flexion</t>
  </si>
  <si>
    <t>An assessment of muscle strength that measures the force produced by static muscle contraction during the bending movement between body parts. (NCI)</t>
  </si>
  <si>
    <t>C181498</t>
  </si>
  <si>
    <t>ISOMSIR</t>
  </si>
  <si>
    <t>Isometric Muscle Strength, Intern Rotat</t>
  </si>
  <si>
    <t>Isometric Muscle Strength, Intern Rotat; Isometric Muscle Strength, Internal Rotation</t>
  </si>
  <si>
    <t>An assessment of muscle strength that measures the force produced by static muscle contraction during the rotational movement of a body part inward, toward the body.</t>
  </si>
  <si>
    <t>Isometric Muscle Strength, Internal Rotation</t>
  </si>
  <si>
    <t>C204650</t>
  </si>
  <si>
    <t>ISOPRENE</t>
  </si>
  <si>
    <t>Isoprene</t>
  </si>
  <si>
    <t>A measurement of the isoprene in a specimen.</t>
  </si>
  <si>
    <t>Isoprene Measurement</t>
  </si>
  <si>
    <t>C80180</t>
  </si>
  <si>
    <t>ISOPRF2</t>
  </si>
  <si>
    <t>F2-Isoprostane</t>
  </si>
  <si>
    <t>A measurement of the F2-isoprostane in a biological specimen.</t>
  </si>
  <si>
    <t>F2 Isoprostane Measurement</t>
  </si>
  <si>
    <t>C209687</t>
  </si>
  <si>
    <t>ISXDXIND</t>
  </si>
  <si>
    <t>Intersex Diagnosis Indicator</t>
  </si>
  <si>
    <t>An indication as to whether the participant or subject has been diagnosed as intersex.</t>
  </si>
  <si>
    <t>C202421</t>
  </si>
  <si>
    <t>ITGB3</t>
  </si>
  <si>
    <t>Integrin Subunit Beta 3</t>
  </si>
  <si>
    <t>CD61; GP3A; Integrin Subunit Beta 3; Platelet Glycoprotein IIIa</t>
  </si>
  <si>
    <t>A measurement of the integrin subunit beta 3 in a biological specimen.</t>
  </si>
  <si>
    <t>Integrin Subunit Beta 3 Measurement</t>
  </si>
  <si>
    <t>C199903</t>
  </si>
  <si>
    <t>ITLN1</t>
  </si>
  <si>
    <t>Intelectin-1</t>
  </si>
  <si>
    <t>Endothelial Lectin HL-1; Galactofuranose-Binding Lectin; Intelectin-1; Intestinal Lactoferrin Receptor; ITLN-1; Omentin</t>
  </si>
  <si>
    <t>A measurement of the intelectin-1 in a biological specimen.</t>
  </si>
  <si>
    <t>Intelectin-1 Measurement</t>
  </si>
  <si>
    <t>C124423</t>
  </si>
  <si>
    <t>IVC</t>
  </si>
  <si>
    <t>Inspiratory Vital Capacity</t>
  </si>
  <si>
    <t>The maximum volume of air an individual can inhale from the point of maximal exhalation.</t>
  </si>
  <si>
    <t>C130055</t>
  </si>
  <si>
    <t>IVCCSIND</t>
  </si>
  <si>
    <t>Inferior Vena Cava Collapse Sniff Ind</t>
  </si>
  <si>
    <t>Inferior Vena Cava Collapse Indicator; Inferior Vena Cava Collapse Sniff Ind</t>
  </si>
  <si>
    <t>An indication as to whether inferior vena cava collapse occurred with sniff.</t>
  </si>
  <si>
    <t>Inferior Vena Cava Collapse Due to Sniff Test Indicator</t>
  </si>
  <si>
    <t>C124424</t>
  </si>
  <si>
    <t>IVCPP</t>
  </si>
  <si>
    <t>Percent Predicted IVC</t>
  </si>
  <si>
    <t>The maximum volume of air an individual can inhale from the point of maximal exhalation as a percentage of the predicted normal value.</t>
  </si>
  <si>
    <t>Percent Predicted Inspiratory Vital Capacity</t>
  </si>
  <si>
    <t>C111238</t>
  </si>
  <si>
    <t>IVTIACD</t>
  </si>
  <si>
    <t>Intraventricular-Intraatrial Conduction</t>
  </si>
  <si>
    <t>An electrocardiographic assessment of intraventricular and intra-atrial conduction.</t>
  </si>
  <si>
    <t>Intraventricular and Intraatrial Conduction ECG Assessment</t>
  </si>
  <si>
    <t>C199960</t>
  </si>
  <si>
    <t>JCV</t>
  </si>
  <si>
    <t>JC Virus</t>
  </si>
  <si>
    <t>JC Polyomavirus; JC Virus; John Cunningham Virus</t>
  </si>
  <si>
    <t>A measurement of the JC virus in a biological specimen.</t>
  </si>
  <si>
    <t>JC Virus Measurement</t>
  </si>
  <si>
    <t>C163540</t>
  </si>
  <si>
    <t>JCVDNA</t>
  </si>
  <si>
    <t>JC Virus DNA</t>
  </si>
  <si>
    <t>JC Polyomavirus DNA; JC Virus DNA; JCV DNA; John Cunningham Virus DNA</t>
  </si>
  <si>
    <t>A measurement of the JC virus DNA in a biological specimen.</t>
  </si>
  <si>
    <t>JC Virus DNA Measurement</t>
  </si>
  <si>
    <t>C117762</t>
  </si>
  <si>
    <t>JTAG</t>
  </si>
  <si>
    <t>JT Interval, Aggregate</t>
  </si>
  <si>
    <t>An aggregate JT value based on the measurement of JT intervals from multiple beats within a single ECG. The method of aggregation, which can vary, is typically a measure of central tendency such as the mean.</t>
  </si>
  <si>
    <t>Aggregate JT Interval</t>
  </si>
  <si>
    <t>C117763</t>
  </si>
  <si>
    <t>JTCBAG</t>
  </si>
  <si>
    <t>JTcB Interval, Aggregate</t>
  </si>
  <si>
    <t>A JT aggregate interval that is corrected for heart rate using Bazett's formula, based on the measurement of QT intervals from multiple beats within a single ECG. The method of aggregation, which can vary, is typically a measure of central tendency such a</t>
  </si>
  <si>
    <t>Aggregate JTCB Interval</t>
  </si>
  <si>
    <t>C117764</t>
  </si>
  <si>
    <t>JTCBSB</t>
  </si>
  <si>
    <t>JTcB Interval, Single Beat</t>
  </si>
  <si>
    <t>A JT single beat interval that is corrected for heart rate using Bazett's formula, based on a QT interval measured on a single beat utilizing one or more ECG leads.</t>
  </si>
  <si>
    <t>Single Beat JTCB Interval</t>
  </si>
  <si>
    <t>C117765</t>
  </si>
  <si>
    <t>JTCFAG</t>
  </si>
  <si>
    <t>JTcF Interval, Aggregate</t>
  </si>
  <si>
    <t>A JT aggregate interval that is corrected for heart rate using Fridericia's formula, based on the measurement of QT intervals from multiple beats within a single ECG. The method of aggregation, which can vary, is typically a measure of central tendency su</t>
  </si>
  <si>
    <t>Aggregate JTCF Interval</t>
  </si>
  <si>
    <t>C117766</t>
  </si>
  <si>
    <t>JTCFSB</t>
  </si>
  <si>
    <t>JTcF Interval, Single Beat</t>
  </si>
  <si>
    <t>A JT single beat interval that is corrected for heart rate using Fridericia's formula, based on a QT interval measured on a single beat utilizing one or more ECG leads.</t>
  </si>
  <si>
    <t>Single Beat JTCF Interval</t>
  </si>
  <si>
    <t>C62117</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</si>
  <si>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</si>
  <si>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</si>
  <si>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t>
  </si>
  <si>
    <t>Maximum JT Duration</t>
  </si>
  <si>
    <t>C62116</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</si>
  <si>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</si>
  <si>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</si>
  <si>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t>
  </si>
  <si>
    <t>Minimum JT Duration</t>
  </si>
  <si>
    <t>C117767</t>
  </si>
  <si>
    <t>JTPAG</t>
  </si>
  <si>
    <t>J-Tpeak Interval, Aggregate</t>
  </si>
  <si>
    <t>An aggregate J-Tpeak value based on the measurement of J-Tpeak intervals from multiple beats within a single ECG. The method of aggregation, which can vary, is typically a measure of central tendency such as the mean.</t>
  </si>
  <si>
    <t>Aggregate J-T Peak Interval</t>
  </si>
  <si>
    <t>C117768</t>
  </si>
  <si>
    <t>JTPSB</t>
  </si>
  <si>
    <t>J-Tpeak Interval, Single Beat</t>
  </si>
  <si>
    <t>An electrocardiographic interval measured from the J point to the peak of the T wave of a single beat utilizing one or more leads.</t>
  </si>
  <si>
    <t>Single Beat J-T Peak Interval</t>
  </si>
  <si>
    <t>C117769</t>
  </si>
  <si>
    <t>JTSB</t>
  </si>
  <si>
    <t>JT Interval, Single Beat</t>
  </si>
  <si>
    <t>An electrocardiographic interval measured from the J point to the offset of the T wave of a single beat utilizing one or more leads.</t>
  </si>
  <si>
    <t>Single Beat JT Interval</t>
  </si>
  <si>
    <t>C184542</t>
  </si>
  <si>
    <t>JWH018</t>
  </si>
  <si>
    <t>JWH-018</t>
  </si>
  <si>
    <t>JWH-018; JWH018</t>
  </si>
  <si>
    <t>A measurement of the synthetic cannabinoid JWH-018 in a biological specimen.</t>
  </si>
  <si>
    <t>JWH-018 Measurement</t>
  </si>
  <si>
    <t>C184543</t>
  </si>
  <si>
    <t>JWH073</t>
  </si>
  <si>
    <t>JWH-073</t>
  </si>
  <si>
    <t>JWH-073; JWH073</t>
  </si>
  <si>
    <t>A measurement of the synthetic cannabinoid JWH-073 in a biological specimen.</t>
  </si>
  <si>
    <t>JWH-073 Measurement</t>
  </si>
  <si>
    <t>C184546</t>
  </si>
  <si>
    <t>JWH081</t>
  </si>
  <si>
    <t>JWH-081</t>
  </si>
  <si>
    <t>JWH-081; JWH081</t>
  </si>
  <si>
    <t>A measurement of the synthetic cannabinoid JWH-081 in a biological specimen.</t>
  </si>
  <si>
    <t>JWH-081 Measurement</t>
  </si>
  <si>
    <t>C184547</t>
  </si>
  <si>
    <t>JWH122</t>
  </si>
  <si>
    <t>JWH-122</t>
  </si>
  <si>
    <t>JWH-122; JWH122</t>
  </si>
  <si>
    <t>A measurement of the synthetic cannabinoid JWH-122 in a biological specimen.</t>
  </si>
  <si>
    <t>JWH-122 Measurement</t>
  </si>
  <si>
    <t>C184544</t>
  </si>
  <si>
    <t>JWH200</t>
  </si>
  <si>
    <t>JWH-200</t>
  </si>
  <si>
    <t>JWH-200; JWH200</t>
  </si>
  <si>
    <t>A measurement of the synthetic cannabinoid JWH-200 in a biological specimen.</t>
  </si>
  <si>
    <t>JWH-200 Measurement</t>
  </si>
  <si>
    <t>C184545</t>
  </si>
  <si>
    <t>JWH250</t>
  </si>
  <si>
    <t>JWH-250</t>
  </si>
  <si>
    <t>JWH-250; JWH250</t>
  </si>
  <si>
    <t>A measurement of the synthetic cannabinoid JWH-250 in a biological specimen.</t>
  </si>
  <si>
    <t>JWH-250 Measurement</t>
  </si>
  <si>
    <t>C184548</t>
  </si>
  <si>
    <t>JWH398</t>
  </si>
  <si>
    <t>JWH-398</t>
  </si>
  <si>
    <t>JWH-398; JWH398</t>
  </si>
  <si>
    <t>A measurement of the synthetic cannabinoid JWH-398 in a biological specimen.</t>
  </si>
  <si>
    <t>JWH-398 Measurement</t>
  </si>
  <si>
    <t>C64853</t>
  </si>
  <si>
    <t>K</t>
  </si>
  <si>
    <t>Potassium</t>
  </si>
  <si>
    <t>A measurement of the potassium in a biological specimen.</t>
  </si>
  <si>
    <t>Potassium Measurement</t>
  </si>
  <si>
    <t>C187859</t>
  </si>
  <si>
    <t>KAE</t>
  </si>
  <si>
    <t>Klebsiella aerogenes</t>
  </si>
  <si>
    <t>A measurement of the Klebsiella aerogenes in a biological specimen.</t>
  </si>
  <si>
    <t>Klebsiella aerogenes Measurement</t>
  </si>
  <si>
    <t>C191319</t>
  </si>
  <si>
    <t>KAEDNA</t>
  </si>
  <si>
    <t>Klebsiella aerogenes DNA</t>
  </si>
  <si>
    <t>A measurement of the Klebsiella aerogenes DNA in a biological specimen.</t>
  </si>
  <si>
    <t>Klebsiella aerogenes DNA Measurement</t>
  </si>
  <si>
    <t>C147379</t>
  </si>
  <si>
    <t>KAPPALC</t>
  </si>
  <si>
    <t>Kappa Light Chain</t>
  </si>
  <si>
    <t>A measurement of the total kappa light chains in a biological specimen.</t>
  </si>
  <si>
    <t>Kappa Light Chain Measurement</t>
  </si>
  <si>
    <t>C184549</t>
  </si>
  <si>
    <t>KBEMIDON</t>
  </si>
  <si>
    <t>Ketobemidone</t>
  </si>
  <si>
    <t>A measurement of the ketobemidone in a biological specimen.</t>
  </si>
  <si>
    <t>Ketobemidone Measurement</t>
  </si>
  <si>
    <t>C106560</t>
  </si>
  <si>
    <t>KCLR</t>
  </si>
  <si>
    <t>Potassium Clearance</t>
  </si>
  <si>
    <t>A measurement of the volume of serum or plasma that would be cleared of potassium by excretion of urine for a specified unit of time (e.g. one minute).</t>
  </si>
  <si>
    <t>Potassium Clearance Measurement</t>
  </si>
  <si>
    <t>C79462</t>
  </si>
  <si>
    <t>KCREAT</t>
  </si>
  <si>
    <t>Potassium/Creatinine</t>
  </si>
  <si>
    <t>A relative measurement (ratio or percentage) of the potassium to creatinine in a biological specimen.</t>
  </si>
  <si>
    <t>Potassium to Creatinine Ratio Measurement</t>
  </si>
  <si>
    <t>C172584</t>
  </si>
  <si>
    <t>KDIST</t>
  </si>
  <si>
    <t>K Slope of Distribution</t>
  </si>
  <si>
    <t>The distribution rate constant.</t>
  </si>
  <si>
    <t>C147380</t>
  </si>
  <si>
    <t>KERAT</t>
  </si>
  <si>
    <t>Keratocyte</t>
  </si>
  <si>
    <t>A measurement of the keratocytes in a biological specimen.</t>
  </si>
  <si>
    <t>Keratocyte Count</t>
  </si>
  <si>
    <t>C184587</t>
  </si>
  <si>
    <t>KETAMINE</t>
  </si>
  <si>
    <t>Ketamine</t>
  </si>
  <si>
    <t>A measurement of the ketamine in a biological specimen.</t>
  </si>
  <si>
    <t>Ketamine Measurement</t>
  </si>
  <si>
    <t>C111239</t>
  </si>
  <si>
    <t>KETONEBD</t>
  </si>
  <si>
    <t>Ketone Bodies</t>
  </si>
  <si>
    <t>A measurement of the ketone bodies (acetone, acetoacetic acid, beta-hydroxybutyric acid, beta-ketopentanoate and beta-hydroxypentanoate) in a biological specimen.</t>
  </si>
  <si>
    <t>Ketone Body Measurement</t>
  </si>
  <si>
    <t>C64854</t>
  </si>
  <si>
    <t>KETONES</t>
  </si>
  <si>
    <t>Ketones</t>
  </si>
  <si>
    <t>A measurement of the ketones in a biological specimen.</t>
  </si>
  <si>
    <t>Ketone Measurement</t>
  </si>
  <si>
    <t>C150820</t>
  </si>
  <si>
    <t>KEXR</t>
  </si>
  <si>
    <t>Potassium Excretion Rate</t>
  </si>
  <si>
    <t>A measurement of the amount of potassium being excreted in a biological specimen over a defined amount of time (e.g. one hour).</t>
  </si>
  <si>
    <t>C126062</t>
  </si>
  <si>
    <t>KEYWORD</t>
  </si>
  <si>
    <t>Protocol Keyword</t>
  </si>
  <si>
    <t>A word or small set of words designed to convey the focus of the protocol.</t>
  </si>
  <si>
    <t>C123557</t>
  </si>
  <si>
    <t>KI67</t>
  </si>
  <si>
    <t>Ki-67</t>
  </si>
  <si>
    <t>Ki-67; KI67; MKI67; pKi-67</t>
  </si>
  <si>
    <t>A measurement of the Ki-67 protein in a biological specimen.</t>
  </si>
  <si>
    <t>Ki67 Measurement</t>
  </si>
  <si>
    <t>C100433</t>
  </si>
  <si>
    <t>KIM1</t>
  </si>
  <si>
    <t>Kidney Injury Molecule-1</t>
  </si>
  <si>
    <t>Hepatitis A Virus Cellular Receptor 1; Kidney Injury Molecule-1; KIM-1</t>
  </si>
  <si>
    <t>A measurement of the kidney injury molecule-1 (Kim-1) in a biological specimen.</t>
  </si>
  <si>
    <t>Kidney Injury Molecule-1 Measurement</t>
  </si>
  <si>
    <t>C177955</t>
  </si>
  <si>
    <t>KIM1CRT</t>
  </si>
  <si>
    <t>Kidney Injury Molecule-1/Creatinine</t>
  </si>
  <si>
    <t>A relative measurement (ratio or percentage) of the kidney injury molecule-1 to creatinine in a biological specimen.</t>
  </si>
  <si>
    <t>Kidney Injury Molecule-1/Creatinine Ratio Measurement</t>
  </si>
  <si>
    <t>C163462</t>
  </si>
  <si>
    <t>KIM1EXR</t>
  </si>
  <si>
    <t>Kidney Injury Molecule-1 Excretion Rate</t>
  </si>
  <si>
    <t>A measurement of the amount of kidney injury molecule-1 being excreted in a biological specimen over a defined amount of time (e.g. one hour).</t>
  </si>
  <si>
    <t>C165971</t>
  </si>
  <si>
    <t>KIM1S</t>
  </si>
  <si>
    <t>Soluble Kidney Injury Molecule-1</t>
  </si>
  <si>
    <t>Soluble Hepatitis A Virus Cellular Receptor 1; Soluble Kidney Injury Molecule-1; Soluble KIM-1</t>
  </si>
  <si>
    <t>A measurement of the soluble kidney injury molecule-1 in a biological specimen.</t>
  </si>
  <si>
    <t>Soluble Kidney Injury Molecule-1 Measurement</t>
  </si>
  <si>
    <t>C154724</t>
  </si>
  <si>
    <t>KL6</t>
  </si>
  <si>
    <t>Krebs von den Lungen-6</t>
  </si>
  <si>
    <t>KL-6; Krebs von den Lungen-6 Antigen</t>
  </si>
  <si>
    <t>A measurement of the Krebs von den Lungen-6 in a biological specimen.</t>
  </si>
  <si>
    <t>Krebs von den Lungen-6 Measurement</t>
  </si>
  <si>
    <t>C98730</t>
  </si>
  <si>
    <t>KLCFR</t>
  </si>
  <si>
    <t>Kappa Light Chain, Free</t>
  </si>
  <si>
    <t>Bence-Jones, Kappa; Kappa Light Chain, Free</t>
  </si>
  <si>
    <t>A measurement of the free kappa light chain in a biological specimen.</t>
  </si>
  <si>
    <t>Free Kappa Light Chain Measurement</t>
  </si>
  <si>
    <t>C161351</t>
  </si>
  <si>
    <t>KLCLLC</t>
  </si>
  <si>
    <t>Kappa Light Chain/Lambda Light Chain</t>
  </si>
  <si>
    <t>Kappa Lambda Ratio; Kappa Light Chain/Lambda Light Chain</t>
  </si>
  <si>
    <t>A relative measurement (ratio) of the total kappa light chain to total lambda light chain in a biological specimen.</t>
  </si>
  <si>
    <t>Kappa Light Chain to Lambda Light Chain Ratio Measurement</t>
  </si>
  <si>
    <t>C98731</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</si>
  <si>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</si>
  <si>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</si>
  <si>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</si>
  <si>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</si>
  <si>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C172539</t>
  </si>
  <si>
    <t>KLEBSIEL</t>
  </si>
  <si>
    <t>Klebsiella</t>
  </si>
  <si>
    <t>A measurement of the organisms that are not assigned to the species level but are assigned to the Klebsiella genus level in a biological specimen.</t>
  </si>
  <si>
    <t>Klebsiella Measurement</t>
  </si>
  <si>
    <t>C132374</t>
  </si>
  <si>
    <t>KLK2</t>
  </si>
  <si>
    <t>Kallikrein-2</t>
  </si>
  <si>
    <t>A measurement of the kallikrein-2 in a biological specimen.</t>
  </si>
  <si>
    <t>Kallikrein-2 Measurement</t>
  </si>
  <si>
    <t>C199900</t>
  </si>
  <si>
    <t>KLK5</t>
  </si>
  <si>
    <t>Kallikrein-5</t>
  </si>
  <si>
    <t>Kallikrein Related Peptidase 5; Kallikrein-5; Kallikrein-Like Protein 2; KLK-L2</t>
  </si>
  <si>
    <t>A measurement of the kallikrein-5 in a biological specimen.</t>
  </si>
  <si>
    <t>Kallikrein-5 Measurement</t>
  </si>
  <si>
    <t>C199898</t>
  </si>
  <si>
    <t>KLK7</t>
  </si>
  <si>
    <t>Kallikrein-7</t>
  </si>
  <si>
    <t>Kallikrein Related Peptidase 7; Kallikrein-7; Serine Protease 6</t>
  </si>
  <si>
    <t>A measurement of the kallikrein-7 in a biological specimen.</t>
  </si>
  <si>
    <t>Kallikrein-7 Measurement</t>
  </si>
  <si>
    <t>C127624</t>
  </si>
  <si>
    <t>KLOTHO</t>
  </si>
  <si>
    <t>Klotho</t>
  </si>
  <si>
    <t>A measurement of the total klotho protein in a biological specimen.</t>
  </si>
  <si>
    <t>Klotho Protein Measurement</t>
  </si>
  <si>
    <t>C84372</t>
  </si>
  <si>
    <t>KNEEHEEL</t>
  </si>
  <si>
    <t>Knee to Heel Length</t>
  </si>
  <si>
    <t>A measurement of the length of the lower leg from the top of the knee to the bottom of the heel. This measurement may be taken with a knemometer or calipers. (NCI)</t>
  </si>
  <si>
    <t>Knee to Heel Length Measurement</t>
  </si>
  <si>
    <t>C191321</t>
  </si>
  <si>
    <t>KOX</t>
  </si>
  <si>
    <t>Klebsiella oxytoca</t>
  </si>
  <si>
    <t>A measurement of the Klebsiella oxytoca in a biological specimen.</t>
  </si>
  <si>
    <t>Klebsiella oxytoca Measurement</t>
  </si>
  <si>
    <t>C191320</t>
  </si>
  <si>
    <t>KOXDNA</t>
  </si>
  <si>
    <t>Klebsiella oxytoca DNA</t>
  </si>
  <si>
    <t>A measurement of the Klebsiella oxytoca DNA in a biological specimen.</t>
  </si>
  <si>
    <t>Klebsiella oxytoca DNA Measurement</t>
  </si>
  <si>
    <t>C187860</t>
  </si>
  <si>
    <t>KPN</t>
  </si>
  <si>
    <t>Klebsiella pneumoniae</t>
  </si>
  <si>
    <t>A measurement of the Klebsiella pneumoniae in a biological specimen.</t>
  </si>
  <si>
    <t>Klebsiella pneumoniae Measurement</t>
  </si>
  <si>
    <t>C191322</t>
  </si>
  <si>
    <t>KPNDNA</t>
  </si>
  <si>
    <t>Klebsiella pneumoniae DNA</t>
  </si>
  <si>
    <t>A measurement of the Klebsiella pneumoniae DNA in a biological specimen.</t>
  </si>
  <si>
    <t>Klebsiella pneumoniae DNA Measurement</t>
  </si>
  <si>
    <t>C96688</t>
  </si>
  <si>
    <t>KRCYMG</t>
  </si>
  <si>
    <t>Megakaryocytes</t>
  </si>
  <si>
    <t>A measurement of the megakaryocytes per unit of a biological specimen.</t>
  </si>
  <si>
    <t>Megakaryocyte Count</t>
  </si>
  <si>
    <t>C98867</t>
  </si>
  <si>
    <t>KRCYMGCE</t>
  </si>
  <si>
    <t>Megakaryocytes/Total Cells</t>
  </si>
  <si>
    <t>A relative measurement (ratio or percentage) of the megakaryocytes to total cells in a biological specimen (for example a bone marrow specimen).</t>
  </si>
  <si>
    <t>Megakaryocyte to Total Cell Ratio Measurement</t>
  </si>
  <si>
    <t>C154722</t>
  </si>
  <si>
    <t>KRCYMGLE</t>
  </si>
  <si>
    <t>Megakaryocytes/Leukocytes</t>
  </si>
  <si>
    <t>A relative measurement (ratio or percentage) of the megakaryocytes to leukocytes in a biological specimen.</t>
  </si>
  <si>
    <t>Megakaryocytes to Leukocytes Ratio Measurement</t>
  </si>
  <si>
    <t>C214717</t>
  </si>
  <si>
    <t>KRTNCT</t>
  </si>
  <si>
    <t>Keratinocytes</t>
  </si>
  <si>
    <t>A measurement of the keratinocytes in a biological specimen.</t>
  </si>
  <si>
    <t>Keratinocyte Measurement</t>
  </si>
  <si>
    <t>C186073</t>
  </si>
  <si>
    <t>KTANST11</t>
  </si>
  <si>
    <t>11-Ketoandrosterone</t>
  </si>
  <si>
    <t>A measurement of the 11-ketoandrosterone in a biological specimen.</t>
  </si>
  <si>
    <t>11-Ketoandrosterone Measurement</t>
  </si>
  <si>
    <t>C189519</t>
  </si>
  <si>
    <t>KTBDEXR</t>
  </si>
  <si>
    <t>Ketone Bodies Excretion Rate</t>
  </si>
  <si>
    <t>A measurement of the amount of ketone bodies being excreted in a biological specimen over a defined period of time (e.g. one hour).</t>
  </si>
  <si>
    <t>Ketone Bodies Excretion Rate Measurement</t>
  </si>
  <si>
    <t>C186074</t>
  </si>
  <si>
    <t>KTETCL11</t>
  </si>
  <si>
    <t>11-Ketoetiocholanolone</t>
  </si>
  <si>
    <t>A measurement of the 11-ketoetiocholanolone in a biological specimen.</t>
  </si>
  <si>
    <t>11-Ketoetiocholanolone Measurement</t>
  </si>
  <si>
    <t>C186075</t>
  </si>
  <si>
    <t>KTGSTR17</t>
  </si>
  <si>
    <t>17-Ketogenic steroids</t>
  </si>
  <si>
    <t>A measurement of the total 17-ketogenic steroids in a biological specimen.</t>
  </si>
  <si>
    <t>17-Ketogenic Steroid Measurement</t>
  </si>
  <si>
    <t>C202379</t>
  </si>
  <si>
    <t>KTILE</t>
  </si>
  <si>
    <t>Ketoisoleucine</t>
  </si>
  <si>
    <t>A measurement of the ketoisoleucine in a biological specimen.</t>
  </si>
  <si>
    <t>Ketoisoleucine Measurement</t>
  </si>
  <si>
    <t>C202378</t>
  </si>
  <si>
    <t>KTLEU</t>
  </si>
  <si>
    <t>Ketoleucine</t>
  </si>
  <si>
    <t>A measurement of the ketoleucine in a biological specimen.</t>
  </si>
  <si>
    <t>Ketoleucine Measurement</t>
  </si>
  <si>
    <t>C186076</t>
  </si>
  <si>
    <t>KTSTR17</t>
  </si>
  <si>
    <t>17-Ketosteroids</t>
  </si>
  <si>
    <t>A measurement of the total 17-ketosteroids in a biological specimen.</t>
  </si>
  <si>
    <t>17-Ketosteroid Measurement</t>
  </si>
  <si>
    <t>C202377</t>
  </si>
  <si>
    <t>KTVAL</t>
  </si>
  <si>
    <t>Ketovaline</t>
  </si>
  <si>
    <t>A measurement of the ketovaline in a biological specimen.</t>
  </si>
  <si>
    <t>Ketovaline Measurement</t>
  </si>
  <si>
    <t>C96682</t>
  </si>
  <si>
    <t>KURLOFCE</t>
  </si>
  <si>
    <t>Kurloff Cells</t>
  </si>
  <si>
    <t>A measurement of the large secretory granule-containing immune cells in a biological specimen taken from members of certain genera of the Caviidae family.</t>
  </si>
  <si>
    <t>Kurloff Cells Measurement</t>
  </si>
  <si>
    <t>C221611</t>
  </si>
  <si>
    <t>KVA</t>
  </si>
  <si>
    <t>Klebsiella variicola</t>
  </si>
  <si>
    <t>A measurement of Klebsiella variicola in a biological specimen.</t>
  </si>
  <si>
    <t>Klebsiella variicola Measurement</t>
  </si>
  <si>
    <t>C154740</t>
  </si>
  <si>
    <t>KYNURNN</t>
  </si>
  <si>
    <t>Kynurenine</t>
  </si>
  <si>
    <t>A measurement of the kynurenine in a biological specimen.</t>
  </si>
  <si>
    <t>Kynurenine Measurement</t>
  </si>
  <si>
    <t>C202436</t>
  </si>
  <si>
    <t>LACCTN</t>
  </si>
  <si>
    <t>Lactate/Creatine</t>
  </si>
  <si>
    <t>Lactate/Creatine; Lactic Acid/Creatine</t>
  </si>
  <si>
    <t>A relative measurement (ratio or percentage) of the lactate to creatine in a biological specimen.</t>
  </si>
  <si>
    <t>Lactate to Creatine Ratio Measurement</t>
  </si>
  <si>
    <t>C184641</t>
  </si>
  <si>
    <t>LACOSMD</t>
  </si>
  <si>
    <t>Lacosamide</t>
  </si>
  <si>
    <t>A measurement of the lacosamide in a biological specimen.</t>
  </si>
  <si>
    <t>Lacosamide Measurement</t>
  </si>
  <si>
    <t>C79450</t>
  </si>
  <si>
    <t>LACTICAC</t>
  </si>
  <si>
    <t>Lactic Acid</t>
  </si>
  <si>
    <t>2-hydroxypropanoic acid; Lactate; Lactic Acid</t>
  </si>
  <si>
    <t>A measurement of the lactic acid in a biological specimen.</t>
  </si>
  <si>
    <t>Lactic Acid Measurement</t>
  </si>
  <si>
    <t>C221415</t>
  </si>
  <si>
    <t>LACTOBAC</t>
  </si>
  <si>
    <t>Lactobacillus</t>
  </si>
  <si>
    <t>A measurement of the organisms that are not assigned to the species level but are assigned to the Lactobacillus genus level in a biological specimen.</t>
  </si>
  <si>
    <t>Lactobacillus Measurement</t>
  </si>
  <si>
    <t>C186077</t>
  </si>
  <si>
    <t>LACTOSE</t>
  </si>
  <si>
    <t>Lactose</t>
  </si>
  <si>
    <t>A measurement of the lactose in a biological specimen.</t>
  </si>
  <si>
    <t>Lactose Measurement</t>
  </si>
  <si>
    <t>C154741</t>
  </si>
  <si>
    <t>LACTULOS</t>
  </si>
  <si>
    <t>Lactulose</t>
  </si>
  <si>
    <t>A measurement of the lactulose in a biological specimen.</t>
  </si>
  <si>
    <t>Lactulose Measurement</t>
  </si>
  <si>
    <t>C172504</t>
  </si>
  <si>
    <t>LAG3S</t>
  </si>
  <si>
    <t>Soluble Lymphocyte Activation Gene-3</t>
  </si>
  <si>
    <t>Soluble CD223 Antigen; Soluble LAG-3; Soluble Lymphocyte Activation Gene 3 Protein; Soluble Lymphocyte Activation Gene-3</t>
  </si>
  <si>
    <t>A measurement of the soluble lymphocyte activation gene-3 protein in a biological specimen.</t>
  </si>
  <si>
    <t>Soluble Lymphocyte Activation Gene-3 Measurement</t>
  </si>
  <si>
    <t>C125947</t>
  </si>
  <si>
    <t>LAM</t>
  </si>
  <si>
    <t>Lipoarabinomannan</t>
  </si>
  <si>
    <t>A measurement of the lipoarabinomannan in a biological specimen.</t>
  </si>
  <si>
    <t>Lipoarabinomannan Measurement</t>
  </si>
  <si>
    <t>C191288</t>
  </si>
  <si>
    <t>LAMP2</t>
  </si>
  <si>
    <t>Lysosomal Associated Membrane Protein 2</t>
  </si>
  <si>
    <t>Lysosomal Associated Membrane Protein 2; Lysosomal Membrane Associated Protein 2; Lysosome-Associated Membrane Protein 2; Soluble CD107b</t>
  </si>
  <si>
    <t>A measurement of the lysosomal associated membrane protein 2 present in a biological specimen.</t>
  </si>
  <si>
    <t>Lysosome-Associated Membrane Protein 2 Measurement</t>
  </si>
  <si>
    <t>C85652</t>
  </si>
  <si>
    <t>LAMZ</t>
  </si>
  <si>
    <t>Lambda z</t>
  </si>
  <si>
    <t>The first order rate constant associated with the terminal (log-linear) portion of the curve.</t>
  </si>
  <si>
    <t>Lambda Z</t>
  </si>
  <si>
    <t>C85818</t>
  </si>
  <si>
    <t>LAMZHL</t>
  </si>
  <si>
    <t>Half-Life Lambda z</t>
  </si>
  <si>
    <t>Terminal half-life.</t>
  </si>
  <si>
    <t>Terminal Half Life</t>
  </si>
  <si>
    <t>C85653</t>
  </si>
  <si>
    <t>LAMZLL</t>
  </si>
  <si>
    <t>Lambda z Lower Limit</t>
  </si>
  <si>
    <t>The lower limit on time for values to be included in the calculation of Lambda z.</t>
  </si>
  <si>
    <t>Lambda Z Time Lower Limit</t>
  </si>
  <si>
    <t>C147479</t>
  </si>
  <si>
    <t>LAMZLTAU</t>
  </si>
  <si>
    <t>Lambda z Lower Limit TAU</t>
  </si>
  <si>
    <t>The lower limit on time for values to be included in the calculation of Lambda z, calculated within a dosing interval.</t>
  </si>
  <si>
    <t>C85816</t>
  </si>
  <si>
    <t>LAMZNPT</t>
  </si>
  <si>
    <t>Number of Points for Lambda z</t>
  </si>
  <si>
    <t>The number of time points used in computing Lambda z.</t>
  </si>
  <si>
    <t>Sum of Lambda Z Timepoints</t>
  </si>
  <si>
    <t>C147480</t>
  </si>
  <si>
    <t>LAMZNTAU</t>
  </si>
  <si>
    <t>Number of Points for Lambda z TAU</t>
  </si>
  <si>
    <t>The number of time points used in computing Lambda z determined in a dosing interval.</t>
  </si>
  <si>
    <t>C135492</t>
  </si>
  <si>
    <t>LAMZSPN</t>
  </si>
  <si>
    <t>Lambda z Span</t>
  </si>
  <si>
    <t>The interval of time covered by the data points used in the terminal disposition phase regression analysis, divided by half life. This yields the terminal disposition phase duration expressed as the number of half lives.</t>
  </si>
  <si>
    <t>Lambda Z Span</t>
  </si>
  <si>
    <t>C147481</t>
  </si>
  <si>
    <t>LAMZTAU</t>
  </si>
  <si>
    <t>Lambda z TAU</t>
  </si>
  <si>
    <t>The first order rate constant associated with the terminal (log-linear) portion of the curve, calculated within a dosing interval.</t>
  </si>
  <si>
    <t>C85654</t>
  </si>
  <si>
    <t>LAMZUL</t>
  </si>
  <si>
    <t>Lambda z Upper Limit</t>
  </si>
  <si>
    <t>The upper limit on time for values to be included in the calculation of Lambda z.</t>
  </si>
  <si>
    <t>Lambda Z Time Upper Limit</t>
  </si>
  <si>
    <t>C147482</t>
  </si>
  <si>
    <t>LAMZUTAU</t>
  </si>
  <si>
    <t>Lambda z Upper Limit TAU</t>
  </si>
  <si>
    <t>The upper limit on time for values to be included in the calculation of Lambda z, calculated within a dosing interval.</t>
  </si>
  <si>
    <t>C122132</t>
  </si>
  <si>
    <t>LAP</t>
  </si>
  <si>
    <t>Leucine Aminopeptidase</t>
  </si>
  <si>
    <t>Cytosol Aminopeptidase; LAP3; Leucine Aminopeptidase; Leucine Aminopeptidase 3; Leucyl Aminopeptidase</t>
  </si>
  <si>
    <t>A measurement of the total leucine aminopeptidase present in a biological specimen.</t>
  </si>
  <si>
    <t>Leucine Aminopeptidase Measurement</t>
  </si>
  <si>
    <t>C189508</t>
  </si>
  <si>
    <t>LAPOB</t>
  </si>
  <si>
    <t>LDL Apolipoprotein B</t>
  </si>
  <si>
    <t>A measurement of the apolipoprotein B in the low density lipoprotein fraction of a biological specimen.</t>
  </si>
  <si>
    <t>LDL Fraction Apoliprotein B Measurement</t>
  </si>
  <si>
    <t>C71258</t>
  </si>
  <si>
    <t>LBM</t>
  </si>
  <si>
    <t>Lean Body Mass</t>
  </si>
  <si>
    <t>The weight of all organs and tissue in an individual less the weight of the individual's body fat.</t>
  </si>
  <si>
    <t>C139219</t>
  </si>
  <si>
    <t>LBMTBMR</t>
  </si>
  <si>
    <t>Lean Body Mass to Total Body Mass Ratio</t>
  </si>
  <si>
    <t>The proportion of an individual's lean body mass to his total body weight. Lean body mass is calculated by subtracting body fat from total body weight.</t>
  </si>
  <si>
    <t>C127566</t>
  </si>
  <si>
    <t>LCDIAEVD</t>
  </si>
  <si>
    <t>Largest Cross-sec Diameter, EVD</t>
  </si>
  <si>
    <t>Largest Cross-sec Diameter, EVD; Largest Cross-sectional Diameter, End Ventricular Diastole</t>
  </si>
  <si>
    <t>The largest cross sectional diameter of a vascular structure measured at end ventricular diastole.</t>
  </si>
  <si>
    <t>Largest Cross-sectional Diameter at End Ventricular Diastole</t>
  </si>
  <si>
    <t>C176240</t>
  </si>
  <si>
    <t>LCHLCM</t>
  </si>
  <si>
    <t>Lithocholate Compounds</t>
  </si>
  <si>
    <t>Lithocholate Compounds; Lithocholic Acid Compounds</t>
  </si>
  <si>
    <t>A measurement of the lithocholic acid, glycolithocholic acid, and taurolithocholic acid in a biological specimen.</t>
  </si>
  <si>
    <t>Lithocholate Compounds Measurement</t>
  </si>
  <si>
    <t>C176307</t>
  </si>
  <si>
    <t>LCHT</t>
  </si>
  <si>
    <t>Lithocholate</t>
  </si>
  <si>
    <t>Lithocholate; Lithocholic Acid</t>
  </si>
  <si>
    <t>A measurement of the lithocholate in a biological specimen.</t>
  </si>
  <si>
    <t>Lithocholate Measurement</t>
  </si>
  <si>
    <t>C124425</t>
  </si>
  <si>
    <t>LCI</t>
  </si>
  <si>
    <t>Lung Clearance Index</t>
  </si>
  <si>
    <t>A representative measurement of the number of times the volume of air in the lung at the start of the washout (the Functional Residual Capacity) must be recycled to eliminate the tracer to the pre-defined endpoint.</t>
  </si>
  <si>
    <t>C201473</t>
  </si>
  <si>
    <t>LCI2_5</t>
  </si>
  <si>
    <t>LCI to 2.5% Initial Concentration</t>
  </si>
  <si>
    <t>LCI to 1/40th Initial Concentration; LCI to 2.5% Initial Concentration; Lung Clearance Index to 1/40th Initial Concentration; Lung Clearance Index to 2.5% Initial Concentration</t>
  </si>
  <si>
    <t>A representative measurement of the number of times the volume of air in the lung at the start of the washout (the Functional Residual Capacity) must be recycled to decrease the tracer to 2.5% (or 1/40th) of its initial concentration.</t>
  </si>
  <si>
    <t>Lung Clearance Index to 2.5% Initial Concentration</t>
  </si>
  <si>
    <t>C201472</t>
  </si>
  <si>
    <t>LCI5</t>
  </si>
  <si>
    <t>LCI to 5% Initial Concentration</t>
  </si>
  <si>
    <t>LCI to 1/20th Initial Concentration; LCI to 5% Initial Concentration; Lung Clearance Index to 1/20th Initial Concentration; Lung Clearance Index to 5% Initial Concentration</t>
  </si>
  <si>
    <t>A representative measurement of the number of times the volume of air in the lung at the start of the washout (the Functional Residual Capacity) must be recycled to decrease the tracer to 5% (or 1/20th) of its initial concentration.</t>
  </si>
  <si>
    <t>Lung Clearance Index to 5% Initial Concentration</t>
  </si>
  <si>
    <t>C221525</t>
  </si>
  <si>
    <t>LCMSEVSG</t>
  </si>
  <si>
    <t>Loc of Most Sev Stenosis Within a Graft</t>
  </si>
  <si>
    <t>Loc of Most Sev Stenosis Within a Graft; Location of Most Severe Stenosis Within a Graft</t>
  </si>
  <si>
    <t>The portion of the graft that is most severely stenotic.</t>
  </si>
  <si>
    <t>Location of Most Severe Stenosis Within a Graft</t>
  </si>
  <si>
    <t>C106539</t>
  </si>
  <si>
    <t>LCN2</t>
  </si>
  <si>
    <t>Lipocalin-2</t>
  </si>
  <si>
    <t>Lipocalin-2; Neutrophil Gelatinase-Associated Lipocalin; NGAL; Oncogene 24p3</t>
  </si>
  <si>
    <t>A measurement of lipocalin-2 in a biological specimen.</t>
  </si>
  <si>
    <t>Lipocalin-2 Measurement</t>
  </si>
  <si>
    <t>C106540</t>
  </si>
  <si>
    <t>LCN2CREA</t>
  </si>
  <si>
    <t>Lipocalin-2/Creatinine</t>
  </si>
  <si>
    <t>Lipocalin-2/Creatinine; Neutrophil Gelatinase-Associated Lipocalin/Creatinine; NGAL/Creatinine</t>
  </si>
  <si>
    <t>A relative measurement (ratio or percentage) of the lipocalin-2 to creatinine present in a sample.</t>
  </si>
  <si>
    <t>Lipocalin-2 to Creatinine Ratio Measurement</t>
  </si>
  <si>
    <t>C221613</t>
  </si>
  <si>
    <t>LCR</t>
  </si>
  <si>
    <t>Lactobacillus crispatus</t>
  </si>
  <si>
    <t>A measurement of Lactobacillus crispatus in a biological specimen.</t>
  </si>
  <si>
    <t>Lactobacillus crispatus Measurement</t>
  </si>
  <si>
    <t>C166046</t>
  </si>
  <si>
    <t>LCRDNA</t>
  </si>
  <si>
    <t>Lactobacillus crispatus DNA</t>
  </si>
  <si>
    <t>A measurement of the Lactobacillus crispatus DNA in a biological specimen.</t>
  </si>
  <si>
    <t>Lactobacillus crispatus DNA Measurement</t>
  </si>
  <si>
    <t>C147381</t>
  </si>
  <si>
    <t>LCTHSPGM</t>
  </si>
  <si>
    <t>Lecithin/Sphingomyelin</t>
  </si>
  <si>
    <t>Lecithin/Sphingomyelin; LS Ratio</t>
  </si>
  <si>
    <t>A relative measurement (ratio) of the lecithin to sphingomyelin in a biological specimen.</t>
  </si>
  <si>
    <t>Lecithin to Sphingomyelin Ratio Measurement</t>
  </si>
  <si>
    <t>C64855</t>
  </si>
  <si>
    <t>LDH</t>
  </si>
  <si>
    <t>Lactate Dehydrogenase</t>
  </si>
  <si>
    <t>A measurement of the lactate dehydrogenase in a biological specimen.</t>
  </si>
  <si>
    <t>Lactate Dehydrogenase Measurement</t>
  </si>
  <si>
    <t>C74887</t>
  </si>
  <si>
    <t>LDH1</t>
  </si>
  <si>
    <t>LDH Isoenzyme 1</t>
  </si>
  <si>
    <t>A measurement of the lactate dehydrogenase isoenzyme 1 in a biological specimen.</t>
  </si>
  <si>
    <t>Lactate Dehydrogenase Isoenzyme 1 Measurement</t>
  </si>
  <si>
    <t>C79451</t>
  </si>
  <si>
    <t>LDH1LDH</t>
  </si>
  <si>
    <t>LDH Isoenzyme 1/LDH</t>
  </si>
  <si>
    <t>A relative measurement (ratio or percentage) of the lactate dehydrogenase isoenzyme 1 to total lactate dehydrogenase in a biological specimen.</t>
  </si>
  <si>
    <t>LDH Isoenzyme 1 to LDH Ratio Measurement</t>
  </si>
  <si>
    <t>C74888</t>
  </si>
  <si>
    <t>LDH2</t>
  </si>
  <si>
    <t>LDH Isoenzyme 2</t>
  </si>
  <si>
    <t>A measurement of the lactate dehydrogenase isoenzyme 2 in a biological specimen.</t>
  </si>
  <si>
    <t>Lactate Dehydrogenase Isoenzyme 2 Measurement</t>
  </si>
  <si>
    <t>C79452</t>
  </si>
  <si>
    <t>LDH2LDH</t>
  </si>
  <si>
    <t>LDH Isoenzyme 2/LDH</t>
  </si>
  <si>
    <t>A relative measurement (ratio or percentage) of the lactate dehydrogenase isoenzyme 2 to total lactate dehydrogenase in a biological specimen.</t>
  </si>
  <si>
    <t>LDH Isoenzyme 2 to LDH Ratio Measurement</t>
  </si>
  <si>
    <t>C74889</t>
  </si>
  <si>
    <t>LDH3</t>
  </si>
  <si>
    <t>LDH Isoenzyme 3</t>
  </si>
  <si>
    <t>A measurement of the lactate dehydrogenase isoenzyme 3 in a biological specimen.</t>
  </si>
  <si>
    <t>Lactate Dehydrogenase Isoenzyme 3 Measurement</t>
  </si>
  <si>
    <t>C79453</t>
  </si>
  <si>
    <t>LDH3LDH</t>
  </si>
  <si>
    <t>LDH Isoenzyme 3/LDH</t>
  </si>
  <si>
    <t>A relative measurement (ratio or percentage) of the lactate dehydrogenase isoenzyme 3 to total lactate dehydrogenase in a biological specimen.</t>
  </si>
  <si>
    <t>LDH Isoenzyme 3 to LDH Ratio Measurement</t>
  </si>
  <si>
    <t>C74890</t>
  </si>
  <si>
    <t>LDH4</t>
  </si>
  <si>
    <t>LDH Isoenzyme 4</t>
  </si>
  <si>
    <t>A measurement of the lactate dehydrogenase isoenzyme 4 in a biological specimen.</t>
  </si>
  <si>
    <t>Lactate Dehydrogenase Isoenzyme 4 Measurement</t>
  </si>
  <si>
    <t>C79454</t>
  </si>
  <si>
    <t>LDH4LDH</t>
  </si>
  <si>
    <t>LDH Isoenzyme 4/LDH</t>
  </si>
  <si>
    <t>A relative measurement (ratio or percentage) of the lactate dehydrogenase isoenzyme 4 to total lactate dehydrogenase in a biological specimen.</t>
  </si>
  <si>
    <t>LDH Isoenzyme 4 to LDH Ratio Measurement</t>
  </si>
  <si>
    <t>C74891</t>
  </si>
  <si>
    <t>LDH5</t>
  </si>
  <si>
    <t>LDH Isoenzyme 5</t>
  </si>
  <si>
    <t>A measurement of the lactate dehydrogenase isoenzyme 5 in a biological specimen.</t>
  </si>
  <si>
    <t>Lactate Dehydrogenase Isoenzyme 5 Measurement</t>
  </si>
  <si>
    <t>C79455</t>
  </si>
  <si>
    <t>LDH5LDH</t>
  </si>
  <si>
    <t>LDH Isoenzyme 5/LDH</t>
  </si>
  <si>
    <t>A relative measurement (ratio or percentage) of the lactate dehydrogenase isoenzyme 5 to total lactate dehydrogenase in a biological specimen.</t>
  </si>
  <si>
    <t>LDH Isoenzyme 5 to LDH Ratio Measurement</t>
  </si>
  <si>
    <t>C79449</t>
  </si>
  <si>
    <t>LDHCREAT</t>
  </si>
  <si>
    <t>Lactate Dehydrogenase/Creatinine</t>
  </si>
  <si>
    <t>A relative measurement (ratio or percentage) of the lactate dehydrogenase to creatinine in a biological specimen.</t>
  </si>
  <si>
    <t>Lactate Dehydrogenase to Creatinine Ratio Measurement</t>
  </si>
  <si>
    <t>C165972</t>
  </si>
  <si>
    <t>LDHEXR</t>
  </si>
  <si>
    <t>Lactate Dehydrogenase Excretion Rate</t>
  </si>
  <si>
    <t>A measurement of the amount of lactate dehydrogenase being excreted in a biological specimen over a defined amount of time (e.g. one hour).</t>
  </si>
  <si>
    <t>C96684</t>
  </si>
  <si>
    <t>LDIAM</t>
  </si>
  <si>
    <t>Longest Diameter</t>
  </si>
  <si>
    <t>The longest possible length of a straight line passing through the center of a circular or spheroid object that connects two points on the circumference.</t>
  </si>
  <si>
    <t>C105588</t>
  </si>
  <si>
    <t>LDL</t>
  </si>
  <si>
    <t>LDL Cholesterol</t>
  </si>
  <si>
    <t>A measurement of the low density lipoprotein cholesterol in a biological specimen.</t>
  </si>
  <si>
    <t>Low Density Lipoprotein Cholesterol Measurement</t>
  </si>
  <si>
    <t>C121182</t>
  </si>
  <si>
    <t>LDLHDL</t>
  </si>
  <si>
    <t>LDL Cholesterol/HDL Cholesterol</t>
  </si>
  <si>
    <t>A relative measurement (ratio) of the low density lipoprotein cholesterol to high density lipoprotein cholesterol in a biological specimen.</t>
  </si>
  <si>
    <t>LDL Cholesterol to HDL Cholesterol Ratio Measurement</t>
  </si>
  <si>
    <t>C120635</t>
  </si>
  <si>
    <t>LDLOXI</t>
  </si>
  <si>
    <t>Oxidized LDL Cholesterol</t>
  </si>
  <si>
    <t>A measurement of the oxidized low density lipoprotein cholesterol in a biological specimen.</t>
  </si>
  <si>
    <t>Oxidized LDL Cholesterol Measurement</t>
  </si>
  <si>
    <t>C120636</t>
  </si>
  <si>
    <t>LDLP</t>
  </si>
  <si>
    <t>LDL Particles</t>
  </si>
  <si>
    <t>A measurement of the concentration of the total LDL particles in a biological specimen.</t>
  </si>
  <si>
    <t>LDL Particles Measurement</t>
  </si>
  <si>
    <t>C120637</t>
  </si>
  <si>
    <t>LDLPATT</t>
  </si>
  <si>
    <t>LDL Subtype Pattern</t>
  </si>
  <si>
    <t>A description of the low density lipoprotein particle pattern (an interpretation of the amounts of LDL particles based on size and density) in a biological specimen.</t>
  </si>
  <si>
    <t>C103412</t>
  </si>
  <si>
    <t>LDLPSZ</t>
  </si>
  <si>
    <t>LDL Particle Size</t>
  </si>
  <si>
    <t>A measurement of the average particle size of low-density lipoprotein in a biological specimen.</t>
  </si>
  <si>
    <t>LDL Particle Size Measurement</t>
  </si>
  <si>
    <t>C189506</t>
  </si>
  <si>
    <t>LDLT</t>
  </si>
  <si>
    <t>LDL Triglyceride</t>
  </si>
  <si>
    <t>A measurement of the low density lipoprotein triglyceride in a biological specimen.</t>
  </si>
  <si>
    <t>LDL Triglyceride Measurement</t>
  </si>
  <si>
    <t>C210203</t>
  </si>
  <si>
    <t>LDURABS</t>
  </si>
  <si>
    <t>Longest Duration of Abstinence</t>
  </si>
  <si>
    <t>The longest amount of time during which the individual abstained from an activity.</t>
  </si>
  <si>
    <t>C147382</t>
  </si>
  <si>
    <t>LEAD</t>
  </si>
  <si>
    <t>Lead</t>
  </si>
  <si>
    <t>Lead; Pb</t>
  </si>
  <si>
    <t>A measurement of the lead in a specimen.</t>
  </si>
  <si>
    <t>Lead Measurement</t>
  </si>
  <si>
    <t>C158257</t>
  </si>
  <si>
    <t>LEANMASS</t>
  </si>
  <si>
    <t>Lean Mass</t>
  </si>
  <si>
    <t>A measurement of the weight of a body part or whole body, minus the weight of the fat associated with that body part or whole body.</t>
  </si>
  <si>
    <t>C127625</t>
  </si>
  <si>
    <t>LEIM</t>
  </si>
  <si>
    <t>Immature Leukocytes</t>
  </si>
  <si>
    <t>A measurement of the immature leukocytes in a biological specimen.</t>
  </si>
  <si>
    <t>Immature Leukocyte Count</t>
  </si>
  <si>
    <t>C127626</t>
  </si>
  <si>
    <t>LEIMLE</t>
  </si>
  <si>
    <t>Immature Leukocytes/Leukocytes</t>
  </si>
  <si>
    <t>A relative measurement (ratio or percentage) of the immature leukocytes to leukocytes in a biological specimen.</t>
  </si>
  <si>
    <t>Immature Leukocyte to Leukocytes Ratio Measurement</t>
  </si>
  <si>
    <t>C25334</t>
  </si>
  <si>
    <t>LENGTH</t>
  </si>
  <si>
    <t>Length</t>
  </si>
  <si>
    <t>The linear extent in space from one end of something to the other end, or the extent of something from beginning to end. (NCI)</t>
  </si>
  <si>
    <t>C49697</t>
  </si>
  <si>
    <t>Trial Length</t>
  </si>
  <si>
    <t>Planned length of observation for a single subject.</t>
  </si>
  <si>
    <t>C120718</t>
  </si>
  <si>
    <t>LENSSTAT</t>
  </si>
  <si>
    <t>Lens Status</t>
  </si>
  <si>
    <t>The condition or state of the lens of the eye. (NCI)</t>
  </si>
  <si>
    <t>C74866</t>
  </si>
  <si>
    <t>LEPTIN</t>
  </si>
  <si>
    <t>Leptin</t>
  </si>
  <si>
    <t>A measurement of the leptin hormone in a biological specimen.</t>
  </si>
  <si>
    <t>Leptin Measurement</t>
  </si>
  <si>
    <t>C199901</t>
  </si>
  <si>
    <t>LEPTINR</t>
  </si>
  <si>
    <t>Leptin Receptor</t>
  </si>
  <si>
    <t>CD295; LEP-R; LEPR; Leptin Receptor; OB Receptor</t>
  </si>
  <si>
    <t>A measurement of the leptin receptor in a biological specimen.</t>
  </si>
  <si>
    <t>Leptin Receptor Measurement</t>
  </si>
  <si>
    <t>C174293</t>
  </si>
  <si>
    <t>LEPTO</t>
  </si>
  <si>
    <t>Leptocytes</t>
  </si>
  <si>
    <t>A measurement of the leptocytes in a biological specimen.</t>
  </si>
  <si>
    <t>Leptocyte Measurement</t>
  </si>
  <si>
    <t>C204682</t>
  </si>
  <si>
    <t>LERBCBLS</t>
  </si>
  <si>
    <t>Leukoerythroblastosis</t>
  </si>
  <si>
    <t>An evaluation of leukoerythroblastosis in a biological specimen.</t>
  </si>
  <si>
    <t>Leukoerythroblastosis Measurement</t>
  </si>
  <si>
    <t>C174369</t>
  </si>
  <si>
    <t>LESELESV</t>
  </si>
  <si>
    <t>Lesion Elevation Severity/Intensity</t>
  </si>
  <si>
    <t>An assessment of the severity of a lesion that is heightened or raised above the surface plane of the body.</t>
  </si>
  <si>
    <t>Severity of Elevated Lesion</t>
  </si>
  <si>
    <t>C174367</t>
  </si>
  <si>
    <t>LESERYSV</t>
  </si>
  <si>
    <t>Lesion Erythema Severity/Intensity</t>
  </si>
  <si>
    <t>An assessment of the severity of a lesion that has red discoloration.</t>
  </si>
  <si>
    <t>Severity of Erythematous Lesion</t>
  </si>
  <si>
    <t>C119551</t>
  </si>
  <si>
    <t>LESFLIND</t>
  </si>
  <si>
    <t>Lesion Failure Indicator</t>
  </si>
  <si>
    <t>An indication as to whether lesion failure occurred.</t>
  </si>
  <si>
    <t>C94189</t>
  </si>
  <si>
    <t>LESIDENT</t>
  </si>
  <si>
    <t>Lesion Identification</t>
  </si>
  <si>
    <t>An indication that a lesion has been located and characterized.</t>
  </si>
  <si>
    <t>C119552</t>
  </si>
  <si>
    <t>LESRVIND</t>
  </si>
  <si>
    <t>Lesion Revascularization Indicator</t>
  </si>
  <si>
    <t>An indication as to whether repeat revascularization of a lesion occurred.</t>
  </si>
  <si>
    <t>C119553</t>
  </si>
  <si>
    <t>LESSCIND</t>
  </si>
  <si>
    <t>Lesion Success Indicator</t>
  </si>
  <si>
    <t>An indication as to whether a performed procedure of a target lesion is considered successful.</t>
  </si>
  <si>
    <t>C174368</t>
  </si>
  <si>
    <t>LESSCLSV</t>
  </si>
  <si>
    <t>Lesion Scaling Severity/Intensity</t>
  </si>
  <si>
    <t>An assessment of the severity of a lesion that has flaking dead skin and an increase of keratin in the stratum corneum of the lesion.</t>
  </si>
  <si>
    <t>Severity of Scaling Lesion</t>
  </si>
  <si>
    <t>C186216</t>
  </si>
  <si>
    <t>LESTHICK</t>
  </si>
  <si>
    <t>Lesion Thickness</t>
  </si>
  <si>
    <t>A measurement of the distance between two opposite surfaces of a lesion.</t>
  </si>
  <si>
    <t>C122133</t>
  </si>
  <si>
    <t>LEU</t>
  </si>
  <si>
    <t>Leucine</t>
  </si>
  <si>
    <t>A measurement of the leucine in a biological specimen.</t>
  </si>
  <si>
    <t>Leucine Measurement</t>
  </si>
  <si>
    <t>C202428</t>
  </si>
  <si>
    <t>LEU1</t>
  </si>
  <si>
    <t>Lymphocyte Antigen T1/Leu-1</t>
  </si>
  <si>
    <t>CD5; LEU1; Lymphocyte Antigen T1/Leu-1; T-Cell Surface Glycoprotein CD5</t>
  </si>
  <si>
    <t>A measurement of the lymphocyte antigen T1/Leu-1 in a biological specimen.</t>
  </si>
  <si>
    <t>T-Cell Surface Glycoprotein CD5 Measurement</t>
  </si>
  <si>
    <t>C202429</t>
  </si>
  <si>
    <t>LEU16</t>
  </si>
  <si>
    <t>Membrane Spanning 4-Domains A1</t>
  </si>
  <si>
    <t>CD20; LEU-16; Leukocyte Surface Antigen Leu-16; Membrane Spanning 4-Domains A1</t>
  </si>
  <si>
    <t>A measurement of the membrane spanning 4-domains A1 protein in a biological specimen.</t>
  </si>
  <si>
    <t>Membrane Spanning 4-Domains A1 Measurement</t>
  </si>
  <si>
    <t>C202432</t>
  </si>
  <si>
    <t>LEU3</t>
  </si>
  <si>
    <t>T-Cell Surface Antigen T4/Leu-3</t>
  </si>
  <si>
    <t>CD4; CD4 Molecule; Leu-3; T-Cell Surface Antigen T4/Leu-3</t>
  </si>
  <si>
    <t>A measurement of the T-cell surface antigen T4/Leu-3 in a biological specimen.</t>
  </si>
  <si>
    <t>T-Cell Surface Glycoprotein CD4 Measurement</t>
  </si>
  <si>
    <t>C64856</t>
  </si>
  <si>
    <t>LEUKASE</t>
  </si>
  <si>
    <t>Leukocyte Esterase</t>
  </si>
  <si>
    <t>A measurement of the enzyme which indicates the presence of white blood cells in a biological specimen.</t>
  </si>
  <si>
    <t>Leukocyte Esterase Measurement</t>
  </si>
  <si>
    <t>C116195</t>
  </si>
  <si>
    <t>LEUKCE</t>
  </si>
  <si>
    <t>Leukemic Cells</t>
  </si>
  <si>
    <t>Leukemic Cells; Residual Leukemic Cells</t>
  </si>
  <si>
    <t>A measurement of the leukemic cells in a biological specimen.</t>
  </si>
  <si>
    <t>Leukemic Cells Measurement</t>
  </si>
  <si>
    <t>C147383</t>
  </si>
  <si>
    <t>LEUKCRBC</t>
  </si>
  <si>
    <t>Leuks Corrected for Nucl Erythrocytes</t>
  </si>
  <si>
    <t>Leukocytes Corrected for Nucleated Erythrocytes; Leuks Corrected for Nucl Erythrocytes</t>
  </si>
  <si>
    <t>A measurement of the leukocytes corrected for nucleated erythrocytes in a biological specimen.</t>
  </si>
  <si>
    <t>Leukocytes Corrected for Nucleated Erythrocytes Count</t>
  </si>
  <si>
    <t>C176341</t>
  </si>
  <si>
    <t>LFA1</t>
  </si>
  <si>
    <t>Lymphocyte Function-Associated Antigen 1</t>
  </si>
  <si>
    <t>A measurement of the lymphocyte function-associated antigen 1 in a biological specimen.</t>
  </si>
  <si>
    <t>Lymphocyte Function-Associated Antigen 1 Measurement</t>
  </si>
  <si>
    <t>C209440</t>
  </si>
  <si>
    <t>LGE</t>
  </si>
  <si>
    <t>Late Gadolinium Enhancement</t>
  </si>
  <si>
    <t>The phenomenon of a delay in the accumulation and relative excess concentration of gadolinium-based contrast materials in tissues with increased extracellular space, which may be caused by conditions that expand the extracellular matrix, or less frequentl</t>
  </si>
  <si>
    <t>C209532</t>
  </si>
  <si>
    <t>LGEPER</t>
  </si>
  <si>
    <t>Late Gadolinium Enhancement Percentage</t>
  </si>
  <si>
    <t>The percentage of a region which exabits characteristics of late gadolinium enhancement.</t>
  </si>
  <si>
    <t>C209533</t>
  </si>
  <si>
    <t>LGESEGCT</t>
  </si>
  <si>
    <t>Late Gadolinium Enhancement Segment Ct</t>
  </si>
  <si>
    <t>Late Gadolinium Enhancement Segment Count; Late Gadolinium Enhancement Segment CT</t>
  </si>
  <si>
    <t>The number of segments which exabit characteristics of late gadolinium enhancement.</t>
  </si>
  <si>
    <t>Late Gadolinium Enhancement Segment Count</t>
  </si>
  <si>
    <t>C214724</t>
  </si>
  <si>
    <t>LGHTPIND</t>
  </si>
  <si>
    <t>Light Perception Indicator</t>
  </si>
  <si>
    <t>An indication as to whether a subject can perceive light from a light source that is placed directly in front of the eye.</t>
  </si>
  <si>
    <t>C79467</t>
  </si>
  <si>
    <t>LGLUCLE</t>
  </si>
  <si>
    <t>Large Unstained Cells/Leukocytes</t>
  </si>
  <si>
    <t>A relative measure (ratio or percentage) of the large unstained cells to leukocytes in a biological specimen.</t>
  </si>
  <si>
    <t>Large Unstained Cells to Leukocytes Ratio Measurement</t>
  </si>
  <si>
    <t>C127567</t>
  </si>
  <si>
    <t>LGTHCK</t>
  </si>
  <si>
    <t>Largest Cross-sec Thickness</t>
  </si>
  <si>
    <t>Largest Cross-sec Thickness; Largest Cross-sectional Thickness</t>
  </si>
  <si>
    <t>The assessment of the largest cross-sectional thickness of a tissue.</t>
  </si>
  <si>
    <t>Largest Cross-sectional Thickness</t>
  </si>
  <si>
    <t>C74659</t>
  </si>
  <si>
    <t>LGUNSCE</t>
  </si>
  <si>
    <t>Large Unstained Cells</t>
  </si>
  <si>
    <t>A measurement of the large, peroxidase-negative cells which cannot be further characterized (i.e. as large lymphocytes, virocytes, or stem cells) present in a biological specimen.</t>
  </si>
  <si>
    <t>Large Unstained Cell Count</t>
  </si>
  <si>
    <t>C74790</t>
  </si>
  <si>
    <t>LH</t>
  </si>
  <si>
    <t>Luteinizing Hormone</t>
  </si>
  <si>
    <t>Luteinizing Hormone; Lutropin</t>
  </si>
  <si>
    <t>A measurement of the luteinizing hormone in a biological specimen.</t>
  </si>
  <si>
    <t>Luteinizing Hormone Measurement</t>
  </si>
  <si>
    <t>C130163</t>
  </si>
  <si>
    <t>LIF</t>
  </si>
  <si>
    <t>Leukemia Inhibitory Factor</t>
  </si>
  <si>
    <t>A measurement of leukemia inhibitory factor in a biological specimen.</t>
  </si>
  <si>
    <t>Leukemia Inhibitory Factor Measurement</t>
  </si>
  <si>
    <t>C117840</t>
  </si>
  <si>
    <t>LIPASEG</t>
  </si>
  <si>
    <t>Lipase, Gastric</t>
  </si>
  <si>
    <t>Gastric Triacylglycerol Lipase; Lipase, Gastric; LIPF</t>
  </si>
  <si>
    <t>A measurement of the gastric triacylglycerol lipase in a biological specimen.</t>
  </si>
  <si>
    <t>Gastric Lipase Measurement</t>
  </si>
  <si>
    <t>C187808</t>
  </si>
  <si>
    <t>LIPASEH</t>
  </si>
  <si>
    <t>Lipase, Hepatic</t>
  </si>
  <si>
    <t>Hepatic Triacylglycerol Lipase; Lipase, Hepatic; LIPH</t>
  </si>
  <si>
    <t>A measurement of the hepatic triacylglycerol lipase in a biological specimen.</t>
  </si>
  <si>
    <t>Hepatic Triacylglycerol Lipase Measurement</t>
  </si>
  <si>
    <t>C117841</t>
  </si>
  <si>
    <t>LIPASEP</t>
  </si>
  <si>
    <t>Lipase, Pancreatic</t>
  </si>
  <si>
    <t>Lipase, Pancreatic; Pancreatic Triacylglycerol Lipase; PNLIP</t>
  </si>
  <si>
    <t>A measurement of the pancreatic triacylglycerol lipase in a biological specimen.</t>
  </si>
  <si>
    <t>Pancreatic Lipase Measurement</t>
  </si>
  <si>
    <t>C117748</t>
  </si>
  <si>
    <t>LIPASET</t>
  </si>
  <si>
    <t>Lipase</t>
  </si>
  <si>
    <t>Lipase; Total Lipase; Triacylglycerol Lipase</t>
  </si>
  <si>
    <t>A measurement of the total triacylglycerol lipase in a biological specimen.</t>
  </si>
  <si>
    <t>Lipase Measurement</t>
  </si>
  <si>
    <t>C117842</t>
  </si>
  <si>
    <t>LIPASLAL</t>
  </si>
  <si>
    <t>Lipase, Lysosomal Acid</t>
  </si>
  <si>
    <t>Acid Cholesteryl Ester Hydrolase; LAL; LIPA; Lipase, Lysosomal Acid; Lysosomal Lipase</t>
  </si>
  <si>
    <t>A measurement of the lysosomal acid lipase in a biological specimen.</t>
  </si>
  <si>
    <t>Lysosomal Acid Lipase Measurement</t>
  </si>
  <si>
    <t>C111242</t>
  </si>
  <si>
    <t>LIPEMIAI</t>
  </si>
  <si>
    <t>Lipemic Index</t>
  </si>
  <si>
    <t>Lipemia; Lipemic Index</t>
  </si>
  <si>
    <t>A measurement of the abnormally high concentration of lipid in a biological specimen.</t>
  </si>
  <si>
    <t>C74949</t>
  </si>
  <si>
    <t>LIPID</t>
  </si>
  <si>
    <t>Lipid</t>
  </si>
  <si>
    <t>Lipid; Total Lipid</t>
  </si>
  <si>
    <t>A measurement of the total lipids (cholesterol, lipoproteins, and triglycerides) in a biological specimen.</t>
  </si>
  <si>
    <t>Lipid Measurement</t>
  </si>
  <si>
    <t>C142284</t>
  </si>
  <si>
    <t>LIQUFT</t>
  </si>
  <si>
    <t>Liquefaction Time</t>
  </si>
  <si>
    <t>A measurement of the time it takes for a gelatinous or semi-solid substance to change to a liquid.</t>
  </si>
  <si>
    <t>Liquefaction Time Measurement</t>
  </si>
  <si>
    <t>C189505</t>
  </si>
  <si>
    <t>LITHIUM</t>
  </si>
  <si>
    <t>Lithium</t>
  </si>
  <si>
    <t>A measurement of the lithium in a biological specimen.</t>
  </si>
  <si>
    <t>Lithium Measurement</t>
  </si>
  <si>
    <t>C135479</t>
  </si>
  <si>
    <t>LIVRRESP</t>
  </si>
  <si>
    <t>Liver Response</t>
  </si>
  <si>
    <t>An assessment of the disease response to therapy within the liver.</t>
  </si>
  <si>
    <t>Disease Response in Liver</t>
  </si>
  <si>
    <t>C221614</t>
  </si>
  <si>
    <t>LJE</t>
  </si>
  <si>
    <t>Lactobacillus jensenii</t>
  </si>
  <si>
    <t>A measurement of Lactobacillus jensenii in a biological specimen.</t>
  </si>
  <si>
    <t>Lactobacillus jensenii Measurement</t>
  </si>
  <si>
    <t>C98732</t>
  </si>
  <si>
    <t>LLCFR</t>
  </si>
  <si>
    <t>Lambda Light Chain, Free</t>
  </si>
  <si>
    <t>Bence-Jones, Lambda; Lambda Light Chain, Free</t>
  </si>
  <si>
    <t>A measurement of the free lambda light chain in a biological specimen.</t>
  </si>
  <si>
    <t>Free Lambda Light Chain Measurement</t>
  </si>
  <si>
    <t>C116146</t>
  </si>
  <si>
    <t>LLMLOSS</t>
  </si>
  <si>
    <t>Late Lumen Loss</t>
  </si>
  <si>
    <t>The difference between the mean minimum lumen diameter (MLD) assessed immediately after an index procedure and the MLD assessed at follow-up angiography.</t>
  </si>
  <si>
    <t>Late Lumen Loss Measurement</t>
  </si>
  <si>
    <t>C187861</t>
  </si>
  <si>
    <t>LLODNA</t>
  </si>
  <si>
    <t>Legionella longbeachae DNA</t>
  </si>
  <si>
    <t>A measurement of the Legionella longbeachae DNA in a biological specimen.</t>
  </si>
  <si>
    <t>Legionella longbeachae DNA Measurement</t>
  </si>
  <si>
    <t>C147384</t>
  </si>
  <si>
    <t>LMBDLC</t>
  </si>
  <si>
    <t>Lambda Light Chain</t>
  </si>
  <si>
    <t>A measurement of the total lambda light chains in a biological specimen.</t>
  </si>
  <si>
    <t>Lambda Light Chain Measurement</t>
  </si>
  <si>
    <t>C119554</t>
  </si>
  <si>
    <t>LMBFLIND</t>
  </si>
  <si>
    <t>Limb Failure Indicator</t>
  </si>
  <si>
    <t>An indication as to whether limb failure occurred.</t>
  </si>
  <si>
    <t>C119568</t>
  </si>
  <si>
    <t>LMLIDENT</t>
  </si>
  <si>
    <t>Limb Lesion Identification</t>
  </si>
  <si>
    <t>An indication that a limb containing a lesion has been selected and characterized.</t>
  </si>
  <si>
    <t>Limb Associated Lesion Identification</t>
  </si>
  <si>
    <t>C124446</t>
  </si>
  <si>
    <t>LMNDEXAM</t>
  </si>
  <si>
    <t>Number of Lymph Nodes Examined</t>
  </si>
  <si>
    <t>The number of lymph nodes that were examined.</t>
  </si>
  <si>
    <t>C124447</t>
  </si>
  <si>
    <t>LMNDPNUM</t>
  </si>
  <si>
    <t>Number of Lymph Nodes Positive</t>
  </si>
  <si>
    <t>The number of subject lymph nodes that were positive for presence of disease.</t>
  </si>
  <si>
    <t>C189534</t>
  </si>
  <si>
    <t>LMO</t>
  </si>
  <si>
    <t>Listeria monocytogenes</t>
  </si>
  <si>
    <t>A measurement of the Listeria monocytogenes in a biological specimen.</t>
  </si>
  <si>
    <t>Listeria monocytogenes Measurement</t>
  </si>
  <si>
    <t>C191289</t>
  </si>
  <si>
    <t>LMP2GPDH</t>
  </si>
  <si>
    <t>LAMP2/GAPDH</t>
  </si>
  <si>
    <t>LAMP2/GAPDH; Lysosomal Associated Membrane Protein 2/Glyceraldehyde-3-Phosphate Dehydrogenase</t>
  </si>
  <si>
    <t>A relative measurement (ratio) of the lysosomal associated membrane protein 2 to glyceraldehyde-3-phosphate dehydrogenase in a biological specimen.</t>
  </si>
  <si>
    <t>Lysosomal Associated Membrane Protein 2 to Glyceraldehyde-3-Phosphate Dehydrogenase Ratio Measurement</t>
  </si>
  <si>
    <t>C191351</t>
  </si>
  <si>
    <t>LMPELTM</t>
  </si>
  <si>
    <t>Elapsed Time Since LMP</t>
  </si>
  <si>
    <t>The interval of time since the individual's last menstrual period.</t>
  </si>
  <si>
    <t>Elapsed Time Since Last Menstrual Period</t>
  </si>
  <si>
    <t>C81257</t>
  </si>
  <si>
    <t>LMPSTDTC</t>
  </si>
  <si>
    <t>Last Menstrual Period Start Date</t>
  </si>
  <si>
    <t>The date of the first day of the most recent menstrual cycle.</t>
  </si>
  <si>
    <t>Last Menstrual Period</t>
  </si>
  <si>
    <t>C184702</t>
  </si>
  <si>
    <t>LNEXCPSD</t>
  </si>
  <si>
    <t>Lymph Node Extracapsular Spread</t>
  </si>
  <si>
    <t>An evaluation of lymph node extracapsular spread by the tumor in a biological specimen.</t>
  </si>
  <si>
    <t>Lymph Node Extracapsular Spread Assessment</t>
  </si>
  <si>
    <t>C132459</t>
  </si>
  <si>
    <t>LNGSPP</t>
  </si>
  <si>
    <t>Primary Language Spoken</t>
  </si>
  <si>
    <t>The main language that is spoken by the subject most frequently or dominantly.</t>
  </si>
  <si>
    <t>C132460</t>
  </si>
  <si>
    <t>LNGSPS</t>
  </si>
  <si>
    <t>Secondary Language Spoken</t>
  </si>
  <si>
    <t>Additional language(s) that is spoken by the subject but not considered the primary language.</t>
  </si>
  <si>
    <t>C181493</t>
  </si>
  <si>
    <t>LNININD</t>
  </si>
  <si>
    <t>Lymph Node Involvement Indicator</t>
  </si>
  <si>
    <t>Lymph Node Involvement Indicator; Positive Lymph Node Indicator</t>
  </si>
  <si>
    <t>An indication as to whether cancer is present in the lymph nodes.</t>
  </si>
  <si>
    <t>C189620</t>
  </si>
  <si>
    <t>LNINNUM</t>
  </si>
  <si>
    <t>Number of Lymph Nodes Involved</t>
  </si>
  <si>
    <t>Number of Lymph Nodes Involved; Number of Lymph Nodes Positive for Neoplastic Cells</t>
  </si>
  <si>
    <t>A measurement of the total number of lymph nodes that contain neoplastic cells.</t>
  </si>
  <si>
    <t>Number of Lymph Nodes Involved With Neoplastic Cells</t>
  </si>
  <si>
    <t>C124448</t>
  </si>
  <si>
    <t>LNSTATE</t>
  </si>
  <si>
    <t>Lymph Node State</t>
  </si>
  <si>
    <t>A condition or state of a lymph node at a particular time.</t>
  </si>
  <si>
    <t>C181480</t>
  </si>
  <si>
    <t>LOBLINF</t>
  </si>
  <si>
    <t>Lobular Inflammation</t>
  </si>
  <si>
    <t>An evaluation of lobular inflammation in a biological specimen.</t>
  </si>
  <si>
    <t>Lobular Inflammation Assessment</t>
  </si>
  <si>
    <t>C174232</t>
  </si>
  <si>
    <t>LOBVOL</t>
  </si>
  <si>
    <t>Lobar Volume</t>
  </si>
  <si>
    <t>The total volume of gas in a lobe of the lung at a specified point in time during the respiratory cycle.</t>
  </si>
  <si>
    <t>C174361</t>
  </si>
  <si>
    <t>LOBVOLPP</t>
  </si>
  <si>
    <t>Percent Predicted Lobar Volume</t>
  </si>
  <si>
    <t>The total volume of gas in a lobe of the lung at a specified point in time during the respiratory cycle, as a proportion of the predicted normal value.</t>
  </si>
  <si>
    <t>C124331</t>
  </si>
  <si>
    <t>LOCDTH</t>
  </si>
  <si>
    <t>Location of Death</t>
  </si>
  <si>
    <t>The physical location at which the subject ceased to live.</t>
  </si>
  <si>
    <t>C117890</t>
  </si>
  <si>
    <t>LOGSCORE</t>
  </si>
  <si>
    <t>Log Score</t>
  </si>
  <si>
    <t>A number or range of numeric values on the log scale that measures performance, function, quality, or ability.</t>
  </si>
  <si>
    <t>C184621</t>
  </si>
  <si>
    <t>LOPRAZLM</t>
  </si>
  <si>
    <t>Loprazolam</t>
  </si>
  <si>
    <t>A measurement of the loprazolam in a biological specimen.</t>
  </si>
  <si>
    <t>Loprazolam Measurement</t>
  </si>
  <si>
    <t>C189430</t>
  </si>
  <si>
    <t>LOSTAMT</t>
  </si>
  <si>
    <t>Lost Amount</t>
  </si>
  <si>
    <t>The quantity of a product reported as lost.</t>
  </si>
  <si>
    <t>C209441</t>
  </si>
  <si>
    <t>LOSTRAIN</t>
  </si>
  <si>
    <t>Longitudinal Strain</t>
  </si>
  <si>
    <t>Longitudinal Deformation; Longitudinal Shortening; Longitudinal Strain</t>
  </si>
  <si>
    <t>A measurement of the change in length of the myocardium along the long axis (from base to apex) of the ventricle or atrium.</t>
  </si>
  <si>
    <t>Longitudinal Strain Measurement</t>
  </si>
  <si>
    <t>C198285</t>
  </si>
  <si>
    <t>LOX1</t>
  </si>
  <si>
    <t>Lectin-Like Oxidized LDL Receptor-1</t>
  </si>
  <si>
    <t>C-Type Lectin Domain Family 8 Member A; CLEC8A; Lectin-Like Oxidized LDL Receptor-1; LOX-1; Oxidized LDL Receptor 1; Oxidized Low-Density Lipoprotein Receptor 1</t>
  </si>
  <si>
    <t>A measurement of the lectin-like oxidized LDL Receptor-1 in a biological specimen.</t>
  </si>
  <si>
    <t>Lectin-Like Oxidized LDL Receptor-1 Measurement</t>
  </si>
  <si>
    <t>C177977</t>
  </si>
  <si>
    <t>LOXAPN</t>
  </si>
  <si>
    <t>Loxapine</t>
  </si>
  <si>
    <t>A measurement of the loxapine in a biological specimen.</t>
  </si>
  <si>
    <t>Loxapine Measurement</t>
  </si>
  <si>
    <t>C82022</t>
  </si>
  <si>
    <t>LPA</t>
  </si>
  <si>
    <t>Lipoprotein-a</t>
  </si>
  <si>
    <t>A measurement of the lipoprotein-a in a biological specimen.</t>
  </si>
  <si>
    <t>Lipoprotein a Measurement</t>
  </si>
  <si>
    <t>C96685</t>
  </si>
  <si>
    <t>LPERP</t>
  </si>
  <si>
    <t>Longest Perpendicular</t>
  </si>
  <si>
    <t>Longest Perpendicular; Short Axis Diameter</t>
  </si>
  <si>
    <t>The longest possible straight line or plane through a body or figure that is at a right angle to a given line or plane.</t>
  </si>
  <si>
    <t>C181482</t>
  </si>
  <si>
    <t>LPGNLMLG</t>
  </si>
  <si>
    <t>Large Lipogranuloma</t>
  </si>
  <si>
    <t>An evaluation of large lipogranuloma in a biological specimen.</t>
  </si>
  <si>
    <t>Large Lipogranuloma Assessment</t>
  </si>
  <si>
    <t>C174291</t>
  </si>
  <si>
    <t>LPL</t>
  </si>
  <si>
    <t>Lipoprotein Lipase</t>
  </si>
  <si>
    <t>A measurement of the lipoprotein lipase in a biological specimen.</t>
  </si>
  <si>
    <t>Lipoprotein Lipase Measurement</t>
  </si>
  <si>
    <t>C186171</t>
  </si>
  <si>
    <t>LPN</t>
  </si>
  <si>
    <t>Legionella pneumophila</t>
  </si>
  <si>
    <t>A measurement of the Legionella pneumophila in a biological specimen.</t>
  </si>
  <si>
    <t>Legionella pneumophila Measurement</t>
  </si>
  <si>
    <t>C92275</t>
  </si>
  <si>
    <t>LPNAG</t>
  </si>
  <si>
    <t>Legionella pneumophila Antigen</t>
  </si>
  <si>
    <t>A measurement of the Legionella pneumophila antigen in a biological specimen.</t>
  </si>
  <si>
    <t>Legionella pneumophila Antigen Measurement</t>
  </si>
  <si>
    <t>C186172</t>
  </si>
  <si>
    <t>LPNDNA</t>
  </si>
  <si>
    <t>Legionella pneumophila DNA</t>
  </si>
  <si>
    <t>A measurement of the Legionella pneumophila DNA in a biological specimen.</t>
  </si>
  <si>
    <t>Legionella pneumophila DNA Measurement</t>
  </si>
  <si>
    <t>C154826</t>
  </si>
  <si>
    <t>LPNS1AG</t>
  </si>
  <si>
    <t>Legionella pneumophila Sg 1 Antigen</t>
  </si>
  <si>
    <t>Legionella pneumophila Serogroup 1 Antigen; Legionella pneumophila Sg 1 Antigen</t>
  </si>
  <si>
    <t>A measurement of the Legionella pneumophila serogroup 1 antigen in a biological specimen.</t>
  </si>
  <si>
    <t>Legionella pneumophila Serogroup 1 Antigen Measurement</t>
  </si>
  <si>
    <t>C120638</t>
  </si>
  <si>
    <t>LPPLA2</t>
  </si>
  <si>
    <t>Lipoprotein Associated Phospholipase A2</t>
  </si>
  <si>
    <t>A measurement of the lipoprotein associated phospholipase A2 in a biological specimen.</t>
  </si>
  <si>
    <t>Lipoprotein Associated Phospholipase A2 Measurement</t>
  </si>
  <si>
    <t>C165973</t>
  </si>
  <si>
    <t>LRG1</t>
  </si>
  <si>
    <t>Leucine Rich Alpha-2-Glycoprotein 1</t>
  </si>
  <si>
    <t>HMFT1766; Leucine Rich Alpha-2-Glycoprotein 1</t>
  </si>
  <si>
    <t>A measurement of the leucine rich alpha-2-glycoprotein 1 in a biological specimen.</t>
  </si>
  <si>
    <t>Leucine Rich Alpha-2-Glycoprotein 1 Measurement</t>
  </si>
  <si>
    <t>C119555</t>
  </si>
  <si>
    <t>LRISCIND</t>
  </si>
  <si>
    <t>Lesion Revas Ischemia Indicator</t>
  </si>
  <si>
    <t>An indication as to whether clinical or functional ischemia is present before lesion revascularization occurred.</t>
  </si>
  <si>
    <t>Lesion Revascularization Ischemia Indicator</t>
  </si>
  <si>
    <t>C184622</t>
  </si>
  <si>
    <t>LRMZPM</t>
  </si>
  <si>
    <t>Lormetazepam</t>
  </si>
  <si>
    <t>A measurement of the lormetazepam in a biological specimen.</t>
  </si>
  <si>
    <t>Lormetazepam Measurement</t>
  </si>
  <si>
    <t>C116147</t>
  </si>
  <si>
    <t>LRSTIND</t>
  </si>
  <si>
    <t>Lesion Restenosis Indicator</t>
  </si>
  <si>
    <t>An indication as to whether there is re-narrowing of a lesion site following treatment of a prior stenosis, to a diameter stenosis of greater than 50% at the previously treated lesion site.</t>
  </si>
  <si>
    <t>C119556</t>
  </si>
  <si>
    <t>LRVCLIND</t>
  </si>
  <si>
    <t>Lesion Revas Clinical Indicator</t>
  </si>
  <si>
    <t>An indication as to whether an appropriate clinical context was present before lesion revascularization occurred.</t>
  </si>
  <si>
    <t>Lesion Revascularization Clinical Indicator</t>
  </si>
  <si>
    <t>C75374</t>
  </si>
  <si>
    <t>LRZPM</t>
  </si>
  <si>
    <t>Lorazepam</t>
  </si>
  <si>
    <t>A measurement of the lorazepam present in a biological specimen.</t>
  </si>
  <si>
    <t>Lorazepam Measurement</t>
  </si>
  <si>
    <t>C209697</t>
  </si>
  <si>
    <t>LSCFADTC</t>
  </si>
  <si>
    <t>Latest Date Subject Confirmed Alive</t>
  </si>
  <si>
    <t>Latest Date Last Known Alive; Latest Date Subject Confirmed Alive</t>
  </si>
  <si>
    <t>The most recent date on which the subject was known to be alive.</t>
  </si>
  <si>
    <t>C75354</t>
  </si>
  <si>
    <t>LSD</t>
  </si>
  <si>
    <t>Lysergic Acid Diethylamide</t>
  </si>
  <si>
    <t>Acid; Lysergate Diethylamide; Lysergic Acid Diethylamide</t>
  </si>
  <si>
    <t>A measurement of the lysergic acid diethylamine (LSD) in a biological specimen.</t>
  </si>
  <si>
    <t>Lysergide Measurement</t>
  </si>
  <si>
    <t>C172495</t>
  </si>
  <si>
    <t>LSELS</t>
  </si>
  <si>
    <t>Soluble L-Selectin</t>
  </si>
  <si>
    <t>sL-Selectin; Soluble CD62L; Soluble L-Selectin</t>
  </si>
  <si>
    <t>A measurement of the soluble L-selectin in a biological specimen.</t>
  </si>
  <si>
    <t>Soluble L-Selectin Measurement</t>
  </si>
  <si>
    <t>C186173</t>
  </si>
  <si>
    <t>LSMDNA</t>
  </si>
  <si>
    <t>Listeria monocytogenes DNA</t>
  </si>
  <si>
    <t>A measurement of the Listeria monocytogenes DNA in a biological specimen.</t>
  </si>
  <si>
    <t>Listeria monocytogenes DNA Measurement</t>
  </si>
  <si>
    <t>C132375</t>
  </si>
  <si>
    <t>LTA</t>
  </si>
  <si>
    <t>Lymphotoxin Alpha</t>
  </si>
  <si>
    <t>Lymphotoxin Alpha; TNF-beta; Tumor Necrosis Factor Beta</t>
  </si>
  <si>
    <t>A measurement of the lymphotoxin alpha in a biological specimen.</t>
  </si>
  <si>
    <t>Lymphotoxin Alpha Measurement</t>
  </si>
  <si>
    <t>C103413</t>
  </si>
  <si>
    <t>LTB4</t>
  </si>
  <si>
    <t>Leukotriene B4</t>
  </si>
  <si>
    <t>A measurement of the leukotriene B4 in a biological specimen.</t>
  </si>
  <si>
    <t>Leukotriene B4 Measurement</t>
  </si>
  <si>
    <t>C189516</t>
  </si>
  <si>
    <t>LTC4SN</t>
  </si>
  <si>
    <t>Leukotriene C4 Synthase</t>
  </si>
  <si>
    <t>A measurement of the leukotriene C4 synthase in a biological specimen.</t>
  </si>
  <si>
    <t>Leukotriene C4 Synthase Measurement</t>
  </si>
  <si>
    <t>C103414</t>
  </si>
  <si>
    <t>LTD4</t>
  </si>
  <si>
    <t>Leukotriene D4</t>
  </si>
  <si>
    <t>A measurement of the leukotriene D4 in a biological specimen.</t>
  </si>
  <si>
    <t>Leukotriene D4 Measurement</t>
  </si>
  <si>
    <t>C103415</t>
  </si>
  <si>
    <t>LTE4</t>
  </si>
  <si>
    <t>Leukotriene E4</t>
  </si>
  <si>
    <t>A measurement of the leukotriene E4 in a biological specimen.</t>
  </si>
  <si>
    <t>Leukotriene E4 Measurement</t>
  </si>
  <si>
    <t>C82021</t>
  </si>
  <si>
    <t>LTF</t>
  </si>
  <si>
    <t>Lactoferrin</t>
  </si>
  <si>
    <t>Lactoferrin; Lactotransferrin</t>
  </si>
  <si>
    <t>A measurement of the lactoferrin in a biological specimen.</t>
  </si>
  <si>
    <t>Lactoferrin Measurement</t>
  </si>
  <si>
    <t>C199997</t>
  </si>
  <si>
    <t>LTM</t>
  </si>
  <si>
    <t>Lean Tissue Mass</t>
  </si>
  <si>
    <t>The weight of a tissue part or whole tissue in an individual less the weight of the individual's body fat within that tissue part or whole tissue.</t>
  </si>
  <si>
    <t>Lean Tissue Mass Measurement</t>
  </si>
  <si>
    <t>C177963</t>
  </si>
  <si>
    <t>LURASIDN</t>
  </si>
  <si>
    <t>Lurasidone</t>
  </si>
  <si>
    <t>A measurement of the lurasidone in a biological specimen.</t>
  </si>
  <si>
    <t>Lurasidone Measurement</t>
  </si>
  <si>
    <t>C99524</t>
  </si>
  <si>
    <t>LVEF</t>
  </si>
  <si>
    <t>Left Ventricular Ejection Fraction</t>
  </si>
  <si>
    <t>The percent or fraction of the left ventricular end diastolic volume ejected during systole that can be measured by visual estimation or calculation.</t>
  </si>
  <si>
    <t>C135374</t>
  </si>
  <si>
    <t>LVEF_C</t>
  </si>
  <si>
    <t>Left Ventricular Ejection Fraction, Cal</t>
  </si>
  <si>
    <t>Left Ventricular Ejection Fraction, Cal; Left Ventricular Ejection Fraction, Calculated</t>
  </si>
  <si>
    <t>A calculated percent or fraction of the volume of blood ejected from the left ventricle during left ventricular systole, calculated as the left ventricular stroke volume divided by the left ventricular end diastolic volume.</t>
  </si>
  <si>
    <t>Calculated Left Ventricular Ejection Fraction</t>
  </si>
  <si>
    <t>C135375</t>
  </si>
  <si>
    <t>LVEF_E</t>
  </si>
  <si>
    <t>Left Ventricular Ejection Fraction, Est</t>
  </si>
  <si>
    <t>Left Ventricular Ejection Fraction, Est; Left Ventricular Ejection Fraction, Estimated</t>
  </si>
  <si>
    <t>A visual estimation of the percent or fraction of the volume of blood ejected from the left ventricle during left ventricular systole.</t>
  </si>
  <si>
    <t>Estimated Left Ventricular Ejection Fraction</t>
  </si>
  <si>
    <t>C221528</t>
  </si>
  <si>
    <t>LVEFINT</t>
  </si>
  <si>
    <t>Left Ventricular Ejection Fraction Intp</t>
  </si>
  <si>
    <t>Left Ventricular Ejection Fraction Interpretation; Left Ventricular Ejection Fraction Intp</t>
  </si>
  <si>
    <t>The explication or explanation of the meaning of the left ventricular ejection fraction measurement.</t>
  </si>
  <si>
    <t>Left Ventricular Ejection Fraction Interpretation</t>
  </si>
  <si>
    <t>C147385</t>
  </si>
  <si>
    <t>LVFBRSC</t>
  </si>
  <si>
    <t>Liver Fibrosis Score</t>
  </si>
  <si>
    <t>A scoring system that evaluates liver pathology through the assessment of multiple blood test parameters, taking into account additional demographic factors such as the age and/or sex of the subject.</t>
  </si>
  <si>
    <t>C38020</t>
  </si>
  <si>
    <t>LVFS</t>
  </si>
  <si>
    <t>Left Ventricular Fractional Shortening</t>
  </si>
  <si>
    <t>The reduction in the length of the end-diastolic diameter dimension that occurs between end-systole and end-diastole, expressed as a fraction of the end-diastolic dimension. Calculation of the left ventricular fractional shortening is per the following fo</t>
  </si>
  <si>
    <t>Left Ventricular Fractional Shortening Determination</t>
  </si>
  <si>
    <t>C142242</t>
  </si>
  <si>
    <t>LVMAS_E</t>
  </si>
  <si>
    <t>Left Ventricular Mass, Estimated</t>
  </si>
  <si>
    <t>The weight of the left ventricle in grams as estimated by a formula that uses estimated measurements from echocardiographic exams, as well as constants like the specific gravity of the myocardium. Left ventricular mass is estimated using the following equ</t>
  </si>
  <si>
    <t>Estimated Mass of Left Ventricle</t>
  </si>
  <si>
    <t>C142243</t>
  </si>
  <si>
    <t>LVMASIDX</t>
  </si>
  <si>
    <t>Left Ventricular Mass Index</t>
  </si>
  <si>
    <t>The left ventricular mass divided by the subject's body surface area.</t>
  </si>
  <si>
    <t>C127568</t>
  </si>
  <si>
    <t>LVOTPVEL</t>
  </si>
  <si>
    <t>LVOT Peak Velocity</t>
  </si>
  <si>
    <t>Left Ventricular Outflow Tract Peak Velocity; LVOT Peak Velocity</t>
  </si>
  <si>
    <t>A measurement of the maximum velocity of blood flow measured in the left ventricular outflow tract during left ventricular systole.</t>
  </si>
  <si>
    <t>Left Ventricular Outflow Tract Peak Velocity</t>
  </si>
  <si>
    <t>C127569</t>
  </si>
  <si>
    <t>LVOTVTI</t>
  </si>
  <si>
    <t>LVOT Velocity Time Integral</t>
  </si>
  <si>
    <t>Left Ventricular Outflow Tract Velocity Time Integral; LVOT Velocity Time Integral</t>
  </si>
  <si>
    <t>The integral of all of the instantaneous flow velocities within the left ventricular outflow tract during left ventricular systole.</t>
  </si>
  <si>
    <t>Left Ventricular Outflow Tract Velocity Time Integral</t>
  </si>
  <si>
    <t>C184572</t>
  </si>
  <si>
    <t>LVRPHNL</t>
  </si>
  <si>
    <t>Levorphanol</t>
  </si>
  <si>
    <t>A measurement of the levorphanol in a biological specimen.</t>
  </si>
  <si>
    <t>Levorphanol Measurement</t>
  </si>
  <si>
    <t>C135502</t>
  </si>
  <si>
    <t>LVSBJIND</t>
  </si>
  <si>
    <t>Living with Subject Indicator</t>
  </si>
  <si>
    <t>An indication as to whether the associated person is living with the subject. (NCI)</t>
  </si>
  <si>
    <t>C147386</t>
  </si>
  <si>
    <t>LVTRCTM</t>
  </si>
  <si>
    <t>Levetiracetam</t>
  </si>
  <si>
    <t>A measurement of the levetiracetam in a biological specimen.</t>
  </si>
  <si>
    <t>Levetiracetam Measurement</t>
  </si>
  <si>
    <t>C163463</t>
  </si>
  <si>
    <t>LY6E</t>
  </si>
  <si>
    <t>Lymphocyte Antigen 6E</t>
  </si>
  <si>
    <t>Lymphocyte Antigen 6 Family Member E; Lymphocyte Antigen 6E</t>
  </si>
  <si>
    <t>A measurement of the lymphocyte antigen 6E in a biological specimen.</t>
  </si>
  <si>
    <t>Lymphocyte Antigen 6E Measurement</t>
  </si>
  <si>
    <t>C178035</t>
  </si>
  <si>
    <t>LYEPIENT</t>
  </si>
  <si>
    <t>Intraepithelial Lymphocytes/Enterocytes</t>
  </si>
  <si>
    <t>Epithelial Lymphocytes/Enterocytes; Intraepithelial Lymphocytes/Enterocytes</t>
  </si>
  <si>
    <t>A relative measurement (ratio or percentage) of the lymphocytes to enterocytes within the epithelium of a biological specimen.</t>
  </si>
  <si>
    <t>Intraepithelial Lymphocytes to Enterocytes Ratio Measurement</t>
  </si>
  <si>
    <t>C51949</t>
  </si>
  <si>
    <t>LYM</t>
  </si>
  <si>
    <t>Lymphocytes</t>
  </si>
  <si>
    <t>A measurement of the lymphocytes in a biological specimen.</t>
  </si>
  <si>
    <t>Lymphocyte Count</t>
  </si>
  <si>
    <t>C119289</t>
  </si>
  <si>
    <t>LYMA</t>
  </si>
  <si>
    <t>Lymphocytes Activated</t>
  </si>
  <si>
    <t>A measurement of the total activated lymphocytes in a biological specimen.</t>
  </si>
  <si>
    <t>Activated Lymphocytes Measurement</t>
  </si>
  <si>
    <t>C64818</t>
  </si>
  <si>
    <t>LYMAT</t>
  </si>
  <si>
    <t>Lymphocytes Atypical</t>
  </si>
  <si>
    <t>Lymphocytes Atypical; Lymphocytes, Variant; Reactive Lymphocytes</t>
  </si>
  <si>
    <t>A measurement of the atypical lymphocytes in a biological specimen.</t>
  </si>
  <si>
    <t>Atypical Lymphocyte Count</t>
  </si>
  <si>
    <t>C64819</t>
  </si>
  <si>
    <t>LYMATLE</t>
  </si>
  <si>
    <t>Lymphocytes Atypical/Leukocytes</t>
  </si>
  <si>
    <t>Lymphocytes Atypical/Leukocytes; Lymphocytes, Variant/Leukocytes; Reactive Lymphocytes/Leukocytes</t>
  </si>
  <si>
    <t>A relative measurement (ratio or percentage) of the atypical lymphocytes to leukocytes in a biological specimen.</t>
  </si>
  <si>
    <t>Atypical Lymphocyte to Leukocyte Ratio Measurement</t>
  </si>
  <si>
    <t>C74654</t>
  </si>
  <si>
    <t>LYMATLY</t>
  </si>
  <si>
    <t>Atypical Lymphocytes/Lymphocytes</t>
  </si>
  <si>
    <t>Atypical Lymphocytes/Lymphocytes; Lymphocytes Atypical/Lymphocytes; Reactive Lymphocytes/Lymphocytes; Variant Lymphocytes/Lymphocytes</t>
  </si>
  <si>
    <t>A relative measurement (ratio or percentage) of the atypical lymphocytes to all lymphocytes in a biological specimen.</t>
  </si>
  <si>
    <t>Reactive Lymphocyte to Lymphocyte Ratio Measurement</t>
  </si>
  <si>
    <t>C98751</t>
  </si>
  <si>
    <t>LYMCE</t>
  </si>
  <si>
    <t>Lymphocytes/Total Cells</t>
  </si>
  <si>
    <t>A relative measurement (ratio or percentage) of the lymphocytes to total cells in a biological specimen (for example a bone marrow specimen).</t>
  </si>
  <si>
    <t>Lymphocyte to Total Cell Ratio Measurement</t>
  </si>
  <si>
    <t>C147387</t>
  </si>
  <si>
    <t>LYMCLF</t>
  </si>
  <si>
    <t>Lymphocytes, Clefted</t>
  </si>
  <si>
    <t>A measurement of the clefted lymphocytes in a biological specimen.</t>
  </si>
  <si>
    <t>Clefted Lymphocytes Count</t>
  </si>
  <si>
    <t>C147388</t>
  </si>
  <si>
    <t>LYMCLFLE</t>
  </si>
  <si>
    <t>Lymphocytes, Clefted/Leukocytes</t>
  </si>
  <si>
    <t>A relative measurement (ratio or percentage) of the clefted lymphocytes to total leukocytes in a biological specimen.</t>
  </si>
  <si>
    <t>Clefted Lymphocytes to Leukocytes Ratio Measurement</t>
  </si>
  <si>
    <t>C100444</t>
  </si>
  <si>
    <t>LYMIM</t>
  </si>
  <si>
    <t>Immature Lymphocytes</t>
  </si>
  <si>
    <t>A measurement of the immature lymphocytes in a biological specimen.</t>
  </si>
  <si>
    <t>Immature Lymphocytes Measurement</t>
  </si>
  <si>
    <t>C100443</t>
  </si>
  <si>
    <t>LYMIMLE</t>
  </si>
  <si>
    <t>Immature Lymphocytes/Leukocytes</t>
  </si>
  <si>
    <t>A relative measurement (ratio or percentage) of the immature lymphocytes to leukocytes in a biological specimen.</t>
  </si>
  <si>
    <t>Immature Lymphocytes to Leukocytes Ratio Measurement</t>
  </si>
  <si>
    <t>C64820</t>
  </si>
  <si>
    <t>LYMLE</t>
  </si>
  <si>
    <t>Lymphocytes/Leukocytes</t>
  </si>
  <si>
    <t>A relative measurement (ratio or percentage) of the lymphocytes to leukocytes in a biological specimen.</t>
  </si>
  <si>
    <t>Lymphocyte to Leukocyte Ratio</t>
  </si>
  <si>
    <t>C158236</t>
  </si>
  <si>
    <t>LYMLG</t>
  </si>
  <si>
    <t>Large Lymphocytes</t>
  </si>
  <si>
    <t>A measurement of the large lymphocytes (approximately between 10 um and 20 um in diameter) in a biological specimen.</t>
  </si>
  <si>
    <t>Large Lymphocyte Count</t>
  </si>
  <si>
    <t>C74613</t>
  </si>
  <si>
    <t>LYMMCE</t>
  </si>
  <si>
    <t>Lymphoma Cells</t>
  </si>
  <si>
    <t>A measurement of the malignant lymphocytes in a biological specimen.</t>
  </si>
  <si>
    <t>Lymphoma Cell Count</t>
  </si>
  <si>
    <t>C186078</t>
  </si>
  <si>
    <t>LYMMCECE</t>
  </si>
  <si>
    <t>Lymphoma Cells/Total Cells</t>
  </si>
  <si>
    <t>A relative measurement (ratio or percentage) of the lymphoma cells to total cells in a biological specimen.</t>
  </si>
  <si>
    <t>Lymphoma Cell to Total Cell Ratio Measurement</t>
  </si>
  <si>
    <t>C147389</t>
  </si>
  <si>
    <t>LYMMCELE</t>
  </si>
  <si>
    <t>Lymphoma Cells/Leukocytes</t>
  </si>
  <si>
    <t>A relative measurement (ratio or percentage) of the malignant lymphocytes to all leukocytes in a biological specimen.</t>
  </si>
  <si>
    <t>Lymphoma Cells to Leukocytes Ratio Measurement</t>
  </si>
  <si>
    <t>C74910</t>
  </si>
  <si>
    <t>LYMMCELY</t>
  </si>
  <si>
    <t>Lymphoma Cells/Lymphocytes</t>
  </si>
  <si>
    <t>A relative measurement (ratio or percentage) of the malignant lymphocytes to all lymphocytes in a biological specimen.</t>
  </si>
  <si>
    <t>Lymphoma Cell to Lymphocyte Ratio Measurement</t>
  </si>
  <si>
    <t>C186079</t>
  </si>
  <si>
    <t>LYMNE</t>
  </si>
  <si>
    <t>Lymphocytes/Neutrophils</t>
  </si>
  <si>
    <t>A relative measurement (ratio) of lymphocytes to neutrophils in a biological specimen.</t>
  </si>
  <si>
    <t>Lymphocyte to Neutrophil Ratio Measurement</t>
  </si>
  <si>
    <t>C135430</t>
  </si>
  <si>
    <t>LYMNSQE</t>
  </si>
  <si>
    <t>Lymphocytes/Non-Squam Epi Cells</t>
  </si>
  <si>
    <t>A relative measurement (ratio or percentage) of the lymphocytes to non-squamous epithelial cells in a biological specimen.</t>
  </si>
  <si>
    <t>Lymphocytes to Non-Squamous Epithelial Cells Ratio Measurement</t>
  </si>
  <si>
    <t>C187947</t>
  </si>
  <si>
    <t>LYMPAGG</t>
  </si>
  <si>
    <t>Lymphoid Aggregates</t>
  </si>
  <si>
    <t>A measurement of the lymphoid aggregates in a biological specimen.</t>
  </si>
  <si>
    <t>Lymphoid Aggregates Measurement</t>
  </si>
  <si>
    <t>C127766</t>
  </si>
  <si>
    <t>LYMPHINV</t>
  </si>
  <si>
    <t>Lymphatic Invasion</t>
  </si>
  <si>
    <t>An evaluation of lymphatic invasion in a biological specimen.</t>
  </si>
  <si>
    <t>Lymphatic Invasion Assessment</t>
  </si>
  <si>
    <t>C139064</t>
  </si>
  <si>
    <t>LYMPHOID</t>
  </si>
  <si>
    <t>Lymphoid Cells</t>
  </si>
  <si>
    <t>A measurement of the total lymphoid lineage cells in a biological specimen.</t>
  </si>
  <si>
    <t>Lymphoid Cell Count</t>
  </si>
  <si>
    <t>C81955</t>
  </si>
  <si>
    <t>LYMPHOTC</t>
  </si>
  <si>
    <t>Lymphotactin</t>
  </si>
  <si>
    <t>Chemokine Ligand 1; Lymphotactin</t>
  </si>
  <si>
    <t>A measurement of the lymphotactin in a biological specimen.</t>
  </si>
  <si>
    <t>Lymphotactin Measurement</t>
  </si>
  <si>
    <t>C74618</t>
  </si>
  <si>
    <t>LYMPL</t>
  </si>
  <si>
    <t>Plasmacytoid Lymphocytes</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</si>
  <si>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</si>
  <si>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</si>
  <si>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</si>
  <si>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C158229</t>
  </si>
  <si>
    <t>LYMPLLE</t>
  </si>
  <si>
    <t>Plasmacytoid Lymphocytes/Leukocytes</t>
  </si>
  <si>
    <t>A relative measurement (ratio or percentage) of the plasmacytoid lymphocytes to all leukocytes in a biological specimen.</t>
  </si>
  <si>
    <t>Plasmacytoid Lymphocytes to Leukocytes Ratio Measurement</t>
  </si>
  <si>
    <t>C74648</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</si>
  <si>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</si>
  <si>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</si>
  <si>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</si>
  <si>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</si>
  <si>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C111329</t>
  </si>
  <si>
    <t>LYMVAC</t>
  </si>
  <si>
    <t>Vacuolated Lymphocytes</t>
  </si>
  <si>
    <t>A measurement of the vacuolated lymphocytes in a biological specimen.</t>
  </si>
  <si>
    <t>Vacuolated Lymphocyte Count</t>
  </si>
  <si>
    <t>C127627</t>
  </si>
  <si>
    <t>LYMVACLE</t>
  </si>
  <si>
    <t>Vacuolated Lymphocytes/Leukocytes</t>
  </si>
  <si>
    <t>A relative measurement (ratio or percentage) of the vacuolated lymphocytes to leukocytes in a biological specimen.</t>
  </si>
  <si>
    <t>Vacuolated Lymphocyte to Leukocyte Ratio Measurement</t>
  </si>
  <si>
    <t>C122134</t>
  </si>
  <si>
    <t>LYS</t>
  </si>
  <si>
    <t>Lysine</t>
  </si>
  <si>
    <t>A measurement of the lysine in a biological specimen.</t>
  </si>
  <si>
    <t>Lysine Measurement</t>
  </si>
  <si>
    <t>C209601</t>
  </si>
  <si>
    <t>LYSOGB3</t>
  </si>
  <si>
    <t>Globotriaosylsphingosine</t>
  </si>
  <si>
    <t>Globotriaosylsphingosine; Lyso-Gb3; Lyso-GL3</t>
  </si>
  <si>
    <t>A measurement of the globotriaosylsphingosine in a biological specimen.</t>
  </si>
  <si>
    <t>Globotriaosylsphingosine Measurement</t>
  </si>
  <si>
    <t>C184523</t>
  </si>
  <si>
    <t>LYSOGL1</t>
  </si>
  <si>
    <t>Glucopsychosine</t>
  </si>
  <si>
    <t>Glucopsychosine; Glucosylsphingosine; Lyso-GL1</t>
  </si>
  <si>
    <t>A measurement of the glucopsychosine in a biological specimen.</t>
  </si>
  <si>
    <t>Glucopsychosine Measurement</t>
  </si>
  <si>
    <t>C120640</t>
  </si>
  <si>
    <t>LYSOZYME</t>
  </si>
  <si>
    <t>Lysozyme</t>
  </si>
  <si>
    <t>A measurement of lysozyme in a biological specimen.</t>
  </si>
  <si>
    <t>Lysozyme Measurement</t>
  </si>
  <si>
    <t>C154728</t>
  </si>
  <si>
    <t>M130</t>
  </si>
  <si>
    <t>Scavenger Rcpt Cys-Rich Type1 Prot M130</t>
  </si>
  <si>
    <t>Scavenger Rcpt Cys-Rich Type1 Prot M130; Scavenger Receptor Cysteine-Rich Type 1 Protein M130; Soluble CD163; Soluble CD163a</t>
  </si>
  <si>
    <t>A measurement of the scavenger receptor cysteine-rich type 1 protein M130 in a biological specimen.</t>
  </si>
  <si>
    <t>Scavenger Receptor Cysteine-Rich Type 1 Protein M130 Measurement</t>
  </si>
  <si>
    <t>C172543</t>
  </si>
  <si>
    <t>MAB</t>
  </si>
  <si>
    <t>Mycobacterium abscessus</t>
  </si>
  <si>
    <t>A measurement of the Mycobacterium abscessus in a biological specimen.</t>
  </si>
  <si>
    <t>Mycobacterium abscessus Measurement</t>
  </si>
  <si>
    <t>C184550</t>
  </si>
  <si>
    <t>MABCHMCA</t>
  </si>
  <si>
    <t>MAB-CHMINACA</t>
  </si>
  <si>
    <t>A measurement of the synthetic cannabinoid MAB-CHMINACA in a biological specimen.</t>
  </si>
  <si>
    <t>MAB-CHMINACA Measurement</t>
  </si>
  <si>
    <t>C201421</t>
  </si>
  <si>
    <t>MABTAB</t>
  </si>
  <si>
    <t>Modulating Autoab/Total Autoab</t>
  </si>
  <si>
    <t>Modulating Autoab/Total Autoab; Modulating Autoantibody/Total Autoantibody</t>
  </si>
  <si>
    <t>A relative measurement (ratio or percentage) of the modulating autoantibody to total autoantibody in a biological specimen.</t>
  </si>
  <si>
    <t>Modulating Autoantibody to Autoantibody Ratio Measurement</t>
  </si>
  <si>
    <t>C147390</t>
  </si>
  <si>
    <t>MACROBLD</t>
  </si>
  <si>
    <t>Macroscopic Blood</t>
  </si>
  <si>
    <t>Macroscopic Blood; Visible Blood</t>
  </si>
  <si>
    <t>A measurement of the blood in body products such as a urine or stool sample, and visibly detectable on gross examination.</t>
  </si>
  <si>
    <t>Macroscopic Blood Measurement</t>
  </si>
  <si>
    <t>C64821</t>
  </si>
  <si>
    <t>MACROCY</t>
  </si>
  <si>
    <t>Macrocytes</t>
  </si>
  <si>
    <t>A measurement of the macrocytes in a biological specimen.</t>
  </si>
  <si>
    <t>Macrocyte Count</t>
  </si>
  <si>
    <t>C161312</t>
  </si>
  <si>
    <t>MALEVDES</t>
  </si>
  <si>
    <t>Malignancy Evidence Description</t>
  </si>
  <si>
    <t>The basis for the determination that a malignancy is present.</t>
  </si>
  <si>
    <t>Evidence of Malignant Disease Description</t>
  </si>
  <si>
    <t>C161423</t>
  </si>
  <si>
    <t>MALIND</t>
  </si>
  <si>
    <t>Malignancy Indicator</t>
  </si>
  <si>
    <t>An indication as to whether a malignancy is present.</t>
  </si>
  <si>
    <t>Malignant Disease Indicator</t>
  </si>
  <si>
    <t>C181488</t>
  </si>
  <si>
    <t>MALLBOD</t>
  </si>
  <si>
    <t>Mallory Body</t>
  </si>
  <si>
    <t>Mallory Body; Mallory Hyaline; Mallory's Hyaline; Mallory-Denk Body</t>
  </si>
  <si>
    <t>An evaluation of Mallory bodies in a biological specimen.</t>
  </si>
  <si>
    <t>Mallory Body Assessment</t>
  </si>
  <si>
    <t>C174233</t>
  </si>
  <si>
    <t>MANDL</t>
  </si>
  <si>
    <t>Mandibular Length</t>
  </si>
  <si>
    <t>A measurement of the length of the mandible.</t>
  </si>
  <si>
    <t>C154742</t>
  </si>
  <si>
    <t>MANNITOL</t>
  </si>
  <si>
    <t>Mannitol</t>
  </si>
  <si>
    <t>A measurement of the mannitol in a biological specimen.</t>
  </si>
  <si>
    <t>Mannitol Measurement</t>
  </si>
  <si>
    <t>C49679</t>
  </si>
  <si>
    <t>MAP</t>
  </si>
  <si>
    <t>Mean Arterial Pressure</t>
  </si>
  <si>
    <t>The mean pressure of the blood within the arterial circulation.</t>
  </si>
  <si>
    <t>C25188</t>
  </si>
  <si>
    <t>MARISTAT</t>
  </si>
  <si>
    <t>Marital Status</t>
  </si>
  <si>
    <t>The state or condition of a person's matrimonial status.</t>
  </si>
  <si>
    <t>C43246</t>
  </si>
  <si>
    <t>MASS</t>
  </si>
  <si>
    <t>Mass</t>
  </si>
  <si>
    <t>The amount of matter in an object.</t>
  </si>
  <si>
    <t>C154886</t>
  </si>
  <si>
    <t>MASSIND</t>
  </si>
  <si>
    <t>Mass Indicator</t>
  </si>
  <si>
    <t>An indication as to whether a mass is present.</t>
  </si>
  <si>
    <t>C111246</t>
  </si>
  <si>
    <t>MASTCE</t>
  </si>
  <si>
    <t>Mast Cells</t>
  </si>
  <si>
    <t>Mast Cells; Mastocytes</t>
  </si>
  <si>
    <t>A measurement of the mast cells in a biological specimen.</t>
  </si>
  <si>
    <t>Mast Cell Count</t>
  </si>
  <si>
    <t>C111247</t>
  </si>
  <si>
    <t>MASTCECE</t>
  </si>
  <si>
    <t>Mast Cells/Total Cells</t>
  </si>
  <si>
    <t>A relative measurement (ratio or percentage) of the mast cells to total cells in a biological specimen.</t>
  </si>
  <si>
    <t>Mast Cell to Total Cell Ratio Measurement</t>
  </si>
  <si>
    <t>C187812</t>
  </si>
  <si>
    <t>MASTCELE</t>
  </si>
  <si>
    <t>Mast Cells/Leukocytes</t>
  </si>
  <si>
    <t>A relative measurement (ratio or percentage) of mast cells to total leukocytes in a biological specimen.</t>
  </si>
  <si>
    <t>Mast Cells to Leukocytes Ratio Measurement</t>
  </si>
  <si>
    <t>C120723</t>
  </si>
  <si>
    <t>MAT</t>
  </si>
  <si>
    <t>Mean Absorption Time</t>
  </si>
  <si>
    <t>Mean absorption time of a substance administered by extravascular dosing.</t>
  </si>
  <si>
    <t>C172540</t>
  </si>
  <si>
    <t>MAVCM</t>
  </si>
  <si>
    <t>Mycobacterium avium Complex</t>
  </si>
  <si>
    <t>A measurement of the group of bacterial species that can be assigned to the Mycobacterium avium complex in a biological specimen.</t>
  </si>
  <si>
    <t>Mycobacterium avium Complex Measurement</t>
  </si>
  <si>
    <t>C221650</t>
  </si>
  <si>
    <t>MAXDLMD</t>
  </si>
  <si>
    <t>Max Dimension Largest Metastatic Deposit</t>
  </si>
  <si>
    <t>Max Dimension Largest Metastatic Deposit; Maximum Dimension of the Largest Metastatic Deposit</t>
  </si>
  <si>
    <t>A measurement of the maximum dimension (longest or widest) of the largest metastatic deposit.</t>
  </si>
  <si>
    <t>Maximum Dimension of Largest Metastatic Deposit</t>
  </si>
  <si>
    <t>C139048</t>
  </si>
  <si>
    <t>MAXPEFFW</t>
  </si>
  <si>
    <t>Maximal Pericardial Effusion Width</t>
  </si>
  <si>
    <t>The quantitative measurement of the maximum separation between the parietal and visceral pericardia during diastole.</t>
  </si>
  <si>
    <t>C147492</t>
  </si>
  <si>
    <t>MAXPREHR</t>
  </si>
  <si>
    <t>Maximum Predicted Heart Rate</t>
  </si>
  <si>
    <t>The predicted upper limit for an individual's heart rate, which is calculated as 220 minus the subject's age for men, and 210 minus the subject's age for women.</t>
  </si>
  <si>
    <t>C74614</t>
  </si>
  <si>
    <t>MAYHEG</t>
  </si>
  <si>
    <t>May-Hegglin Anomaly</t>
  </si>
  <si>
    <t>A measurement of the May-Hegglin anomaly in a blood sample. This anomaly is characterized by large, misshapen platelets and the presence of Dohle bodies in leukocytes.</t>
  </si>
  <si>
    <t>May-Hegglin Anomaly Measurement</t>
  </si>
  <si>
    <t>C184623</t>
  </si>
  <si>
    <t>MAZINDOL</t>
  </si>
  <si>
    <t>Mazindol</t>
  </si>
  <si>
    <t>A measurement of the mazindol in a biological specimen.</t>
  </si>
  <si>
    <t>Mazindol Measurement</t>
  </si>
  <si>
    <t>C187780</t>
  </si>
  <si>
    <t>MBAB</t>
  </si>
  <si>
    <t>Microbial-induced Antibody</t>
  </si>
  <si>
    <t>A measurement of the binding microbial-induced antibody in a biological specimen; the production of this antibody may be triggered by naturally occurring infection, vaccination and/or viral vector-based therapy using a whole microbe or component(s) of a m</t>
  </si>
  <si>
    <t>Microbial-induced Antibody Measurement</t>
  </si>
  <si>
    <t>C181395</t>
  </si>
  <si>
    <t>MBFAB</t>
  </si>
  <si>
    <t>Functional Microbial-induced Antibody</t>
  </si>
  <si>
    <t>A measurement of the functional binding microbial-induced antibody in a biological specimen. A functional microbial-induced antibody is defined as antibodies that have agonist or antagonist effects on pathogens or their toxins in the presence of other eff</t>
  </si>
  <si>
    <t>Functional Microbial-induced Antibody Measurement</t>
  </si>
  <si>
    <t>C127570</t>
  </si>
  <si>
    <t>MBFVEL</t>
  </si>
  <si>
    <t>Mean Blood Flow Velocity</t>
  </si>
  <si>
    <t>A measurement of the mean velocity of blood across an area or tissue.</t>
  </si>
  <si>
    <t>C187781</t>
  </si>
  <si>
    <t>MBIAMAB</t>
  </si>
  <si>
    <t>Microbial-induced IgA/IgM Antibody</t>
  </si>
  <si>
    <t>A measurement of the binding microbial-induced IgA and/or IgM antibody in a biological specimen; the production of this antibody may be triggered by naturally occurring infection, vaccination and/or viral vector-based therapy using a whole microbe or comp</t>
  </si>
  <si>
    <t>Microbial-induced IgA and/or IgM Antibody Measurement</t>
  </si>
  <si>
    <t>C187784</t>
  </si>
  <si>
    <t>MBIG_MAB</t>
  </si>
  <si>
    <t>Microbial-induced IgG + IgM Antibody</t>
  </si>
  <si>
    <t>A measurement of the binding microbial-induced IgG and IgM antibody in a biological specimen; the production of this antibody may be triggered by naturally occurring infection, vaccination and/or viral vector-based therapy using a whole microbe or compone</t>
  </si>
  <si>
    <t>Microbial-induced IgG and IgM Antibody Measurement</t>
  </si>
  <si>
    <t>C187782</t>
  </si>
  <si>
    <t>MBIGAAB</t>
  </si>
  <si>
    <t>Microbial-induced IgA Antibody</t>
  </si>
  <si>
    <t>A measurement of the binding microbial-induced IgA antibody in a biological specimen; the production of this antibody may be triggered by naturally occurring infection, vaccination and/or viral vector-based therapy using a whole microbe or component(s) of</t>
  </si>
  <si>
    <t>Microbial-induced IgA Antibody Measurement</t>
  </si>
  <si>
    <t>C187783</t>
  </si>
  <si>
    <t>MBIGEAB</t>
  </si>
  <si>
    <t>Microbial-induced IgE Antibody</t>
  </si>
  <si>
    <t>A measurement of the binding microbial-induced IgE antibody in a biological specimen; the production of this antibody may be triggered by naturally occurring infection, vaccination and/or viral vector-based therapy using a whole microbe or component(s) of</t>
  </si>
  <si>
    <t>Microbial-induced IgE Antibody Measurement</t>
  </si>
  <si>
    <t>C181394</t>
  </si>
  <si>
    <t>MBIGGAB</t>
  </si>
  <si>
    <t>Microbial-induced IgG Antibody</t>
  </si>
  <si>
    <t>A measurement of the binding microbial-induced IgG antibody in a biological specimen; the production of this antibody may be triggered by naturally occurring infection, vaccination and/or viral vector-based therapy using a whole microbe or component(s) of</t>
  </si>
  <si>
    <t>Microbial-induced IgG Antibody Measurement</t>
  </si>
  <si>
    <t>C187785</t>
  </si>
  <si>
    <t>MBIGMAB</t>
  </si>
  <si>
    <t>Microbial-induced IgG/IgM Antibody</t>
  </si>
  <si>
    <t>A measurement of the binding microbial-induced IgG and/or IgM antibody in a biological specimen; the production of this antibody may be triggered by naturally occurring infection, vaccination and/or viral vector-based therapy using a whole microbe or comp</t>
  </si>
  <si>
    <t>Microbial-induced IgG and/or IgM Antibody Measurement</t>
  </si>
  <si>
    <t>C187786</t>
  </si>
  <si>
    <t>MBIMAB</t>
  </si>
  <si>
    <t>Microbial-induced IgM Antibody</t>
  </si>
  <si>
    <t>A measurement of the binding microbial-induced IgM antibody in a biological specimen; the production of this antibody may be triggered by naturally occurring infection, vaccination and/or viral vector-based therapy using a whole microbe or component(s) of</t>
  </si>
  <si>
    <t>Microbial-induced IgM Antibody Measurement</t>
  </si>
  <si>
    <t>C187787</t>
  </si>
  <si>
    <t>MBIMAGAB</t>
  </si>
  <si>
    <t>Microbial-induced IgM/IgA/IgG Antibody</t>
  </si>
  <si>
    <t>A measurement of the binding microbial-induced IgM, IgA and/or IgG antibody in a biological specimen; the production of this antibody may be triggered by naturally occurring infection, vaccination and/or viral vector-based therapy using a whole microbe or</t>
  </si>
  <si>
    <t>Microbial-induced IgM, IgA, and/or IgG Antibody Measurement</t>
  </si>
  <si>
    <t>C181396</t>
  </si>
  <si>
    <t>MBNAB</t>
  </si>
  <si>
    <t>Neutralizing Microbial-induced Antibody</t>
  </si>
  <si>
    <t>A measurement of the neutralizing binding microbial-induced antibody in a biological specimen. A neutralizing microbial-induced antibody is a type of functional antibody that's defined as antibodies that bind to, block and prevent microbes from infecting</t>
  </si>
  <si>
    <t>Neutralizing Microbial-induced Antibody Measurement</t>
  </si>
  <si>
    <t>C122135</t>
  </si>
  <si>
    <t>MBP</t>
  </si>
  <si>
    <t>Myelin Basic Protein</t>
  </si>
  <si>
    <t>A measurement of the myelin basic protein in a biological specimen.</t>
  </si>
  <si>
    <t>Myelin Basic Protein Measurement</t>
  </si>
  <si>
    <t>C187862</t>
  </si>
  <si>
    <t>MCA</t>
  </si>
  <si>
    <t>Moraxella catarrhalis</t>
  </si>
  <si>
    <t>A measurement of the Moraxella catarrhalis in a biological specimen.</t>
  </si>
  <si>
    <t>Moraxella catarrhalis Measurement</t>
  </si>
  <si>
    <t>C177957</t>
  </si>
  <si>
    <t>MCA2</t>
  </si>
  <si>
    <t>2-Methylcitrate</t>
  </si>
  <si>
    <t>2-Methylcitrate; 2-Methylcitric Acid; MCA; Methylcitrate; Methylcitric Acid</t>
  </si>
  <si>
    <t>A measurement of the 2-methylcitrate in a biological specimen.</t>
  </si>
  <si>
    <t>2-Methylcitrate Measurement</t>
  </si>
  <si>
    <t>C191323</t>
  </si>
  <si>
    <t>MCADNA</t>
  </si>
  <si>
    <t>Moraxella catarrhalis DNA</t>
  </si>
  <si>
    <t>A measurement of the Moraxella catarrhalis DNA in a biological specimen.</t>
  </si>
  <si>
    <t>Moraxella catarrhalis DNA Measurement</t>
  </si>
  <si>
    <t>C184552</t>
  </si>
  <si>
    <t>MCATHNON</t>
  </si>
  <si>
    <t>Methcathinone</t>
  </si>
  <si>
    <t>Ephedrone; Methcathinone</t>
  </si>
  <si>
    <t>A measurement of the methcathinone in a biological specimen.</t>
  </si>
  <si>
    <t>Methcathinone Measurement</t>
  </si>
  <si>
    <t>C181481</t>
  </si>
  <si>
    <t>MCGNLM</t>
  </si>
  <si>
    <t>Microgranuloma</t>
  </si>
  <si>
    <t>An evaluation of microgranuloma in a biological specimen.</t>
  </si>
  <si>
    <t>Microgranuloma Assessment</t>
  </si>
  <si>
    <t>C64797</t>
  </si>
  <si>
    <t>MCH</t>
  </si>
  <si>
    <t>Ery. Mean Corpuscular Hemoglobin</t>
  </si>
  <si>
    <t>A measurement of the mean amount of hemoglobin per erythrocyte in a biological specimen, calculated as the product of hemoglobin times ten, divided by the number of erythrocytes.</t>
  </si>
  <si>
    <t>Erythrocyte Mean Corpuscular Hemoglobin</t>
  </si>
  <si>
    <t>C172544</t>
  </si>
  <si>
    <t>Mycobacterium chelonae</t>
  </si>
  <si>
    <t>A measurement of the Mycobacterium chelonae in a biological specimen.</t>
  </si>
  <si>
    <t>Mycobacterium chelonae Measurement</t>
  </si>
  <si>
    <t>C64798</t>
  </si>
  <si>
    <t>MCHC</t>
  </si>
  <si>
    <t>Ery. Mean Corpuscular HGB Concentration</t>
  </si>
  <si>
    <t>An indirect measurement of the average concentration of hemoglobin per erythrocyte in a biological specimen, calculated as the ratio of hemoglobin to hematocrit.</t>
  </si>
  <si>
    <t>Erythrocyte Mean Corpuscular Hemoglobin Concentration</t>
  </si>
  <si>
    <t>C135469</t>
  </si>
  <si>
    <t>MCINTINF</t>
  </si>
  <si>
    <t>Mononuc Cell Interstitial Inflammation</t>
  </si>
  <si>
    <t>An evaluation of mononuclear cell interstitial inflammation in a biological specimen.</t>
  </si>
  <si>
    <t>Mononuclear Cell Interstitial Inflammation Assessment</t>
  </si>
  <si>
    <t>C132416</t>
  </si>
  <si>
    <t>MCORGIDN</t>
  </si>
  <si>
    <t>Microbial Organism Identification</t>
  </si>
  <si>
    <t>The identification of the type of a microbial organism in a biological specimen.</t>
  </si>
  <si>
    <t>Microoganism Identification</t>
  </si>
  <si>
    <t>C82025</t>
  </si>
  <si>
    <t>MCP1</t>
  </si>
  <si>
    <t>Monocyte Chemotactic Protein 1</t>
  </si>
  <si>
    <t>CCL2; Chemokine (C-C Motif) Ligand 2; Monocyte Chemoattractant Protein-1; Monocyte Chemotactic Protein 1</t>
  </si>
  <si>
    <t>A measurement of the monocyte chemotactic protein 1 in a biological specimen.</t>
  </si>
  <si>
    <t>Monocyte Chemotactic Protein 1 Measurement</t>
  </si>
  <si>
    <t>C209602</t>
  </si>
  <si>
    <t>MCP1CRT</t>
  </si>
  <si>
    <t>Monocyte Chemotactic Protein1/Creatinine</t>
  </si>
  <si>
    <t>CCL2/Creatinine; Chemokine (C-C Motif) Ligand 2/Creatinine; Monocyte Chemotactic Protein 1/Creatinine; Monocyte Chemotactic Protein1/Creatinine</t>
  </si>
  <si>
    <t>A relative measurement (ratio or percentage) of the monocyte chemotactic protein 1 to creatinine in a biological specimen.</t>
  </si>
  <si>
    <t>Monocyte Chemotactic Protein 1 to Creatinine Ratio Measurement</t>
  </si>
  <si>
    <t>C74798</t>
  </si>
  <si>
    <t>MCPHG</t>
  </si>
  <si>
    <t>Macrophages</t>
  </si>
  <si>
    <t>A measurement of the macrophages in a biological specimen.</t>
  </si>
  <si>
    <t>Macrophage Count</t>
  </si>
  <si>
    <t>C111244</t>
  </si>
  <si>
    <t>MCPHGCE</t>
  </si>
  <si>
    <t>Macrophages/Total Cells</t>
  </si>
  <si>
    <t>A relative measurement (ratio or percentage) of the macrophages to total cells in a biological specimen.</t>
  </si>
  <si>
    <t>Macrophage to Total Cell Ratio Measurement</t>
  </si>
  <si>
    <t>C123460</t>
  </si>
  <si>
    <t>MCPHGLE</t>
  </si>
  <si>
    <t>Macrophages/Leukocytes</t>
  </si>
  <si>
    <t>A relative measurement (ratio or percentage) of the macrophages to leukocytes in a biological specimen.</t>
  </si>
  <si>
    <t>Macrophage to Leukocyte Ratio</t>
  </si>
  <si>
    <t>C135431</t>
  </si>
  <si>
    <t>MCPHNSQE</t>
  </si>
  <si>
    <t>Macrophages/Non-Squam Epi Cells</t>
  </si>
  <si>
    <t>A relative measurement (ratio or percentage) of the macrophages to non-squamous epithelial cells in a biological specimen.</t>
  </si>
  <si>
    <t>Macrophages to Non-Squamous Epithelial Cells Ratio Measurement</t>
  </si>
  <si>
    <t>C92291</t>
  </si>
  <si>
    <t>MCPROT</t>
  </si>
  <si>
    <t>Monoclonal Protein</t>
  </si>
  <si>
    <t>Abnormal Gamma Protein Band; M Protein; M-Spike Paraprotein; M-Spike Protein; Monoclonal Immunoglobulin Protein; Monoclonal Protein; Monoclonal Protein Spike; Myeloma Protein; Paraprotein</t>
  </si>
  <si>
    <t>A measurement of homogenous immunoglobulin resulting from the proliferation of a single clone of plasma cells in a biological specimen.</t>
  </si>
  <si>
    <t>Monoclonal Protein Measurement</t>
  </si>
  <si>
    <t>C80191</t>
  </si>
  <si>
    <t>MCSF</t>
  </si>
  <si>
    <t>Macrophage Colony Stimulating Factor</t>
  </si>
  <si>
    <t>A measurement of the macrophage colony stimulating factor in a biological specimen.</t>
  </si>
  <si>
    <t>Macrophage Colony Stimulating Factor Measurement</t>
  </si>
  <si>
    <t>C64799</t>
  </si>
  <si>
    <t>MCV</t>
  </si>
  <si>
    <t>Ery. Mean Corpuscular Volume</t>
  </si>
  <si>
    <t>Ery. Mean Corpuscular Volume; Erythrocytes Mean Corpuscular Volume; RBC Mean Corpuscular Volume</t>
  </si>
  <si>
    <t>A measurement of the mean cellular volume per erythrocyte in a biological specimen.</t>
  </si>
  <si>
    <t>Erythrocyte Mean Corpuscular Volume</t>
  </si>
  <si>
    <t>C114215</t>
  </si>
  <si>
    <t>MCVRETIC</t>
  </si>
  <si>
    <t>MCV Reticulocytes</t>
  </si>
  <si>
    <t>MCV Reticulocytes; MCVr; Mean Corpuscular Volume Reticulocytes</t>
  </si>
  <si>
    <t>A measurement of the mean volume of reticulocytes in a biological specimen.</t>
  </si>
  <si>
    <t>Reticulocyte Mean Corpuscular Volume</t>
  </si>
  <si>
    <t>C174294</t>
  </si>
  <si>
    <t>MDA</t>
  </si>
  <si>
    <t>3,4-methylenedioxyamphetamine</t>
  </si>
  <si>
    <t>A measurement of the 3,4-methylenedioxyamphetamine in a biological specimen.</t>
  </si>
  <si>
    <t>3,4-methylenedioxyamphetamine Measurement</t>
  </si>
  <si>
    <t>C187811</t>
  </si>
  <si>
    <t>MDALD</t>
  </si>
  <si>
    <t>Malondialdehyde</t>
  </si>
  <si>
    <t>Malondialdehyde; MDA</t>
  </si>
  <si>
    <t>A measurement of the malondialdehyde in a biological specimen.</t>
  </si>
  <si>
    <t>Malondialdehyde Measurement</t>
  </si>
  <si>
    <t>C81956</t>
  </si>
  <si>
    <t>MDC</t>
  </si>
  <si>
    <t>Macrophage-Derived Chemokine</t>
  </si>
  <si>
    <t>C-C Motif Chemokine Ligand 22; CCL22; Chemokine (C-C Motif) Ligand 22; Chemokine Ligand 22; Macrophage-Derived Chemokine</t>
  </si>
  <si>
    <t>A measurement of the macrophage-derived chemokine in a biological specimen.</t>
  </si>
  <si>
    <t>Macrophage-Derived Chemokine Measurement</t>
  </si>
  <si>
    <t>C209688</t>
  </si>
  <si>
    <t>MDCDIND</t>
  </si>
  <si>
    <t>Medicaid Indicator</t>
  </si>
  <si>
    <t>An indication as to whether the subject is covered by Medicaid.</t>
  </si>
  <si>
    <t>C209689</t>
  </si>
  <si>
    <t>MDCRIND</t>
  </si>
  <si>
    <t>Medicare Indicator</t>
  </si>
  <si>
    <t>An indication as to whether the subject is covered by Medicare.</t>
  </si>
  <si>
    <t>C174295</t>
  </si>
  <si>
    <t>MDEA</t>
  </si>
  <si>
    <t>3,4-methylenedioxy-N-ethylamphetamine</t>
  </si>
  <si>
    <t>3,4-methylenedioxy-N-ethylamphetamine; Eve; MDE</t>
  </si>
  <si>
    <t>A measurement of the 3,4-methylenedioxy-N-ethylamphetamine in a biological specimen.</t>
  </si>
  <si>
    <t>3,4-methylenedioxy-N-ethylamphetamine Measurement</t>
  </si>
  <si>
    <t>C75359</t>
  </si>
  <si>
    <t>MDMA</t>
  </si>
  <si>
    <t>3,4-methylenedioxymethamphetamine</t>
  </si>
  <si>
    <t>3,4-methylenedioxymethamphetamine; Ecstasy</t>
  </si>
  <si>
    <t>A measurement of the 3,4-methylenedioxymethamphetamine (MDMA) in a biological specimen.</t>
  </si>
  <si>
    <t>3,4-Methylenedioxymethamphetamine Measurement</t>
  </si>
  <si>
    <t>C201429</t>
  </si>
  <si>
    <t>MDW</t>
  </si>
  <si>
    <t>Monocyte Distribution Width</t>
  </si>
  <si>
    <t>A measurement of the monocyte volume dispersion in a biological specimen.</t>
  </si>
  <si>
    <t>Monocyte Distribution Width Measurement</t>
  </si>
  <si>
    <t>C139083</t>
  </si>
  <si>
    <t>MDZLM</t>
  </si>
  <si>
    <t>Midazolam</t>
  </si>
  <si>
    <t>A measurement of the midazolam present in a biological specimen.</t>
  </si>
  <si>
    <t>Midazolam Measurement</t>
  </si>
  <si>
    <t>C139079</t>
  </si>
  <si>
    <t>MDZPM</t>
  </si>
  <si>
    <t>Medazepam</t>
  </si>
  <si>
    <t>A measurement of the medazepam present in a biological specimen.</t>
  </si>
  <si>
    <t>Medazepam Measurement</t>
  </si>
  <si>
    <t>C135376</t>
  </si>
  <si>
    <t>MEANBP_E</t>
  </si>
  <si>
    <t>Mean Blood Pressure, Estimated</t>
  </si>
  <si>
    <t>The estimated average blood pressure. (NCI)</t>
  </si>
  <si>
    <t>Estimated Mean Blood Pressure</t>
  </si>
  <si>
    <t>C116143</t>
  </si>
  <si>
    <t>MEANVDIA</t>
  </si>
  <si>
    <t>Mean Vessel Diameter</t>
  </si>
  <si>
    <t>The mean of the inside diameters of the normal blood vessel segments.</t>
  </si>
  <si>
    <t>C161482</t>
  </si>
  <si>
    <t>MEASIND</t>
  </si>
  <si>
    <t>Measurable Tumor Indicator</t>
  </si>
  <si>
    <t>An indication as to whether a measurable tumor is present.</t>
  </si>
  <si>
    <t>C139114</t>
  </si>
  <si>
    <t>MEC50FCB</t>
  </si>
  <si>
    <t>Microbial EC50 Fold Change from Baseline</t>
  </si>
  <si>
    <t>A fold change based on the concentration of a specific drug expected to produce 50 percent inhibition of population growth or replication of a microbial organism. (NCI)</t>
  </si>
  <si>
    <t>C139115</t>
  </si>
  <si>
    <t>MEC50FCR</t>
  </si>
  <si>
    <t>Microbial EC50 Fold Change from Ref</t>
  </si>
  <si>
    <t>Microbial EC50 Fold Change from Ref; Microbial EC50 Fold Change from Reference</t>
  </si>
  <si>
    <t>A fold change based on the concentration of a specific drug expected to produce 50 percent inhibition of the population growth or replication of a microbial organism. It is a ratio calculated by the EC50 Subject Result divided by the EC50 Reference Contro</t>
  </si>
  <si>
    <t>Microbial EC50 Fold Change from Reference</t>
  </si>
  <si>
    <t>C139116</t>
  </si>
  <si>
    <t>MEC50R</t>
  </si>
  <si>
    <t>Microbial EC50 Reference Control Result</t>
  </si>
  <si>
    <t>A reference control sample response based on the concentration of a specific drug expected to produce 50 percent inhibition of the population growth or replication of a microbial organism. (NCI)</t>
  </si>
  <si>
    <t>C139117</t>
  </si>
  <si>
    <t>MEC50S</t>
  </si>
  <si>
    <t>Microbial EC50 Subject Result</t>
  </si>
  <si>
    <t>A measurement of titer of a microbial organism that has been exposed to the concentration of a specific drug expected to produce 50 percent inhibition of the population growth or replication of a microbial organism. (NCI)</t>
  </si>
  <si>
    <t>C99539</t>
  </si>
  <si>
    <t>MECHCSPT</t>
  </si>
  <si>
    <t>Mech Circ Support Placement Timing</t>
  </si>
  <si>
    <t>Mech Circ Support Placement Timing; Mechanical Circulatory Support Placement Timing</t>
  </si>
  <si>
    <t>A description of the timepoint at which the mechanical circulatory support device was implanted.</t>
  </si>
  <si>
    <t>Mechanical Circulatory Support Placement Timing</t>
  </si>
  <si>
    <t>C147391</t>
  </si>
  <si>
    <t>MECONIUM</t>
  </si>
  <si>
    <t>Meconium</t>
  </si>
  <si>
    <t>A measurement of the meconium in a biological specimen.</t>
  </si>
  <si>
    <t>Meconium Measurement</t>
  </si>
  <si>
    <t>C181487</t>
  </si>
  <si>
    <t>MEGAMITC</t>
  </si>
  <si>
    <t>Megamitochondria</t>
  </si>
  <si>
    <t>An evaluation of megamitochondria in a biological specimen.</t>
  </si>
  <si>
    <t>Megamitochondria Assessment</t>
  </si>
  <si>
    <t>C19666</t>
  </si>
  <si>
    <t>MENARAGE</t>
  </si>
  <si>
    <t>Menarche Age</t>
  </si>
  <si>
    <t>The age at which the first menstruation event occurred. (NCI)</t>
  </si>
  <si>
    <t>Age at Menarche</t>
  </si>
  <si>
    <t>C204694</t>
  </si>
  <si>
    <t>MENARIND</t>
  </si>
  <si>
    <t>Menarche Indicator</t>
  </si>
  <si>
    <t>An indication as to whether the individual's first menstruation event has occurred.</t>
  </si>
  <si>
    <t>C156586</t>
  </si>
  <si>
    <t>MENFDUR</t>
  </si>
  <si>
    <t>Menses Flow Duration</t>
  </si>
  <si>
    <t>The length of time during which menses is expelled from the uterus.</t>
  </si>
  <si>
    <t>Menses Duration</t>
  </si>
  <si>
    <t>C156585</t>
  </si>
  <si>
    <t>MENFRD</t>
  </si>
  <si>
    <t>Menses Flow Rate Description</t>
  </si>
  <si>
    <t>A subjective description of the menstrual flow rate during a menstrual cycle.</t>
  </si>
  <si>
    <t>C111250</t>
  </si>
  <si>
    <t>MENGL</t>
  </si>
  <si>
    <t>Meningeal Cells</t>
  </si>
  <si>
    <t>A measurement of the mengingeal cells in a biological specimen.</t>
  </si>
  <si>
    <t>Meningeal Cell Count</t>
  </si>
  <si>
    <t>C111251</t>
  </si>
  <si>
    <t>MENGLCE</t>
  </si>
  <si>
    <t>Meningeal Cells/Total Cells</t>
  </si>
  <si>
    <t>A relative measurement (ratio or percentage) of the meningeal cells to total cells in a biological specimen.</t>
  </si>
  <si>
    <t>Meningeal Cell to Total Cell Ratio Measurement</t>
  </si>
  <si>
    <t>C106497</t>
  </si>
  <si>
    <t>MENOAGE</t>
  </si>
  <si>
    <t>Menopause Age</t>
  </si>
  <si>
    <t>The age at which permanent cessation of menses occurred. (NCI)</t>
  </si>
  <si>
    <t>Age at Menopause</t>
  </si>
  <si>
    <t>C106541</t>
  </si>
  <si>
    <t>MENOSTAT</t>
  </si>
  <si>
    <t>Menopause Status</t>
  </si>
  <si>
    <t>The status of a female with respect to menopause.</t>
  </si>
  <si>
    <t>C156587</t>
  </si>
  <si>
    <t>MENREG</t>
  </si>
  <si>
    <t>Menstrual Cycle Regularity</t>
  </si>
  <si>
    <t>A description of how an individual's menstrual cycle conforms to a consistent temporal pattern.</t>
  </si>
  <si>
    <t>C119549</t>
  </si>
  <si>
    <t>MENSDUR</t>
  </si>
  <si>
    <t>Menstrual Cycle Duration</t>
  </si>
  <si>
    <t>The length of time of the menses cycle, measured from the beginning of one menstrual period to the beginning of the next.</t>
  </si>
  <si>
    <t>C189354</t>
  </si>
  <si>
    <t>MENSDURA</t>
  </si>
  <si>
    <t>Average Menstrual Cycle Duration</t>
  </si>
  <si>
    <t>Average Menstrual Cycle Duration; Average Menstrual Cycle Length</t>
  </si>
  <si>
    <t>The average length of time of the menses cycle.</t>
  </si>
  <si>
    <t>C135494</t>
  </si>
  <si>
    <t>MEP</t>
  </si>
  <si>
    <t>Maximal Expiratory Pressure</t>
  </si>
  <si>
    <t>The greatest amount of pressure that can be generated by exhaling against a mouthpiece, which is a measure of the strength of respiratory muscles. (NCI)</t>
  </si>
  <si>
    <t>C135495</t>
  </si>
  <si>
    <t>MEPPP</t>
  </si>
  <si>
    <t>Percent Predicted MEP</t>
  </si>
  <si>
    <t>The greatest amount of pressure that can be generated by exhaling against a mouthpiece, which is a measure of the strength of respiratory muscles expressed as a proportion of the predicted normal value. (NCI)</t>
  </si>
  <si>
    <t>Percent Predicted Maximal Expiratory Pressure</t>
  </si>
  <si>
    <t>C147392</t>
  </si>
  <si>
    <t>MEPRDN</t>
  </si>
  <si>
    <t>Meperidine</t>
  </si>
  <si>
    <t>A measurement of the meperidine in a biological specimen.</t>
  </si>
  <si>
    <t>Meperidine Measurement</t>
  </si>
  <si>
    <t>C127628</t>
  </si>
  <si>
    <t>MERCECE</t>
  </si>
  <si>
    <t>Maturing Erythroid/Total Cells</t>
  </si>
  <si>
    <t>Erythroid Precursors/Total Cells; Maturing Erythroid Cells/Total Cells; Maturing Erythroid/Total Cells; Total Erythroid Precursors/Total Cells</t>
  </si>
  <si>
    <t>A relative measurement (ratio or percentage) of the maturing erythroid cells to total cells in a biological specimen.</t>
  </si>
  <si>
    <t>Maturing Erythroid Cell to Total Cell Ratio Measurement</t>
  </si>
  <si>
    <t>Maturing Erythroid Cells/Total Cells</t>
  </si>
  <si>
    <t>C147393</t>
  </si>
  <si>
    <t>MERCURY</t>
  </si>
  <si>
    <t>Mercury</t>
  </si>
  <si>
    <t>Hg; Mercury</t>
  </si>
  <si>
    <t>A measurement of the mercury in a specimen.</t>
  </si>
  <si>
    <t>Mercury Measurement</t>
  </si>
  <si>
    <t>C171515</t>
  </si>
  <si>
    <t>MERSRNA</t>
  </si>
  <si>
    <t>MERS-CoV RNA</t>
  </si>
  <si>
    <t>A measurement of the MERS-CoV RNA in a biological specimen.</t>
  </si>
  <si>
    <t>MERS-CoV RNA Measurement</t>
  </si>
  <si>
    <t>C75355</t>
  </si>
  <si>
    <t>MESCALIN</t>
  </si>
  <si>
    <t>Mescaline</t>
  </si>
  <si>
    <t>3,4,5-trimethoxyphenethylamine; Mescaline</t>
  </si>
  <si>
    <t>A measurement of the mescaline in a biological specimen.</t>
  </si>
  <si>
    <t>Mescaline Measurement</t>
  </si>
  <si>
    <t>C177979</t>
  </si>
  <si>
    <t>MESORDZN</t>
  </si>
  <si>
    <t>Mesoridazine</t>
  </si>
  <si>
    <t>A measurement of the mesoridazine in a biological specimen.</t>
  </si>
  <si>
    <t>Mesoridazine Measurement</t>
  </si>
  <si>
    <t>C122238</t>
  </si>
  <si>
    <t>MET</t>
  </si>
  <si>
    <t>Methionine</t>
  </si>
  <si>
    <t>A measurement of the methionine in a biological specimen.</t>
  </si>
  <si>
    <t>Methionine Measurement</t>
  </si>
  <si>
    <t>C74615</t>
  </si>
  <si>
    <t>METAMY</t>
  </si>
  <si>
    <t>Metamyelocytes</t>
  </si>
  <si>
    <t>A measurement of the metamyelocytes (small, myelocytic neutrophils with an indented nucleus) in a biological specimen.</t>
  </si>
  <si>
    <t>Metamyelocyte Count</t>
  </si>
  <si>
    <t>C98754</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</si>
  <si>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</si>
  <si>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</si>
  <si>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</si>
  <si>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</si>
  <si>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C74645</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</si>
  <si>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</si>
  <si>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</si>
  <si>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</si>
  <si>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</si>
  <si>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C116198</t>
  </si>
  <si>
    <t>METANEPH</t>
  </si>
  <si>
    <t>Metanephrine</t>
  </si>
  <si>
    <t>Metadrenaline; Metanephrine</t>
  </si>
  <si>
    <t>A measurement of the metanephrine in a biological specimen.</t>
  </si>
  <si>
    <t>Metanephrine Measurement</t>
  </si>
  <si>
    <t>C163468</t>
  </si>
  <si>
    <t>METANEXR</t>
  </si>
  <si>
    <t>Metanephrine Excretion Rate</t>
  </si>
  <si>
    <t>A measurement of the amount of metanephrine being excreted in a biological specimen over a defined amount of time (e.g. one hour).</t>
  </si>
  <si>
    <t>C128971</t>
  </si>
  <si>
    <t>METARBCE</t>
  </si>
  <si>
    <t>Metarubricyte/Total Cells</t>
  </si>
  <si>
    <t>A relative measurement (ratio or percentage) of the metarubricytes to total cells in a biological specimen.</t>
  </si>
  <si>
    <t>Metarubricyte to Total Cell Ratio Measurement</t>
  </si>
  <si>
    <t>C165974</t>
  </si>
  <si>
    <t>METARBLE</t>
  </si>
  <si>
    <t>Metarubricytes/Leukocytes</t>
  </si>
  <si>
    <t>A relative measurement (ratio or percentage) of the metarubricytes to leukocytes in a biological specimen.</t>
  </si>
  <si>
    <t>Metarubricyte to Leukocyte Ratio Measurement</t>
  </si>
  <si>
    <t>C128972</t>
  </si>
  <si>
    <t>METARUB</t>
  </si>
  <si>
    <t>Metarubricyte</t>
  </si>
  <si>
    <t>Acidophilic Erythroblast; Metarubricyte; Orthochromatophilic Normoblast; Orthochromic Erythroblast; Orthochromic Normoblast</t>
  </si>
  <si>
    <t>A measurement of the metarubricytes in a biological specimen.</t>
  </si>
  <si>
    <t>Metarubricyte Count</t>
  </si>
  <si>
    <t>C187814</t>
  </si>
  <si>
    <t>METASE</t>
  </si>
  <si>
    <t>Methyltransferase</t>
  </si>
  <si>
    <t>A measurement of the total methyltransferase in a biological specimen.</t>
  </si>
  <si>
    <t>Methyltransferase Measurement</t>
  </si>
  <si>
    <t>C123623</t>
  </si>
  <si>
    <t>METBRESP</t>
  </si>
  <si>
    <t>Metabolic Response</t>
  </si>
  <si>
    <t>An assessment of the metabolic response of the disease to the therapy.</t>
  </si>
  <si>
    <t>C75348</t>
  </si>
  <si>
    <t>METHAMPH</t>
  </si>
  <si>
    <t>Methamphetamine</t>
  </si>
  <si>
    <t>A measurement of the methamphetamine drug present in a biological specimen.</t>
  </si>
  <si>
    <t>Methamphetamine Measurement</t>
  </si>
  <si>
    <t>C186080</t>
  </si>
  <si>
    <t>METHANE</t>
  </si>
  <si>
    <t>Methane</t>
  </si>
  <si>
    <t>CH4; Methane</t>
  </si>
  <si>
    <t>A measurement of the methane in a biological specimen.</t>
  </si>
  <si>
    <t>Methane Measurement</t>
  </si>
  <si>
    <t>C147394</t>
  </si>
  <si>
    <t>METHANOL</t>
  </si>
  <si>
    <t>Methanol</t>
  </si>
  <si>
    <t>A measurement of the methanol in a biological specimen.</t>
  </si>
  <si>
    <t>Methanol Measurement</t>
  </si>
  <si>
    <t>C74881</t>
  </si>
  <si>
    <t>METHDN</t>
  </si>
  <si>
    <t>Methadone</t>
  </si>
  <si>
    <t>A measurement of the methadone present in a biological specimen.</t>
  </si>
  <si>
    <t>Methadone Measurement</t>
  </si>
  <si>
    <t>C170581</t>
  </si>
  <si>
    <t>METHPHEN</t>
  </si>
  <si>
    <t>Methylphenidate</t>
  </si>
  <si>
    <t>A measurement of the methylphenidate in a biological specimen.</t>
  </si>
  <si>
    <t>Methylphenidate Measurement</t>
  </si>
  <si>
    <t>C74882</t>
  </si>
  <si>
    <t>METHQLDN</t>
  </si>
  <si>
    <t>Methaqualone</t>
  </si>
  <si>
    <t>A measurement of the methaqualone present in a biological specimen.</t>
  </si>
  <si>
    <t>Methaqualone Measurement</t>
  </si>
  <si>
    <t>C154853</t>
  </si>
  <si>
    <t>METIND</t>
  </si>
  <si>
    <t>Metastatic Tumor Site Indicator</t>
  </si>
  <si>
    <t>An indication as to whether an anatomical location contains metastases.</t>
  </si>
  <si>
    <t>C201464</t>
  </si>
  <si>
    <t>METRAARS</t>
  </si>
  <si>
    <t>Metabolic Ratio of Accumulation Ratios</t>
  </si>
  <si>
    <t>The metabolic ratio of two accumulation ratio values.</t>
  </si>
  <si>
    <t>C132456</t>
  </si>
  <si>
    <t>METSIND</t>
  </si>
  <si>
    <t>Metastatic Indicator</t>
  </si>
  <si>
    <t>An indication as to whether disease metastasis has occurred.</t>
  </si>
  <si>
    <t>Metastatic Disease Indicator</t>
  </si>
  <si>
    <t>C184624</t>
  </si>
  <si>
    <t>MFENRX</t>
  </si>
  <si>
    <t>Mefenorex</t>
  </si>
  <si>
    <t>A measurement of the mefenorex in a biological specimen.</t>
  </si>
  <si>
    <t>Mefenorex Measurement</t>
  </si>
  <si>
    <t>C117843</t>
  </si>
  <si>
    <t>MFILARIA</t>
  </si>
  <si>
    <t>Microfilaria</t>
  </si>
  <si>
    <t>Presence of microfilaria stage of filarial nematodes in smears prepared from whole blood or other body fluids.</t>
  </si>
  <si>
    <t>Microfilaria Measurement</t>
  </si>
  <si>
    <t>C172545</t>
  </si>
  <si>
    <t>MFO</t>
  </si>
  <si>
    <t>Mycobacterium fortuitum</t>
  </si>
  <si>
    <t>A measurement of the Mycobacterium fortuitum in a biological specimen.</t>
  </si>
  <si>
    <t>Mycobacterium fortuitum Measurement</t>
  </si>
  <si>
    <t>C64840</t>
  </si>
  <si>
    <t>MG</t>
  </si>
  <si>
    <t>Magnesium</t>
  </si>
  <si>
    <t>A measurement of the magnesium in a biological specimen.</t>
  </si>
  <si>
    <t>Magnesium Measurement</t>
  </si>
  <si>
    <t>C79436</t>
  </si>
  <si>
    <t>MGB</t>
  </si>
  <si>
    <t>Myoglobin</t>
  </si>
  <si>
    <t>A measurement of myoglobin in a biological specimen.</t>
  </si>
  <si>
    <t>Myoglobin Measurement</t>
  </si>
  <si>
    <t>C106546</t>
  </si>
  <si>
    <t>MGBCREAT</t>
  </si>
  <si>
    <t>Myoglobin/Creatinine</t>
  </si>
  <si>
    <t>A relative measurement (ratio or percentage) of the myoglobin to creatinine present in a sample.</t>
  </si>
  <si>
    <t>Myoglobin to Creatinine Ratio Measurement</t>
  </si>
  <si>
    <t>C221668</t>
  </si>
  <si>
    <t>MGBDGR</t>
  </si>
  <si>
    <t>Myoglobin Deoxygenation Rate</t>
  </si>
  <si>
    <t>A measurement of myoglobin deoxygenation per unit of time.</t>
  </si>
  <si>
    <t>C221669</t>
  </si>
  <si>
    <t>MGBDGT</t>
  </si>
  <si>
    <t>Myoglobin Deoxygenation Time</t>
  </si>
  <si>
    <t>A measurement of the time it takes for myoglobin to fully deoxygenate.</t>
  </si>
  <si>
    <t>Myoglobin Deoxygenation Time Measurement</t>
  </si>
  <si>
    <t>C221670</t>
  </si>
  <si>
    <t>MGBRGTC</t>
  </si>
  <si>
    <t>Myoglobin Reoxygenation Time Constant</t>
  </si>
  <si>
    <t>A measurement of the exponential time constant of myoglobin reoxygenation.</t>
  </si>
  <si>
    <t>Myoglobin Reoxygenation Time Constant Measurement</t>
  </si>
  <si>
    <t>C79456</t>
  </si>
  <si>
    <t>MGCREAT</t>
  </si>
  <si>
    <t>Magnesium/Creatinine</t>
  </si>
  <si>
    <t>A relative measurement (ratio or percentage) of the magnesium to creatinine in a biological specimen.</t>
  </si>
  <si>
    <t>Magnesium to Creatinine Ratio Measurement</t>
  </si>
  <si>
    <t>C166047</t>
  </si>
  <si>
    <t>MGE</t>
  </si>
  <si>
    <t>Mycoplasma genitalium</t>
  </si>
  <si>
    <t>A measurement of the Mycoplasma genitalium in a biological specimen.</t>
  </si>
  <si>
    <t>Mycoplasma genitalium Measurement</t>
  </si>
  <si>
    <t>C198327</t>
  </si>
  <si>
    <t>MGEDNA</t>
  </si>
  <si>
    <t>Mycoplasma genitalium DNA</t>
  </si>
  <si>
    <t>A measurement of the Mycoplasma genitalium DNA in a biological specimen.</t>
  </si>
  <si>
    <t>Mycoplasma genitalium DNA Measurement</t>
  </si>
  <si>
    <t>C175951</t>
  </si>
  <si>
    <t>MGION</t>
  </si>
  <si>
    <t>Magnesium, Ionized</t>
  </si>
  <si>
    <t>A measurement of the ionized magnesium in a biological specimen.</t>
  </si>
  <si>
    <t>Ionized Magnesium Measurement</t>
  </si>
  <si>
    <t>C147152</t>
  </si>
  <si>
    <t>MGPRES</t>
  </si>
  <si>
    <t>Mean Pressure Gradient</t>
  </si>
  <si>
    <t>A value that represents the mean pressure gradient that exists between two points across a structure.</t>
  </si>
  <si>
    <t>C198328</t>
  </si>
  <si>
    <t>MHODNA</t>
  </si>
  <si>
    <t>Mycoplasma hominis DNA</t>
  </si>
  <si>
    <t>A measurement of the Mycoplasma hominis DNA in a biological specimen.</t>
  </si>
  <si>
    <t>Mycoplasma hominis DNA Measurement</t>
  </si>
  <si>
    <t>C209603</t>
  </si>
  <si>
    <t>MHXBNMA</t>
  </si>
  <si>
    <t>Monohydroxybutenyl Mercapturic Acid</t>
  </si>
  <si>
    <t>MHBMA; Monohydroxy-3-butenyl Mercapturic Acid; Monohydroxybutenyl Mercapturate; Monohydroxybutenyl Mercapturic Acid</t>
  </si>
  <si>
    <t>A measurement of the monohydroxybutenyl mercapturic acid in a specimen.</t>
  </si>
  <si>
    <t>Monohydroxybutenyl Mercapturic Acid Measurement</t>
  </si>
  <si>
    <t>C111280</t>
  </si>
  <si>
    <t>Myocardial Infarction</t>
  </si>
  <si>
    <t>An electrocardiographic assessment of findings suggestive of myocardial infarction.</t>
  </si>
  <si>
    <t>Myocardial Infarction ECG Assessment</t>
  </si>
  <si>
    <t>C128985</t>
  </si>
  <si>
    <t>MIC</t>
  </si>
  <si>
    <t>Minimum Inhibitory Concentration</t>
  </si>
  <si>
    <t>A measurement that specifies the minimum concentration of the agent at which organism growth was inhibited.</t>
  </si>
  <si>
    <t>Minimum Inhibitory Concentration Test</t>
  </si>
  <si>
    <t>C139118</t>
  </si>
  <si>
    <t>MIC50FCB</t>
  </si>
  <si>
    <t>Microbial IC50 Fold Change from Baseline</t>
  </si>
  <si>
    <t>A fold change based on the concentration of a specific drug expected to produce 50 percent inhibition on the enzymatic activity of a microbial organism. It is a ratio calculated by the current IC50 Subject Result divided by the IC50 Subject Result from th</t>
  </si>
  <si>
    <t>C139119</t>
  </si>
  <si>
    <t>MIC50FCR</t>
  </si>
  <si>
    <t>Microbial IC50 Fold Change from Ref</t>
  </si>
  <si>
    <t>Microbial IC50 Fold Change from Ref; Microbial IC50 Fold Change from Reference</t>
  </si>
  <si>
    <t>A fold change based on the concentration of a specific drug expected to produce 50 percent inhibition on the enzymatic activity of a microbial organism. It is a ratio calculated by the IC50 Subject Result divided by the IC50 Reference Control Result.</t>
  </si>
  <si>
    <t>Microbial IC50 Fold Change from Reference</t>
  </si>
  <si>
    <t>C139120</t>
  </si>
  <si>
    <t>MIC50R</t>
  </si>
  <si>
    <t>Microbial IC50 Reference Control Result</t>
  </si>
  <si>
    <t>A reference control sample response based on the concentration of a specific drug expected to produce 50 percent inhibition on the enzymatic activity of a microbial organism.</t>
  </si>
  <si>
    <t>C139121</t>
  </si>
  <si>
    <t>MIC50S</t>
  </si>
  <si>
    <t>Microbial IC50 Subject Result</t>
  </si>
  <si>
    <t>A measurement of biological/biochemical reaction of a microbial organism that has been exposed to the concentration of a specific drug expected to produce 50 percent inhibition on the enzymatic activity of a microbial organism.</t>
  </si>
  <si>
    <t>C139122</t>
  </si>
  <si>
    <t>MIC95FCB</t>
  </si>
  <si>
    <t>Microbial IC95 Fold Change from Baseline</t>
  </si>
  <si>
    <t>IC95 Fold Change from Baseline; Microbial IC95 Fold Change from Baseline</t>
  </si>
  <si>
    <t>A fold change based on the concentration of a specific drug expected to produce 95 percent inhibition on the enzymatic activity of a microbial organism. It is a ratio calculated by the current IC95 Subject Result divided by the IC95 Subject Result from th</t>
  </si>
  <si>
    <t>C139123</t>
  </si>
  <si>
    <t>MIC95FCR</t>
  </si>
  <si>
    <t>Microbial IC95 Fold Change from Ref</t>
  </si>
  <si>
    <t>IC95 Fold Change from Reference; Microbial IC95 Fold Change from Ref</t>
  </si>
  <si>
    <t>A fold change based on the concentration of a specific drug expected to produce 95 percent inhibition on the enzymatic activity of a microbial organism. It is a ratio calculated by the IC95 Subject Result divided by the IC95 Reference Control Result.</t>
  </si>
  <si>
    <t>C139124</t>
  </si>
  <si>
    <t>MIC95R</t>
  </si>
  <si>
    <t>Microbial IC95 Reference Control Result</t>
  </si>
  <si>
    <t>IC95 Reference Control Result; Microbial IC95 Reference Control Result</t>
  </si>
  <si>
    <t>A reference control sample response based on the concentration of a specific drug expected to produce 95 percent inhibition on the enzymatic activity of a microbial organism.</t>
  </si>
  <si>
    <t>C139125</t>
  </si>
  <si>
    <t>MIC95S</t>
  </si>
  <si>
    <t>Microbial IC95 Subject Result</t>
  </si>
  <si>
    <t>IC95 Subject Result; Microbial IC95 Subject Result</t>
  </si>
  <si>
    <t>A measurement of biological/biochemical reaction of a microbial organism that has been exposed to the concentration of a specific drug expected to produce 95 percent inhibition on the enzymatic activity of a microbial organism.</t>
  </si>
  <si>
    <t>C172502</t>
  </si>
  <si>
    <t>MICA</t>
  </si>
  <si>
    <t>MHC Class I Chain Related Protein A</t>
  </si>
  <si>
    <t>A measurement of the MHC class I chain related protein A in a biological specimen.</t>
  </si>
  <si>
    <t>MHC Class I Chain Related Protein A Measurement</t>
  </si>
  <si>
    <t>C64822</t>
  </si>
  <si>
    <t>MICROCY</t>
  </si>
  <si>
    <t>Microcytes</t>
  </si>
  <si>
    <t>A measurement of the microcytes in a biological specimen.</t>
  </si>
  <si>
    <t>Microcyte Count</t>
  </si>
  <si>
    <t>C85540</t>
  </si>
  <si>
    <t>MICROSUS</t>
  </si>
  <si>
    <t>Microbial Susceptibility</t>
  </si>
  <si>
    <t>A phenotypic or genotypic assessment of the response of the microbial organism to an antimicrobial agent.</t>
  </si>
  <si>
    <t>Microbial Susceptibility Test</t>
  </si>
  <si>
    <t>C116199</t>
  </si>
  <si>
    <t>MIDCEF</t>
  </si>
  <si>
    <t>Mid Cell Fraction</t>
  </si>
  <si>
    <t>Mid Cell Fraction; Mid Cells</t>
  </si>
  <si>
    <t>A measurement of the mid cell fraction, including eosinophils, basophils, monocytes and other precursor white blood cells, in a biological specimen.</t>
  </si>
  <si>
    <t>Mid Cell Fraction Measurement</t>
  </si>
  <si>
    <t>C90424</t>
  </si>
  <si>
    <t>MIEXAM</t>
  </si>
  <si>
    <t>Microscopic Examination</t>
  </si>
  <si>
    <t>An assessment by microscope (e.g., light, electron, confocal, etc.).</t>
  </si>
  <si>
    <t>C171085</t>
  </si>
  <si>
    <t>MILTSTAT</t>
  </si>
  <si>
    <t>Military Status</t>
  </si>
  <si>
    <t>The status of an individual with regard to military service.</t>
  </si>
  <si>
    <t>C116144</t>
  </si>
  <si>
    <t>MINLDIAM</t>
  </si>
  <si>
    <t>Minimum Vessel Lumen Diameter</t>
  </si>
  <si>
    <t>The minimum diameter of the inside of a blood vessel (lumen) derived quantitatively in a single view.</t>
  </si>
  <si>
    <t>C135496</t>
  </si>
  <si>
    <t>MIP</t>
  </si>
  <si>
    <t>Maximal Inspiratory Pressure</t>
  </si>
  <si>
    <t>Maximal Inspiratory Pressure; Negative Inspiratory Force; NIF</t>
  </si>
  <si>
    <t>The greatest amount of pressure that can be generated during inhalation against a fully occluded airway, which is used to measure the strength of respiratory muscles. (NCI)</t>
  </si>
  <si>
    <t>C163464</t>
  </si>
  <si>
    <t>MIP1</t>
  </si>
  <si>
    <t>Macrophage Inflammatory Protein 1</t>
  </si>
  <si>
    <t>A measurement of total macrophage inflammatory protein 1 in a biological specimen.</t>
  </si>
  <si>
    <t>Macrophage Inflammatory Protein 1 Measurement</t>
  </si>
  <si>
    <t>C82023</t>
  </si>
  <si>
    <t>MIP1A</t>
  </si>
  <si>
    <t>Macrophage Inflammatory Protein 1 Alpha</t>
  </si>
  <si>
    <t>Chemokine Ligand 3; Macrophage Inflammatory Protein 1 Alpha</t>
  </si>
  <si>
    <t>A measurement of the macrophage inflammatory protein 1 alpha in a biological specimen.</t>
  </si>
  <si>
    <t>Macrophage Inflammatory Protein 1 Alpha Measurement</t>
  </si>
  <si>
    <t>C82024</t>
  </si>
  <si>
    <t>MIP1B</t>
  </si>
  <si>
    <t>Macrophage Inflammatory Protein 1 Beta</t>
  </si>
  <si>
    <t>Chemokine Ligand 4; Macrophage Inflammatory Protein 1 Beta</t>
  </si>
  <si>
    <t>A measurement of the macrophage inflammatory protein 1 beta in a biological specimen.</t>
  </si>
  <si>
    <t>Macrophage Inflammatory Protein 1 Beta Measurement</t>
  </si>
  <si>
    <t>C130164</t>
  </si>
  <si>
    <t>MIP1G</t>
  </si>
  <si>
    <t>Macrophage Inflammatory Protein 1 Gamma</t>
  </si>
  <si>
    <t>A measurement of the macrophage inflammatory protein 1 gamma in a biological specimen.</t>
  </si>
  <si>
    <t>Macrophage Inflammatory Protein 1 Gamma Measurement</t>
  </si>
  <si>
    <t>C135497</t>
  </si>
  <si>
    <t>MIPPP</t>
  </si>
  <si>
    <t>Percent Predicted MIP</t>
  </si>
  <si>
    <t>The greatest amount of pressure that can be generated during inhalation against a fully occluded airway, which is used to measure the strength of respiratory muscles expressed as a proportion of the predicted normal value. (NCI)</t>
  </si>
  <si>
    <t>Percent Predicted Maximal Inspiratory Pressure</t>
  </si>
  <si>
    <t>C135470</t>
  </si>
  <si>
    <t>MITOFIG</t>
  </si>
  <si>
    <t>Mitotic Figure</t>
  </si>
  <si>
    <t>Mitotic Figure; Mitotic Figures</t>
  </si>
  <si>
    <t>A measurement of the cells containing mitotic figures in a biological specimen.</t>
  </si>
  <si>
    <t>Mitotic Figure Assessment</t>
  </si>
  <si>
    <t>C138982</t>
  </si>
  <si>
    <t>MITOSCR</t>
  </si>
  <si>
    <t>Mitotic Score</t>
  </si>
  <si>
    <t>Mitotic Count Score; Mitotic Score</t>
  </si>
  <si>
    <t>An evaluation of the mitotic score in a biological specimen.</t>
  </si>
  <si>
    <t>Mitotic Rate Score</t>
  </si>
  <si>
    <t>C127571</t>
  </si>
  <si>
    <t>MITRALEA</t>
  </si>
  <si>
    <t>Mitral E/A Ratio</t>
  </si>
  <si>
    <t>The ratio of the peak early ventricular diastolic (E) transmitral velocity to the peak late ventricular diastolic (A) transmitral velocity.</t>
  </si>
  <si>
    <t>C127572</t>
  </si>
  <si>
    <t>MITRALEE</t>
  </si>
  <si>
    <t>Mitral E/e' Ratio</t>
  </si>
  <si>
    <t>The ratio of the peak early ventricular diastolic (E) transmitral velocity to the peak early mitral annular motion velocity (e').</t>
  </si>
  <si>
    <t>C135377</t>
  </si>
  <si>
    <t>MJDIA</t>
  </si>
  <si>
    <t>Major Axis Cross-sec. Diameter</t>
  </si>
  <si>
    <t>Major Axis Cross-sec. Diameter; Major Axis Cross-sectional Diameter</t>
  </si>
  <si>
    <t>The cross sectional diameter of a tissue, organ, or structure measured along its major axis. (NCI)</t>
  </si>
  <si>
    <t>Major Axis Cross-sectional Diameter</t>
  </si>
  <si>
    <t>C127573</t>
  </si>
  <si>
    <t>MJDIAEVD</t>
  </si>
  <si>
    <t>Major Axis Cross-sec Diameter, EVD</t>
  </si>
  <si>
    <t>Major Axis Cross-sec Diameter, EVD; Major Axis Cross-sectional Diameter, End Ventricular Diastole</t>
  </si>
  <si>
    <t>The cross sectional diameter of a cardiovascular structure measured along its major axis at end ventricular diastole.</t>
  </si>
  <si>
    <t>Major Axis Cross-sectional Diameter at End Ventricular Diastole</t>
  </si>
  <si>
    <t>C127574</t>
  </si>
  <si>
    <t>MJDIAEVS</t>
  </si>
  <si>
    <t>Major Axis Cross-sec Diameter, EVS</t>
  </si>
  <si>
    <t>Major Axis Cross-sec Diameter, EVS; Major Axis Cross-sectional Diameter, End Ventricular Systole</t>
  </si>
  <si>
    <t>The cross sectional diameter of a cardiovascular structure measured along its major axis at end ventricular systole.</t>
  </si>
  <si>
    <t>Major Axis Cross-sectional Diameter at End Ventricular Systole</t>
  </si>
  <si>
    <t>C139053</t>
  </si>
  <si>
    <t>MJDIAMVS</t>
  </si>
  <si>
    <t>Major Axis Cross-sec. Diameter, MVS</t>
  </si>
  <si>
    <t>Major Axis Cross-sec. Diameter, MVS; Major Axis Cross-sectional Diameter, Mid Ventricular Systole</t>
  </si>
  <si>
    <t>The cross-sectional diameter of a cardiovascular structure measured along its major axis at mid ventricular systole.</t>
  </si>
  <si>
    <t>Major Axis Cross-sectional Diameter at Mid Ventricular Systole</t>
  </si>
  <si>
    <t>C139059</t>
  </si>
  <si>
    <t>MJIDEVD</t>
  </si>
  <si>
    <t>Major Axis Internal Diameter, EVD</t>
  </si>
  <si>
    <t>Major Axis Internal Diameter, End Ventricular Diastole; Major Axis Internal Diameter, EVD</t>
  </si>
  <si>
    <t>The internal diameter of a cardiovascular structure measured along its major axis at end ventricular diastole.</t>
  </si>
  <si>
    <t>Major Axis Internal Diameter at End Ventricular Diastole</t>
  </si>
  <si>
    <t>C139058</t>
  </si>
  <si>
    <t>MJIDEVS</t>
  </si>
  <si>
    <t>Major Axis Internal Diameter, EVS</t>
  </si>
  <si>
    <t>Major Axis Internal Diameter, End Ventricular Systole; Major Axis Internal Diameter, EVS</t>
  </si>
  <si>
    <t>The internal diameter of a cardiovascular structure measured along its major axis at end ventricular systole.</t>
  </si>
  <si>
    <t>Major Axis Internal Diameter at End Ventricular Systole</t>
  </si>
  <si>
    <t>C172576</t>
  </si>
  <si>
    <t>MJPTHIND</t>
  </si>
  <si>
    <t>Major Pathological Response Indicator</t>
  </si>
  <si>
    <t>An indication as to whether major pathological response occurred.</t>
  </si>
  <si>
    <t>C172541</t>
  </si>
  <si>
    <t>MKA</t>
  </si>
  <si>
    <t>Mycobacterium kansasii</t>
  </si>
  <si>
    <t>A measurement of the Mycobacterium kansasii in a biological specimen.</t>
  </si>
  <si>
    <t>Mycobacterium kansasii Measurement</t>
  </si>
  <si>
    <t>C135432</t>
  </si>
  <si>
    <t>MKCMKBMP</t>
  </si>
  <si>
    <t>Megakaryocyte and Megakaryoblast Morph</t>
  </si>
  <si>
    <t>Megakaryocyte and Megakaryoblast Morph; Megakaryocyte and Megakaryoblast Morphology</t>
  </si>
  <si>
    <t>An examination or assessment of the form and structure of megakaryoblasts and megakaryocytes.</t>
  </si>
  <si>
    <t>Megakaryocyte and Megakaryoblast Morphology Assessment</t>
  </si>
  <si>
    <t>C204673</t>
  </si>
  <si>
    <t>MKCPRLF</t>
  </si>
  <si>
    <t>Megakaryocyte Proliferation</t>
  </si>
  <si>
    <t>An evaluation of megakaryocyte proliferation in a biological specimen.</t>
  </si>
  <si>
    <t>Megakaryocyte Proliferation Measurement</t>
  </si>
  <si>
    <t>C167264</t>
  </si>
  <si>
    <t>MKEXAM</t>
  </si>
  <si>
    <t>Musculoskeletal System Examination</t>
  </si>
  <si>
    <t>An observation, assessment or examination of the musculoskeletal system.</t>
  </si>
  <si>
    <t>Musculoskeletal Examination</t>
  </si>
  <si>
    <t>C202426</t>
  </si>
  <si>
    <t>MLANA</t>
  </si>
  <si>
    <t>Melan-A</t>
  </si>
  <si>
    <t>MART1; Melan-A; Melanoma Antigen Recognized By T-Cells 1</t>
  </si>
  <si>
    <t>A measurement of the melan-A in a biological specimen.</t>
  </si>
  <si>
    <t>MART-1 Antigen Measurement</t>
  </si>
  <si>
    <t>C74867</t>
  </si>
  <si>
    <t>MLATONIN</t>
  </si>
  <si>
    <t>Melatonin</t>
  </si>
  <si>
    <t>A measurement of the melatonin hormone in a biological specimen.</t>
  </si>
  <si>
    <t>Melatonin Measurement</t>
  </si>
  <si>
    <t>C189626</t>
  </si>
  <si>
    <t>MLD</t>
  </si>
  <si>
    <t>Margin Limbal Distance</t>
  </si>
  <si>
    <t>A measurement of the distance from the inferior limbus to the central upper-eyelid margin, with the patient's gaze pointed upward.</t>
  </si>
  <si>
    <t>C139094</t>
  </si>
  <si>
    <t>MLH1</t>
  </si>
  <si>
    <t>MutL Homolog 1</t>
  </si>
  <si>
    <t>A measurement of the MLH1 mismatch repair protein in a biological specimen.</t>
  </si>
  <si>
    <t>MutL Homolog 1 Measurement</t>
  </si>
  <si>
    <t>C186203</t>
  </si>
  <si>
    <t>MLH3</t>
  </si>
  <si>
    <t>MutL Homolog 3</t>
  </si>
  <si>
    <t>A measurement of the MLH3 mismatch repair protein in a biological specimen.</t>
  </si>
  <si>
    <t>MutL Homolog 3 Measurement</t>
  </si>
  <si>
    <t>C74660</t>
  </si>
  <si>
    <t>MLIGCE</t>
  </si>
  <si>
    <t>Malignant Cells, NOS</t>
  </si>
  <si>
    <t>A measurement of the malignant cells of all types in a biological specimen.</t>
  </si>
  <si>
    <t>Malignant Cell Count</t>
  </si>
  <si>
    <t>C74643</t>
  </si>
  <si>
    <t>MLIGCEBC</t>
  </si>
  <si>
    <t>Malignant Cells, NOS/Blood Cells</t>
  </si>
  <si>
    <t>A relative measurement (ratio or percentage) of the malignant cells of all types to all blood cells in a biological specimen.</t>
  </si>
  <si>
    <t>Malignant Cell to Blood Cell Ratio Measurement</t>
  </si>
  <si>
    <t>C187815</t>
  </si>
  <si>
    <t>MLNCPRN</t>
  </si>
  <si>
    <t>Milnacipran</t>
  </si>
  <si>
    <t>A measurement of the milnacipran in a biological specimen.</t>
  </si>
  <si>
    <t>Milnacipran Measurement</t>
  </si>
  <si>
    <t>C16790</t>
  </si>
  <si>
    <t>MLR</t>
  </si>
  <si>
    <t>Mixed Lymphocyte Reaction</t>
  </si>
  <si>
    <t>Mixed Leukocyte Reaction; Mixed Lymphocyte Reaction</t>
  </si>
  <si>
    <t>A measurement of the histocompatibility at the HL-A locus between two populations of lymphocytes taken from two separate individuals.</t>
  </si>
  <si>
    <t>Mixed Lymphocyte Reaction Test</t>
  </si>
  <si>
    <t>C209678</t>
  </si>
  <si>
    <t>MLRPGIND</t>
  </si>
  <si>
    <t>Molar Pregnancy Indicator</t>
  </si>
  <si>
    <t>Hydatidiform Mole Indicator; Molar Pregnancy Indicator</t>
  </si>
  <si>
    <t>An indication as to whether a molar pregnancy (hydatidiform mole) has occurred.</t>
  </si>
  <si>
    <t>C96690</t>
  </si>
  <si>
    <t>MMA</t>
  </si>
  <si>
    <t>Methylmalonic Acid</t>
  </si>
  <si>
    <t>Methylmalonate; Methylmalonic Acid</t>
  </si>
  <si>
    <t>A measurement of the methylmalonic acid in a biological specimen.</t>
  </si>
  <si>
    <t>Methylmalonic Acid Measurement</t>
  </si>
  <si>
    <t>C181407</t>
  </si>
  <si>
    <t>MMARG</t>
  </si>
  <si>
    <t>Monomethylarginine</t>
  </si>
  <si>
    <t>Monomethylarginine; Tilarginine</t>
  </si>
  <si>
    <t>A measurement of the monomethylarginine in a biological specimen.</t>
  </si>
  <si>
    <t>Monomethylarginine Measurement</t>
  </si>
  <si>
    <t>C163466</t>
  </si>
  <si>
    <t>MMIF</t>
  </si>
  <si>
    <t>Macrophage Migration Inhibitory Factor</t>
  </si>
  <si>
    <t>Macrophage Migration Inhibitory Factor; MIF</t>
  </si>
  <si>
    <t>A measurement of the macrophage migration inhibitory factor in a biological specimen.</t>
  </si>
  <si>
    <t>Macrophage Migration Inhibitory Factor Measurement</t>
  </si>
  <si>
    <t>C209642</t>
  </si>
  <si>
    <t>MMO</t>
  </si>
  <si>
    <t>Morganella morganii</t>
  </si>
  <si>
    <t>A measurement of the Morganella morganii in a biological specimen.</t>
  </si>
  <si>
    <t>Morganella morganii Measurement</t>
  </si>
  <si>
    <t>C80192</t>
  </si>
  <si>
    <t>MMP1</t>
  </si>
  <si>
    <t>Matrix Metalloproteinase 1</t>
  </si>
  <si>
    <t>Interstitial Collagenase; Matrix Metalloproteinase 1</t>
  </si>
  <si>
    <t>A measurement of the matrix metalloproteinase 1 in a biological specimen.</t>
  </si>
  <si>
    <t>Matrix Metalloproteinase 1 Measurement</t>
  </si>
  <si>
    <t>C209604</t>
  </si>
  <si>
    <t>MMP10</t>
  </si>
  <si>
    <t>Matrix Metalloproteinase 10</t>
  </si>
  <si>
    <t>Matrix Metalloproteinase 10; Stromelysin 2</t>
  </si>
  <si>
    <t>A measurement of the matrix metalloproteinase 10 in a specimen.</t>
  </si>
  <si>
    <t>Matrix Metalloproteinase 10 Measurement</t>
  </si>
  <si>
    <t>C209605</t>
  </si>
  <si>
    <t>MMP12</t>
  </si>
  <si>
    <t>Matrix Metalloproteinase 12</t>
  </si>
  <si>
    <t>Macrophage Elastase; Macrophage Metalloelastase; Matrix Metallopeptidase 12; Matrix Metalloproteinase 12; MME</t>
  </si>
  <si>
    <t>A measurement of the matrix metalloproteinase 12 in a specimen.</t>
  </si>
  <si>
    <t>Matrix Metalloproteinase 12 Measurement</t>
  </si>
  <si>
    <t>C209606</t>
  </si>
  <si>
    <t>MMP13</t>
  </si>
  <si>
    <t>Matrix Metalloproteinase 13</t>
  </si>
  <si>
    <t>CLG3; Collagenase 3; Matrix Metalloproteinase 13</t>
  </si>
  <si>
    <t>A measurement of the matrix metalloproteinase 13 in a specimen.</t>
  </si>
  <si>
    <t>Matrix Metalloproteinase 13 Measurement</t>
  </si>
  <si>
    <t>C80193</t>
  </si>
  <si>
    <t>MMP2</t>
  </si>
  <si>
    <t>Matrix Metalloproteinase 2</t>
  </si>
  <si>
    <t>Gelatinase A; Matrix Metalloproteinase 2</t>
  </si>
  <si>
    <t>A measurement of the matrix metalloproteinase 2 in a biological specimen.</t>
  </si>
  <si>
    <t>Matrix Metalloproteinase 2 Measurement</t>
  </si>
  <si>
    <t>C80194</t>
  </si>
  <si>
    <t>MMP3</t>
  </si>
  <si>
    <t>Matrix Metalloproteinase 3</t>
  </si>
  <si>
    <t>Matrix Metalloproteinase 3; Stromelysin 1</t>
  </si>
  <si>
    <t>A measurement of the matrix metalloproteinase 3 in a biological specimen.</t>
  </si>
  <si>
    <t>Matrix Metalloproteinase 3 Measurement</t>
  </si>
  <si>
    <t>C80195</t>
  </si>
  <si>
    <t>MMP7</t>
  </si>
  <si>
    <t>Matrix Metalloproteinase 7</t>
  </si>
  <si>
    <t>Matrilysin; Matrix Metalloproteinase 7</t>
  </si>
  <si>
    <t>A measurement of the matrix metalloproteinase 7 in a biological specimen.</t>
  </si>
  <si>
    <t>Matrix Metalloproteinase 7 Measurement</t>
  </si>
  <si>
    <t>C80196</t>
  </si>
  <si>
    <t>MMP8</t>
  </si>
  <si>
    <t>Matrix Metalloproteinase 8</t>
  </si>
  <si>
    <t>Matrix Metalloproteinase 8; Neutrophil Collagenase</t>
  </si>
  <si>
    <t>A measurement of the matrix metalloproteinase 8 in a biological specimen.</t>
  </si>
  <si>
    <t>Matrix Metalloproteinase 8 Measurement</t>
  </si>
  <si>
    <t>C80197</t>
  </si>
  <si>
    <t>MMP9</t>
  </si>
  <si>
    <t>Matrix Metalloproteinase 9</t>
  </si>
  <si>
    <t>Gelatinase B; Matrix Metalloproteinase 9</t>
  </si>
  <si>
    <t>A measurement of the matrix metalloproteinase 9 in a biological specimen.</t>
  </si>
  <si>
    <t>Matrix Metalloproteinase 9 Measurement</t>
  </si>
  <si>
    <t>C189548</t>
  </si>
  <si>
    <t>MMPRNA</t>
  </si>
  <si>
    <t>Mumps Virus RNA</t>
  </si>
  <si>
    <t>Mumps rubulavirus RNA; Mumps Virus RNA</t>
  </si>
  <si>
    <t>A measurement of the Mumps rubulavirus RNA in a biological specimen.</t>
  </si>
  <si>
    <t>Mumps Virus RNA Measurement</t>
  </si>
  <si>
    <t>C139093</t>
  </si>
  <si>
    <t>MMRPINTP</t>
  </si>
  <si>
    <t>Mismatch Repair Proteins Interpretation</t>
  </si>
  <si>
    <t>The determination of the meaning of protein expression assessments across multiple mismatch repair proteins.</t>
  </si>
  <si>
    <t>C185932</t>
  </si>
  <si>
    <t>MMRPROT</t>
  </si>
  <si>
    <t>MMR Proteins</t>
  </si>
  <si>
    <t>Mismatch Repair Proteins; MMR Proteins</t>
  </si>
  <si>
    <t>An evaluation of the mismatch repair proteins in a biological specimen.</t>
  </si>
  <si>
    <t>Mismatch Repair Protein Measurement</t>
  </si>
  <si>
    <t>C139231</t>
  </si>
  <si>
    <t>MMTABDT</t>
  </si>
  <si>
    <t>MRC MMT Score, Abduction</t>
  </si>
  <si>
    <t>Medical Research Council Manual Muscle Test Score, Abduction; MRC MMT Score, Abduction</t>
  </si>
  <si>
    <t>The numerical value that represents the result of a clinical assessment of muscle strength and function during abduction that is based on the Medical Research Council Manual Muscle Test. (Medical Research Council. Aids to examination of the peripheral ner</t>
  </si>
  <si>
    <t>Medical Research Council Manual Muscle Test Score, Abduction</t>
  </si>
  <si>
    <t>C139233</t>
  </si>
  <si>
    <t>MMTDORS</t>
  </si>
  <si>
    <t>MRC MMT Score, Dorsiflexion</t>
  </si>
  <si>
    <t>Medical Research Council Manual Muscle Test Score, Dorsiflexion; MRC MMT Score, Dorsiflexion</t>
  </si>
  <si>
    <t>The numerical value that represents the result of a clinical assessment of muscle strength and function during dorsiflexion that is based on the Medical Research Council Manual Muscle Test. (Medical Research Council. Aids to examination of the peripheral</t>
  </si>
  <si>
    <t>Medical Research Council Manual Muscle Test Score, Dorsiflexion</t>
  </si>
  <si>
    <t>C139235</t>
  </si>
  <si>
    <t>MMTEVE</t>
  </si>
  <si>
    <t>MRC MMT Score, Eversion</t>
  </si>
  <si>
    <t>Medical Research Council Manual Muscle Test Score, Eversion; MRC MMT Score, Eversion</t>
  </si>
  <si>
    <t>The numerical value that represents the result of a clinical assessment of muscle strength and function during eversion that is based on the Medical Research Council Manual Muscle Test. (Medical Research Council. Aids to examination of the peripheral nerv</t>
  </si>
  <si>
    <t>Medical Research Council Manual Muscle Test Score, Eversion</t>
  </si>
  <si>
    <t>C139228</t>
  </si>
  <si>
    <t>MMTEXT</t>
  </si>
  <si>
    <t>MRC MMT Score, Extension</t>
  </si>
  <si>
    <t>Medical Research Council Manual Muscle Test Score, Extension; MRC MMT Score, Extension</t>
  </si>
  <si>
    <t>The numerical value that represents the result of a clinical assessment of muscle strength and function during extension that is based on the Medical Research Council Manual Muscle Test. (Medical Research Council. Aids to examination of the peripheral ner</t>
  </si>
  <si>
    <t>Medical Research Council Manual Muscle Test Score, Extension</t>
  </si>
  <si>
    <t>C139230</t>
  </si>
  <si>
    <t>MMTFLX</t>
  </si>
  <si>
    <t>MRC MMT Score, Flexion</t>
  </si>
  <si>
    <t>Medical Research Council Manual Muscle Test Score, Flexion; MRC MMT Score, Flexion</t>
  </si>
  <si>
    <t>The numerical value that represents the result of a clinical assessment of muscle strength and function during flexion that is based on the Medical Research Council Manual Muscle. (Medical Research Council. Aids to examination of the peripheral nervous sy</t>
  </si>
  <si>
    <t>Medical Research Council Manual Muscle Test Score, Flexion</t>
  </si>
  <si>
    <t>C139234</t>
  </si>
  <si>
    <t>MMTINV</t>
  </si>
  <si>
    <t>MRC MMT Score, Inversion</t>
  </si>
  <si>
    <t>Medical Research Council Manual Muscle Test Score, Inversion; MRC MMT Score, Inversion</t>
  </si>
  <si>
    <t>The numerical value that represents the result of a clinical assessment of muscle strength and function during inversion that is based on the Medical Research Council Manual Muscle Test. (Medical Research Council. Aids to examination of the peripheral ner</t>
  </si>
  <si>
    <t>Medical Research Council Manual Muscle Test Score, Inversion</t>
  </si>
  <si>
    <t>C139232</t>
  </si>
  <si>
    <t>MMTLR</t>
  </si>
  <si>
    <t>MRC MMT Score, Lat. Rotat.</t>
  </si>
  <si>
    <t>Medical Research Council Manual Muscle Test Score, Lateral Rotation; MRC MMT Score, Lat. Rotat.</t>
  </si>
  <si>
    <t>The numerical value that represents the result of a clinical assessment of muscle strength and function during lateral rotation that is based on the Medical Research Council Manual Muscle Test. (Medical Research Council. Aids to examination of the periphe</t>
  </si>
  <si>
    <t>Medical Research Council Manual Muscle Test Score, Lateral Rotation</t>
  </si>
  <si>
    <t>C139229</t>
  </si>
  <si>
    <t>MMTPF</t>
  </si>
  <si>
    <t>MRC MMT Score, Plantar Flex</t>
  </si>
  <si>
    <t>Medical Research Council Manual Muscle Test Score, Plantar Flexion; MRC MMT Score, Plantar Flex</t>
  </si>
  <si>
    <t>The numerical value that represents the result of a clinical assessment of muscle strength and function during plantar flexion that is based on the Medical Research Council Manual Muscle Test. (Medical Research Council. Aids to examination of the peripher</t>
  </si>
  <si>
    <t>Medical Research Council Manual Muscle Test Score, Plantar Flexion</t>
  </si>
  <si>
    <t>C127629</t>
  </si>
  <si>
    <t>MMYCECE</t>
  </si>
  <si>
    <t>Maturing Myeloid Cells/Total Cells</t>
  </si>
  <si>
    <t>Maturing Myeloid/Total Cells</t>
  </si>
  <si>
    <t>A relative measurement (ratio or percentage) of the maturing myeloid cells to total cells in a biological specimen.</t>
  </si>
  <si>
    <t>Maturing Myeloid Cell to Total Cell Ratio Measurement</t>
  </si>
  <si>
    <t>C142233</t>
  </si>
  <si>
    <t>MNARS</t>
  </si>
  <si>
    <t>Minimum Angle of Resolution</t>
  </si>
  <si>
    <t>The smallest angle of separation that allows an image-forming device, including the retina, to distinguish two objects as distinct entities.</t>
  </si>
  <si>
    <t>C142351</t>
  </si>
  <si>
    <t>MNARSLOG</t>
  </si>
  <si>
    <t>Minimum Angle of Resolution, Log10</t>
  </si>
  <si>
    <t>The base-10 logarithm of the minimum angle of resolution achieved by an individual during testing.</t>
  </si>
  <si>
    <t>Log10 Minimum Angle of Resolution</t>
  </si>
  <si>
    <t>C154757</t>
  </si>
  <si>
    <t>MNC</t>
  </si>
  <si>
    <t>Mononuclear Cells</t>
  </si>
  <si>
    <t>Mononuclear Cells; Mononucleated Cells</t>
  </si>
  <si>
    <t>A measurement of the mononuclear cells in a biological specimen.</t>
  </si>
  <si>
    <t>Mononuclear Cell Count</t>
  </si>
  <si>
    <t>C187790</t>
  </si>
  <si>
    <t>MNCAT</t>
  </si>
  <si>
    <t>Mononuclear Cells Atypical</t>
  </si>
  <si>
    <t>A measurement of the atypical mononuclear cells in a biological specimen.</t>
  </si>
  <si>
    <t>Atypical Mononuclear Cell Count</t>
  </si>
  <si>
    <t>C187791</t>
  </si>
  <si>
    <t>MNCATLE</t>
  </si>
  <si>
    <t>Mononuclear Cells Atypical/Leukocytes</t>
  </si>
  <si>
    <t>A relative measurement (ratio or percentage) of the atypical mononuclear cells to leukocytes in a biological specimen.</t>
  </si>
  <si>
    <t>Atypical Mononuclear Cells to Leukocytes Ratio Measurement</t>
  </si>
  <si>
    <t>C178038</t>
  </si>
  <si>
    <t>MNCINLLP</t>
  </si>
  <si>
    <t>Infilt of Mono Cells in Lamina Propria</t>
  </si>
  <si>
    <t>Infilt of Mono Cells in Lamina Propria; Infiltration of Mononuclear Cells in Lamina Propria</t>
  </si>
  <si>
    <t>An evaluation of infiltration of mononuclear cells in the lamina propria in a biological specimen.</t>
  </si>
  <si>
    <t>Infiltration of Mononuclear Cells in Lamina Propria Assessment</t>
  </si>
  <si>
    <t>C135378</t>
  </si>
  <si>
    <t>MNDIA</t>
  </si>
  <si>
    <t>Minor Axis Cross-sec. Diameter</t>
  </si>
  <si>
    <t>Minor Axis Cross-sec. Diameter; Minor Axis Cross-sectional Diameter</t>
  </si>
  <si>
    <t>The cross sectional diameter of a tissue, organ, or structure measured along its minor axis. (NCI)</t>
  </si>
  <si>
    <t>Minor Axis Cross-sectional Diameter</t>
  </si>
  <si>
    <t>C127575</t>
  </si>
  <si>
    <t>MNDIAEVD</t>
  </si>
  <si>
    <t>Minor Axis Cross-sec Diameter, EVD</t>
  </si>
  <si>
    <t>Minor Axis Cross-sec Diameter, EVD; Minor Axis Cross-sectional Diameter, End Ventricular Diastole</t>
  </si>
  <si>
    <t>The cross sectional diameter of a cardiovascular structure measured along its minor axis at end ventricular diastole.</t>
  </si>
  <si>
    <t>Minor Axis Cross-sectional Diameter at End Ventricular Diastole</t>
  </si>
  <si>
    <t>C127576</t>
  </si>
  <si>
    <t>MNDIAEVS</t>
  </si>
  <si>
    <t>Minor Axis Cross-sec Diameter, EVS</t>
  </si>
  <si>
    <t>Minor Axis Cross-sec Diameter, EVS; Minor Axis Cross-sectional Diameter, End Ventricular Systole</t>
  </si>
  <si>
    <t>The cross sectional diameter of a cardiovascular structure measured along its minor axis at end ventricular systole.</t>
  </si>
  <si>
    <t>Minor Axis Cross-sectional Diameter at End Ventricular Systole</t>
  </si>
  <si>
    <t>C139052</t>
  </si>
  <si>
    <t>MNDIAMVS</t>
  </si>
  <si>
    <t>Minor Axis Cross-sec. Diameter, MVS</t>
  </si>
  <si>
    <t>Minor Axis Cross-sec. Diameter, MVS; Minor Axis Cross-sectional Diameter, Mid Ventricular Systole</t>
  </si>
  <si>
    <t>The cross-sectional diameter of a cardiovascular structure measured along its minor axis at mid ventricular systole.</t>
  </si>
  <si>
    <t>Minor Axis Cross-sectional Diameter at Mid Ventricular Systole</t>
  </si>
  <si>
    <t>C124455</t>
  </si>
  <si>
    <t>MNFCNTRY</t>
  </si>
  <si>
    <t>Country of Manufacture</t>
  </si>
  <si>
    <t>The name of the country within which the final product under study is produced.</t>
  </si>
  <si>
    <t>C139061</t>
  </si>
  <si>
    <t>MNIDEVD</t>
  </si>
  <si>
    <t>Minor Axis Internal Diameter, EVD</t>
  </si>
  <si>
    <t>Minor Axis Internal Diameter, End Ventricular Diastole; Minor Axis Internal Diameter, EVD</t>
  </si>
  <si>
    <t>The internal diameter of a cardiovascular structure measured along its minor axis at end ventricular diastole.</t>
  </si>
  <si>
    <t>Minor Axis Internal Diameter at End Ventricular Diastole</t>
  </si>
  <si>
    <t>C139060</t>
  </si>
  <si>
    <t>MNIDEVS</t>
  </si>
  <si>
    <t>Minor Axis Internal Diameter, EVS</t>
  </si>
  <si>
    <t>Minor Axis Internal Diameter, End Ventricular Systole; Minor Axis Internal Diameter, EVS</t>
  </si>
  <si>
    <t>The internal diameter of a cardiovascular structure measured along its minor axis at end ventricular systole.</t>
  </si>
  <si>
    <t>Minor Axis Internal Diameter at End Ventricular Systole</t>
  </si>
  <si>
    <t>C172577</t>
  </si>
  <si>
    <t>MNPTHIND</t>
  </si>
  <si>
    <t>Minor Pathological Response Indicator</t>
  </si>
  <si>
    <t>An indication as to whether minor pathological response occurred.</t>
  </si>
  <si>
    <t>C209643</t>
  </si>
  <si>
    <t>MOCVDNA</t>
  </si>
  <si>
    <t>Molluscum Contagiosum Virus DNA</t>
  </si>
  <si>
    <t>A measurement of the molluscum contagiosum virus DNA in a biological specimen.</t>
  </si>
  <si>
    <t>Molluscum contagiosum Virus DNA Measurement</t>
  </si>
  <si>
    <t>C111276</t>
  </si>
  <si>
    <t>MOCYCE</t>
  </si>
  <si>
    <t>Monocytoid Cells</t>
  </si>
  <si>
    <t>A measurement of the monocytoid cells in a biological specimen.</t>
  </si>
  <si>
    <t>Monocytoid Cell Count</t>
  </si>
  <si>
    <t>C111277</t>
  </si>
  <si>
    <t>MOCYCECE</t>
  </si>
  <si>
    <t>Monocytoid Cells/Total Cells</t>
  </si>
  <si>
    <t>A relative measurement (ratio or percentage) of the monocytoid cells to total cells in a biological specimen.</t>
  </si>
  <si>
    <t>Monocytoid Cell to Total Cell Ratio Measurement</t>
  </si>
  <si>
    <t>C120641</t>
  </si>
  <si>
    <t>MOCYCELE</t>
  </si>
  <si>
    <t>Monocytoid Cells/Leukocytes</t>
  </si>
  <si>
    <t>A relative measurement (ratio or percentage) of the monocytoid cells to leukocytes in a biological specimen.</t>
  </si>
  <si>
    <t>Monocytoid Cells to Leukocytes Ratio Measurement</t>
  </si>
  <si>
    <t>C184628</t>
  </si>
  <si>
    <t>MODAFNIL</t>
  </si>
  <si>
    <t>Modafinil</t>
  </si>
  <si>
    <t>A measurement of the modafinil in a biological specimen.</t>
  </si>
  <si>
    <t>Modafinil Measurement</t>
  </si>
  <si>
    <t>C184626</t>
  </si>
  <si>
    <t>MOHXITAL</t>
  </si>
  <si>
    <t>Methohexital</t>
  </si>
  <si>
    <t>A measurement of the methohexital in a biological specimen.</t>
  </si>
  <si>
    <t>Methohexital Measurement</t>
  </si>
  <si>
    <t>C177981</t>
  </si>
  <si>
    <t>MOLINDN</t>
  </si>
  <si>
    <t>Molindone</t>
  </si>
  <si>
    <t>A measurement of the molindone in a biological specimen.</t>
  </si>
  <si>
    <t>Molindone Measurement</t>
  </si>
  <si>
    <t>C123624</t>
  </si>
  <si>
    <t>MOLRESP</t>
  </si>
  <si>
    <t>Molecular Response</t>
  </si>
  <si>
    <t>An assessment of the molecular response of the disease to the therapy.</t>
  </si>
  <si>
    <t>C147396</t>
  </si>
  <si>
    <t>MONMPHLE</t>
  </si>
  <si>
    <t>Monocytes and Macrophages/Leukocytes</t>
  </si>
  <si>
    <t>A relative measurement (ratio or percentage) of the monocytes and macrophages to total leukocytes in a biological specimen.</t>
  </si>
  <si>
    <t>Monocytes and Macrophages to Leukocytes Ratio Measurement</t>
  </si>
  <si>
    <t>C64823</t>
  </si>
  <si>
    <t>MONO</t>
  </si>
  <si>
    <t>Monocytes</t>
  </si>
  <si>
    <t>A measurement of the monocytes in a biological specimen.</t>
  </si>
  <si>
    <t>Monocyte Count</t>
  </si>
  <si>
    <t>C74631</t>
  </si>
  <si>
    <t>MONOBL</t>
  </si>
  <si>
    <t>Monoblasts</t>
  </si>
  <si>
    <t>A measurement of the monoblast cells in a biological specimen.</t>
  </si>
  <si>
    <t>Monoblast Count</t>
  </si>
  <si>
    <t>C187677</t>
  </si>
  <si>
    <t>MONOBLCE</t>
  </si>
  <si>
    <t>Monoblasts/Total Cells</t>
  </si>
  <si>
    <t>A relative measurement (ratio or percentage) of the monoblasts to total cells in a biological specimen.</t>
  </si>
  <si>
    <t>Monoblast to Total Cell Ratio Measurement</t>
  </si>
  <si>
    <t>C74646</t>
  </si>
  <si>
    <t>MONOBLLE</t>
  </si>
  <si>
    <t>Monoblasts/Leukocytes</t>
  </si>
  <si>
    <t>A relative measurement (ratio or percentage) of the monoblasts to leukocytes in a biological specimen.</t>
  </si>
  <si>
    <t>Monoblast to Leukocyte Ratio Measurement</t>
  </si>
  <si>
    <t>C98872</t>
  </si>
  <si>
    <t>MONOCE</t>
  </si>
  <si>
    <t>Monocytes/Total Cells</t>
  </si>
  <si>
    <t>A relative measurement (ratio or percentage) of the monocytes to total cells in a biological specimen (for example a bone marrow specimen).</t>
  </si>
  <si>
    <t>Monocytes to Total Cell Ratio Measurement</t>
  </si>
  <si>
    <t>C96676</t>
  </si>
  <si>
    <t>MONOIM</t>
  </si>
  <si>
    <t>Immature Monocytes</t>
  </si>
  <si>
    <t>A measurement of the immature monocytes in a biological specimen.</t>
  </si>
  <si>
    <t>Immature Monocyte Count</t>
  </si>
  <si>
    <t>C96677</t>
  </si>
  <si>
    <t>MONOIMLE</t>
  </si>
  <si>
    <t>Immature Monocytes/Leukocytes</t>
  </si>
  <si>
    <t>A relative measurement (ratio or percentage) of immature monocytes to total leukocytes in a biological specimen.</t>
  </si>
  <si>
    <t>Immature Monocyte to Leukocyte Ratio Measurement</t>
  </si>
  <si>
    <t>C64824</t>
  </si>
  <si>
    <t>MONOLE</t>
  </si>
  <si>
    <t>Monocytes/Leukocytes</t>
  </si>
  <si>
    <t>A relative measurement (ratio or percentage) of the monocytes to leukocytes in a biological specimen.</t>
  </si>
  <si>
    <t>Monocyte to Leukocyte Ratio</t>
  </si>
  <si>
    <t>C106544</t>
  </si>
  <si>
    <t>MONOMA</t>
  </si>
  <si>
    <t>Monocytes/Macrocytes</t>
  </si>
  <si>
    <t>A relative measurement (ratio or percentage) of the monocytes to macrocytes present in a sample.</t>
  </si>
  <si>
    <t>Monocytes to Macrocytes Ratio Measurement</t>
  </si>
  <si>
    <t>C135433</t>
  </si>
  <si>
    <t>MONONSQE</t>
  </si>
  <si>
    <t>Monocytes/Non-Squam Epi Cells</t>
  </si>
  <si>
    <t>A relative measurement (ratio or percentage) of the monocytes to non-squamous epithelial cells in a biological specimen.</t>
  </si>
  <si>
    <t>Monocytes to Non-Squamous Epithelial Cells Ratio Measurement</t>
  </si>
  <si>
    <t>C147397</t>
  </si>
  <si>
    <t>MONOPTPT</t>
  </si>
  <si>
    <t>Monoclonal Protein/Total Protein</t>
  </si>
  <si>
    <t>M Protein/Total Protein; M-Spike Protein/Total Protein; Monoclonal Protein Spike/Total Protein; Monoclonal Protein/Total Protein; Myeloma Protein/Total Protein</t>
  </si>
  <si>
    <t>A relative measurement (ratio or percentage) of the monoclonal protein to total protein in a biological specimen.</t>
  </si>
  <si>
    <t>Monoclonal Protein to Total Protein Ratio Measurement</t>
  </si>
  <si>
    <t>C179759</t>
  </si>
  <si>
    <t>MORGANEL</t>
  </si>
  <si>
    <t>Morganella</t>
  </si>
  <si>
    <t>A measurement of the organisms that are not assigned to the species level but are assigned to the Morganella genus level in a biological specimen.</t>
  </si>
  <si>
    <t>Morganella Measurement</t>
  </si>
  <si>
    <t>C81311</t>
  </si>
  <si>
    <t>MORORFX</t>
  </si>
  <si>
    <t>Moro Reflex</t>
  </si>
  <si>
    <t>An involuntary, primal response in the neonate to loud noise or the feeling of falling. The response is characterized by the infant's arms symmetrically spreading out to the side and then back to the midline, and involuntarily flexing the fingers and toes</t>
  </si>
  <si>
    <t>C184535</t>
  </si>
  <si>
    <t>MORPHDS</t>
  </si>
  <si>
    <t>Desomorphine</t>
  </si>
  <si>
    <t>A measurement of the desomorphine in a biological specimen.</t>
  </si>
  <si>
    <t>Desomorphine Measurement</t>
  </si>
  <si>
    <t>C184570</t>
  </si>
  <si>
    <t>MORPHET</t>
  </si>
  <si>
    <t>Ethylmorphine</t>
  </si>
  <si>
    <t>A measurement of the ethylmorphine in a biological specimen.</t>
  </si>
  <si>
    <t>Ethylmorphine Measurement</t>
  </si>
  <si>
    <t>C74883</t>
  </si>
  <si>
    <t>MORPHINE</t>
  </si>
  <si>
    <t>Morphine</t>
  </si>
  <si>
    <t>A measurement of the morphine present in a biological specimen.</t>
  </si>
  <si>
    <t>Morphine Measurement</t>
  </si>
  <si>
    <t>C184556</t>
  </si>
  <si>
    <t>MORPHNC</t>
  </si>
  <si>
    <t>Nicomorphine</t>
  </si>
  <si>
    <t>A measurement of the nicomorphine in a biological specimen.</t>
  </si>
  <si>
    <t>Nicomorphine Measurement</t>
  </si>
  <si>
    <t>C184557</t>
  </si>
  <si>
    <t>MORPHNR</t>
  </si>
  <si>
    <t>Normorphine</t>
  </si>
  <si>
    <t>A measurement of the normorphine in a biological specimen.</t>
  </si>
  <si>
    <t>Normorphine Measurement</t>
  </si>
  <si>
    <t>C96686</t>
  </si>
  <si>
    <t>MPC</t>
  </si>
  <si>
    <t>Mean Platelet Component</t>
  </si>
  <si>
    <t>A measurement of the mean platelet component (platelet activity) in a blood specimen.</t>
  </si>
  <si>
    <t>Mean Platelet Component Measurement</t>
  </si>
  <si>
    <t>C184551</t>
  </si>
  <si>
    <t>MPHDRN</t>
  </si>
  <si>
    <t>Mephedrone</t>
  </si>
  <si>
    <t>A measurement of the mephedrone in a biological specimen.</t>
  </si>
  <si>
    <t>Mephedrone Measurement</t>
  </si>
  <si>
    <t>C181486</t>
  </si>
  <si>
    <t>MPHGPIG</t>
  </si>
  <si>
    <t>Macrophage, Pigmented</t>
  </si>
  <si>
    <t>Macrophage, Pigmented; Pigmented Macrophage</t>
  </si>
  <si>
    <t>An evaluation of pigmented macrophages in a biological specimen.</t>
  </si>
  <si>
    <t>Pigmented Macrophage Assessment</t>
  </si>
  <si>
    <t>C75366</t>
  </si>
  <si>
    <t>MPHNBRB</t>
  </si>
  <si>
    <t>Methylphenobarbital</t>
  </si>
  <si>
    <t>Mephobarbital; Methylphenobarbital</t>
  </si>
  <si>
    <t>A measurement of the methylphenobarbital in a biological specimen.</t>
  </si>
  <si>
    <t>Mephobarbital Measurement</t>
  </si>
  <si>
    <t>C139043</t>
  </si>
  <si>
    <t>MPI</t>
  </si>
  <si>
    <t>Myocardial Performance Index</t>
  </si>
  <si>
    <t>A calculated result that uses the following base formula to quantify both systolic and diastolic ventricular function: MPI = (IVCT + IVRT)/VET, where IVCT is isovolumetric contraction time, IVRT is isovolumetric relaxation time, and VET is ventricular eje</t>
  </si>
  <si>
    <t>C186081</t>
  </si>
  <si>
    <t>MPIGISO</t>
  </si>
  <si>
    <t>Monoclonal Prot Immunoglobulin Isotype</t>
  </si>
  <si>
    <t>Immunoglobulin Immunofixation Interpretation; Monoclonal Prot Immunoglobulin Isotype; Monoclonal Protein Immunoglobulin Class; Monoclonal Protein Immunoglobulin Isotype</t>
  </si>
  <si>
    <t>The identification of the monoclonal protein immunoglobulin isotype in a biological specimen.</t>
  </si>
  <si>
    <t>Monoclonal Protein Immunoglobulin Isotype Determination</t>
  </si>
  <si>
    <t>C114214</t>
  </si>
  <si>
    <t>MPM</t>
  </si>
  <si>
    <t>Mean Platelet Dry Mass</t>
  </si>
  <si>
    <t>A measurement of the mean platelet dry mass in a biological specimen.</t>
  </si>
  <si>
    <t>C156543</t>
  </si>
  <si>
    <t>MPN</t>
  </si>
  <si>
    <t>Mycoplasma pneumoniae</t>
  </si>
  <si>
    <t>A measurement of the Mycoplasma pneumoniae in a biological specimen.</t>
  </si>
  <si>
    <t>Mycoplasma pneumoniae Measurement</t>
  </si>
  <si>
    <t>C184658</t>
  </si>
  <si>
    <t>MPNDNA</t>
  </si>
  <si>
    <t>Mycoplasma pneumoniae DNA</t>
  </si>
  <si>
    <t>A measurement of the Mycoplasma pneumoniae DNA in a biological specimen.</t>
  </si>
  <si>
    <t>Mycoplasma pneumoniae DNA Measurement</t>
  </si>
  <si>
    <t>C198329</t>
  </si>
  <si>
    <t>MPNNUAC</t>
  </si>
  <si>
    <t>Mycoplasma pneumoniae Nucleic Acid</t>
  </si>
  <si>
    <t>A measurement of the Mycoplasma pneumoniae nucleic acid in a biological specimen.</t>
  </si>
  <si>
    <t>Mycoplasma pneumoniae Nucleic Acid Measurement</t>
  </si>
  <si>
    <t>C80198</t>
  </si>
  <si>
    <t>MPO</t>
  </si>
  <si>
    <t>Myeloperoxidase</t>
  </si>
  <si>
    <t>A measurement of the myeloperoxidase in a biological specimen.</t>
  </si>
  <si>
    <t>Myeloperoxidase Measurement</t>
  </si>
  <si>
    <t>C184625</t>
  </si>
  <si>
    <t>MPRBMATE</t>
  </si>
  <si>
    <t>Meprobamate</t>
  </si>
  <si>
    <t>A measurement of the meprobamate in a biological specimen.</t>
  </si>
  <si>
    <t>Meprobamate Measurement</t>
  </si>
  <si>
    <t>C163467</t>
  </si>
  <si>
    <t>MPROTEXR</t>
  </si>
  <si>
    <t>Monoclonal Protein Excretion Rate</t>
  </si>
  <si>
    <t>M Protein Excretion Rate; M-Spike Protein Excretion Rate; Monoclonal Protein Excretion Rate; Monoclonal Protein Spike Excretion Rate; Myeloma Protein Excretion Rate</t>
  </si>
  <si>
    <t>A measurement of the amount of Monoclonal Protein being excreted in a biological specimen over a defined amount of time (e.g. one hour).</t>
  </si>
  <si>
    <t>C158218</t>
  </si>
  <si>
    <t>MPROTR</t>
  </si>
  <si>
    <t>Monoclonal Protein Region</t>
  </si>
  <si>
    <t>Monoclonal Protein Band Region; Monoclonal Protein Region; Monoclonal Protein Spike Region</t>
  </si>
  <si>
    <t>The identification of the protein zone (e.g., alpha-1 globulin, beta globulin, etc.) within which the monoclonal protein is observed.</t>
  </si>
  <si>
    <t>Monoclonal Protein Spike Region Identification</t>
  </si>
  <si>
    <t>C184591</t>
  </si>
  <si>
    <t>MPRYLON</t>
  </si>
  <si>
    <t>Methyprylon</t>
  </si>
  <si>
    <t>A measurement of the methyprylon in a biological specimen.</t>
  </si>
  <si>
    <t>Methyprylon Measurement</t>
  </si>
  <si>
    <t>C221589</t>
  </si>
  <si>
    <t>MPV</t>
  </si>
  <si>
    <t>Murine Pneumonia Virus</t>
  </si>
  <si>
    <t>A measurement of the Murine pneumonia virus in a biological specimen.</t>
  </si>
  <si>
    <t>Murine Pneumonia Virus Measurement</t>
  </si>
  <si>
    <t>C74730</t>
  </si>
  <si>
    <t>Mean Platelet Volume</t>
  </si>
  <si>
    <t>A measurement of the average size of the platelets present in a blood sample.</t>
  </si>
  <si>
    <t>Mean Platelet Volume Measurement</t>
  </si>
  <si>
    <t>C119290</t>
  </si>
  <si>
    <t>MPXI</t>
  </si>
  <si>
    <t>Myeloperoxidase Index</t>
  </si>
  <si>
    <t>The mean peroxidase activity index or staining intensity of the neutrophil population relative to the archetype.</t>
  </si>
  <si>
    <t>Neutrophil Myeloperoxidase Index</t>
  </si>
  <si>
    <t>C198330</t>
  </si>
  <si>
    <t>MPXV</t>
  </si>
  <si>
    <t>Monkeypox Virus</t>
  </si>
  <si>
    <t>Monkey Pox Virus; Monkeypox Virus</t>
  </si>
  <si>
    <t>A measurement of the Monkeypox virus in a biological specimen.</t>
  </si>
  <si>
    <t>Monkeypox Virus Measurement</t>
  </si>
  <si>
    <t>C198331</t>
  </si>
  <si>
    <t>MPXVDNA</t>
  </si>
  <si>
    <t>Monkeypox Virus DNA</t>
  </si>
  <si>
    <t>A measurement of the Monkeypox virus DNA in a biological specimen.</t>
  </si>
  <si>
    <t>Monkeypox Virus DNA Measurement</t>
  </si>
  <si>
    <t>C189624</t>
  </si>
  <si>
    <t>MRD1</t>
  </si>
  <si>
    <t>Margin Reflex Distance 1</t>
  </si>
  <si>
    <t>Margin Reflex Distance 1; Margin to Reflex Distance 1; Marginal Reflex Distance 1</t>
  </si>
  <si>
    <t>A measurement of the distance between the corneal light reflex to the central upper-eyelid margin, with the patient's gaze in the primary position (i.e., straight ahead).</t>
  </si>
  <si>
    <t>C189625</t>
  </si>
  <si>
    <t>MRD2</t>
  </si>
  <si>
    <t>Margin Reflex Distance 2</t>
  </si>
  <si>
    <t>Margin Reflex Distance 2; Margin to Reflex Distance 2; Marginal Reflex Distance 2</t>
  </si>
  <si>
    <t>A measurement of the distance between the corneal light reflex to central lower-eyelid margin, with the patient's gaze in the primary position (i.e., straight ahead).</t>
  </si>
  <si>
    <t>C172578</t>
  </si>
  <si>
    <t>MRDIND</t>
  </si>
  <si>
    <t>Minimal Residual Disease Indicator</t>
  </si>
  <si>
    <t>Minimal Residual Disease Indicator; MRD Indicator</t>
  </si>
  <si>
    <t>An indication as to whether the subject has minimal residual disease.</t>
  </si>
  <si>
    <t>Measurable Residual Disease Indicator</t>
  </si>
  <si>
    <t>C124433</t>
  </si>
  <si>
    <t>MRDRESP</t>
  </si>
  <si>
    <t>Minimal Residual Disease Response</t>
  </si>
  <si>
    <t>Minimal Residual Disease Response; MRD Response</t>
  </si>
  <si>
    <t>An assessment of the minimal residual disease response of the disease to the therapy.</t>
  </si>
  <si>
    <t>Measurable Residual Disease Response</t>
  </si>
  <si>
    <t>C127577</t>
  </si>
  <si>
    <t>MRGJALA</t>
  </si>
  <si>
    <t>Mitral Regur Jet Area L Atrial Area Rt</t>
  </si>
  <si>
    <t>Mitral Regur Jet Area L Atrial Area Rt; Mitral Regurgitant Jet Area to Left Atrial Area Ratio</t>
  </si>
  <si>
    <t>A relative measurement (ratio) of the mitral regurgitant jet area to left atrial area.</t>
  </si>
  <si>
    <t>Mitral Regurgitant Jet Area to Left Atrial Area Ratio</t>
  </si>
  <si>
    <t>C123625</t>
  </si>
  <si>
    <t>MRPHRESP</t>
  </si>
  <si>
    <t>Morphologic Response</t>
  </si>
  <si>
    <t>An assessment of the morphologic response of the disease to the therapy.</t>
  </si>
  <si>
    <t>C139110</t>
  </si>
  <si>
    <t>MRSA</t>
  </si>
  <si>
    <t>S. aureus, Methicillin-resistant</t>
  </si>
  <si>
    <t>S. aureus, Methicillin-Resistant; Staphylococcus aureus, Methicillin-Resistant</t>
  </si>
  <si>
    <t>A measurement of the methicillin-resistant strain of Staphylococcus aureus in a biological specimen.</t>
  </si>
  <si>
    <t>Methicillin-resistant Staphylococcus aureus Measurement</t>
  </si>
  <si>
    <t>C181524</t>
  </si>
  <si>
    <t>MRSXIDTC</t>
  </si>
  <si>
    <t>Date of Most Recent Sexual Intercourse</t>
  </si>
  <si>
    <t>The date of the most recent occurrence of sexual intercourse.</t>
  </si>
  <si>
    <t>Date of Last Sexual Intercourse</t>
  </si>
  <si>
    <t>C120724</t>
  </si>
  <si>
    <t>MRTEVIFO</t>
  </si>
  <si>
    <t>MRT Extravasc Infinity Obs</t>
  </si>
  <si>
    <t>The mean residence time (MRT) extrapolated to infinity for a substance administered by extravascular dosing, calculated using the observed value of the last non-zero concentration. Extravascular MRT includes Mean Absorption Time (MAT).</t>
  </si>
  <si>
    <t>Mean Residence Time Infinity Observed by Extravascular Dose</t>
  </si>
  <si>
    <t>C120725</t>
  </si>
  <si>
    <t>MRTEVIFP</t>
  </si>
  <si>
    <t>MRT Extravasc Infinity Pred</t>
  </si>
  <si>
    <t>The mean residence time (MRT) extrapolated to infinity for a substance administered by extravascular dosing, calculated using the predicted value of the last non-zero concentration. Extravascular MRT includes Mean Absorption Time (MAT).</t>
  </si>
  <si>
    <t>Mean Residence Time Infinity Predicted by Extravascular Dose</t>
  </si>
  <si>
    <t>C120726</t>
  </si>
  <si>
    <t>MRTEVLST</t>
  </si>
  <si>
    <t>MRT Extravasc to Last Nonzero Conc</t>
  </si>
  <si>
    <t>Mean residence time (MRT) from the time of dosing to the time of the last measurable concentration for a substance administered by extravascular dosing. Extravascular MRT includes Mean Absorption Time (MAT).</t>
  </si>
  <si>
    <t>Mean Residence Time to Last Nonzero Concentration by Extravascular Dose</t>
  </si>
  <si>
    <t>C121134</t>
  </si>
  <si>
    <t>MRTIBIFO</t>
  </si>
  <si>
    <t>MRT IV Bolus Infinity Obs</t>
  </si>
  <si>
    <t>The mean residence time (MRT) extrapolated to infinity for a substance administered by intravascular bolus dosing, calculated using the observed value of the last non-zero concentration.</t>
  </si>
  <si>
    <t>Mean Residence Time Infinity Observed by Intravascular Bolus Dose</t>
  </si>
  <si>
    <t>C121136</t>
  </si>
  <si>
    <t>MRTIBIFP</t>
  </si>
  <si>
    <t>MRT IV Bolus Infinity Pred</t>
  </si>
  <si>
    <t>The mean residence time (MRT) extrapolated to infinity for a substance administered by intravascular bolus dosing, calculated using the predicted value of the last non-zero concentration.</t>
  </si>
  <si>
    <t>Mean Residence Time Infinity Predicted by Intravascular Bolus Dose</t>
  </si>
  <si>
    <t>C121137</t>
  </si>
  <si>
    <t>MRTIBLST</t>
  </si>
  <si>
    <t>MRT IV Bolus to Last Nonzero Conc</t>
  </si>
  <si>
    <t>Mean residence time (MRT) from the time of dosing to the time of the last measurable concentration, for a substance administered by intravascular bolus dosing.</t>
  </si>
  <si>
    <t>Mean Residence Time to Last Nonzero Concentration by Intravascular Bolus Dose</t>
  </si>
  <si>
    <t>C181517</t>
  </si>
  <si>
    <t>MRTICIFO</t>
  </si>
  <si>
    <t>MRT IV Cont Inf Infinity Obs</t>
  </si>
  <si>
    <t>The mean residence time (MRT) extrapolated to infinity for a substance administered by constant rate of continuous intravascular infusion, calculated using the observed value of the last non-zero concentration.</t>
  </si>
  <si>
    <t>Mean Residence Time Intravenous Continuous Infusion Infinity Observed</t>
  </si>
  <si>
    <t>C181518</t>
  </si>
  <si>
    <t>MRTICIFP</t>
  </si>
  <si>
    <t>MRT IV Cont Inf Infinity Pred</t>
  </si>
  <si>
    <t>The mean residence time (MRT) extrapolated to infinity for a substance administered by constant rate of continuous intravascular infusion, calculated using the predicted value of the last non-zero concentration.</t>
  </si>
  <si>
    <t>Mean Residence Time Intravenous Continuous Infusion Infinity Predicted</t>
  </si>
  <si>
    <t>C181519</t>
  </si>
  <si>
    <t>MRTICLST</t>
  </si>
  <si>
    <t>MRT IV Cont Inf to Last Nonzero Conc</t>
  </si>
  <si>
    <t>Mean residence time (MRT) from the time of dosing to the time of the last measurable concentration, for a substance administered by constant rate of continuous intravascular infusion.</t>
  </si>
  <si>
    <t>Mean Residence Time Intravenous Continuous Infusion to Last Nonzero Concentration</t>
  </si>
  <si>
    <t>C221680</t>
  </si>
  <si>
    <t>MSCLTONE</t>
  </si>
  <si>
    <t>Muscle Tone</t>
  </si>
  <si>
    <t>An assessment to evaluate residual muscle tension, which may be subjectively assessed as resistance in response to passive stretch during resting state.</t>
  </si>
  <si>
    <t>Muscle Tone Assessment</t>
  </si>
  <si>
    <t>C122191</t>
  </si>
  <si>
    <t>MSCRGIND</t>
  </si>
  <si>
    <t>Miscarriage Indicator</t>
  </si>
  <si>
    <t>Miscarriage Indicator; Spontaneous Abortion Indicator</t>
  </si>
  <si>
    <t>An indication as to whether any pregnancies resulted in miscarriages.</t>
  </si>
  <si>
    <t>C221674</t>
  </si>
  <si>
    <t>MSCSTR</t>
  </si>
  <si>
    <t>Muscle Strength</t>
  </si>
  <si>
    <t>An assessment to evaluate the ability to exert force on an object using muscles.</t>
  </si>
  <si>
    <t>Muscle Strength Assessment</t>
  </si>
  <si>
    <t>C127794</t>
  </si>
  <si>
    <t>MSEUTIND</t>
  </si>
  <si>
    <t>Multiple Site EU State Trial Indicator</t>
  </si>
  <si>
    <t>An indication as to whether the clinical study is being conducted at multiple sites within the European Union member state concerned by the application.</t>
  </si>
  <si>
    <t>Multiple Site European Union State Trial Indicator</t>
  </si>
  <si>
    <t>C139095</t>
  </si>
  <si>
    <t>MSH2</t>
  </si>
  <si>
    <t>MutS Homolog 2</t>
  </si>
  <si>
    <t>A measurement of the MSH2 mismatch repair protein in a biological specimen.</t>
  </si>
  <si>
    <t>MutS Homolog 2 Measurement</t>
  </si>
  <si>
    <t>C186204</t>
  </si>
  <si>
    <t>MSH3</t>
  </si>
  <si>
    <t>MutS Homolog 3</t>
  </si>
  <si>
    <t>A measurement of the MSH3 mismatch repair protein in a biological specimen.</t>
  </si>
  <si>
    <t>MutS Homolog 3 Measurement</t>
  </si>
  <si>
    <t>C139096</t>
  </si>
  <si>
    <t>MSH6</t>
  </si>
  <si>
    <t>MutS Homolog 6</t>
  </si>
  <si>
    <t>A measurement of the MSH6 mismatch repair protein in a biological specimen.</t>
  </si>
  <si>
    <t>MutS Homolog 6 Measurement</t>
  </si>
  <si>
    <t>C187789</t>
  </si>
  <si>
    <t>MSHA</t>
  </si>
  <si>
    <t>Alpha Melanocyte Stimulating Hormone</t>
  </si>
  <si>
    <t>Alpha Melanocyte Stimulating Hormone; Alpha-MSH</t>
  </si>
  <si>
    <t>A measurement of the alpha melanocyte stimulating hormone in a biological specimen.</t>
  </si>
  <si>
    <t>Alpha Melanocyte Stimulating Hormone Measurement</t>
  </si>
  <si>
    <t>C172542</t>
  </si>
  <si>
    <t>MSI</t>
  </si>
  <si>
    <t>Mycobacterium simiae</t>
  </si>
  <si>
    <t>A measurement of the Mycobacterium simiae in a biological specimen.</t>
  </si>
  <si>
    <t>Mycobacterium simiae Measurement</t>
  </si>
  <si>
    <t>C135471</t>
  </si>
  <si>
    <t>MSNGMTRX</t>
  </si>
  <si>
    <t>Mesangial Matrix</t>
  </si>
  <si>
    <t>An evaluation of mesangial matrix in a biological specimen.</t>
  </si>
  <si>
    <t>Mesangial Matrix Assessment</t>
  </si>
  <si>
    <t>C139111</t>
  </si>
  <si>
    <t>MSSA</t>
  </si>
  <si>
    <t>S. aureus, Methicillin-susceptible</t>
  </si>
  <si>
    <t>S. aureus, Methicillin-Susceptible; Staphylococcus aureus, Methicillin-Susceptible</t>
  </si>
  <si>
    <t>A measurement of the methicillin-susceptible strain of Staphylococcus aureus in a biological specimen.</t>
  </si>
  <si>
    <t>Methicillin-susceptible Staphylococcus aureus Measurement</t>
  </si>
  <si>
    <t>C147398</t>
  </si>
  <si>
    <t>MSTHCE</t>
  </si>
  <si>
    <t>Mesothelial Cells</t>
  </si>
  <si>
    <t>A measurement of the mesothelial cells in a biological specimen.</t>
  </si>
  <si>
    <t>Mesothelial Cells Count</t>
  </si>
  <si>
    <t>C147399</t>
  </si>
  <si>
    <t>MSTHCELE</t>
  </si>
  <si>
    <t>Mesothelial Cells/Leukocytes</t>
  </si>
  <si>
    <t>A relative measurement (ratio or percentage) of the mesothelial cells to total leukocytes in a biological specimen.</t>
  </si>
  <si>
    <t>Mesothelial Cells to Leukocytes Ratio Measurement</t>
  </si>
  <si>
    <t>C184588</t>
  </si>
  <si>
    <t>MSTRLN</t>
  </si>
  <si>
    <t>Mesterolone</t>
  </si>
  <si>
    <t>Mesterelone; Mesterolone</t>
  </si>
  <si>
    <t>A measurement of the mesterolone in a biological specimen.</t>
  </si>
  <si>
    <t>Mesterolone Measurement</t>
  </si>
  <si>
    <t>C128982</t>
  </si>
  <si>
    <t>MTB</t>
  </si>
  <si>
    <t>Mycobacterium tuberculosis</t>
  </si>
  <si>
    <t>A measurement of the organisms that are assigned to the Mycobacterium tuberculosis species in a biological specimen.</t>
  </si>
  <si>
    <t>Mycobacterium Tuberculosis Measurement</t>
  </si>
  <si>
    <t>C128983</t>
  </si>
  <si>
    <t>MTBCMPLX</t>
  </si>
  <si>
    <t>Mycobacterium tuberculosis Complex</t>
  </si>
  <si>
    <t>A measurement of the organisms assignable to the Mycobacterium tuberculosis complex in a biological specimen.</t>
  </si>
  <si>
    <t>Mycobacterium tuberculosis Complex Measurement</t>
  </si>
  <si>
    <t>C199988</t>
  </si>
  <si>
    <t>MTBIINTP</t>
  </si>
  <si>
    <t>Metabolic Imaging Interpretation</t>
  </si>
  <si>
    <t>An interpretive summary of the metabolic activity of a tumor or lesion based on imaging analysis.</t>
  </si>
  <si>
    <t>C187868</t>
  </si>
  <si>
    <t>MTBRIR</t>
  </si>
  <si>
    <t>M. tuberculosis, Rifampin-resistant</t>
  </si>
  <si>
    <t>M. tuberculosis, Rifampin-resistant; Mycobacterium tuberculosis, Rifampin-resistant</t>
  </si>
  <si>
    <t>A measurement of the rifampin-resistant strain of Mycobacterium tuberculosis in a biological specimen.</t>
  </si>
  <si>
    <t>Rifampin-resistant Mycobacterium Measurement</t>
  </si>
  <si>
    <t>C154887</t>
  </si>
  <si>
    <t>MTENDIND</t>
  </si>
  <si>
    <t>Motion Tenderness Indicator</t>
  </si>
  <si>
    <t>An indication as to whether there are symptoms of motion tenderness.</t>
  </si>
  <si>
    <t>C184590</t>
  </si>
  <si>
    <t>MTESTOS</t>
  </si>
  <si>
    <t>Methyltestosterone</t>
  </si>
  <si>
    <t>A measurement of the methyltestosterone in a biological specimen.</t>
  </si>
  <si>
    <t>Methyltestosterone Measurement</t>
  </si>
  <si>
    <t>C184589</t>
  </si>
  <si>
    <t>MTHSTRN</t>
  </si>
  <si>
    <t>Methasterone</t>
  </si>
  <si>
    <t>A measurement of the methasterone in a biological specimen.</t>
  </si>
  <si>
    <t>Methasterone Measurement</t>
  </si>
  <si>
    <t>C186082</t>
  </si>
  <si>
    <t>MTHXT3</t>
  </si>
  <si>
    <t>3-Methoxytyramine</t>
  </si>
  <si>
    <t>A measurement of the total 3-methoxytyramine in a biological specimen.</t>
  </si>
  <si>
    <t>Total 3-Methoxytyramine Measurement</t>
  </si>
  <si>
    <t>C186083</t>
  </si>
  <si>
    <t>MTHXT3FR</t>
  </si>
  <si>
    <t>3-Methoxytyramine, Free</t>
  </si>
  <si>
    <t>A measurement of the free 3-methoxytyramine in a biological specimen.</t>
  </si>
  <si>
    <t>Free 3-Methoxytyramine Measurement</t>
  </si>
  <si>
    <t>C147400</t>
  </si>
  <si>
    <t>MTNEPHFR</t>
  </si>
  <si>
    <t>Metanephrine, Free</t>
  </si>
  <si>
    <t>A measurement of the free metanephrine in a biological specimen.</t>
  </si>
  <si>
    <t>Free Metanephrine Measurement</t>
  </si>
  <si>
    <t>C177991</t>
  </si>
  <si>
    <t>MTNMTEXR</t>
  </si>
  <si>
    <t>Metanephrine+Normetanephrine Excr Rate</t>
  </si>
  <si>
    <t>Metanephrine+Normetanephrine Excr Rate; Metanephrine+Normetanephrine Excretion Rate</t>
  </si>
  <si>
    <t>A measurement of the amount of metanephrine and normetanephrine being excreted in a biological specimen over a defined amount of time (e.g., one hour).</t>
  </si>
  <si>
    <t>Metanephrine and Normetanephrine Excretion Rate</t>
  </si>
  <si>
    <t>C177990</t>
  </si>
  <si>
    <t>MTNNMTN</t>
  </si>
  <si>
    <t>Metanephrine+Normetanephrine</t>
  </si>
  <si>
    <t>A measurement of the metanephrine and normetanephrine in a biological specimen.</t>
  </si>
  <si>
    <t>Metanephrine and Normetanephrine Measurement</t>
  </si>
  <si>
    <t>C124475</t>
  </si>
  <si>
    <t>MUARMCIR</t>
  </si>
  <si>
    <t>Mid-Upper Arm Circumference</t>
  </si>
  <si>
    <t>The distance around an individual's upper arm, at the widest point.</t>
  </si>
  <si>
    <t>C74721</t>
  </si>
  <si>
    <t>MUCTHR</t>
  </si>
  <si>
    <t>Mucous Threads</t>
  </si>
  <si>
    <t>A measurement of the mucous threads present in a biological specimen.</t>
  </si>
  <si>
    <t>Mucous Thread Measurement</t>
  </si>
  <si>
    <t>C127630</t>
  </si>
  <si>
    <t>MUG</t>
  </si>
  <si>
    <t>Murinoglobulin</t>
  </si>
  <si>
    <t>A measurement of the murinoglobulin in a biological specimen.</t>
  </si>
  <si>
    <t>Murinoglobulin Measurement</t>
  </si>
  <si>
    <t>C187959</t>
  </si>
  <si>
    <t>MUSCRIG</t>
  </si>
  <si>
    <t>Muscular Rigidity</t>
  </si>
  <si>
    <t>An evaluation of muscular rigidity (an involuntary, persistent state of firm, tense muscles with marked resistance to passive movement).</t>
  </si>
  <si>
    <t>Muscular Rigidity Evaluation</t>
  </si>
  <si>
    <t>C120936</t>
  </si>
  <si>
    <t>MV</t>
  </si>
  <si>
    <t>Minute Volume</t>
  </si>
  <si>
    <t>Minute Ventilation; Minute Volume; VE</t>
  </si>
  <si>
    <t>The amount of gas inspired or expired in one minute.</t>
  </si>
  <si>
    <t>C127578</t>
  </si>
  <si>
    <t>MVRGF</t>
  </si>
  <si>
    <t>Mitral Valve Regurgitant Fraction</t>
  </si>
  <si>
    <t>A measurement of the volume of retrograde blood flow across the orifice of the mitral valve expressed as a percentage of the anterograde flow volume.</t>
  </si>
  <si>
    <t>C127579</t>
  </si>
  <si>
    <t>MVRGJA</t>
  </si>
  <si>
    <t>Mitral Valve Regurgitant Jet Area</t>
  </si>
  <si>
    <t>The measured area of the regurgitant jet of blood into the left atrium.</t>
  </si>
  <si>
    <t>C127580</t>
  </si>
  <si>
    <t>MVRGVOL</t>
  </si>
  <si>
    <t>Mitral Valve Regurgitant Volume</t>
  </si>
  <si>
    <t>A measurement of the volume of retrograde blood flow across the orifice of the mitral valve.</t>
  </si>
  <si>
    <t>C181479</t>
  </si>
  <si>
    <t>MVSTS</t>
  </si>
  <si>
    <t>Microvesicular Steatosis</t>
  </si>
  <si>
    <t>An evaluation of microvesicular steatosis in a biological specimen.</t>
  </si>
  <si>
    <t>Microvesicular Steatosis Assessment</t>
  </si>
  <si>
    <t>C127581</t>
  </si>
  <si>
    <t>MVVCA</t>
  </si>
  <si>
    <t>Mitral Valve Vena Contracta Area</t>
  </si>
  <si>
    <t>The area of the vena contracta of the mitral valve.</t>
  </si>
  <si>
    <t>C127582</t>
  </si>
  <si>
    <t>MVVCW</t>
  </si>
  <si>
    <t>Mitral Valve Vena Contracta Width</t>
  </si>
  <si>
    <t>The width of the vena contracta of the mitral valve.</t>
  </si>
  <si>
    <t>C163469</t>
  </si>
  <si>
    <t>MX1</t>
  </si>
  <si>
    <t>Interferon-Induced Protein p78</t>
  </si>
  <si>
    <t>Interferon-Induced GTP-Binding Protein Mx1; Interferon-Induced Protein p78</t>
  </si>
  <si>
    <t>A measurement of the interferon-induced protein P78 in a biological specimen.</t>
  </si>
  <si>
    <t>Interferon-Induced Protein p78 Measurement</t>
  </si>
  <si>
    <t>C74632</t>
  </si>
  <si>
    <t>MYBLA</t>
  </si>
  <si>
    <t>Myeloblasts</t>
  </si>
  <si>
    <t>Myeloblasts; Myeloid Blasts</t>
  </si>
  <si>
    <t>A measurement of the myeloblast cells in a biological specimen.</t>
  </si>
  <si>
    <t>Myeloblast Count</t>
  </si>
  <si>
    <t>C64825</t>
  </si>
  <si>
    <t>MYBLALE</t>
  </si>
  <si>
    <t>Myeloblasts/Leukocytes</t>
  </si>
  <si>
    <t>A relative measurement (ratio or percentage) of the myeloblasts to leukocytes in a biological specimen.</t>
  </si>
  <si>
    <t>Myeloblast to Leukocyte Ratio</t>
  </si>
  <si>
    <t>C92283</t>
  </si>
  <si>
    <t>MYBLAT1</t>
  </si>
  <si>
    <t>Type I Myeloblasts</t>
  </si>
  <si>
    <t>A measurement of type I myeloblast cells per unit of a biological specimen.</t>
  </si>
  <si>
    <t>Type I Myeloblasts Measurement</t>
  </si>
  <si>
    <t>C92284</t>
  </si>
  <si>
    <t>MYBLAT2</t>
  </si>
  <si>
    <t>Type II Myeloblasts</t>
  </si>
  <si>
    <t>A measurement of type II myeloblast cells per unit of a biological specimen.</t>
  </si>
  <si>
    <t>Type II Myeloblasts Measurement</t>
  </si>
  <si>
    <t>C92285</t>
  </si>
  <si>
    <t>MYBLAT3</t>
  </si>
  <si>
    <t>Type III Myeloblasts</t>
  </si>
  <si>
    <t>A measurement of type III myeloblast cells per unit of a biological specimen.</t>
  </si>
  <si>
    <t>Type III Myeloblasts Measurement</t>
  </si>
  <si>
    <t>C135434</t>
  </si>
  <si>
    <t>MYCEMIDX</t>
  </si>
  <si>
    <t>Myeloid Maturation Index</t>
  </si>
  <si>
    <t>A relative measurement (ratio) of the sum of myeloid maturation phase cells (pool) to the sum of myeloid proliferative phase cells (pool) in a biological specimen.</t>
  </si>
  <si>
    <t>C135435</t>
  </si>
  <si>
    <t>MYCEMPOL</t>
  </si>
  <si>
    <t>Myeloid Maturation Pool</t>
  </si>
  <si>
    <t>A measurement of the myeloid maturation phase cells (metamyelocytes, band neutrophils, and segmented neutrophils) in a biological specimen.</t>
  </si>
  <si>
    <t>Myeloid Maturation Pool Count</t>
  </si>
  <si>
    <t>C135436</t>
  </si>
  <si>
    <t>MYCEPIDX</t>
  </si>
  <si>
    <t>Myeloid Proliferation Index</t>
  </si>
  <si>
    <t>A relative measurement (ratio) of the sum of myeloid proliferative phase cells (pool) to the sum of myeloid maturation phase cells (pool) in a biological specimen.</t>
  </si>
  <si>
    <t>C135437</t>
  </si>
  <si>
    <t>MYCEPPOL</t>
  </si>
  <si>
    <t>Myeloid Proliferation Pool</t>
  </si>
  <si>
    <t>A measurement of the myeloid proliferative phase cells (myeloblasts, promyelocytes, and myelocytes) in a biological specimen.</t>
  </si>
  <si>
    <t>Myeloid Proliferation Pool Count</t>
  </si>
  <si>
    <t>C204681</t>
  </si>
  <si>
    <t>MYCEPRLF</t>
  </si>
  <si>
    <t>Myeloid Proliferation</t>
  </si>
  <si>
    <t>Myeloid Cell Proliferation; Myeloid Proliferation</t>
  </si>
  <si>
    <t>An evaluation of myeloid lineage cell proliferation in a biological specimen.</t>
  </si>
  <si>
    <t>Myeloid Proliferation Measurement</t>
  </si>
  <si>
    <t>C186174</t>
  </si>
  <si>
    <t>MYCOBACT</t>
  </si>
  <si>
    <t>Mycobacterium</t>
  </si>
  <si>
    <t>A measurement of the organisms that are not assigned to the species level but are assigned to the Mycobacterium genus level in a biological specimen.</t>
  </si>
  <si>
    <t>Mycobacterium Measurement</t>
  </si>
  <si>
    <t>C187863</t>
  </si>
  <si>
    <t>MYCOPLAS</t>
  </si>
  <si>
    <t>Mycoplasma</t>
  </si>
  <si>
    <t>A measurement of the organisms that are not assigned to the species level but are assigned to the Mycoplasma genus level in a biological specimen.</t>
  </si>
  <si>
    <t>Mycoplasma Measurement</t>
  </si>
  <si>
    <t>C74662</t>
  </si>
  <si>
    <t>MYCY</t>
  </si>
  <si>
    <t>Myelocytes</t>
  </si>
  <si>
    <t>A measurement of the myelocytes in a biological specimen.</t>
  </si>
  <si>
    <t>Myelocyte Count</t>
  </si>
  <si>
    <t>C98868</t>
  </si>
  <si>
    <t>MYCYCE</t>
  </si>
  <si>
    <t>Myelocytes/Total Cells</t>
  </si>
  <si>
    <t>A relative measurement (ratio or percentage) of the myelocytes to total cells in a biological specimen (for example a bone marrow specimen).</t>
  </si>
  <si>
    <t>Myelocyte to Total Cell Ratio Measurement</t>
  </si>
  <si>
    <t>C64826</t>
  </si>
  <si>
    <t>MYCYLE</t>
  </si>
  <si>
    <t>Myelocytes/Leukocytes</t>
  </si>
  <si>
    <t>A relative measurement (ratio or percentage) of the myelocytes to leukocytes in a biological specimen.</t>
  </si>
  <si>
    <t>Myelocyte to Leukocyte Ratio</t>
  </si>
  <si>
    <t>C209534</t>
  </si>
  <si>
    <t>MYECV</t>
  </si>
  <si>
    <t>Myocardial Extracellular Volume</t>
  </si>
  <si>
    <t>MECV; Myocardial Extracellular Volume</t>
  </si>
  <si>
    <t>The percent of myocardial tissue comprised of extracellular space calculated from native and post-contrast T1 maps and a contemporaneous hematocrit level.</t>
  </si>
  <si>
    <t>C154803</t>
  </si>
  <si>
    <t>MYFIBROS</t>
  </si>
  <si>
    <t>Myelofibrosis</t>
  </si>
  <si>
    <t>An evaluation of myelofibrosis in a biological specimen.</t>
  </si>
  <si>
    <t>Myelofibrosis Assessment</t>
  </si>
  <si>
    <t>C106547</t>
  </si>
  <si>
    <t>MYL3</t>
  </si>
  <si>
    <t>Myosin Light Chain 3</t>
  </si>
  <si>
    <t>Cardiac myosin light chain 1; Myosin light chain 1, slow-twitch muscle B/ventricular isoform; Myosin Light Chain 3</t>
  </si>
  <si>
    <t>A measurement of myosin light chain 3 in a biological specimen.</t>
  </si>
  <si>
    <t>Myosin Light Chain 3 Measurement</t>
  </si>
  <si>
    <t>C221661</t>
  </si>
  <si>
    <t>MYOPNPV</t>
  </si>
  <si>
    <t>Myoglobin Peak Norm for Phantom Vol</t>
  </si>
  <si>
    <t>Myoglobin Peak Norm for Phantom Vol; Myoglobin Peak Normalized for Phantom Volume</t>
  </si>
  <si>
    <t>A measurement of the peak myoglobin normalized for imaging phantom volume, in a biological specimen.</t>
  </si>
  <si>
    <t>Myoglobin Peak Normalized for Phantom Volume Measurement</t>
  </si>
  <si>
    <t>C221663</t>
  </si>
  <si>
    <t>MYOPNTW</t>
  </si>
  <si>
    <t>Myoglobin Peak Norm for Tissue Weight</t>
  </si>
  <si>
    <t>Myoglobin Peak Norm for Tissue Weight; Myoglobin Peak Normalized for Tissue Weight</t>
  </si>
  <si>
    <t>A measurement of the peak myoglobin normalized for tissue weight, in a biological specimen.</t>
  </si>
  <si>
    <t>Myoglobin Peak Normalized for Tissue Weight Measurement</t>
  </si>
  <si>
    <t>C221662</t>
  </si>
  <si>
    <t>MYOPNTWV</t>
  </si>
  <si>
    <t>Myoglobin Peak Norm for Tissue Water Vol</t>
  </si>
  <si>
    <t>Myoglobin Peak Norm for Tissue Water Vol; Myoglobin Peak Normalized for Tissue Water Volume</t>
  </si>
  <si>
    <t>A measurement of the peak myoglobin normalized for tissue water volume, in a biological specimen.</t>
  </si>
  <si>
    <t>Myoglobin Peak Normalized for Tissue Water Volume Measurement</t>
  </si>
  <si>
    <t>C130165</t>
  </si>
  <si>
    <t>MYPC</t>
  </si>
  <si>
    <t>Myeloid Progenitor Cells</t>
  </si>
  <si>
    <t>A measurement of the myeloid progenitor cells in a biological specimen.</t>
  </si>
  <si>
    <t>Myeloid Progenitor Cell Count</t>
  </si>
  <si>
    <t>C186084</t>
  </si>
  <si>
    <t>MYPCCE</t>
  </si>
  <si>
    <t>Myeloid Progenitor Cells/Total Cells</t>
  </si>
  <si>
    <t>A relative measurement (ratio or percentage) of the myeloid progenitor cells to total cells in a biological specimen.</t>
  </si>
  <si>
    <t>Myeloid Progenitor Cell to Total Cell Ratio Measurement</t>
  </si>
  <si>
    <t>C92242</t>
  </si>
  <si>
    <t>MYPCERPC</t>
  </si>
  <si>
    <t>Myeloid/Erythroid Ratio</t>
  </si>
  <si>
    <t>A relative measurement of myeloid progenitor cells to erythrocyte precursor cells in a biological specimen.</t>
  </si>
  <si>
    <t>Myeloid to Erythroid Ratio Measurement</t>
  </si>
  <si>
    <t>C92241</t>
  </si>
  <si>
    <t>MYTBGIR</t>
  </si>
  <si>
    <t>M. tuberculosis IFN Gamma Response</t>
  </si>
  <si>
    <t>M. tuberculosis IFN Gamma Response; 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</si>
  <si>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</si>
  <si>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 Measurement</t>
  </si>
  <si>
    <t>C92279</t>
  </si>
  <si>
    <t>MYTBNUAC</t>
  </si>
  <si>
    <t>Mycobacterium tuberculosis Nucleic Acid</t>
  </si>
  <si>
    <t>A measurement of the Mycobacterium tuberculosis nucleic acid in a biological specimen.</t>
  </si>
  <si>
    <t>Mycobacterium tuberculosis Nucleic Acid Measurement</t>
  </si>
  <si>
    <t>C117886</t>
  </si>
  <si>
    <t>N145LAT</t>
  </si>
  <si>
    <t>N145 Latency</t>
  </si>
  <si>
    <t>An assessment of the latency of the N145 or N2 wave of the visual evoked potential assessment waveform.</t>
  </si>
  <si>
    <t>C154868</t>
  </si>
  <si>
    <t>N1SLPDUR</t>
  </si>
  <si>
    <t>N1 Sleep Duration</t>
  </si>
  <si>
    <t>N1 Sleep Duration; Stage 1 Sleep Duration</t>
  </si>
  <si>
    <t>The length of time of N1 sleep.</t>
  </si>
  <si>
    <t>N1 Sleep Phase Duration</t>
  </si>
  <si>
    <t>C156555</t>
  </si>
  <si>
    <t>N1SLPTST</t>
  </si>
  <si>
    <t>N1 Sleep/Total Sleep Time</t>
  </si>
  <si>
    <t>A relative measurement (percentage) of the N1 sleep time to total sleep time.</t>
  </si>
  <si>
    <t>N1 Sleep to Total Sleep Time Ratio Measurement</t>
  </si>
  <si>
    <t>C154869</t>
  </si>
  <si>
    <t>N2SLPDUR</t>
  </si>
  <si>
    <t>N2 Sleep Duration</t>
  </si>
  <si>
    <t>N2 Sleep Duration; Stage 2 Sleep Duration</t>
  </si>
  <si>
    <t>The length of time of N2 sleep.</t>
  </si>
  <si>
    <t>N2 Sleep Phase Duration</t>
  </si>
  <si>
    <t>C156556</t>
  </si>
  <si>
    <t>N2SLPTST</t>
  </si>
  <si>
    <t>N2 Sleep/Total Sleep Time</t>
  </si>
  <si>
    <t>A relative measurement (percentage) of the N2 sleep time to total sleep time.</t>
  </si>
  <si>
    <t>N2 Sleep to Total Sleep Time Ratio Measurement</t>
  </si>
  <si>
    <t>C154870</t>
  </si>
  <si>
    <t>N3SLPDUR</t>
  </si>
  <si>
    <t>N3 Sleep Duration</t>
  </si>
  <si>
    <t>N3 Sleep Duration; Stage 3 Sleep Duration</t>
  </si>
  <si>
    <t>The length of time of N3 sleep.</t>
  </si>
  <si>
    <t>N3 Sleep Phase Duration</t>
  </si>
  <si>
    <t>C156557</t>
  </si>
  <si>
    <t>N3SLPTST</t>
  </si>
  <si>
    <t>N3 Sleep/Total Sleep Time</t>
  </si>
  <si>
    <t>A relative measurement (percentage) of the N3 sleep time to total sleep time.</t>
  </si>
  <si>
    <t>N3 Sleep to Total Sleep Time Ratio Measurement</t>
  </si>
  <si>
    <t>C199934</t>
  </si>
  <si>
    <t>N63HK1RN</t>
  </si>
  <si>
    <t>HCoV-NL63/HCoV-HKU1 RNA</t>
  </si>
  <si>
    <t>HCoV-NL63/HCoV-HKU1 RNA; Human Coronavirus NL63/Human Coronavirus HKU1 RNA</t>
  </si>
  <si>
    <t>A measurement of the Human coronavirus NL63 and/or Human coronavirus HKU1 RNA in a biological specimen.</t>
  </si>
  <si>
    <t>Human Coronavirus NL63 and/or Human Coronavirus HKU1 RNA Measurement</t>
  </si>
  <si>
    <t>C130185</t>
  </si>
  <si>
    <t>N75LAT</t>
  </si>
  <si>
    <t>N75 Latency</t>
  </si>
  <si>
    <t>N1 Latency; N75 Latency</t>
  </si>
  <si>
    <t>An assessment of the latency of the N75 or N1 wave of the visual evoked potential assessment waveform.</t>
  </si>
  <si>
    <t>C156561</t>
  </si>
  <si>
    <t>NAA</t>
  </si>
  <si>
    <t>N-Acetyl Aspartate</t>
  </si>
  <si>
    <t>A measurement of the N-acetyl aspartate in a biological specimen.</t>
  </si>
  <si>
    <t>N-Acetyl Aspartate Measurement</t>
  </si>
  <si>
    <t>C201457</t>
  </si>
  <si>
    <t>NAACHO</t>
  </si>
  <si>
    <t>N-Acetyl Aspartate/Choline</t>
  </si>
  <si>
    <t>A relative measurement (ratio) of the N-acetyl aspartate to the choline in a biological specimen.</t>
  </si>
  <si>
    <t>N-Acetyl Aspartate to Choline Ratio Measurement</t>
  </si>
  <si>
    <t>C201456</t>
  </si>
  <si>
    <t>NAACTN</t>
  </si>
  <si>
    <t>N-Acetyl Aspartate/Creatine</t>
  </si>
  <si>
    <t>A relative measurement (ratio) of the N-acetyl aspartate to the creatine in a biological specimen.</t>
  </si>
  <si>
    <t>N-Acetyl Aspartate to Creatine Ratio Measurement</t>
  </si>
  <si>
    <t>C201460</t>
  </si>
  <si>
    <t>NAACTNCH</t>
  </si>
  <si>
    <t>N-Acetyl Aspartate/Creatine+Choline</t>
  </si>
  <si>
    <t>A relative measurement (ratio) of the N-acetyl aspartate to the creatinine plus choline to the creatine in a biological specimen.</t>
  </si>
  <si>
    <t>N-Acetyl Aspartate to Creatine and Choline Ratio Measurement</t>
  </si>
  <si>
    <t>C158258</t>
  </si>
  <si>
    <t>NAANAAG</t>
  </si>
  <si>
    <t>NAA+NAAG</t>
  </si>
  <si>
    <t>N-acetylaspartate + N-acetyl-aspartylglutamate; NAA+NAAG</t>
  </si>
  <si>
    <t>A measurement of the N-acetylaspartate plus N-acetyl-aspartylglutamate in a biological specimen.</t>
  </si>
  <si>
    <t>N-acetylaspartate and N-acetyl-aspartylglutamate Measurement</t>
  </si>
  <si>
    <t>C106568</t>
  </si>
  <si>
    <t>NACLR</t>
  </si>
  <si>
    <t>Sodium Clearance</t>
  </si>
  <si>
    <t>A measurement of the volume of serum or plasma that would be cleared of sodium by excretion of urine for a specified unit of time (e.g. one minute).</t>
  </si>
  <si>
    <t>Sodium Clearance Measurement</t>
  </si>
  <si>
    <t>C79464</t>
  </si>
  <si>
    <t>NACREAT</t>
  </si>
  <si>
    <t>Sodium/Creatinine</t>
  </si>
  <si>
    <t>A relative measurement (ratio or percentage) of the sodium to creatinine in a biological specimen.</t>
  </si>
  <si>
    <t>Sodium to Creatinine Ratio Measurement</t>
  </si>
  <si>
    <t>C79459</t>
  </si>
  <si>
    <t>NAG</t>
  </si>
  <si>
    <t>N-Acetyl Glucosamide</t>
  </si>
  <si>
    <t>N-Acetyl Glucosamide; N-Acetyl Glucosamine</t>
  </si>
  <si>
    <t>A measurement of N-acetyl glucosamide (sugar derivative) in a biological specimen.</t>
  </si>
  <si>
    <t>N-Acetyl Glucosamide Measurement</t>
  </si>
  <si>
    <t>C103419</t>
  </si>
  <si>
    <t>NAGASE</t>
  </si>
  <si>
    <t>N-acetyl-beta-D-glucosaminidase</t>
  </si>
  <si>
    <t>Beta-N-acetyl-D-glucosaminidase; N-acetyl-beta-D-glucosaminidase</t>
  </si>
  <si>
    <t>A measurement of the N-acetyl-beta-D-glucosaminidase (enzyme) in a biological specimen.</t>
  </si>
  <si>
    <t>N-acetyl-beta-D-glucosaminidase Measurement</t>
  </si>
  <si>
    <t>C163470</t>
  </si>
  <si>
    <t>NAGASECR</t>
  </si>
  <si>
    <t>N-acetyl-B-D-glucosaminidase/Creatinine</t>
  </si>
  <si>
    <t>A relative measurement (ratio or percentage) of the N-acetyl-beta-D-glucosaminidase to creatinine in a biological specimen.</t>
  </si>
  <si>
    <t>N-acetyl-Beta-D-glucosaminidase to Creatinine Ratio Measurement</t>
  </si>
  <si>
    <t>C165975</t>
  </si>
  <si>
    <t>NAGASEXR</t>
  </si>
  <si>
    <t>NAGASE Excretion Rate</t>
  </si>
  <si>
    <t>N-acetyl-beta-D-glucosaminidase Excretion Rate; NAGASE Excretion Rate</t>
  </si>
  <si>
    <t>A measurement of the amount of N-acetyl-beta-D-glucosaminidase being excreted in a biological specimen over a defined amount of time (e.g. one hour).</t>
  </si>
  <si>
    <t>N-acetyl-beta-D-glucosaminidase Excretion Rate</t>
  </si>
  <si>
    <t>C79460</t>
  </si>
  <si>
    <t>NAGCREAT</t>
  </si>
  <si>
    <t>N-Acetyl Glucosamide/Creatinine</t>
  </si>
  <si>
    <t>A relative measurement (ratio or percentage) of the N-acetyl glucosamide to creatinine in a biological specimen.</t>
  </si>
  <si>
    <t>N-Acetyl Glucosamide to Creatinine Ratio Measurement</t>
  </si>
  <si>
    <t>C122137</t>
  </si>
  <si>
    <t>NAK</t>
  </si>
  <si>
    <t>Sodium/Potassium</t>
  </si>
  <si>
    <t>A relative measurement (ratio or percentage) of the sodium to potassium in a biological specimen.</t>
  </si>
  <si>
    <t>Sodium to Potassium Ratio Measurement</t>
  </si>
  <si>
    <t>C184592</t>
  </si>
  <si>
    <t>NALORPHN</t>
  </si>
  <si>
    <t>Nalorphine</t>
  </si>
  <si>
    <t>Allorphine; Antorphine; N-allylnormorphine; Nalorphine</t>
  </si>
  <si>
    <t>A measurement of the nalorphine in a biological specimen.</t>
  </si>
  <si>
    <t>Nalorphine Measurement</t>
  </si>
  <si>
    <t>C75377</t>
  </si>
  <si>
    <t>NANDRLN</t>
  </si>
  <si>
    <t>Nandrolone</t>
  </si>
  <si>
    <t>Nandrolone; Norandrostenolone; Nortestosterone</t>
  </si>
  <si>
    <t>A measurement of the nandrolone in a biological specimen.</t>
  </si>
  <si>
    <t>Nandrolone Measurement</t>
  </si>
  <si>
    <t>C184553</t>
  </si>
  <si>
    <t>NAPHYRON</t>
  </si>
  <si>
    <t>Naphyrone</t>
  </si>
  <si>
    <t>A measurement of the naphyrone in a biological specimen.</t>
  </si>
  <si>
    <t>Naphyrone Measurement</t>
  </si>
  <si>
    <t>C98771</t>
  </si>
  <si>
    <t>NARMS</t>
  </si>
  <si>
    <t>Planned Number of Arms</t>
  </si>
  <si>
    <t>The planned number of intervention groups.</t>
  </si>
  <si>
    <t>C28407</t>
  </si>
  <si>
    <t>NATORIG</t>
  </si>
  <si>
    <t>National Origin</t>
  </si>
  <si>
    <t>System of classification based on nation from which a person originates, regardless of the nation in which he/she currently resides.</t>
  </si>
  <si>
    <t>C132490</t>
  </si>
  <si>
    <t>NBNL2IND</t>
  </si>
  <si>
    <t>Two or More New Bone Lesions Indicator</t>
  </si>
  <si>
    <t>An indication as to whether there are two or more new bone lesions, in comparison to a reference timepoint.</t>
  </si>
  <si>
    <t>C132464</t>
  </si>
  <si>
    <t>NBNLNUM</t>
  </si>
  <si>
    <t>Number of New Bone Lesions</t>
  </si>
  <si>
    <t>The number of new lesions within the bone, in comparison to a reference timepoint.</t>
  </si>
  <si>
    <t>C202430</t>
  </si>
  <si>
    <t>NCAM1</t>
  </si>
  <si>
    <t>Neural Cell Adhesion Molecule 1</t>
  </si>
  <si>
    <t>CD56; Neural Cell Adhesion Molecule 1</t>
  </si>
  <si>
    <t>A measurement of the neural cell adhesion molecule 1 in a biological specimen.</t>
  </si>
  <si>
    <t>Neural Cell Adhesion Molecule 1 Measurement</t>
  </si>
  <si>
    <t>C154744</t>
  </si>
  <si>
    <t>NCCPTN</t>
  </si>
  <si>
    <t>Nociceptin</t>
  </si>
  <si>
    <t>Nociceptin; Orphanin FQ</t>
  </si>
  <si>
    <t>A measurement of the nociceptin in a biological specimen.</t>
  </si>
  <si>
    <t>Nociceptin Measurement</t>
  </si>
  <si>
    <t>C184593</t>
  </si>
  <si>
    <t>NCLOSTBL</t>
  </si>
  <si>
    <t>Norclostebol</t>
  </si>
  <si>
    <t>A measurement of the norclostebol in a biological specimen.</t>
  </si>
  <si>
    <t>Norclostebol Measurement</t>
  </si>
  <si>
    <t>C126063</t>
  </si>
  <si>
    <t>NCOHORT</t>
  </si>
  <si>
    <t>Number of Groups/Cohorts</t>
  </si>
  <si>
    <t>The number of groups or cohorts that are part of the study.</t>
  </si>
  <si>
    <t>Number of Groups or Cohorts</t>
  </si>
  <si>
    <t>C181492</t>
  </si>
  <si>
    <t>NCRPLEOM</t>
  </si>
  <si>
    <t>Nuclear Pleomorphism</t>
  </si>
  <si>
    <t>An evaluation of nuclear pleomorphism in a biological specimen.</t>
  </si>
  <si>
    <t>Nuclear Pleomorphism Assessment</t>
  </si>
  <si>
    <t>C79437</t>
  </si>
  <si>
    <t>NCTD5P</t>
  </si>
  <si>
    <t>5 Prime Nucleotidase</t>
  </si>
  <si>
    <t>5 Prime Nucleotidase; 5'-Ribonucleotide Phosphohydrolase</t>
  </si>
  <si>
    <t>A measurement of the 5'-nucleotidase in a biological specimen.</t>
  </si>
  <si>
    <t>5 Prime Nucleotidase Measurement</t>
  </si>
  <si>
    <t>C209607</t>
  </si>
  <si>
    <t>NCTGLC</t>
  </si>
  <si>
    <t>Nicotine Glucuronide</t>
  </si>
  <si>
    <t>Nicotine Glucuronide; Nicotine N-glucuronide; Nicotine-Glucuronide</t>
  </si>
  <si>
    <t>A measurement of the nicotine glucuronide in a specimen.</t>
  </si>
  <si>
    <t>Nicotine Glucuronide Measurement</t>
  </si>
  <si>
    <t>C198286</t>
  </si>
  <si>
    <t>NCTMPRT</t>
  </si>
  <si>
    <t>Nicotinamide Phosphoribosyltransferase</t>
  </si>
  <si>
    <t>Nicotinamide Phosphoribosyltransferase; Visfatin</t>
  </si>
  <si>
    <t>A measurement of the nicotinamide phosphoribosyltransferase in a biological specimen.</t>
  </si>
  <si>
    <t>Nicotinamide Phosphoribosyltransferase Measurement</t>
  </si>
  <si>
    <t>C139050</t>
  </si>
  <si>
    <t>NCVALTYP</t>
  </si>
  <si>
    <t>Native Cardiac Valve Intervention Type</t>
  </si>
  <si>
    <t>A description of what kind of intervention has been performed on a native cardiac valve.</t>
  </si>
  <si>
    <t>C187864</t>
  </si>
  <si>
    <t>NCY</t>
  </si>
  <si>
    <t>Nocardia cyriacigeorgica</t>
  </si>
  <si>
    <t>A measurement of the Nocardia cyriacigeorgica in a biological specimen.</t>
  </si>
  <si>
    <t>Nocardia cyriacigeorgica Measurement</t>
  </si>
  <si>
    <t>C177967</t>
  </si>
  <si>
    <t>NDMOLZPN</t>
  </si>
  <si>
    <t>N-Desmethylolanzapine</t>
  </si>
  <si>
    <t>Desmethylolanzapine; DMO; N-Desmethylolanzapine; Norolanzapine</t>
  </si>
  <si>
    <t>A measurement of the N-desmethylolanzapine in a biological specimen.</t>
  </si>
  <si>
    <t>N-Desmethylolanzapine Measurement</t>
  </si>
  <si>
    <t>C163471</t>
  </si>
  <si>
    <t>NDMTASE</t>
  </si>
  <si>
    <t>N-Demethylase</t>
  </si>
  <si>
    <t>A measurement of the N-Demethylase in a biological specimen.</t>
  </si>
  <si>
    <t>N-Demethylase Measurement</t>
  </si>
  <si>
    <t>C181403</t>
  </si>
  <si>
    <t>NDSMT</t>
  </si>
  <si>
    <t>N-Desmethyltramadol</t>
  </si>
  <si>
    <t>N-Desmethyltramadol; N-DSMT</t>
  </si>
  <si>
    <t>A measurement of the N-desmethyltramadol in a biological specimen.</t>
  </si>
  <si>
    <t>N-Desmethyltramadol Measurement</t>
  </si>
  <si>
    <t>C154891</t>
  </si>
  <si>
    <t>NECKCIR</t>
  </si>
  <si>
    <t>Neck Circumference</t>
  </si>
  <si>
    <t>A circumferential measurement of the neck, just below the larynx.</t>
  </si>
  <si>
    <t>C154801</t>
  </si>
  <si>
    <t>NEOCE</t>
  </si>
  <si>
    <t>Neoplastic Cells</t>
  </si>
  <si>
    <t>A measurement of the neoplastic cells in a biological specimen.</t>
  </si>
  <si>
    <t>Tumor Cell Count</t>
  </si>
  <si>
    <t>C123556</t>
  </si>
  <si>
    <t>NEOCECE</t>
  </si>
  <si>
    <t>Neoplastic Cells/Total Cells</t>
  </si>
  <si>
    <t>Cancer Cellularity; Neoplastic Cells/Total Cells; Tumor Cells/Total Cells</t>
  </si>
  <si>
    <t>A relative measurement (ratio or percentage) of the neoplastic cells to total cells in a biological specimen.</t>
  </si>
  <si>
    <t>Cancer Cellularity Measurement</t>
  </si>
  <si>
    <t>C80199</t>
  </si>
  <si>
    <t>NEOPTERN</t>
  </si>
  <si>
    <t>Neopterin</t>
  </si>
  <si>
    <t>A measurement of the neopterin in a biological specimen.</t>
  </si>
  <si>
    <t>Neopterin Measurement</t>
  </si>
  <si>
    <t>C214725</t>
  </si>
  <si>
    <t>NEOVASC</t>
  </si>
  <si>
    <t>Neovascularization</t>
  </si>
  <si>
    <t>An evaluation of neovascularization (new vessel formation) in a biological specimen or location.</t>
  </si>
  <si>
    <t>Neovascularization Assessment</t>
  </si>
  <si>
    <t>C184645</t>
  </si>
  <si>
    <t>NEPHRIN</t>
  </si>
  <si>
    <t>Nephrin</t>
  </si>
  <si>
    <t>Nephrin; NPHS1 Adhesion Molecule, Nephrin</t>
  </si>
  <si>
    <t>A measurement of the nephrin in a biological specimen.</t>
  </si>
  <si>
    <t>Nephrin Measurement</t>
  </si>
  <si>
    <t>C181450</t>
  </si>
  <si>
    <t>NEUMYLLY</t>
  </si>
  <si>
    <t>Neutrophilic Myelocytes/Lymphocytes</t>
  </si>
  <si>
    <t>A relative measurement (ratio or percentage) of the neutrophilic myelocytes to lymphocytes in a biological specimen (for example a bone marrow specimen).</t>
  </si>
  <si>
    <t>Neutrophilic Myelocytes to Lymphocytes Ratio Measurement</t>
  </si>
  <si>
    <t>C204688</t>
  </si>
  <si>
    <t>NEURSTAT</t>
  </si>
  <si>
    <t>Neurological Status</t>
  </si>
  <si>
    <t>An assessment of the nervous system, measured by a rating or scale, as a condition of disease response to therapy.</t>
  </si>
  <si>
    <t>Neurological Disease Response Status Assessment</t>
  </si>
  <si>
    <t>C63321</t>
  </si>
  <si>
    <t>NEUT</t>
  </si>
  <si>
    <t>Neutrophils</t>
  </si>
  <si>
    <t>A measurement of the neutrophils in a biological specimen.</t>
  </si>
  <si>
    <t>Absolute Neutrophil Count</t>
  </si>
  <si>
    <t>C116200</t>
  </si>
  <si>
    <t>NEUTAGR</t>
  </si>
  <si>
    <t>Agranular Neutrophils</t>
  </si>
  <si>
    <t>A measurement of the agranular neutrophils in a biological specimen.</t>
  </si>
  <si>
    <t>Agranular Neutrophils Measurement</t>
  </si>
  <si>
    <t>C64830</t>
  </si>
  <si>
    <t>NEUTB</t>
  </si>
  <si>
    <t>Neutrophils Band Form</t>
  </si>
  <si>
    <t>A measurement of the banded neutrophils in a biological specimen.</t>
  </si>
  <si>
    <t>Neutrophil Band Form Count</t>
  </si>
  <si>
    <t>C187701</t>
  </si>
  <si>
    <t>NEUTBCE</t>
  </si>
  <si>
    <t>Neutrophils Band Form/Total Cells</t>
  </si>
  <si>
    <t>A relative measurement (ratio or percentage) of the banded neutrophils to total cells in a biological specimen.</t>
  </si>
  <si>
    <t>Neutrophil Band Form to Total Cell Ratio Measurement</t>
  </si>
  <si>
    <t>C64831</t>
  </si>
  <si>
    <t>NEUTBLE</t>
  </si>
  <si>
    <t>Neutrophils Band Form/Leukocytes</t>
  </si>
  <si>
    <t>A relative measurement (ratio or percentage) of the banded neutrophils to leukocytes in a biological specimen.</t>
  </si>
  <si>
    <t>Neutrophil Band Form to Leukocyte Ratio</t>
  </si>
  <si>
    <t>C120642</t>
  </si>
  <si>
    <t>NEUTBNE</t>
  </si>
  <si>
    <t>Neutrophils Band Form/ Neutrophils</t>
  </si>
  <si>
    <t>A relative measurement (ratio or percentage) of banded neutrophils to total neutrophils in a biological specimen.</t>
  </si>
  <si>
    <t>Neutrophils Band Form to Neutrophils Ratio Measurement</t>
  </si>
  <si>
    <t>C98763</t>
  </si>
  <si>
    <t>NEUTCE</t>
  </si>
  <si>
    <t>Neutrophils/Total Cells</t>
  </si>
  <si>
    <t>A relative measurement (ratio or percentage) of the neutrophils to total cells in a biological specimen (for example a bone marrow specimen).</t>
  </si>
  <si>
    <t>Neutrophil to Total Cell Ratio Measurement</t>
  </si>
  <si>
    <t>C111166</t>
  </si>
  <si>
    <t>NEUTCYBS</t>
  </si>
  <si>
    <t>Cytoplasmic Basophilia Neutrophil</t>
  </si>
  <si>
    <t>A measurement of the neutrophils in a biological specimen showing a dark staining pattern in the cytoplasm due to increased acidic content.</t>
  </si>
  <si>
    <t>Cytoplasmic Basophilia Neutrophil Count</t>
  </si>
  <si>
    <t>C178044</t>
  </si>
  <si>
    <t>NEUTEPI</t>
  </si>
  <si>
    <t>Neutrophils in Epithelium</t>
  </si>
  <si>
    <t>An evaluation of neutrophils in the epithelium in a biological specimen.</t>
  </si>
  <si>
    <t>Neutrophils in Epithelium Assessment</t>
  </si>
  <si>
    <t>C96651</t>
  </si>
  <si>
    <t>NEUTGT</t>
  </si>
  <si>
    <t>Giant Neutrophils</t>
  </si>
  <si>
    <t>A measurement of the giant neutrophils in a biological specimen.</t>
  </si>
  <si>
    <t>Giant Neutrophil Count</t>
  </si>
  <si>
    <t>C116201</t>
  </si>
  <si>
    <t>NEUTHYGR</t>
  </si>
  <si>
    <t>Hypogranular Neutrophils</t>
  </si>
  <si>
    <t>A measurement of the hypogranular neutrophils in a biological specimen.</t>
  </si>
  <si>
    <t>Hypogranular Neutrophil Measurement</t>
  </si>
  <si>
    <t>C96678</t>
  </si>
  <si>
    <t>NEUTIM</t>
  </si>
  <si>
    <t>Immature Neutrophils</t>
  </si>
  <si>
    <t>A measurement of the total immature neutrophils in a biological specimen.</t>
  </si>
  <si>
    <t>Immature Neutrophil Count</t>
  </si>
  <si>
    <t>C100442</t>
  </si>
  <si>
    <t>NEUTIMLE</t>
  </si>
  <si>
    <t>Immature Neutrophils/Leukocytes</t>
  </si>
  <si>
    <t>A relative measurement (ratio or percentage) of the immature neutrophils to leukocytes in a biological specimen.</t>
  </si>
  <si>
    <t>Immature Neutrophils to Leukocytes Ratio Measurement</t>
  </si>
  <si>
    <t>C64827</t>
  </si>
  <si>
    <t>NEUTLE</t>
  </si>
  <si>
    <t>Neutrophils/Leukocytes</t>
  </si>
  <si>
    <t>A relative measurement (ratio or percentage) of the neutrophils to leukocytes in a biological specimen.</t>
  </si>
  <si>
    <t>Neutrophil to Leukocyte Ratio Measurement</t>
  </si>
  <si>
    <t>C178043</t>
  </si>
  <si>
    <t>NEUTLP</t>
  </si>
  <si>
    <t>Neutrophils in Lamina Propria</t>
  </si>
  <si>
    <t>Lamina Propria Neutrophils; Neutrophils in Lamina Propria</t>
  </si>
  <si>
    <t>An evaluation of neutrophils in the lamina propria in a biological specimen.</t>
  </si>
  <si>
    <t>Neutrophils in Lamina Propria Assessment</t>
  </si>
  <si>
    <t>C116202</t>
  </si>
  <si>
    <t>NEUTLS</t>
  </si>
  <si>
    <t>Left Shift Neutrophils</t>
  </si>
  <si>
    <t>An observation of the above normal incidence of immature neutrophils, including band neutrophils and neutrophil precursors in a biological specimen.</t>
  </si>
  <si>
    <t>Left Shift Neutrophil Measurement</t>
  </si>
  <si>
    <t>C141271</t>
  </si>
  <si>
    <t>NEUTLY</t>
  </si>
  <si>
    <t>Neutrophils/Lymphocytes</t>
  </si>
  <si>
    <t>A relative measurement (ratio) of the neutrophils to lymphocytes in a biological specimen.</t>
  </si>
  <si>
    <t>Neutrophil to Lymphocyte Ratio Measurement</t>
  </si>
  <si>
    <t>C84822</t>
  </si>
  <si>
    <t>NEUTMM</t>
  </si>
  <si>
    <t>Neutrophilic Metamyelocytes</t>
  </si>
  <si>
    <t>A measurement of the neutrophilic metamyelocytes in a biological specimen.</t>
  </si>
  <si>
    <t>Neutrophilic Metamyelocyte Count</t>
  </si>
  <si>
    <t>C189509</t>
  </si>
  <si>
    <t>NEUTMMCE</t>
  </si>
  <si>
    <t>Neutrophilic Metamyelocytes/Total Cells</t>
  </si>
  <si>
    <t>A relative measurement (ratio or percentage) of the neutrophilic metamyelocytes to total cells in a biological specimen.</t>
  </si>
  <si>
    <t>Neutrophilic Metamyelocyte to Total Cell Ratio Measurement</t>
  </si>
  <si>
    <t>C84823</t>
  </si>
  <si>
    <t>NEUTMY</t>
  </si>
  <si>
    <t>Neutrophilic Myelocytes</t>
  </si>
  <si>
    <t>A measurement of the neutrophilic myelocytes in a biological specimen.</t>
  </si>
  <si>
    <t>Neutrophilic Myelocyte Count</t>
  </si>
  <si>
    <t>C135438</t>
  </si>
  <si>
    <t>NEUTNSQE</t>
  </si>
  <si>
    <t>Neutrophils/Non-Squam Epi Cells</t>
  </si>
  <si>
    <t>A relative measurement (ratio or percentage) of the neutrophils to non-squamous epithelial cells in a biological specimen.</t>
  </si>
  <si>
    <t>Neutrophils to Non-Squamous Epithelial Cells Ratio Measurement</t>
  </si>
  <si>
    <t>C187823</t>
  </si>
  <si>
    <t>NEUTPPH</t>
  </si>
  <si>
    <t>Pseudo Pelger-Huet Neutrophils</t>
  </si>
  <si>
    <t>Neutrophils with Pseudo Pelger-Huet Nucleus; Pseudo Pelger-Huet Neutrophils</t>
  </si>
  <si>
    <t>A measurement of the neutrophils with a Pelger-Huet-like nucleus (hyposegmented) in a biological specimen.</t>
  </si>
  <si>
    <t>Pseudo Pelger-Huet Neutrophil Count</t>
  </si>
  <si>
    <t>C81997</t>
  </si>
  <si>
    <t>NEUTSG</t>
  </si>
  <si>
    <t>Neutrophils, Segmented</t>
  </si>
  <si>
    <t>A measurement of the segmented neutrophils in a biological specimen.</t>
  </si>
  <si>
    <t>Segmented Neutrophil Count</t>
  </si>
  <si>
    <t>C154755</t>
  </si>
  <si>
    <t>NEUTSGB</t>
  </si>
  <si>
    <t>Neutrophils, Segmented + Band Form</t>
  </si>
  <si>
    <t>A measurement of the segmented and band form neutrophils in a biological specimen.</t>
  </si>
  <si>
    <t>Segmented and Band Form Neutrophils Measurement</t>
  </si>
  <si>
    <t>C154756</t>
  </si>
  <si>
    <t>NEUTSGBP</t>
  </si>
  <si>
    <t>Neutrophils, Seg + Band Form + Precursor</t>
  </si>
  <si>
    <t>Neutrophils + Immature Neutrophils; Neutrophils, Seg + Band Form + Precursor; Neutrophils, Segmented + Band Form + Precursors</t>
  </si>
  <si>
    <t>A measurement of the segmented and band form neutrophils, metamyelocytes, myelocytes, promyelocytes, and myeloblasts in a biological specimen.</t>
  </si>
  <si>
    <t>Segmented, Band Form and Precursor Neutrophils Measurement</t>
  </si>
  <si>
    <t>C187679</t>
  </si>
  <si>
    <t>NEUTSGCE</t>
  </si>
  <si>
    <t>Neutrophils, Segmented/Total Cells</t>
  </si>
  <si>
    <t>A relative measurement (ratio or percentage) of segmented neutrophils to total cells in a biological specimen.</t>
  </si>
  <si>
    <t>Segmented Neutrophil to Total Cell Ratio Measurement</t>
  </si>
  <si>
    <t>C82045</t>
  </si>
  <si>
    <t>NEUTSGLE</t>
  </si>
  <si>
    <t>Neutrophils, Segmented/Leukocytes</t>
  </si>
  <si>
    <t>A relative measurement (ratio or percentage) of segmented neutrophils to leukocytes in a biological specimen.</t>
  </si>
  <si>
    <t>Segmented Neutrophil to Leukocyte Ratio Measurement</t>
  </si>
  <si>
    <t>C120643</t>
  </si>
  <si>
    <t>NEUTSGNE</t>
  </si>
  <si>
    <t>Neutrophils, Segmented/Neutrophils</t>
  </si>
  <si>
    <t>A relative measurement (ratio or percentage) of segmented neutrophils to total neutrophils in a biological specimen.</t>
  </si>
  <si>
    <t>Segmented Neutrophils to Neutrophils Ratio Measurement</t>
  </si>
  <si>
    <t>C132376</t>
  </si>
  <si>
    <t>NEUTTOXC</t>
  </si>
  <si>
    <t>Neutrophilic Toxic Change</t>
  </si>
  <si>
    <t>A measurement of any type of toxic change in cells of the neutrophilic lineage in a biological specimen.</t>
  </si>
  <si>
    <t>Neutrophilic Toxic Change Assessment</t>
  </si>
  <si>
    <t>C74628</t>
  </si>
  <si>
    <t>NEUTVAC</t>
  </si>
  <si>
    <t>Vacuolated Neutrophils</t>
  </si>
  <si>
    <t>A measurement of the neutrophils containing small vacuoles in a biological specimen.</t>
  </si>
  <si>
    <t>Vacuolated Neutrophil Count</t>
  </si>
  <si>
    <t>C103421</t>
  </si>
  <si>
    <t>NEWCONF</t>
  </si>
  <si>
    <t>New Tumor Confirmed</t>
  </si>
  <si>
    <t>The verification/confirmation by other methods or modalities that a tumor, which has not been previously seen or characterized, is present in the subject.</t>
  </si>
  <si>
    <t>New Tumor Confirmation</t>
  </si>
  <si>
    <t>C142362</t>
  </si>
  <si>
    <t>NEWLIND</t>
  </si>
  <si>
    <t>New Lesion Indicator</t>
  </si>
  <si>
    <t>An indication as to whether new lesions are present, in comparison to a previous timepoint.</t>
  </si>
  <si>
    <t>C103420</t>
  </si>
  <si>
    <t>NEWLPROG</t>
  </si>
  <si>
    <t>New Lesion Progression</t>
  </si>
  <si>
    <t>An assessment of the equivocality of disease progression based on a newly identified lesion.</t>
  </si>
  <si>
    <t>C142363</t>
  </si>
  <si>
    <t>NEWLWIND</t>
  </si>
  <si>
    <t>New Lesion Worsening Indicator</t>
  </si>
  <si>
    <t>An indication as to whether the previously identified new lesions are showing signs of worsening.</t>
  </si>
  <si>
    <t>C117770</t>
  </si>
  <si>
    <t>NEWQWAVE</t>
  </si>
  <si>
    <t>New Q Wave</t>
  </si>
  <si>
    <t>An electrocardiographic finding assessment of new or presumed new pathologic Q waves suggestive of myocardial infarction. (Thygesen K, Alpert JS, Jaffe AS, Simoons ML, et al.; Joint ESC/ACCF/AHA/WHF Task Force for Universal Definition of Myocardial Infarc</t>
  </si>
  <si>
    <t>C199902</t>
  </si>
  <si>
    <t>NFH</t>
  </si>
  <si>
    <t>Neurofilament Heavy Polypeptide</t>
  </si>
  <si>
    <t>Neurofilament Heavy Chain; Neurofilament Heavy Polypeptide; Neurofilament Triplet H Protein; NF-H</t>
  </si>
  <si>
    <t>A measurement of the neurofilament heavy polypeptide in a biological specimen.</t>
  </si>
  <si>
    <t>Neurofilament Heavy Polypeptide Measurement</t>
  </si>
  <si>
    <t>C172501</t>
  </si>
  <si>
    <t>NFHP</t>
  </si>
  <si>
    <t>Phosphorylated Neurofilament Heavy Chain</t>
  </si>
  <si>
    <t>A measurement of the phosphorylated neurofilament heavy chain in a biological specimen.</t>
  </si>
  <si>
    <t>Phosphorylated Neurofilament Heavy Chain Measurement</t>
  </si>
  <si>
    <t>C142285</t>
  </si>
  <si>
    <t>NFLP</t>
  </si>
  <si>
    <t>Neurofilament Light Chain Protein</t>
  </si>
  <si>
    <t>NEFL; Neurofilament Light Chain Protein; Neurofilament Light Polypeptide; NF-L; Protein Phosphatase 1, Regulatory Subunit 110</t>
  </si>
  <si>
    <t>A measurement of the neurofilament light chain protein in a biological specimen.</t>
  </si>
  <si>
    <t>Neurofilament Light Chain Protein Measurement</t>
  </si>
  <si>
    <t>C135439</t>
  </si>
  <si>
    <t>NGF</t>
  </si>
  <si>
    <t>Nerve Growth Factor</t>
  </si>
  <si>
    <t>A measurement of the total nerve growth factor in a biological specimen.</t>
  </si>
  <si>
    <t>Nerve Growth Factor Measurement</t>
  </si>
  <si>
    <t>C198287</t>
  </si>
  <si>
    <t>NGFA</t>
  </si>
  <si>
    <t>Nerve Growth Factor Alpha</t>
  </si>
  <si>
    <t>A measurement of the nerve growth factor alpha in a biological specimen.</t>
  </si>
  <si>
    <t>Nerve Growth Factor Alpha Measurement</t>
  </si>
  <si>
    <t>C198210</t>
  </si>
  <si>
    <t>NGFB</t>
  </si>
  <si>
    <t>Nerve Growth Factor Beta</t>
  </si>
  <si>
    <t>A measurement of the nerve growth factor beta in a biological specimen.</t>
  </si>
  <si>
    <t>Nerve Growth Factor Beta Measurement</t>
  </si>
  <si>
    <t>C198288</t>
  </si>
  <si>
    <t>NGFG</t>
  </si>
  <si>
    <t>Nerve Growth Factor Gamma</t>
  </si>
  <si>
    <t>A measurement of the nerve growth factor gamma in a biological specimen.</t>
  </si>
  <si>
    <t>Nerve Growth Factor Gamma Measurement</t>
  </si>
  <si>
    <t>C92298</t>
  </si>
  <si>
    <t>NGO</t>
  </si>
  <si>
    <t>Neisseria gonorrhoeae</t>
  </si>
  <si>
    <t>A measurement of the Neisseria gonorrhoeae in a biological specimen.</t>
  </si>
  <si>
    <t>Neisseria gonorrhoeae Measurement</t>
  </si>
  <si>
    <t>C161399</t>
  </si>
  <si>
    <t>NGOBLN</t>
  </si>
  <si>
    <t>N. gonorrhoeae, Beta-lactamase Negative</t>
  </si>
  <si>
    <t>A measurement of the beta-lactamase negative strain of Neisseria gonorrhoeae in a biological specimen.</t>
  </si>
  <si>
    <t>Neisseria gonorrhoeae, Beta-lactamase Negative Measurement</t>
  </si>
  <si>
    <t>C161398</t>
  </si>
  <si>
    <t>NGOBLP</t>
  </si>
  <si>
    <t>N. gonorrhoeae, Beta-lactamase Positive</t>
  </si>
  <si>
    <t>A measurement of the beta-lactamase positive strain of Neisseria gonorrhoeae in a biological specimen.</t>
  </si>
  <si>
    <t>Neisseria gonorrhoeae, Beta-lactamase Positive Measurement</t>
  </si>
  <si>
    <t>C186175</t>
  </si>
  <si>
    <t>NGODNA</t>
  </si>
  <si>
    <t>Neisseria gonorrhoeae DNA</t>
  </si>
  <si>
    <t>A measurement of the Neisseria gonorrhoeae DNA in a biological specimen.</t>
  </si>
  <si>
    <t>Neisseria gonorrhoeae DNA Measurement</t>
  </si>
  <si>
    <t>C186176</t>
  </si>
  <si>
    <t>NGORNA</t>
  </si>
  <si>
    <t>Neisseria gonorrhoeae RNA</t>
  </si>
  <si>
    <t>A measurement of the Neisseria gonorrhoeae RNA in a biological specimen.</t>
  </si>
  <si>
    <t>Neisseria gonorrhoeae RNA Measurement</t>
  </si>
  <si>
    <t>C186085</t>
  </si>
  <si>
    <t>NHDLLDL</t>
  </si>
  <si>
    <t>Non-HDL Cholesterol/LDL Cholesterol</t>
  </si>
  <si>
    <t>A relative measurement (ratio or percentage) of the non-HDL cholesterol to LDL cholesterol in a biological specimen.</t>
  </si>
  <si>
    <t>Non-HDL Cholesterol to LDL Cholesterol Ratio Measurement</t>
  </si>
  <si>
    <t>C147401</t>
  </si>
  <si>
    <t>NHMCE</t>
  </si>
  <si>
    <t>Nonhematic Cells</t>
  </si>
  <si>
    <t>A measurement of the cells of nonhematopoietic origin in a biological specimen.</t>
  </si>
  <si>
    <t>Nonhematic Cells Count</t>
  </si>
  <si>
    <t>C147402</t>
  </si>
  <si>
    <t>NHMCELE</t>
  </si>
  <si>
    <t>Nonhematic Cells/Leukocytes</t>
  </si>
  <si>
    <t>A relative measurement (ratio) of the nonhematic cells to total leukocytes in a biological specimen.</t>
  </si>
  <si>
    <t>Nonhematic Cells to Leukocytes Ratio Measurement</t>
  </si>
  <si>
    <t>C177952</t>
  </si>
  <si>
    <t>NHYDCDN</t>
  </si>
  <si>
    <t>Norhydrocodone</t>
  </si>
  <si>
    <t>A measurement of the norhydrocodone in a biological specimen.</t>
  </si>
  <si>
    <t>Norhydrocodone Measurement</t>
  </si>
  <si>
    <t>C147403</t>
  </si>
  <si>
    <t>NICOTINE</t>
  </si>
  <si>
    <t>Nicotine</t>
  </si>
  <si>
    <t>A measurement of the nicotine in a specimen.</t>
  </si>
  <si>
    <t>Nicotine Measurement</t>
  </si>
  <si>
    <t>C209443</t>
  </si>
  <si>
    <t>NICTNAOM</t>
  </si>
  <si>
    <t>Nicotine and/or Metabolites</t>
  </si>
  <si>
    <t>Nicotine and/or Metabolites; Nicotine Equivalents; TNE; Total Nicotine Equivalents</t>
  </si>
  <si>
    <t>A measurement of the nicotine and/or its metabolite(s) present in a specimen, for an assay that can measure both nicotine and its metabolites.</t>
  </si>
  <si>
    <t>Nicotine And/Or Metabolites Measurement</t>
  </si>
  <si>
    <t>C209608</t>
  </si>
  <si>
    <t>NICTNFR</t>
  </si>
  <si>
    <t>Nicotine, Free</t>
  </si>
  <si>
    <t>Free Nicotine Measurement</t>
  </si>
  <si>
    <t>C161352</t>
  </si>
  <si>
    <t>NITRATE</t>
  </si>
  <si>
    <t>Nitrate</t>
  </si>
  <si>
    <t>Nitrate; Nitric Acid</t>
  </si>
  <si>
    <t>A measurement of the nitrate in a biological specimen.</t>
  </si>
  <si>
    <t>Nitrate Measurement</t>
  </si>
  <si>
    <t>C112360</t>
  </si>
  <si>
    <t>NITRICOX</t>
  </si>
  <si>
    <t>Nitric Oxide</t>
  </si>
  <si>
    <t>Nitric Oxide; NO</t>
  </si>
  <si>
    <t>A measurement of the nitric oxide in a biological specimen.</t>
  </si>
  <si>
    <t>Nitric Oxide Measurement</t>
  </si>
  <si>
    <t>C64810</t>
  </si>
  <si>
    <t>NITRITE</t>
  </si>
  <si>
    <t>Nitrite</t>
  </si>
  <si>
    <t>A measurement of the nitrite in a biological specimen.</t>
  </si>
  <si>
    <t>Nitrite Measurement</t>
  </si>
  <si>
    <t>C98762</t>
  </si>
  <si>
    <t>NKCE</t>
  </si>
  <si>
    <t>Natural Killer Cells</t>
  </si>
  <si>
    <t>A measurement of the total natural killer cells in a biological specimen.</t>
  </si>
  <si>
    <t>Natural Killer Cell Count</t>
  </si>
  <si>
    <t>C116203</t>
  </si>
  <si>
    <t>NKCEFUNC</t>
  </si>
  <si>
    <t>Natural Killer Cell Function</t>
  </si>
  <si>
    <t>Natural Killer Cell Activity; Natural Killer Cell Function</t>
  </si>
  <si>
    <t>A measurement of the natural killer cell function in a biological specimen.</t>
  </si>
  <si>
    <t>Natural Killer Cell Activity Measurement</t>
  </si>
  <si>
    <t>C214671</t>
  </si>
  <si>
    <t>NKCMLYS</t>
  </si>
  <si>
    <t>Natural Killer Cell-Mediated Cytolysis</t>
  </si>
  <si>
    <t>Natural Killer Cell-Mediated Cytolysis; NK Cell-Mediated Cytolysis</t>
  </si>
  <si>
    <t>A measurement of the lysis of target cells mediated by natural killer cells in a biological specimen.</t>
  </si>
  <si>
    <t>Natural Killer Cell-Mediated Cytolysis Assessment</t>
  </si>
  <si>
    <t>C163473</t>
  </si>
  <si>
    <t>NKINA</t>
  </si>
  <si>
    <t>Neurokinin A</t>
  </si>
  <si>
    <t>Neurokinin A; NKA; Substance K</t>
  </si>
  <si>
    <t>A measurement of the neurokinin A in a biological specimen.</t>
  </si>
  <si>
    <t>Neurokinin A Measurement</t>
  </si>
  <si>
    <t>C181258</t>
  </si>
  <si>
    <t>NKLY</t>
  </si>
  <si>
    <t>NK Cells/Lym</t>
  </si>
  <si>
    <t>Natural Killer Cells/Lymphocytes; NK Cells/Lym</t>
  </si>
  <si>
    <t>A relative measurement (ratio or percentage) of the natural killer cells to lymphocytes in a biological specimen.</t>
  </si>
  <si>
    <t>Natural Killer Cells to Lymphocytes Ratio Measurement</t>
  </si>
  <si>
    <t>C123558</t>
  </si>
  <si>
    <t>NKX2_1</t>
  </si>
  <si>
    <t>NK2 Homeobox 1</t>
  </si>
  <si>
    <t>NK2 Homeobox 1; TEBP; Thyroid Transcription Factor 1; TTF1</t>
  </si>
  <si>
    <t>A measurement of NK2 homeobox 1 protein in a biological specimen.</t>
  </si>
  <si>
    <t>NK2 Homeobox 1 Measurement</t>
  </si>
  <si>
    <t>C198332</t>
  </si>
  <si>
    <t>NL63NC</t>
  </si>
  <si>
    <t>HCoV-NL63 Nucleic Acid</t>
  </si>
  <si>
    <t>HCoV-NL63 Nucleic Acid; Human Coronavirus NL63 Nucleic Acid</t>
  </si>
  <si>
    <t>A measurement of the Human coronavirus NL63 nucleic acid in a biological specimen.</t>
  </si>
  <si>
    <t>Human Coronavirus NL63 Nucleic Acid Measurement</t>
  </si>
  <si>
    <t>C184654</t>
  </si>
  <si>
    <t>NL63RNA</t>
  </si>
  <si>
    <t>HCoV-NL63 RNA</t>
  </si>
  <si>
    <t>HCoV-NL63 RNA; Human Coronavirus NL63 RNA</t>
  </si>
  <si>
    <t>A measurement of the Human coronavirus NL63 RNA in a biological specimen.</t>
  </si>
  <si>
    <t>HCoV-NL63 RNA Measurement</t>
  </si>
  <si>
    <t>C198333</t>
  </si>
  <si>
    <t>NMEAAG</t>
  </si>
  <si>
    <t>Neisseria meningitidis A Antigen</t>
  </si>
  <si>
    <t>A measurement of Neisseria meningitidis A antigen in a biological specimen.</t>
  </si>
  <si>
    <t>Neisseria meningitidis A Antigen Measurement</t>
  </si>
  <si>
    <t>C198334</t>
  </si>
  <si>
    <t>NMECAG</t>
  </si>
  <si>
    <t>Neisseria meningitidis C Antigen</t>
  </si>
  <si>
    <t>A measurement of Neisseria meningitidis C antigen in a biological specimen.</t>
  </si>
  <si>
    <t>Neisseria meningitidis C Antigen Measurement</t>
  </si>
  <si>
    <t>C186177</t>
  </si>
  <si>
    <t>NMEDNA</t>
  </si>
  <si>
    <t>Neisseria meningitidis DNA</t>
  </si>
  <si>
    <t>A measurement of Neisseria meningitidis DNA in a biological specimen.</t>
  </si>
  <si>
    <t>Neisseria meningitidis DNA Measurement</t>
  </si>
  <si>
    <t>C147404</t>
  </si>
  <si>
    <t>NMH</t>
  </si>
  <si>
    <t>N-methylhistamine</t>
  </si>
  <si>
    <t>A measurement of the N-methylhistamine in a biological specimen.</t>
  </si>
  <si>
    <t>N-Methylhistamine Measurement</t>
  </si>
  <si>
    <t>C156509</t>
  </si>
  <si>
    <t>NMP22</t>
  </si>
  <si>
    <t>Nuclear Matrix Protein 22</t>
  </si>
  <si>
    <t>Nuclear Matrix Protein 22; Nuclear Mitotic Apparatus Protein 1; NUMA1</t>
  </si>
  <si>
    <t>A measurement of the nuclear matrix protein 22 in a biological specimen.</t>
  </si>
  <si>
    <t>Nuclear Matrix Protein 22 Measurement</t>
  </si>
  <si>
    <t>C209609</t>
  </si>
  <si>
    <t>NNAL</t>
  </si>
  <si>
    <t>4-(Methylnitrosamino)-4-(3-pyridyl)-1-butanol; NNAL</t>
  </si>
  <si>
    <t>A measurement of the total 4-(methylnitrosamino)-4-(3-pyridyl)-1-butanol (NNAL) in a specimen.</t>
  </si>
  <si>
    <t>4-(Methylnitrosamino)-4-(3-pyridyl)-1-Butanol Measurement</t>
  </si>
  <si>
    <t>C204651</t>
  </si>
  <si>
    <t>NNK</t>
  </si>
  <si>
    <t>Nicotine-Derived Nitrosamine Ketone</t>
  </si>
  <si>
    <t>4-(Methylnitrosamino)-1-(3-pyridyl)-1-butanone; Nicotine-Derived Nitrosamine Ketone; NNK</t>
  </si>
  <si>
    <t>A measurement of the nicotine-derived nitrosamine ketone in a specimen.</t>
  </si>
  <si>
    <t>Nicotine-Derived Nitrosamine Ketone Measurement</t>
  </si>
  <si>
    <t>C204652</t>
  </si>
  <si>
    <t>NNN</t>
  </si>
  <si>
    <t>N-Nitrosonornicotine</t>
  </si>
  <si>
    <t>N-Nitrosonornicotine; NNN</t>
  </si>
  <si>
    <t>A measurement of the N-nitrosonornicotine in a specimen.</t>
  </si>
  <si>
    <t>N-Nitrosonornicotine Measurement</t>
  </si>
  <si>
    <t>C120644</t>
  </si>
  <si>
    <t>NOHDLHDL</t>
  </si>
  <si>
    <t>Non-HDL Cholesterol/HDL Cholesterol</t>
  </si>
  <si>
    <t>A relative measurement (ratio or percentage) of non-high density lipoprotein cholesterol to high density lipoprotein cholesterol in a biological specimen.</t>
  </si>
  <si>
    <t>Non-HDL Cholesterol to HDL Cholesterol Ratio Measurement</t>
  </si>
  <si>
    <t>C116204</t>
  </si>
  <si>
    <t>NONHDL</t>
  </si>
  <si>
    <t>Non-HDL Cholesterol</t>
  </si>
  <si>
    <t>Non-HDL Cholesterol; Non-High Density Lipoprotein</t>
  </si>
  <si>
    <t>A measurement of the non-high density lipoprotein cholesterol in a biological specimen.</t>
  </si>
  <si>
    <t>Non-High Density Lipoprotein Cholesterol Measurement</t>
  </si>
  <si>
    <t>C191286</t>
  </si>
  <si>
    <t>NORDOXPN</t>
  </si>
  <si>
    <t>Nordoxepin</t>
  </si>
  <si>
    <t>A measurement of the nordoxepin present in a biological specimen.</t>
  </si>
  <si>
    <t>Nordoxepin Measurement</t>
  </si>
  <si>
    <t>C163472</t>
  </si>
  <si>
    <t>NOREPEXR</t>
  </si>
  <si>
    <t>Norepinephrine Excretion Rate</t>
  </si>
  <si>
    <t>A measurement of the amount of norepinephrine being excreted in a biological specimen over a defined amount of time (e.g. one hour).</t>
  </si>
  <si>
    <t>C74868</t>
  </si>
  <si>
    <t>NOREPIN</t>
  </si>
  <si>
    <t>Norepinephrine</t>
  </si>
  <si>
    <t>Noradrenaline; Norepinephrine</t>
  </si>
  <si>
    <t>A measurement of the norepinephrine hormone in a biological specimen.</t>
  </si>
  <si>
    <t>Noradrenaline Measurement</t>
  </si>
  <si>
    <t>C147405</t>
  </si>
  <si>
    <t>NORMBASO</t>
  </si>
  <si>
    <t>Basophilic Normoblast</t>
  </si>
  <si>
    <t>A measurement of the basophilic normoblasts in a biological specimen taken from a non-human organism.</t>
  </si>
  <si>
    <t>Basophilic Normoblast Count</t>
  </si>
  <si>
    <t>C127767</t>
  </si>
  <si>
    <t>NORMCECE</t>
  </si>
  <si>
    <t>Normal Cells/Total Cells</t>
  </si>
  <si>
    <t>A relative measurement (ratio or percentage) of the normal cells to total cells in a biological specimen.</t>
  </si>
  <si>
    <t>Normal Cell to Total Cell Ratio Measurement</t>
  </si>
  <si>
    <t>C163474</t>
  </si>
  <si>
    <t>NORMEEXR</t>
  </si>
  <si>
    <t>Normetanephrine Excretion Rate</t>
  </si>
  <si>
    <t>A measurement of the amount of normetanephrine being excreted in a biological specimen over a defined amount of time (e.g. one hour).</t>
  </si>
  <si>
    <t>C122138</t>
  </si>
  <si>
    <t>NORMETA</t>
  </si>
  <si>
    <t>Normetanephrine</t>
  </si>
  <si>
    <t>A measurement of the normetanephrine in a biological specimen.</t>
  </si>
  <si>
    <t>Normetanephrine Measurement</t>
  </si>
  <si>
    <t>C186086</t>
  </si>
  <si>
    <t>NORMETFR</t>
  </si>
  <si>
    <t>Normetanephrine, Free</t>
  </si>
  <si>
    <t>A measurement of the free normetanephrine in a biological specimen.</t>
  </si>
  <si>
    <t>Free Normetanephrine Measurement</t>
  </si>
  <si>
    <t>C147406</t>
  </si>
  <si>
    <t>NORNCTN</t>
  </si>
  <si>
    <t>Nornicotine</t>
  </si>
  <si>
    <t>A measurement of the nornicotine in a biological specimen.</t>
  </si>
  <si>
    <t>Nornicotine Measurement</t>
  </si>
  <si>
    <t>C189579</t>
  </si>
  <si>
    <t>NOROVIRU</t>
  </si>
  <si>
    <t>Norovirus</t>
  </si>
  <si>
    <t>A measurement of the organisms that are not assigned to the species level but are assigned to the Norovirus genus level in a biological specimen.</t>
  </si>
  <si>
    <t>Norovirus Measurement</t>
  </si>
  <si>
    <t>C186087</t>
  </si>
  <si>
    <t>NORTRPTL</t>
  </si>
  <si>
    <t>Nortriptyline</t>
  </si>
  <si>
    <t>A measurement of the nortriptyline in a biological specimen.</t>
  </si>
  <si>
    <t>Nortriptyline Measurement</t>
  </si>
  <si>
    <t>C166050</t>
  </si>
  <si>
    <t>NOVRNA</t>
  </si>
  <si>
    <t>Norwalk virus RNA</t>
  </si>
  <si>
    <t>Norwalk calicivirus RNA; Norwalk virus RNA</t>
  </si>
  <si>
    <t>A measurement of the Norwalk virus RNA in a biological specimen.</t>
  </si>
  <si>
    <t>Norwalk virus RNA Measurement</t>
  </si>
  <si>
    <t>C177953</t>
  </si>
  <si>
    <t>NOXYCDN</t>
  </si>
  <si>
    <t>Noroxycodone</t>
  </si>
  <si>
    <t>A measurement of the noroxycodone in a biological specimen.</t>
  </si>
  <si>
    <t>Noroxycodone Measurement</t>
  </si>
  <si>
    <t>C100434</t>
  </si>
  <si>
    <t>NPAP</t>
  </si>
  <si>
    <t>Non-Prostatic Acid Phosphatase</t>
  </si>
  <si>
    <t>A measurement of the non-prostatic acid phosphatase in a biological specimen.</t>
  </si>
  <si>
    <t>Non-Prostatic Acid Phosphatase Measurement</t>
  </si>
  <si>
    <t>C191295</t>
  </si>
  <si>
    <t>NPCRATE</t>
  </si>
  <si>
    <t>Normalized Protein Catabolism Rate</t>
  </si>
  <si>
    <t>Normalized Protein Catabolic Rate; Normalized Protein Catabolism Rate; NPCR; nPCR</t>
  </si>
  <si>
    <t>A calculated measurement of the normalized protein catabolism rate in a biological specimen used to assess dietary protein intake in dialysis patients.</t>
  </si>
  <si>
    <t>C74892</t>
  </si>
  <si>
    <t>NPY</t>
  </si>
  <si>
    <t>Neuropeptide Y</t>
  </si>
  <si>
    <t>A measurement of the neuropeptide Y in a biological specimen.</t>
  </si>
  <si>
    <t>Neuropeptide Y Measurement</t>
  </si>
  <si>
    <t>C139076</t>
  </si>
  <si>
    <t>NRDZPM</t>
  </si>
  <si>
    <t>Nordazepam</t>
  </si>
  <si>
    <t>Desmethyldiazepam; N-Desmethyldiazepam; Nordazepam; Nordiazepam</t>
  </si>
  <si>
    <t>A measurement of the nordazepam present in a biological specimen.</t>
  </si>
  <si>
    <t>Nordazepam Measurement</t>
  </si>
  <si>
    <t>C102376</t>
  </si>
  <si>
    <t>NRENALCL</t>
  </si>
  <si>
    <t>Nonrenal CL</t>
  </si>
  <si>
    <t>The total clearance of a substance from the blood less the renal clearance.</t>
  </si>
  <si>
    <t>Nonrenal Clearance</t>
  </si>
  <si>
    <t>C184594</t>
  </si>
  <si>
    <t>NRENDRLN</t>
  </si>
  <si>
    <t>Norethandrolone</t>
  </si>
  <si>
    <t>A measurement of the norethandrolone in a biological specimen.</t>
  </si>
  <si>
    <t>Norethandrolone Measurement</t>
  </si>
  <si>
    <t>C105454</t>
  </si>
  <si>
    <t>NRENLCLB</t>
  </si>
  <si>
    <t>Nonrenal CL Norm by BMI</t>
  </si>
  <si>
    <t>The total clearance of a substance from the blood minus the renal clearance divided by the body mass index.</t>
  </si>
  <si>
    <t>Nonrenal Clearance Normalized by BMI</t>
  </si>
  <si>
    <t>C105455</t>
  </si>
  <si>
    <t>NRENLCLD</t>
  </si>
  <si>
    <t>Nonrenal CL Norm by Dose</t>
  </si>
  <si>
    <t>The total clearance of a substance from the blood minus the renal clearance divided by the dose.</t>
  </si>
  <si>
    <t>Nonrenal Clearance Normalized by Dose</t>
  </si>
  <si>
    <t>C105456</t>
  </si>
  <si>
    <t>NRENLCLS</t>
  </si>
  <si>
    <t>Nonrenal CL Norm by SA</t>
  </si>
  <si>
    <t>The total clearance of a substance from the blood minus the renal clearance divided by the surface area.</t>
  </si>
  <si>
    <t>Nonrenal Clearance Normalized by SA</t>
  </si>
  <si>
    <t>C105457</t>
  </si>
  <si>
    <t>NRENLCLW</t>
  </si>
  <si>
    <t>Nonrenal CL Norm by WT</t>
  </si>
  <si>
    <t>The total clearance of a substance from the blood minus the renal clearance divided by the weight.</t>
  </si>
  <si>
    <t>Nonrenal Clearance Normalized by WT</t>
  </si>
  <si>
    <t>C165977</t>
  </si>
  <si>
    <t>NRP1</t>
  </si>
  <si>
    <t>Neuropilin-1</t>
  </si>
  <si>
    <t>BDCA4; Neuropilin-1; NP1; NRP; Soluble CD304; VEGF165R</t>
  </si>
  <si>
    <t>A measurement of the neuropilin-1 in a biological specimen.</t>
  </si>
  <si>
    <t>Neuropilin-1 Measurement</t>
  </si>
  <si>
    <t>C142352</t>
  </si>
  <si>
    <t>NRPNTACC</t>
  </si>
  <si>
    <t>Near-Point Accommodation</t>
  </si>
  <si>
    <t>The minimum distance from the retina that an object remains in clear focus.</t>
  </si>
  <si>
    <t>C186088</t>
  </si>
  <si>
    <t>NRPROPOX</t>
  </si>
  <si>
    <t>Norpropoxyphene</t>
  </si>
  <si>
    <t>A measurement of the norpropoxyphene in a biological specimen.</t>
  </si>
  <si>
    <t>Norpropoxyphene Measurement</t>
  </si>
  <si>
    <t>C116205</t>
  </si>
  <si>
    <t>NSE</t>
  </si>
  <si>
    <t>Neuron Specific Enolase</t>
  </si>
  <si>
    <t>Enolase 2; Gamma-enolase; Neuron Specific Enolase</t>
  </si>
  <si>
    <t>A measurement of the neuron specific enolase in a biological specimen.</t>
  </si>
  <si>
    <t>Neuron Specific Enolase Measurement</t>
  </si>
  <si>
    <t>C142286</t>
  </si>
  <si>
    <t>NSPMTSPM</t>
  </si>
  <si>
    <t>Normal Sperm/Total Sperm</t>
  </si>
  <si>
    <t>Normal Sperm/Total Sperm; Sperm Morphology</t>
  </si>
  <si>
    <t>A measurement (ratio or percentage) of the normal spermatozoa to total spermatozoa in a biological specimen.</t>
  </si>
  <si>
    <t>Normal Sperm to Total Sperm Ratio Measurement</t>
  </si>
  <si>
    <t>C221526</t>
  </si>
  <si>
    <t>NSRNPCID</t>
  </si>
  <si>
    <t>Non-System Reason for PCI Delay</t>
  </si>
  <si>
    <t>An explanation as to why the percutaneous coronary intervention procedure was delayed, not including those related to medical procedures or other systemic factors.</t>
  </si>
  <si>
    <t>C181656</t>
  </si>
  <si>
    <t>NT5E</t>
  </si>
  <si>
    <t>Ecto-5'-Nucleotidase</t>
  </si>
  <si>
    <t>5'-NT; 5'-Nucleotidase; 5'-Nucleotidase Ecto; CD73; E5NT; Ecto-5'-Nucleotidase</t>
  </si>
  <si>
    <t>A measurement of ecto-5'-nucleotidase in a biological specimen.</t>
  </si>
  <si>
    <t>Ecto-5'-Nucleotidase Measurement</t>
  </si>
  <si>
    <t>C147459</t>
  </si>
  <si>
    <t>NTBMYCO</t>
  </si>
  <si>
    <t>Nontuberculous Mycobacteria</t>
  </si>
  <si>
    <t>Non-tuberculous mycobacteria; Nontuberculous Mycobacteria; NTM</t>
  </si>
  <si>
    <t>A measurement of the organisms that are assigned to the Mycobacterium genus but are not tuberculosis or leprosy-causing in a biological specimen.</t>
  </si>
  <si>
    <t>Nontuberculous Mycobacteria Measurement</t>
  </si>
  <si>
    <t>C120645</t>
  </si>
  <si>
    <t>NTELOCRT</t>
  </si>
  <si>
    <t>N-telopeptide/Creatinine</t>
  </si>
  <si>
    <t>A relative measurement (ratio or percentage) of the N-telopeptide to creatinine in a biological specimen.</t>
  </si>
  <si>
    <t>N-telopeptide to Creatinine Ratio Measurement</t>
  </si>
  <si>
    <t>C74743</t>
  </si>
  <si>
    <t>NTELOP</t>
  </si>
  <si>
    <t>N-telopeptide</t>
  </si>
  <si>
    <t>A measurement of the N-telopeptide in a biological specimen.</t>
  </si>
  <si>
    <t>N-Telopeptide Measurement</t>
  </si>
  <si>
    <t>C163475</t>
  </si>
  <si>
    <t>NTENS</t>
  </si>
  <si>
    <t>Neurotensin</t>
  </si>
  <si>
    <t>Neurotensin; NTS</t>
  </si>
  <si>
    <t>A measurement of the neurotensin in a biological specimen.</t>
  </si>
  <si>
    <t>Neurotensin Measurement</t>
  </si>
  <si>
    <t>C135480</t>
  </si>
  <si>
    <t>NTERESP</t>
  </si>
  <si>
    <t>Non-Target Enhancing Response</t>
  </si>
  <si>
    <t>An assessment of the response to the therapy of the non-target enhancing disease. (NCI)</t>
  </si>
  <si>
    <t>Non-Target Enhancing Lesion Response</t>
  </si>
  <si>
    <t>C161483</t>
  </si>
  <si>
    <t>NTIND</t>
  </si>
  <si>
    <t>Non-Target Indicator</t>
  </si>
  <si>
    <t>An indication as to whether a non-target tumor, lesion, or site of disease is present.</t>
  </si>
  <si>
    <t>C142364</t>
  </si>
  <si>
    <t>NTLWIND</t>
  </si>
  <si>
    <t>Non-Target Lesion Worsening Indicator</t>
  </si>
  <si>
    <t>An indication as to whether non-target lesions, which have previously shown progression, are showing additional signs of worsening.</t>
  </si>
  <si>
    <t>C189533</t>
  </si>
  <si>
    <t>NTMNUAC</t>
  </si>
  <si>
    <t>Nontuberculous Mycobacteria Nucleic Acid</t>
  </si>
  <si>
    <t>A measurement of the nucleic acid from any nontuberculous member of the Mycobacterium genus in a biological specimen.</t>
  </si>
  <si>
    <t>Nontuberculous Mycobacteria Nucleic Acid Measurement</t>
  </si>
  <si>
    <t>C135481</t>
  </si>
  <si>
    <t>NTNERESP</t>
  </si>
  <si>
    <t>Non-Target Non-Enhancing Response</t>
  </si>
  <si>
    <t>An assessment of the response to the therapy of the non-target non-enhancing disease. (NCI)</t>
  </si>
  <si>
    <t>Non-Target Non-Enhancing Lesion Response</t>
  </si>
  <si>
    <t>C94535</t>
  </si>
  <si>
    <t>NTRGRESP</t>
  </si>
  <si>
    <t>Non-target Response</t>
  </si>
  <si>
    <t>An assessment of the response of a non-target lesion(s) to the therapy.</t>
  </si>
  <si>
    <t>Response in Non-Target Lesion</t>
  </si>
  <si>
    <t>C147407</t>
  </si>
  <si>
    <t>NTRLFAT</t>
  </si>
  <si>
    <t>Neutral Fats</t>
  </si>
  <si>
    <t>A measurement of the total neutral fats in a biological specimen.</t>
  </si>
  <si>
    <t>Neutral Fats Measurement</t>
  </si>
  <si>
    <t>C184629</t>
  </si>
  <si>
    <t>NTRZPM</t>
  </si>
  <si>
    <t>Nitrazepam</t>
  </si>
  <si>
    <t>A measurement of the nitrazepam in a biological specimen.</t>
  </si>
  <si>
    <t>Nitrazepam Measurement</t>
  </si>
  <si>
    <t>C82039</t>
  </si>
  <si>
    <t>NTXI</t>
  </si>
  <si>
    <t>Type I Collagen N-Telopeptides</t>
  </si>
  <si>
    <t>Type I Collagen N-Telopeptides; Type I Collagen X-Linked N-Telopeptides</t>
  </si>
  <si>
    <t>A measurement of the type I collagen cross-linked N-telopeptides in a biological specimen.</t>
  </si>
  <si>
    <t>Type I Collagen N-Telopeptide Measurement</t>
  </si>
  <si>
    <t>C147408</t>
  </si>
  <si>
    <t>NTXICRT</t>
  </si>
  <si>
    <t>T1 Collagen X-link N-Telopeptides/Creat</t>
  </si>
  <si>
    <t>T1 Collagen X-link N-Telopeptides/Creat; Type I Collagen X-linked N-Telopeptides/Creatinine</t>
  </si>
  <si>
    <t>A relative measurement (ratio or percentage) of the type 1 collagen cross-linked N-telopeptides to creatinine in a biological specimen.</t>
  </si>
  <si>
    <t>Type 1 Collagen X-link N-Telopeptides to Creatinine Ratio Measurement</t>
  </si>
  <si>
    <t>C82041</t>
  </si>
  <si>
    <t>NTXII</t>
  </si>
  <si>
    <t>Type II Collagen N-Telopeptides</t>
  </si>
  <si>
    <t>Type II Collagen N-Telopeptides; Type II Collagen X-Linked N-Telopeptides</t>
  </si>
  <si>
    <t>A measurement of the type II collagen cross-linked N-telopeptides in a biological specimen.</t>
  </si>
  <si>
    <t>Type II Collagen N-Telopeptide Measurement</t>
  </si>
  <si>
    <t>C202383</t>
  </si>
  <si>
    <t>NTYR3</t>
  </si>
  <si>
    <t>3-Nitrotyrosine</t>
  </si>
  <si>
    <t>A measurement of the total 3-nitrotyrosine in a biological specimen.</t>
  </si>
  <si>
    <t>3-Nitrotyrosine Measurement</t>
  </si>
  <si>
    <t>C186089</t>
  </si>
  <si>
    <t>NTZPMAOM</t>
  </si>
  <si>
    <t>Nitrazepam and/or Metabolites</t>
  </si>
  <si>
    <t>A measurement of the nitrazepam and/or its metabolite(s) present in a biological specimen, for an assay that can measure both nitrazepam and its metabolites.</t>
  </si>
  <si>
    <t>Nitrazepam and/or Metabolites Measurement</t>
  </si>
  <si>
    <t>C150841</t>
  </si>
  <si>
    <t>NUCCE</t>
  </si>
  <si>
    <t>Nucleated Cells</t>
  </si>
  <si>
    <t>A measurement of the nucleated cells in a biological specimen.</t>
  </si>
  <si>
    <t>Nucleated Cell Count</t>
  </si>
  <si>
    <t>C181489</t>
  </si>
  <si>
    <t>NUCLGLCG</t>
  </si>
  <si>
    <t>Nuclei, Glycogenated</t>
  </si>
  <si>
    <t>Glycogenated Nuclei; Nuclei, Glycogenated</t>
  </si>
  <si>
    <t>An evaluation of glycogenated nuclei in a biological specimen.</t>
  </si>
  <si>
    <t>Glycogenated Nuclei Assessment</t>
  </si>
  <si>
    <t>C114213</t>
  </si>
  <si>
    <t>NUCSWELL</t>
  </si>
  <si>
    <t>Nuclear Swelling</t>
  </si>
  <si>
    <t>A measurement of the expansion of the nucleus of the cells in a biological specimen.</t>
  </si>
  <si>
    <t>Nuclear Swelling Measurement</t>
  </si>
  <si>
    <t>C142353</t>
  </si>
  <si>
    <t>NUMCHRRD</t>
  </si>
  <si>
    <t>Number of Characters Read</t>
  </si>
  <si>
    <t>The integer that describes the number of characters read by the subject during an eye chart assessment.</t>
  </si>
  <si>
    <t>C142354</t>
  </si>
  <si>
    <t>NUMCHRUR</t>
  </si>
  <si>
    <t>Number of Characters Unread</t>
  </si>
  <si>
    <t>The integer that describes the number of characters not able to be read by the subject during an eye chart assessment.</t>
  </si>
  <si>
    <t>C139054</t>
  </si>
  <si>
    <t>NUMCUSPS</t>
  </si>
  <si>
    <t>Number of Cusps</t>
  </si>
  <si>
    <t>A quantitative determination of the number of cusps composing a given cardiac valve.</t>
  </si>
  <si>
    <t>Number of Cardiac Valve Cusps</t>
  </si>
  <si>
    <t>C99996</t>
  </si>
  <si>
    <t>NUMDCAV</t>
  </si>
  <si>
    <t>Number of Diseased Coronary Vessels</t>
  </si>
  <si>
    <t>Number of major epicardial vessels with greater than or equal to 70% reduction in diameter or greater than or equal to 50% reduction in cross-sectional area.</t>
  </si>
  <si>
    <t>Number of Diseased Coronary Artery Vessels</t>
  </si>
  <si>
    <t>C117891</t>
  </si>
  <si>
    <t>NUMLCOR</t>
  </si>
  <si>
    <t>Number of Letters Correct</t>
  </si>
  <si>
    <t>The integer that describes the number of letters correctly identified by the subject during an eye chart assessment.</t>
  </si>
  <si>
    <t>Number of Correct Eye Chart Letters</t>
  </si>
  <si>
    <t>C139242</t>
  </si>
  <si>
    <t>NUMLINRD</t>
  </si>
  <si>
    <t>Number of Lines Read</t>
  </si>
  <si>
    <t>The integer that describes the number of lines read by the subject during an eye chart assessment.</t>
  </si>
  <si>
    <t>Number of Eye Chart Lines Read</t>
  </si>
  <si>
    <t>C142355</t>
  </si>
  <si>
    <t>NUMLINUR</t>
  </si>
  <si>
    <t>Number of Lines Unread</t>
  </si>
  <si>
    <t>The integer that describes the number of lines not able to be read by the subject during an eye chart assessment.</t>
  </si>
  <si>
    <t>C127795</t>
  </si>
  <si>
    <t>NUMSEUST</t>
  </si>
  <si>
    <t>Number of Trial Sites EU State</t>
  </si>
  <si>
    <t>The total number of trial sites within the European Union member state concerned by the application.</t>
  </si>
  <si>
    <t>Number of Trial Sites within European Union State</t>
  </si>
  <si>
    <t>C81313</t>
  </si>
  <si>
    <t>NVEXAM</t>
  </si>
  <si>
    <t>Nervous System Examination</t>
  </si>
  <si>
    <t>An observation, assessment or examination of the nervous system.</t>
  </si>
  <si>
    <t>Neurologic Examination</t>
  </si>
  <si>
    <t>C166051</t>
  </si>
  <si>
    <t>NVGIIRNA</t>
  </si>
  <si>
    <t>Norovirus Genogroup II RNA</t>
  </si>
  <si>
    <t>Human Calicivirus Genogroup 2 RNA; Norovirus Genogroup II RNA; Norovirus GII RNA</t>
  </si>
  <si>
    <t>A measurement of Norovirus genogroup II RNA in a biological specimen.</t>
  </si>
  <si>
    <t>Norovirus Genogroup II RNA Measurement</t>
  </si>
  <si>
    <t>C166052</t>
  </si>
  <si>
    <t>NVGIRNA</t>
  </si>
  <si>
    <t>Norovirus Genogroup I RNA</t>
  </si>
  <si>
    <t>Human Calicivirus Genogroup 1 RNA; Norovirus Genogroup 1 RNA; Norovirus GI RNA</t>
  </si>
  <si>
    <t>A measurement of Norovirus genogroup I RNA in a biological specimen.</t>
  </si>
  <si>
    <t>Norovirus Genogroup I RNA Measurement</t>
  </si>
  <si>
    <t>C184668</t>
  </si>
  <si>
    <t>NVRNA</t>
  </si>
  <si>
    <t>Norovirus RNA</t>
  </si>
  <si>
    <t>A measurement of the RNA from any member of the genus Norovirus in a biological specimen.</t>
  </si>
  <si>
    <t>Norovirus RNA Measurement</t>
  </si>
  <si>
    <t>C221671</t>
  </si>
  <si>
    <t>NYSTGMS</t>
  </si>
  <si>
    <t>Nystagmus</t>
  </si>
  <si>
    <t>An evaluation of nystagmus (involuntary, rapid eye movement).</t>
  </si>
  <si>
    <t>Nystagmus Assessment</t>
  </si>
  <si>
    <t>C111284</t>
  </si>
  <si>
    <t>O2CT</t>
  </si>
  <si>
    <t>Oxygen Content</t>
  </si>
  <si>
    <t>A measurement of the amount of oxygen content in a biological specimen.</t>
  </si>
  <si>
    <t>Oxygen Measurement</t>
  </si>
  <si>
    <t>C163476</t>
  </si>
  <si>
    <t>OAS1</t>
  </si>
  <si>
    <t>2-5-Oligoadenylate Synthase 1</t>
  </si>
  <si>
    <t>A measurement of the 2-5-oligoadenylate synthase 1 in a biological specimen.</t>
  </si>
  <si>
    <t>2-5-Oligoadenylate Synthase 1 Measurement</t>
  </si>
  <si>
    <t>C163477</t>
  </si>
  <si>
    <t>OAS2</t>
  </si>
  <si>
    <t>2-5-Oligoadenylate Synthase 2</t>
  </si>
  <si>
    <t>A measurement of the 2-5-oligoadenylate synthase 2 in a biological specimen.</t>
  </si>
  <si>
    <t>2-5-Oligoadenylate Synthase 2 Measurement</t>
  </si>
  <si>
    <t>C163478</t>
  </si>
  <si>
    <t>OAS3</t>
  </si>
  <si>
    <t>2-5-Oligoadenylate Synthase 3</t>
  </si>
  <si>
    <t>A measurement of the 2-5-oligoadenylate synthase 3 in a biological specimen.</t>
  </si>
  <si>
    <t>2-5-Oligoadenylate Synthase 3 Measurement</t>
  </si>
  <si>
    <t>C163559</t>
  </si>
  <si>
    <t>OBJEXP</t>
  </si>
  <si>
    <t>Trial Exploratory Objective</t>
  </si>
  <si>
    <t>Study Exploratory Objective; Trial Exploratory Objective</t>
  </si>
  <si>
    <t>Additional scientific question(s) within the study that enable further discovery research, beyond the primary and secondary objectives.</t>
  </si>
  <si>
    <t>C85826</t>
  </si>
  <si>
    <t>OBJPRIM</t>
  </si>
  <si>
    <t>Trial Primary Objective</t>
  </si>
  <si>
    <t>Study Primary Objective; Trial Primary Objective</t>
  </si>
  <si>
    <t>The main scientific question(s) the study is designed to answer. (CDISC Glossary)</t>
  </si>
  <si>
    <t>C85827</t>
  </si>
  <si>
    <t>OBJSEC</t>
  </si>
  <si>
    <t>Trial Secondary Objective</t>
  </si>
  <si>
    <t>Study Secondary Objective; Trial Secondary Objective</t>
  </si>
  <si>
    <t>The supportive or ancillary scientific question(s) the study is designed to answer. (CDISC Glossary)</t>
  </si>
  <si>
    <t>C146994</t>
  </si>
  <si>
    <t>OBMDILOC</t>
  </si>
  <si>
    <t>Obs Med Device Type In Intended Loc</t>
  </si>
  <si>
    <t>Obs Med Device Type In Intended Loc; Observed Medical Device In The Intended Location</t>
  </si>
  <si>
    <t>A description of the type of medical device that is found in a subject and is in its intended location.</t>
  </si>
  <si>
    <t>Observed Medical Device Type In Intended Location</t>
  </si>
  <si>
    <t>C147153</t>
  </si>
  <si>
    <t>OBMDNLOC</t>
  </si>
  <si>
    <t>Obs Med Device Type Not In Intended Loc</t>
  </si>
  <si>
    <t>A description of the type of medical device that is found in a subject but is not in its intended location.</t>
  </si>
  <si>
    <t>Observed Medical Device Type Not Present In Intended Location Type</t>
  </si>
  <si>
    <t>C147154</t>
  </si>
  <si>
    <t>OBNMFBT</t>
  </si>
  <si>
    <t>Observed Non-Medical Foreign Body Type</t>
  </si>
  <si>
    <t>A description of the type of non-medical foreign body that is found in a subject.</t>
  </si>
  <si>
    <t>C126064</t>
  </si>
  <si>
    <t>OBSMODEL</t>
  </si>
  <si>
    <t>Observational Model</t>
  </si>
  <si>
    <t>The trial design developed to compare biomedical and/or health outcomes in pre-defined and non-assigned groups of individuals.</t>
  </si>
  <si>
    <t>C126065</t>
  </si>
  <si>
    <t>OBSTIMP</t>
  </si>
  <si>
    <t>Observational Time Perspective</t>
  </si>
  <si>
    <t>The temporal relationship between the observation period and time of subject enrollment. (ClinicalTrials.gov)</t>
  </si>
  <si>
    <t>Observational Time Perspective of Study</t>
  </si>
  <si>
    <t>C126066</t>
  </si>
  <si>
    <t>OBSTPOPD</t>
  </si>
  <si>
    <t>Obs Study Population Description</t>
  </si>
  <si>
    <t>A description of the population from which the groups or cohorts will be selected within an observational study.</t>
  </si>
  <si>
    <t>Observational Study Population Description</t>
  </si>
  <si>
    <t>C126067</t>
  </si>
  <si>
    <t>OBSTSMM</t>
  </si>
  <si>
    <t>Observational Study Sampling Method</t>
  </si>
  <si>
    <t>The sampling method used to assign study participants into groups or cohorts within an observational study.</t>
  </si>
  <si>
    <t>C126068</t>
  </si>
  <si>
    <t>OBSTSMMD</t>
  </si>
  <si>
    <t>Obs Study Sampling Method Description</t>
  </si>
  <si>
    <t>A textual description of the sampling method used to assign study participants into groups or cohorts within an observational study.</t>
  </si>
  <si>
    <t>Observational Study Sampling Method Description</t>
  </si>
  <si>
    <t>C198335</t>
  </si>
  <si>
    <t>OC43NC</t>
  </si>
  <si>
    <t>HCoV-OC43 Nucleic Acid</t>
  </si>
  <si>
    <t>HCoV-OC43 Nucleic Acid; Human Coronavirus OC43 Nucleic Acid</t>
  </si>
  <si>
    <t>A measurement of the Human coronavirus OC43 nucleic acid in a biological specimen.</t>
  </si>
  <si>
    <t>Human Coronavirus OC43 Nucleic Acid Measurement</t>
  </si>
  <si>
    <t>C184653</t>
  </si>
  <si>
    <t>OC43RNA</t>
  </si>
  <si>
    <t>HCoV-OC43 RNA</t>
  </si>
  <si>
    <t>HCoV-OC43 RNA; Human Coronavirus OC43 RNA</t>
  </si>
  <si>
    <t>A measurement of the Human coronavirus OC43 RNA in a biological specimen.</t>
  </si>
  <si>
    <t>HCoV-OC43 RNA Measurement</t>
  </si>
  <si>
    <t>C74686</t>
  </si>
  <si>
    <t>OCCBLD</t>
  </si>
  <si>
    <t>Occult Blood</t>
  </si>
  <si>
    <t>A measurement of the blood in body products such as a urine or stool sample, not detectable on gross examination.</t>
  </si>
  <si>
    <t>Occult Blood Measurement</t>
  </si>
  <si>
    <t>C209690</t>
  </si>
  <si>
    <t>OCUPINDS</t>
  </si>
  <si>
    <t>Occupational Industry</t>
  </si>
  <si>
    <t>Business Type; Occupation Type; Occupational Industry; Work Industry</t>
  </si>
  <si>
    <t>Type of business that compensates for work or assigns work to an unpaid worker or volunteer. (USCDI)</t>
  </si>
  <si>
    <t>C163479</t>
  </si>
  <si>
    <t>ODMTASE</t>
  </si>
  <si>
    <t>O-Demethylase</t>
  </si>
  <si>
    <t>A measurement of the O-Demethylase in a biological specimen.</t>
  </si>
  <si>
    <t>O-Demethylase Measurement</t>
  </si>
  <si>
    <t>C181402</t>
  </si>
  <si>
    <t>ODSMT</t>
  </si>
  <si>
    <t>O-Desmethyltramadol</t>
  </si>
  <si>
    <t>Desmetramadol; O-Desmethyltramadol; O-DSMT</t>
  </si>
  <si>
    <t>A measurement of the O-desmethyltramadol in a biological specimen.</t>
  </si>
  <si>
    <t>O-Desmethyltramadol Measurement</t>
  </si>
  <si>
    <t>C38060</t>
  </si>
  <si>
    <t>OEEXAM</t>
  </si>
  <si>
    <t>Ophthalmic Examination</t>
  </si>
  <si>
    <t>An observation, assessment or examination of the eye.</t>
  </si>
  <si>
    <t>Eye Examination</t>
  </si>
  <si>
    <t>C174309</t>
  </si>
  <si>
    <t>OH8DXG2</t>
  </si>
  <si>
    <t>8-Hydroxy-2'-Deoxyguanosine</t>
  </si>
  <si>
    <t>8-Hydroxy-2'-Deoxyguanosine; 8-oxo-dG</t>
  </si>
  <si>
    <t>A measurement of the 8-hydroxy-2'-deoxyguanosine in a biological specimen.</t>
  </si>
  <si>
    <t>8-Hydroxy-2'-Deoxyguanosine Measurement</t>
  </si>
  <si>
    <t>C177970</t>
  </si>
  <si>
    <t>OH9RS</t>
  </si>
  <si>
    <t>9-Hydroxyrisperidone</t>
  </si>
  <si>
    <t>9-Hydroxyrisperidone; Paliperidone</t>
  </si>
  <si>
    <t>A measurement of the 9-hydroxyrisperidone in a biological specimen.</t>
  </si>
  <si>
    <t>9-Hydroxyrisperidone Measurement</t>
  </si>
  <si>
    <t>C172492</t>
  </si>
  <si>
    <t>OHDG8</t>
  </si>
  <si>
    <t>8-Hydroxydeoxyguanosine</t>
  </si>
  <si>
    <t>8-Hydroxydeoxyguanosine; 8-OHdG</t>
  </si>
  <si>
    <t>A measurement of the 8-hydroxydeoxyguanosine in a biological specimen.</t>
  </si>
  <si>
    <t>8-Hydroxydeoxyguanosine Measurement</t>
  </si>
  <si>
    <t>C204585</t>
  </si>
  <si>
    <t>OHEARAS</t>
  </si>
  <si>
    <t>Overall Hearing Assessment</t>
  </si>
  <si>
    <t>An assessment to evaluate the overall hearing of an individual.</t>
  </si>
  <si>
    <t>C150833</t>
  </si>
  <si>
    <t>OHF6B</t>
  </si>
  <si>
    <t>6 Beta-Hydroxycortisol</t>
  </si>
  <si>
    <t>6 Beta-Hydrocortisol; 6 Beta-Hydroxycortisol; 6 beta-OHF</t>
  </si>
  <si>
    <t>A measurement of 6 beta-hydroxycortisol in a biological specimen.</t>
  </si>
  <si>
    <t>6 Beta-Hydroxycortisol Measurement</t>
  </si>
  <si>
    <t>C189635</t>
  </si>
  <si>
    <t>OI</t>
  </si>
  <si>
    <t>Oxygenation Index</t>
  </si>
  <si>
    <t>A measurement of the efficiency of oxygen exchange by the lungs, which is calculated by multiplying the fraction of inspired oxygen (FiO2) (in %) to mean airway pressure (Mpaw), and dividing by pressure of arterial oxygen (PaO2).</t>
  </si>
  <si>
    <t>C177966</t>
  </si>
  <si>
    <t>OLANZAPN</t>
  </si>
  <si>
    <t>Olanzapine</t>
  </si>
  <si>
    <t>A measurement of the olanzapine in a biological specimen.</t>
  </si>
  <si>
    <t>Olanzapine Measurement</t>
  </si>
  <si>
    <t>C122139</t>
  </si>
  <si>
    <t>OLIGBAND</t>
  </si>
  <si>
    <t>Oligoclonal Bands</t>
  </si>
  <si>
    <t>A measurement of the oligoclonal bands in a biological specimen.</t>
  </si>
  <si>
    <t>Oligoclonal Bands Measurement</t>
  </si>
  <si>
    <t>C204699</t>
  </si>
  <si>
    <t>ONGOSIND</t>
  </si>
  <si>
    <t>Ongoing Study Indicator</t>
  </si>
  <si>
    <t>An indication as to whether the study is in progress.</t>
  </si>
  <si>
    <t>C189623</t>
  </si>
  <si>
    <t>OPACITY</t>
  </si>
  <si>
    <t>Opacity</t>
  </si>
  <si>
    <t>An assessment of the degree of opaqueness or the lack of transparency.</t>
  </si>
  <si>
    <t>Opacity Measurement</t>
  </si>
  <si>
    <t>C116206</t>
  </si>
  <si>
    <t>OPG</t>
  </si>
  <si>
    <t>Osteoprotegerin</t>
  </si>
  <si>
    <t>OCIF; Osteoclastogenesis Inhibitory Factor; Osteoprotegerin; TNFRS11B; Tumor Necrosis Factor Receptor Superfamily Member 11b</t>
  </si>
  <si>
    <t>A measurement of the osteoprotegerin in a biological specimen.</t>
  </si>
  <si>
    <t>Osteoprotegerin Measurement</t>
  </si>
  <si>
    <t>C74796</t>
  </si>
  <si>
    <t>OPIATE</t>
  </si>
  <si>
    <t>Opiate</t>
  </si>
  <si>
    <t>A measurement of any opiate class drug present in a biological specimen.</t>
  </si>
  <si>
    <t>Opiate Measurement</t>
  </si>
  <si>
    <t>C124349</t>
  </si>
  <si>
    <t>OPN</t>
  </si>
  <si>
    <t>Osteopontin</t>
  </si>
  <si>
    <t>A measurement of the osteopontin in a biological specimen.</t>
  </si>
  <si>
    <t>Osteopontin Measurement</t>
  </si>
  <si>
    <t>C177962</t>
  </si>
  <si>
    <t>OPNCRT</t>
  </si>
  <si>
    <t>Osteopontin/Creatinine</t>
  </si>
  <si>
    <t>A relative measurement (ratio or percentage) of the osteopontin to creatinine in a biological specimen.</t>
  </si>
  <si>
    <t>Osteopontin to Creatinine Ratio Measurement</t>
  </si>
  <si>
    <t>C135507</t>
  </si>
  <si>
    <t>ORENLQN</t>
  </si>
  <si>
    <t>Organ Enlargement, Quantitative</t>
  </si>
  <si>
    <t>A quantitative measurement of the increase in organ size or dimension, relative to a defined value.</t>
  </si>
  <si>
    <t>Quantitative Organ Enlargement Assessment</t>
  </si>
  <si>
    <t>C122140</t>
  </si>
  <si>
    <t>ORNITHIN</t>
  </si>
  <si>
    <t>Ornithine</t>
  </si>
  <si>
    <t>A measurement of the ornithine in a biological specimen.</t>
  </si>
  <si>
    <t>Ornithine Measurement</t>
  </si>
  <si>
    <t>C135508</t>
  </si>
  <si>
    <t>ORSTATE</t>
  </si>
  <si>
    <t>Organ State</t>
  </si>
  <si>
    <t>A condition or state of an organ at a particular time.</t>
  </si>
  <si>
    <t>C135509</t>
  </si>
  <si>
    <t>ORVERLN</t>
  </si>
  <si>
    <t>Organ Vertical Length</t>
  </si>
  <si>
    <t>The linear extent along the craniocaudal axis from one end of an organ to the other end. (NCI)</t>
  </si>
  <si>
    <t>Organ Craniocaudal Length Measurement</t>
  </si>
  <si>
    <t>C132377</t>
  </si>
  <si>
    <t>OSM</t>
  </si>
  <si>
    <t>Oncostatin M</t>
  </si>
  <si>
    <t>A measurement of the oncostatin M in a biological specimen.</t>
  </si>
  <si>
    <t>Oncostatin M Measurement</t>
  </si>
  <si>
    <t>C74801</t>
  </si>
  <si>
    <t>OSMLTY</t>
  </si>
  <si>
    <t>Osmolality</t>
  </si>
  <si>
    <t>A measurement of the osmoles of solute per unit of biological specimen.</t>
  </si>
  <si>
    <t>Osmolality Measurement</t>
  </si>
  <si>
    <t>C74802</t>
  </si>
  <si>
    <t>OSMRTY</t>
  </si>
  <si>
    <t>Osmolarity</t>
  </si>
  <si>
    <t>A measurement of the osmoles of solute per liter of solution.</t>
  </si>
  <si>
    <t>Osmolarity Measurement</t>
  </si>
  <si>
    <t>C74744</t>
  </si>
  <si>
    <t>OSTEOC</t>
  </si>
  <si>
    <t>Osteocalcin</t>
  </si>
  <si>
    <t>A measurement of the osteocalcin in a biological specimen.</t>
  </si>
  <si>
    <t>Osteocalcin Measurement</t>
  </si>
  <si>
    <t>C209610</t>
  </si>
  <si>
    <t>OTOLUDN</t>
  </si>
  <si>
    <t>o-Toluidine</t>
  </si>
  <si>
    <t>2-Methylaniline; 2-Toluidine; o-Toluidine; Ortho-Toluidine</t>
  </si>
  <si>
    <t>A measurement of the o-toluidine in a specimen.</t>
  </si>
  <si>
    <t>o-Toluidine Measurement</t>
  </si>
  <si>
    <t>C139128</t>
  </si>
  <si>
    <t>OTRCUPCB</t>
  </si>
  <si>
    <t>Overall Tracer Uptake Compared to BL</t>
  </si>
  <si>
    <t>Overall Tracer Uptake Compared to Baseline; Overall Tracer Uptake Compared to BL</t>
  </si>
  <si>
    <t>A visually assessed combination of extent and intensity of tracer uptake, as compared to baseline.</t>
  </si>
  <si>
    <t>Overall Tracer Uptake Compared to Baseline</t>
  </si>
  <si>
    <t>C150896</t>
  </si>
  <si>
    <t>OTRCUPCN</t>
  </si>
  <si>
    <t>Overall Tracer Uptake Compared to Nadir</t>
  </si>
  <si>
    <t>A visually assessed combination of extent and intensity of tracer uptake, as compared to nadir.</t>
  </si>
  <si>
    <t>C156601</t>
  </si>
  <si>
    <t>OUTMSADD</t>
  </si>
  <si>
    <t>Additional Outcome Measure</t>
  </si>
  <si>
    <t>Additional key measures that will be used to evaluate the intervention(s) or, for observational studies, that are a focus of the study. These are the outcome measures not used to assess primary or secondary objectives.</t>
  </si>
  <si>
    <t>C98724</t>
  </si>
  <si>
    <t>OUTMSEXP</t>
  </si>
  <si>
    <t>Exploratory Outcome Measure</t>
  </si>
  <si>
    <t>The outcome measure(s) that is part of a pre-specified analysis plan used to evaluate the exploratory endpoint(s) associated with exploratory study objective(s) and/or any other measures, excluding post-hoc measures, that are a focus of the study. (After</t>
  </si>
  <si>
    <t>C98772</t>
  </si>
  <si>
    <t>OUTMSPRI</t>
  </si>
  <si>
    <t>Primary Outcome Measure</t>
  </si>
  <si>
    <t>The outcome measure(s) of greatest importance specified in the protocol, usually the one(s) used in the power calculation, to evaluate the primary endpoint(s) associated with the primary study objective(s). (After Clinicaltrials.gov)</t>
  </si>
  <si>
    <t>C98781</t>
  </si>
  <si>
    <t>OUTMSSEC</t>
  </si>
  <si>
    <t>Secondary Outcome Measure</t>
  </si>
  <si>
    <t>The outcome measure(s) that is part of a pre-specified analysis plan used to evaluate the secondary endpoint(s) associated with secondary study objective(s) and/or used to evaluate any measure(s) ancillary to the primary or secondary endpoint(s). (After C</t>
  </si>
  <si>
    <t>C142287</t>
  </si>
  <si>
    <t>OVALCY</t>
  </si>
  <si>
    <t>Ovalocytes</t>
  </si>
  <si>
    <t>A measurement of the ovalocytes (oval shaped cell with rounded ends and a long axis less than twice its short axis) in a biological specimen.</t>
  </si>
  <si>
    <t>Ovalocyte Count</t>
  </si>
  <si>
    <t>C100452</t>
  </si>
  <si>
    <t>OVAPARS</t>
  </si>
  <si>
    <t>Ova and Parasite</t>
  </si>
  <si>
    <t>A measurement of the parasites and ova in a biological specimen.</t>
  </si>
  <si>
    <t>Ova and Parasite Measurement</t>
  </si>
  <si>
    <t>C18000</t>
  </si>
  <si>
    <t>OVLTGRD</t>
  </si>
  <si>
    <t>Overall Tumor Grade</t>
  </si>
  <si>
    <t>Histologic Grade; Overall Tumor Grade; Tumor Grade</t>
  </si>
  <si>
    <t>An assigned tumor grade based on a defined scoring system.</t>
  </si>
  <si>
    <t>Histologic Grade</t>
  </si>
  <si>
    <t>C96613</t>
  </si>
  <si>
    <t>OVRLRESP</t>
  </si>
  <si>
    <t>Overall Response</t>
  </si>
  <si>
    <t>An assessment of the overall response of the disease to the therapy. (NCI)</t>
  </si>
  <si>
    <t>C117983</t>
  </si>
  <si>
    <t>OXACREAT</t>
  </si>
  <si>
    <t>Oxalate/Creatinine</t>
  </si>
  <si>
    <t>A relative measurement (ratio or percentage) of the oxalate to creatinine in a biological specimen.</t>
  </si>
  <si>
    <t>Oxalate to Creatinine Ratio Measurement</t>
  </si>
  <si>
    <t>C163480</t>
  </si>
  <si>
    <t>OXAEXR</t>
  </si>
  <si>
    <t>Oxalate Excretion Rate</t>
  </si>
  <si>
    <t>A measurement of the amount of oxalate being excreted in a biological specimen over a defined amount of time (e.g. one hour).</t>
  </si>
  <si>
    <t>C92250</t>
  </si>
  <si>
    <t>OXALATE</t>
  </si>
  <si>
    <t>Oxalate</t>
  </si>
  <si>
    <t>Ethanedioate; Oxalate</t>
  </si>
  <si>
    <t>A measurement of the oxalate in a biological specimen.</t>
  </si>
  <si>
    <t>Oxalate Measurement</t>
  </si>
  <si>
    <t>C75381</t>
  </si>
  <si>
    <t>OXANDRLN</t>
  </si>
  <si>
    <t>Oxandrolone</t>
  </si>
  <si>
    <t>Ossandrolone; Oxandrolone</t>
  </si>
  <si>
    <t>A measurement of the oxandrolone in a biological specimen.</t>
  </si>
  <si>
    <t>Oxandrolone Measurement</t>
  </si>
  <si>
    <t>C147409</t>
  </si>
  <si>
    <t>OXMORPHN</t>
  </si>
  <si>
    <t>Oxymorphone</t>
  </si>
  <si>
    <t>A measurement of the Oxymorphone in a biological specimen.</t>
  </si>
  <si>
    <t>Oxymorphone Measurement</t>
  </si>
  <si>
    <t>C184595</t>
  </si>
  <si>
    <t>OXMSTRN</t>
  </si>
  <si>
    <t>Oxymesterone</t>
  </si>
  <si>
    <t>A measurement of the oxymesterone in a biological specimen.</t>
  </si>
  <si>
    <t>Oxymesterone Measurement</t>
  </si>
  <si>
    <t>C75388</t>
  </si>
  <si>
    <t>OXMTHLN</t>
  </si>
  <si>
    <t>Oxymetholone</t>
  </si>
  <si>
    <t>Oxymethalone; Oxymethenolone; Oxymetholone</t>
  </si>
  <si>
    <t>A measurement of the oxymetholone in a biological specimen.</t>
  </si>
  <si>
    <t>Oxymetholone Measurement</t>
  </si>
  <si>
    <t>C96614</t>
  </si>
  <si>
    <t>OXYCAP</t>
  </si>
  <si>
    <t>Oxygen Capacity</t>
  </si>
  <si>
    <t>A measurement of the maximum amount of oxygen that can be combined chemically with hemoglobin in a volume of blood.</t>
  </si>
  <si>
    <t>Oxygen Capacity Measurement</t>
  </si>
  <si>
    <t>C74884</t>
  </si>
  <si>
    <t>OXYCDN</t>
  </si>
  <si>
    <t>Oxycodone</t>
  </si>
  <si>
    <t>Oxycodone; Oxycontin</t>
  </si>
  <si>
    <t>A measurement of the oxycodone present in a biological specimen.</t>
  </si>
  <si>
    <t>Oxycodone Measurement</t>
  </si>
  <si>
    <t>C123566</t>
  </si>
  <si>
    <t>OXYPULSE</t>
  </si>
  <si>
    <t>Oxygen Pulse</t>
  </si>
  <si>
    <t>The volume of oxygen per heartbeat consumed by the body while at rest.</t>
  </si>
  <si>
    <t>C60832</t>
  </si>
  <si>
    <t>OXYSAT</t>
  </si>
  <si>
    <t>Oxygen Saturation</t>
  </si>
  <si>
    <t>A measurement of the oxygen-hemoglobin saturation of a volume of blood.</t>
  </si>
  <si>
    <t>Oxygen Saturation Measurement</t>
  </si>
  <si>
    <t>C74869</t>
  </si>
  <si>
    <t>OXYTOCIN</t>
  </si>
  <si>
    <t>Oxytocin</t>
  </si>
  <si>
    <t>Oxytocin; Oxytoxin</t>
  </si>
  <si>
    <t>A measurement of the oxytocin hormone in a biological specimen.</t>
  </si>
  <si>
    <t>Oxytocin Measurement</t>
  </si>
  <si>
    <t>C75375</t>
  </si>
  <si>
    <t>OXZPM</t>
  </si>
  <si>
    <t>Oxazepam</t>
  </si>
  <si>
    <t>A measurement of the oxazepam present in a biological specimen.</t>
  </si>
  <si>
    <t>Oxazepam Measurement</t>
  </si>
  <si>
    <t>C118164</t>
  </si>
  <si>
    <t>P_AXIS</t>
  </si>
  <si>
    <t>P Wave Axis</t>
  </si>
  <si>
    <t>A numerical representation of the electrocardiographic vector assessed at maximum deviation of the P wave from the isoelectric baseline, usually reported for the frontal plane.</t>
  </si>
  <si>
    <t>C117887</t>
  </si>
  <si>
    <t>P100AMP</t>
  </si>
  <si>
    <t>P100 Amplitude</t>
  </si>
  <si>
    <t>The magnitude, or height, of the P100 wave of the visual evoked potential assessment waveform. This assessment calculates the height from the N75 negative peak to the P100 positive peak.</t>
  </si>
  <si>
    <t>N75 to P100 Peak to Peak Amplitude</t>
  </si>
  <si>
    <t>C117888</t>
  </si>
  <si>
    <t>P100LAT</t>
  </si>
  <si>
    <t>P100 Latency</t>
  </si>
  <si>
    <t>An assessment of the latency of the P100 or P1 wave of the visual evoked potential assessment waveform.</t>
  </si>
  <si>
    <t>C179766</t>
  </si>
  <si>
    <t>P16INK4A</t>
  </si>
  <si>
    <t>p16-INK4A</t>
  </si>
  <si>
    <t>CDK4I; Cyclin Dependent Kinase Inhibitor 2A p16; p16; p16 Inhibitors of CDK4; p16-INK4a</t>
  </si>
  <si>
    <t>A measurement of the p16-INK4A in a biological specimen.</t>
  </si>
  <si>
    <t>p16-INK4A Measurement</t>
  </si>
  <si>
    <t>C96625</t>
  </si>
  <si>
    <t>P1NP</t>
  </si>
  <si>
    <t>Procollagen 1 N-Terminal Propeptide</t>
  </si>
  <si>
    <t>Amino-terminal propeptide of type 1 procollagen; P1NP Aminoterm Type 1; Procollagen 1 N-Terminal Propeptide</t>
  </si>
  <si>
    <t>A measurement of the procollagen 1 N-terminal propeptide in a biological specimen.</t>
  </si>
  <si>
    <t>Procollagen 1 N-Terminal Propeptide Measurement</t>
  </si>
  <si>
    <t>C128973</t>
  </si>
  <si>
    <t>P3NP</t>
  </si>
  <si>
    <t>Procollagen 3 N-Terminal Propeptide</t>
  </si>
  <si>
    <t>N-Terminal Type III Collagen Propeptide; PIIINP; Procollagen 3 N-Terminal Propeptide</t>
  </si>
  <si>
    <t>A measurement of the procollagen 3 N-terminal propeptide in a biological specimen.</t>
  </si>
  <si>
    <t>Procollagen 3 N-Terminal Propeptide Measurement</t>
  </si>
  <si>
    <t>C102279</t>
  </si>
  <si>
    <t>P50OXYGN</t>
  </si>
  <si>
    <t>P50 Oxygen</t>
  </si>
  <si>
    <t>A measurement of the partial pressure of oxygen when hemoglobin is half saturated in a biological specimen.</t>
  </si>
  <si>
    <t>P50 Oxygen Measurement</t>
  </si>
  <si>
    <t>C186205</t>
  </si>
  <si>
    <t>P53</t>
  </si>
  <si>
    <t>Tumor Protein p53</t>
  </si>
  <si>
    <t>A measurement of the tumor protein p53 in a biological specimen.</t>
  </si>
  <si>
    <t>Cellular Tumor Antigen p53 Measurement</t>
  </si>
  <si>
    <t>C202381</t>
  </si>
  <si>
    <t>PA2APC</t>
  </si>
  <si>
    <t>Plasmin Alpha-2 Antiplasmin Complex</t>
  </si>
  <si>
    <t>PAP; Plasmin Alpha-2 Antiplasmin Complex</t>
  </si>
  <si>
    <t>A measurement of the plasmin alpha-2 antiplasmin complex in a biological specimen.</t>
  </si>
  <si>
    <t>Plasmin Alpha-2 Antiplasmin Complex Measurement</t>
  </si>
  <si>
    <t>C186090</t>
  </si>
  <si>
    <t>PABA</t>
  </si>
  <si>
    <t>Para-Aminobenzoate</t>
  </si>
  <si>
    <t>Para-Aminobenzoate; Para-Aminobenzoic Acid</t>
  </si>
  <si>
    <t>A measurement of the para-aminobenzoate in a biological specimen.</t>
  </si>
  <si>
    <t>Para-Aminobenzoate Measurement</t>
  </si>
  <si>
    <t>C111285</t>
  </si>
  <si>
    <t>PACEMAKR</t>
  </si>
  <si>
    <t>Pacemaker</t>
  </si>
  <si>
    <t>An electrocardiographic assessment of presence of artificial electronic pacing.</t>
  </si>
  <si>
    <t>Pacemaker ECG Assessment</t>
  </si>
  <si>
    <t>C172546</t>
  </si>
  <si>
    <t>PAE</t>
  </si>
  <si>
    <t>Pseudomonas aeruginosa</t>
  </si>
  <si>
    <t>A measurement of the Pseudomonas aeruginosa in a biological specimen.</t>
  </si>
  <si>
    <t>Pseudomonas aeruginosa Measurement</t>
  </si>
  <si>
    <t>C191325</t>
  </si>
  <si>
    <t>PAEDNA</t>
  </si>
  <si>
    <t>Pseudomonas aeruginosa DNA</t>
  </si>
  <si>
    <t>A measurement of the Pseudomonas aeruginosa DNA in a biological specimen.</t>
  </si>
  <si>
    <t>Pseudomonas aeruginosa DNA Measurement</t>
  </si>
  <si>
    <t>C139108</t>
  </si>
  <si>
    <t>PAERGMUC</t>
  </si>
  <si>
    <t>P. aeruginosa, Mucoid</t>
  </si>
  <si>
    <t>P. aeruginosa, Mucoid; Pseudomonas aeruginosa, Mucoid</t>
  </si>
  <si>
    <t>A measurement of the mucoid strain of Pseudomonas aeruginosa in a biological specimen.</t>
  </si>
  <si>
    <t>Mucoid Pseudomonas aeruginosa Measurement</t>
  </si>
  <si>
    <t>C139107</t>
  </si>
  <si>
    <t>PAERGNMC</t>
  </si>
  <si>
    <t>P. aeruginosa, Non-mucoid</t>
  </si>
  <si>
    <t>P. aeruginosa, Non-Mucoid; Pseudomonas aeruginosa, Non-Mucoid</t>
  </si>
  <si>
    <t>A measurement of the non-mucoid strain of Pseudomonas aeruginosa in a biological specimen.</t>
  </si>
  <si>
    <t>Non-Mucoid Pseudomonas aeruginosa Measurement</t>
  </si>
  <si>
    <t>C139109</t>
  </si>
  <si>
    <t>PAERGSCV</t>
  </si>
  <si>
    <t>P. aeruginosa, Small-colony Variant</t>
  </si>
  <si>
    <t>P. aeruginosa, Small-colony Variant; Pseudomonas aeruginosa, SCV; Pseudomonas aeruginosa, Small-colony Variant</t>
  </si>
  <si>
    <t>A measurement of the small-colony variant strain of Pseudomonas aeruginosa in a biological specimen.</t>
  </si>
  <si>
    <t>Small-Colony Variant Pseudomonas aeruginosa Measurement</t>
  </si>
  <si>
    <t>C111292</t>
  </si>
  <si>
    <t>PAF</t>
  </si>
  <si>
    <t>Platelet Activating Factor</t>
  </si>
  <si>
    <t>A measurement of the platelet activating factor in a biological specimen.</t>
  </si>
  <si>
    <t>Platelet Activating Factor Measurement</t>
  </si>
  <si>
    <t>C204666</t>
  </si>
  <si>
    <t>PAGM</t>
  </si>
  <si>
    <t>Plasmodium Antigen, MLTTRG</t>
  </si>
  <si>
    <t>Plasmodium Antigen, MLTTRG; Plasmodium Antigen, Multi-Target</t>
  </si>
  <si>
    <t>A measurement of Plasmodium antigen in a biological specimen. This is a multiple-target test.</t>
  </si>
  <si>
    <t>Plasmodium Antigen Measurement</t>
  </si>
  <si>
    <t>C189315</t>
  </si>
  <si>
    <t>PAHPP</t>
  </si>
  <si>
    <t>Para Aminohippurate</t>
  </si>
  <si>
    <t>4-Aminohippurate; P-Amino Hippuric Acid; P-Aminohippurate; PAH; Para Aminohippurate; Para Aminohippuric Acid; Para-Amino Hippuric Acid; Para-Aminohippurate</t>
  </si>
  <si>
    <t>A measurement of the para aminohippurate in a biological specimen.</t>
  </si>
  <si>
    <t>Para Aminohippurate Measurement</t>
  </si>
  <si>
    <t>C189530</t>
  </si>
  <si>
    <t>PAHPPCLR</t>
  </si>
  <si>
    <t>Para Aminohippurate Clearance</t>
  </si>
  <si>
    <t>4-Aminohippurate Clearance; P-Amino Hippuric Acid Clearance; P-Aminohippurate Clearance; PAH Clearance; Para Aminohippurate Clearance; Para Aminohippuric Acid Clearance; Para-Amino Hippuric Acid Clearance; Para-Aminohippurate Clearance</t>
  </si>
  <si>
    <t>A measurement of the volume of serum or plasma that would be cleared of para aminohippurate by excretion of urine for a specified unit of time (e.g. one minute).</t>
  </si>
  <si>
    <t>Para Aminohippurate Clearance Measurement</t>
  </si>
  <si>
    <t>C135379</t>
  </si>
  <si>
    <t>PAHTNIND</t>
  </si>
  <si>
    <t>Pulmonary Arterial Hypertension Ind</t>
  </si>
  <si>
    <t>Pulmonary Arterial Hypertension Ind; Pulmonary Arterial Hypertension Indicator</t>
  </si>
  <si>
    <t>An indication as to whether pulmonary arterial hypertension is present.</t>
  </si>
  <si>
    <t>Pulmonary Arterial Hypertension Indicator</t>
  </si>
  <si>
    <t>C82030</t>
  </si>
  <si>
    <t>PAI1</t>
  </si>
  <si>
    <t>Plasminogen Activator Inhibitor-1</t>
  </si>
  <si>
    <t>Plasminogen Activator Inhibitor-1; Plasminogen Activator Inhibitor-1 AG; Plasminogen Activator Inhibitor-1 Antigen</t>
  </si>
  <si>
    <t>A measurement of the plasminogen activator inhibitor-1 in a biological specimen.</t>
  </si>
  <si>
    <t>Plasminogen Activator Inhibitor-1 Measurement</t>
  </si>
  <si>
    <t>C124449</t>
  </si>
  <si>
    <t>PALPSTAT</t>
  </si>
  <si>
    <t>Palpable State</t>
  </si>
  <si>
    <t>A condition or state of the lesion with regards to its palpability status at a particular point in time.</t>
  </si>
  <si>
    <t>C80204</t>
  </si>
  <si>
    <t>PAP</t>
  </si>
  <si>
    <t>Prostatic Acid Phosphatase</t>
  </si>
  <si>
    <t>A measurement of the prostatic acid phosphatase in a biological specimen.</t>
  </si>
  <si>
    <t>Prostatic Acid Phosphatase Measurement</t>
  </si>
  <si>
    <t>C82031</t>
  </si>
  <si>
    <t>PAPPA</t>
  </si>
  <si>
    <t>Pregnancy-Associated Plasma Protein-A</t>
  </si>
  <si>
    <t>A measurement of the pregnancy-associated plasma protein-A in a biological specimen.</t>
  </si>
  <si>
    <t>Pregnancy-Associated Plasma Protein-A Measurement</t>
  </si>
  <si>
    <t>C74616</t>
  </si>
  <si>
    <t>PAPPEN</t>
  </si>
  <si>
    <t>Pappenheimer Bodies</t>
  </si>
  <si>
    <t>A measurement of the cells containing Pappenheimer Bodies (violet or blue staining ferritin granules usually found along the periphery of the red blood cells) in a biological specimen.</t>
  </si>
  <si>
    <t>Pappenheimer Body Count</t>
  </si>
  <si>
    <t>C184630</t>
  </si>
  <si>
    <t>PARALD</t>
  </si>
  <si>
    <t>Paraldehyde</t>
  </si>
  <si>
    <t>A measurement of the paraldehyde in a biological specimen.</t>
  </si>
  <si>
    <t>Paraldehyde Measurement</t>
  </si>
  <si>
    <t>C186178</t>
  </si>
  <si>
    <t>PARECRNA</t>
  </si>
  <si>
    <t>Parechovirus RNA</t>
  </si>
  <si>
    <t>A measurement of the RNA from any member of the genus Parechovirus in a biological specimen.</t>
  </si>
  <si>
    <t>Parechovirus RNA Measurement</t>
  </si>
  <si>
    <t>C16955</t>
  </si>
  <si>
    <t>PARITY</t>
  </si>
  <si>
    <t>Parity</t>
  </si>
  <si>
    <t>The number of pregnancies reaching 20 weeks and 0 days of gestation or beyond, regardless of the number of fetuses or outcomes. (NICHD)</t>
  </si>
  <si>
    <t>C199907</t>
  </si>
  <si>
    <t>PARK7</t>
  </si>
  <si>
    <t>Parkinson Disease Protein 7</t>
  </si>
  <si>
    <t>DJ-1; GATD2; PARK7; Parkinson Disease Protein 7; Parkinsonism Associated Deglycase; Protein Deglycase DJ-1; Protein DJ-1</t>
  </si>
  <si>
    <t>A measurement of the Parkinson disease protein 7 in a biological specimen.</t>
  </si>
  <si>
    <t>Parkinson Disease Protein 7 Measurement</t>
  </si>
  <si>
    <t>C147410</t>
  </si>
  <si>
    <t>PAROXET</t>
  </si>
  <si>
    <t>Paroxetine</t>
  </si>
  <si>
    <t>A measurement of the paroxetine present in a biological specimen.</t>
  </si>
  <si>
    <t>Paroxetine Measurement</t>
  </si>
  <si>
    <t>C139275</t>
  </si>
  <si>
    <t>PASSIND</t>
  </si>
  <si>
    <t>Post Authorization Safety Study Ind</t>
  </si>
  <si>
    <t>An indication as to whether the clinical study is a post authorization safety study.</t>
  </si>
  <si>
    <t>Post Authorization Safety Study Indicator</t>
  </si>
  <si>
    <t>C123626</t>
  </si>
  <si>
    <t>PATHRESP</t>
  </si>
  <si>
    <t>Pathologic Response</t>
  </si>
  <si>
    <t>An assessment of the pathologic response of the disease to the therapy.</t>
  </si>
  <si>
    <t>C142348</t>
  </si>
  <si>
    <t>PAX3FKHR</t>
  </si>
  <si>
    <t>PAX3-FKHR Fusion Protein</t>
  </si>
  <si>
    <t>A measurement of the PAX3-FKHR fusion protein in a biological specimen.</t>
  </si>
  <si>
    <t>PAX3-FKHR Fusion Protein Measurement</t>
  </si>
  <si>
    <t>C184559</t>
  </si>
  <si>
    <t>PB223C</t>
  </si>
  <si>
    <t>PB-22 3-carboxyindole</t>
  </si>
  <si>
    <t>A measurement of the synthetic cannabinoid metabolite PB-22 3-carboxyindole in a biological specimen.</t>
  </si>
  <si>
    <t>PB-22 3-carboxyindole Measurement</t>
  </si>
  <si>
    <t>C184560</t>
  </si>
  <si>
    <t>PB225F3C</t>
  </si>
  <si>
    <t>5-fluoro PB-22 3-carboxyindole</t>
  </si>
  <si>
    <t>A measurement of the synthetic cannabinoid metabolite 5-fluoro PB-22 3-carboxyindole in a biological specimen.</t>
  </si>
  <si>
    <t>5-fluoro PB-22 3-carboxyindole Measurement</t>
  </si>
  <si>
    <t>C127583</t>
  </si>
  <si>
    <t>PBFVEL</t>
  </si>
  <si>
    <t>Peak Blood Flow Velocity</t>
  </si>
  <si>
    <t>A measurement of the maximum velocity of blood across an area or tissue.</t>
  </si>
  <si>
    <t>C156539</t>
  </si>
  <si>
    <t>PBG</t>
  </si>
  <si>
    <t>Porphobilinogen</t>
  </si>
  <si>
    <t>A measurement of the porphobilinogen in a biological specimen.</t>
  </si>
  <si>
    <t>Porphobilinogen Measurement</t>
  </si>
  <si>
    <t>C156540</t>
  </si>
  <si>
    <t>PBGCREAT</t>
  </si>
  <si>
    <t>Porphobilinogen/Creatinine</t>
  </si>
  <si>
    <t>A relative measurement (ratio or percentage) of the porphobilinogen to creatinine in a biological specimen.</t>
  </si>
  <si>
    <t>Porphobilinogen to Creatinine Ratio Measurement</t>
  </si>
  <si>
    <t>C187866</t>
  </si>
  <si>
    <t>PBI</t>
  </si>
  <si>
    <t>Prevotella bivia</t>
  </si>
  <si>
    <t>A measurement of the Prevotella bivia in a biological specimen.</t>
  </si>
  <si>
    <t>Prevotella bivia Measurement</t>
  </si>
  <si>
    <t>C204686</t>
  </si>
  <si>
    <t>PBLTIND</t>
  </si>
  <si>
    <t>Peripheral Blasts Indicator</t>
  </si>
  <si>
    <t>Circulating Blasts Indicator; Peripheral Blasts Indicator</t>
  </si>
  <si>
    <t>An indication as to whether peripheral blasts are present.</t>
  </si>
  <si>
    <t>C132465</t>
  </si>
  <si>
    <t>PBNL2IND</t>
  </si>
  <si>
    <t>Two or More Persist New Bone Lesions Ind</t>
  </si>
  <si>
    <t>Two or More Persist New Bone Lesions Ind; Two or More Persisting New Bone Lesions Indicator</t>
  </si>
  <si>
    <t>An indication as to whether there are two or more bone lesions previously identified as new and are considered to be persisting.</t>
  </si>
  <si>
    <t>Two or More Persisting New Bone Lesions Indicator</t>
  </si>
  <si>
    <t>C209611</t>
  </si>
  <si>
    <t>PC1</t>
  </si>
  <si>
    <t>Polycystin-1</t>
  </si>
  <si>
    <t>Autosomal Dominant Polycystic Kidney Disease 1 Protein; Polycystin 1, Transient Receptor Potential Channel Interacting; Polycystin-1; TRPP1</t>
  </si>
  <si>
    <t>A measurement of the polycystin-1 in a biological specimen.</t>
  </si>
  <si>
    <t>Polycystin-1 Measurement</t>
  </si>
  <si>
    <t>C132378</t>
  </si>
  <si>
    <t>PC3MPSAM</t>
  </si>
  <si>
    <t>PCA3 mRNA/PSA mRNA</t>
  </si>
  <si>
    <t>A relative measurement (ratio) of the prostate cancer antigen 3 mRNA to prostate specific antigen mRNA in a biological specimen.</t>
  </si>
  <si>
    <t>PCA3 mRNA to PSA mRNA Ratio Measurement</t>
  </si>
  <si>
    <t>C132379</t>
  </si>
  <si>
    <t>PCA3MRNA</t>
  </si>
  <si>
    <t>Prostate Cancer Antigen 3 mRNA</t>
  </si>
  <si>
    <t>A measurement of the prostate cancer antigen 3 mRNA in a biological specimen.</t>
  </si>
  <si>
    <t>Prostate Cancer Antigen 3 mRNA Measurement</t>
  </si>
  <si>
    <t>C214748</t>
  </si>
  <si>
    <t>PCBPPD</t>
  </si>
  <si>
    <t>Percent Change Baseline in PPD</t>
  </si>
  <si>
    <t>The (current product of perpendicular diameters minus the baseline product of perpendicular diameters) divided by the baseline product of perpendicular diameters, multiplied by 100.</t>
  </si>
  <si>
    <t>Percent Change From Baseline in Products of Perpendicular Diameter</t>
  </si>
  <si>
    <t>C112370</t>
  </si>
  <si>
    <t>PCBSD</t>
  </si>
  <si>
    <t>Percent Change Baseline in Sum of Diam</t>
  </si>
  <si>
    <t>The (current sum of diameters minus the baseline sum of diameters) divided by the baseline sum of diameters, multiplied by 100.</t>
  </si>
  <si>
    <t>Percent Change From Baseline in Sum of Diameter</t>
  </si>
  <si>
    <t>C112371</t>
  </si>
  <si>
    <t>PCBSLD</t>
  </si>
  <si>
    <t>Percent Change Baseline Sum Longest Diam</t>
  </si>
  <si>
    <t>The (current sum of longest diameters minus the baseline sum of longest diameters) divided by the baseline sum of longest diameters, multiplied by 100.</t>
  </si>
  <si>
    <t>Percent Change From Baseline in Sum of Longest Diameter</t>
  </si>
  <si>
    <t>C135510</t>
  </si>
  <si>
    <t>PCBSOREN</t>
  </si>
  <si>
    <t>Percent Change Baseline in Organ Enlarge</t>
  </si>
  <si>
    <t>Percent Change Baseline in Organ Enlarge; Percent Change Baseline in Organ Enlargement</t>
  </si>
  <si>
    <t>The (current organ enlargement minus the baseline organ enlargement) divided by the baseline organ enlargement, multiplied by 100. (NCI)</t>
  </si>
  <si>
    <t>Percent Change from Baseline in Organ Enlargement</t>
  </si>
  <si>
    <t>C132264</t>
  </si>
  <si>
    <t>PCBSPPD</t>
  </si>
  <si>
    <t>Percent Change Baseline in Sum of PPD</t>
  </si>
  <si>
    <t>The (current sum of products of perpendicular diameters minus the baseline sum of products of perpendicular diameters) divided by the baseline sum of products of perpendicular diameters, multiplied by 100.</t>
  </si>
  <si>
    <t>Percent Change From Baseline in Sum of Products of Perpendicular Diameter</t>
  </si>
  <si>
    <t>C112372</t>
  </si>
  <si>
    <t>PCBSV</t>
  </si>
  <si>
    <t>Percent Change Baseline in Sum of Volume</t>
  </si>
  <si>
    <t>The (current sum of volumes minus the baseline sum of volumes) divided by the baseline sum of volumes, multiplied by 100.</t>
  </si>
  <si>
    <t>Percent Change From Baseline in Sum of Volume</t>
  </si>
  <si>
    <t>C111294</t>
  </si>
  <si>
    <t>PCDW</t>
  </si>
  <si>
    <t>Platelet Component Distribution Width</t>
  </si>
  <si>
    <t>A measurement of a marker of platelet shape change in a biological specimen.</t>
  </si>
  <si>
    <t>Platelet Component Distribution Width Measurement</t>
  </si>
  <si>
    <t>C135498</t>
  </si>
  <si>
    <t>PCF</t>
  </si>
  <si>
    <t>Peak Cough Flow</t>
  </si>
  <si>
    <t>The maximum rate of air flow expelled through the mouth, endotracheal, or tracheostomy tube during a cough. (NCI)</t>
  </si>
  <si>
    <t>C96621</t>
  </si>
  <si>
    <t>PCHGBL</t>
  </si>
  <si>
    <t>Percent Change From Baseline</t>
  </si>
  <si>
    <t>The (current value minus the baseline value) divided by the baseline value, multiplied by 100.</t>
  </si>
  <si>
    <t>C96622</t>
  </si>
  <si>
    <t>PCHGNAD</t>
  </si>
  <si>
    <t>Percent Change From Nadir</t>
  </si>
  <si>
    <t>The (current value minus the lowest value previously recorded) divided by the lowest value previously recorded, multiplied by 100.</t>
  </si>
  <si>
    <t>C177983</t>
  </si>
  <si>
    <t>PCHLRPZN</t>
  </si>
  <si>
    <t>Prochlorperazine</t>
  </si>
  <si>
    <t>A measurement of the prochlorperazine in a biological specimen.</t>
  </si>
  <si>
    <t>Prochlorperazine Measurement</t>
  </si>
  <si>
    <t>C98768</t>
  </si>
  <si>
    <t>PCLAS</t>
  </si>
  <si>
    <t>Pharmacologic Class</t>
  </si>
  <si>
    <t>The pharmacological class of the investigational product.</t>
  </si>
  <si>
    <t>Pharmacological Class of Investigational Therapy</t>
  </si>
  <si>
    <t>C120646</t>
  </si>
  <si>
    <t>PCNAG</t>
  </si>
  <si>
    <t>Proliferating Cell Nuclear Antigen</t>
  </si>
  <si>
    <t>Cyclin; Proliferating Cell Nuclear Antigen</t>
  </si>
  <si>
    <t>A measurement of the proliferating cell nuclear antigen in a biological specimen.</t>
  </si>
  <si>
    <t>Proliferating Cell Nuclear Antigen Measurement</t>
  </si>
  <si>
    <t>C135511</t>
  </si>
  <si>
    <t>PCNDOREN</t>
  </si>
  <si>
    <t>Percent Change Nadir in Organ Enlarge</t>
  </si>
  <si>
    <t>Percent Change Nadir in Organ Enlarge; Percent Change Nadir in Organ Enlargement</t>
  </si>
  <si>
    <t>The (current organ enlargement minus the lowest organ enlargement previously recorded) divided by the lowest organ enlargement previously recorded, multiplied by 100. (NCI)</t>
  </si>
  <si>
    <t>Percent Change from Nadir in Organ Enlargement</t>
  </si>
  <si>
    <t>C135512</t>
  </si>
  <si>
    <t>PCNPPD</t>
  </si>
  <si>
    <t>Percent Change Nadir in PPD</t>
  </si>
  <si>
    <t>The (current product of perpendicular diameters minus the lowest product of perpendicular diameters previously recorded) divided by the lowest product of perpendicular diameters previously recorded, multiplied by 100.</t>
  </si>
  <si>
    <t>Percent Change from Nadir in Product of Perpendicular Diameters</t>
  </si>
  <si>
    <t>C112373</t>
  </si>
  <si>
    <t>PCNSD</t>
  </si>
  <si>
    <t>Percent Change Nadir in Sum of Diam</t>
  </si>
  <si>
    <t>The (current sum of diameters minus the lowest sum of diameters previously recorded) divided by the lowest sum of diameters previously recorded, multiplied by 100.</t>
  </si>
  <si>
    <t>Percent Change From Nadir in Sum of Diameter</t>
  </si>
  <si>
    <t>C112374</t>
  </si>
  <si>
    <t>PCNSLD</t>
  </si>
  <si>
    <t>Percent Change Nadir in Sum Longest Diam</t>
  </si>
  <si>
    <t>The (current sum of longest diameters minus the lowest sum of longest diameters previously recorded) divided by the lowest sum of longest diameters previously recorded, multiplied by 100.</t>
  </si>
  <si>
    <t>Percent Change From Nadir in Sum of Longest Diameter</t>
  </si>
  <si>
    <t>C132265</t>
  </si>
  <si>
    <t>PCNSPPD</t>
  </si>
  <si>
    <t>Percent Change Nadir in Sum of PPD</t>
  </si>
  <si>
    <t>The (current sum of products of perpendicular diameters minus the lowest sum of products of perpendicular diameters previously recorded) divided by the lowest sum of products of perpendicular diameters previously recorded, multiplied by 100.</t>
  </si>
  <si>
    <t>Percent Change From Nadir in Sum of Products of Perpendicular Diameters</t>
  </si>
  <si>
    <t>C178054</t>
  </si>
  <si>
    <t>PCNSV</t>
  </si>
  <si>
    <t>Percent Change Nadir in Sum of Volume</t>
  </si>
  <si>
    <t>The (current sum of volumes minus the lowest sum of volumes previously recorded) divided by the lowest sum of volumes previously recorded, multiplied by 100.</t>
  </si>
  <si>
    <t>C82625</t>
  </si>
  <si>
    <t>PCO2</t>
  </si>
  <si>
    <t>Partial Pressure Carbon Dioxide</t>
  </si>
  <si>
    <t>A measurement of the pressure of carbon dioxide in a biological specimen.</t>
  </si>
  <si>
    <t>Partial Pressure of Carbon Dioxide Measurement</t>
  </si>
  <si>
    <t>C147411</t>
  </si>
  <si>
    <t>PCO2ADJT</t>
  </si>
  <si>
    <t>Partial Pressure Carbon Dioxide Adj Temp</t>
  </si>
  <si>
    <t>A measurement of the pressure of carbon dioxide, which has been adjusted for body temperature, in a biological specimen.</t>
  </si>
  <si>
    <t>Partial Pressure of Carbon Dioxide Adjusted for Body Temperature Measurement</t>
  </si>
  <si>
    <t>C122192</t>
  </si>
  <si>
    <t>PCONFIND</t>
  </si>
  <si>
    <t>Pregnancy Confirmed Indicator</t>
  </si>
  <si>
    <t>An indication as to whether the subject's pregnancy has been confirmed.</t>
  </si>
  <si>
    <t>C74694</t>
  </si>
  <si>
    <t>PCP</t>
  </si>
  <si>
    <t>Phencyclidine</t>
  </si>
  <si>
    <t>Phencyclidine; Phenylcyclohexylpiperidine</t>
  </si>
  <si>
    <t>A measurement of the phencyclidine present in a biological specimen.</t>
  </si>
  <si>
    <t>Phencyclidine Measurement</t>
  </si>
  <si>
    <t>C120647</t>
  </si>
  <si>
    <t>PCSK9</t>
  </si>
  <si>
    <t>Proprotein Convertase Subtilisin/Kexin 9</t>
  </si>
  <si>
    <t>A measurement of the proprotein convertase subtilisin/kexin type 9 in a biological specimen.</t>
  </si>
  <si>
    <t>Proprotein Convertase Subtilisin/Kexin Type 9 Measurement</t>
  </si>
  <si>
    <t>C186091</t>
  </si>
  <si>
    <t>PCSK9FR</t>
  </si>
  <si>
    <t>Prprot Cnvrtase Subtilisin-Kexin 9, Free</t>
  </si>
  <si>
    <t>Proprotein Convertase Subtilisin/Kexin Type 9; Prprot Cnvrtase Subtilisin-Kexin 9, Free</t>
  </si>
  <si>
    <t>A measurement of the free proprotein convertase subtilisin/kexin type 9 in a biological specimen.</t>
  </si>
  <si>
    <t>Free Proprotein Convertase Subtilisin/Kexin Type 9 Measurement</t>
  </si>
  <si>
    <t>C103430</t>
  </si>
  <si>
    <t>PCT</t>
  </si>
  <si>
    <t>Procalcitonin</t>
  </si>
  <si>
    <t>A measurement of the procalcitonin in a biological specimen.</t>
  </si>
  <si>
    <t>Procalcitonin Measurement</t>
  </si>
  <si>
    <t>C116145</t>
  </si>
  <si>
    <t>PCTDIAST</t>
  </si>
  <si>
    <t>Percent Diameter Stenosis</t>
  </si>
  <si>
    <t>The value calculated as 100 x (1 - MLD/RVD), using the mean quantitative values for minimum lumen diameter (MLD) and reference vessel diameter (RVD).</t>
  </si>
  <si>
    <t>C123559</t>
  </si>
  <si>
    <t>PCTISCA</t>
  </si>
  <si>
    <t>Percentage of In situ Carcinoma</t>
  </si>
  <si>
    <t>A relative measurement (percentage) of in situ component present in a carcinoma compared to the entire malignant cellular proliferation. (NCI)</t>
  </si>
  <si>
    <t>Percentage of in situ Carcinoma</t>
  </si>
  <si>
    <t>C139051</t>
  </si>
  <si>
    <t>PCVALTYP</t>
  </si>
  <si>
    <t>Prosthetic Cardiac Valve Type</t>
  </si>
  <si>
    <t>A description of the type of artificial cardiac valve in use.</t>
  </si>
  <si>
    <t>C172505</t>
  </si>
  <si>
    <t>PD1S</t>
  </si>
  <si>
    <t>Soluble Programmed Death-1</t>
  </si>
  <si>
    <t>Soluble CD279; Soluble PD-1; Soluble PD1; Soluble Programmed Cell Death Protein 1; Soluble Programmed Death-1</t>
  </si>
  <si>
    <t>A measurement of the soluble programmed death-1 protein in a biological specimen.</t>
  </si>
  <si>
    <t>Soluble Programmed Death-1 Measurement</t>
  </si>
  <si>
    <t>C189437</t>
  </si>
  <si>
    <t>PDFF</t>
  </si>
  <si>
    <t>Proton Density Fat Fraction</t>
  </si>
  <si>
    <t>An estimated measurement of the fat in a targeted tissue through proton density assessments via magnetic resonance imaging.</t>
  </si>
  <si>
    <t>C163481</t>
  </si>
  <si>
    <t>PDGFAA</t>
  </si>
  <si>
    <t>Platelet Derived Growth Factor IsoformAA</t>
  </si>
  <si>
    <t>PDGF Isoform AA; Platelet Derived Growth Factor IsoformAA; Platelet Derived Growth Factor-AA Isoform</t>
  </si>
  <si>
    <t>A measurement of the platelet derived growth factor isoform AA in a biological specimen.</t>
  </si>
  <si>
    <t>Platelet Derived Growth Factor Isoform AA Measurement</t>
  </si>
  <si>
    <t>C116208</t>
  </si>
  <si>
    <t>PDGFAB</t>
  </si>
  <si>
    <t>Platelet Derived Growth Factor IsoformAB</t>
  </si>
  <si>
    <t>PDGF Isoform AB; Platelet Derived Growth Factor IsoformAB; Platelet Derived Growth Factor-AB Isoform</t>
  </si>
  <si>
    <t>A measurement of the platelet derived growth factor isoform AB in a biological specimen.</t>
  </si>
  <si>
    <t>Platelet Derived Growth Factor Isoform AB Measurement</t>
  </si>
  <si>
    <t>C199893</t>
  </si>
  <si>
    <t>PDGFBB</t>
  </si>
  <si>
    <t>Platelet Derived Growth Factor IsoformBB</t>
  </si>
  <si>
    <t>PDGF Isoform BB; Platelet Derived Growth Factor IsoformBB; Platelet Derived Growth Factor-BB Isoform; Platelet-Derived Growth Factor BB</t>
  </si>
  <si>
    <t>A measurement of the platelet derived growth factor isoform BB in a biological specimen.</t>
  </si>
  <si>
    <t>Platelet Derived Growth Factor Isoform BB Measurement</t>
  </si>
  <si>
    <t>C154807</t>
  </si>
  <si>
    <t>PDL1</t>
  </si>
  <si>
    <t>Programmed Death Ligand 1</t>
  </si>
  <si>
    <t>CD274; PD-L1; Programmed Cell Death 1 Ligand 1; Programmed Death Ligand 1</t>
  </si>
  <si>
    <t>A measurement of the programmed death ligand 1 in a biological specimen.</t>
  </si>
  <si>
    <t>Programmed Death Ligand 1 Measurement</t>
  </si>
  <si>
    <t>C172503</t>
  </si>
  <si>
    <t>PDL1S</t>
  </si>
  <si>
    <t>Soluble Programmed Death Ligand 1</t>
  </si>
  <si>
    <t>Soluble CD274; Soluble PD-L1; Soluble PDL1; Soluble Programmed Death Ligand 1</t>
  </si>
  <si>
    <t>A measurement of the soluble programmed death ligand 1 in a biological specimen.</t>
  </si>
  <si>
    <t>Soluble Programmed Death Ligand 1 Measurement</t>
  </si>
  <si>
    <t>C123631</t>
  </si>
  <si>
    <t>PDPSTIND</t>
  </si>
  <si>
    <t>Pediatric Postmarket Study Indicator</t>
  </si>
  <si>
    <t>An indication as to whether the study is a pediatric postmarket study.</t>
  </si>
  <si>
    <t>C123632</t>
  </si>
  <si>
    <t>PDSTIND</t>
  </si>
  <si>
    <t>Pediatric Study Indicator</t>
  </si>
  <si>
    <t>An indication as to whether the study is a pediatric study.</t>
  </si>
  <si>
    <t>C81962</t>
  </si>
  <si>
    <t>PDW</t>
  </si>
  <si>
    <t>Platelet Distribution Width</t>
  </si>
  <si>
    <t>A measurement of the range of platelet sizes in a biological specimen.</t>
  </si>
  <si>
    <t>C156559</t>
  </si>
  <si>
    <t>PEAKRA</t>
  </si>
  <si>
    <t>Peak Response Amplitude</t>
  </si>
  <si>
    <t>The maximum height change between the wave and the equilibrium point of a stimulus-response waveform.</t>
  </si>
  <si>
    <t>C156560</t>
  </si>
  <si>
    <t>PEAKRAL</t>
  </si>
  <si>
    <t>Peak Response Amplitude Latency</t>
  </si>
  <si>
    <t>A measurement of the time interval between a stimulus and the maximal response.</t>
  </si>
  <si>
    <t>C135472</t>
  </si>
  <si>
    <t>PECAM1</t>
  </si>
  <si>
    <t>Platelet Endo Cell Adhesion Molecule 1</t>
  </si>
  <si>
    <t>CD31 Antigen; PECAM; PECAM-1; PECAM1; Platelet And Endothelial Cell Adhesion Molecule 1; Platelet Endo Cell Adhesion Molecule 1; Platelet Endothelial Adhesion Molecule; Soluble CD31</t>
  </si>
  <si>
    <t>A measurement of the platelet and endothelial cell adhesion molecule 1 in a biological specimen.</t>
  </si>
  <si>
    <t>Platelet Endothelial Cell Adhesion Molecule 1 Measurement</t>
  </si>
  <si>
    <t>Platelet Endothelial Adhesion Molecule 1</t>
  </si>
  <si>
    <t>C154883</t>
  </si>
  <si>
    <t>PEELIND</t>
  </si>
  <si>
    <t>Peeling Indicator</t>
  </si>
  <si>
    <t>An indication as to whether there is the presence of peeling.</t>
  </si>
  <si>
    <t>C41372</t>
  </si>
  <si>
    <t>PEF</t>
  </si>
  <si>
    <t>Peak Expiratory Flow</t>
  </si>
  <si>
    <t>The maximum rate of exhalation.</t>
  </si>
  <si>
    <t>C139046</t>
  </si>
  <si>
    <t>PEFFIND</t>
  </si>
  <si>
    <t>Pericardial Effusion Indicator</t>
  </si>
  <si>
    <t>An indication as to whether there is effusion between the parietal and visceral pericardia.</t>
  </si>
  <si>
    <t>C139047</t>
  </si>
  <si>
    <t>PEFFSIZE</t>
  </si>
  <si>
    <t>Pericardial Effusion Size</t>
  </si>
  <si>
    <t>The qualitative description of the overall size of a pericardial effusion as assessed at the point of greatest separation between the parietal and visceral pericardia during diastole.</t>
  </si>
  <si>
    <t>C112384</t>
  </si>
  <si>
    <t>PEFPP</t>
  </si>
  <si>
    <t>Percent Predicted Peak Expiratory Flow</t>
  </si>
  <si>
    <t>The maximal flow achieved during the maximally forced expiration initiated at maximum inhalation as a proportion of the predicted normal value.</t>
  </si>
  <si>
    <t>C112368</t>
  </si>
  <si>
    <t>PEFREV</t>
  </si>
  <si>
    <t>PEF Reversibility</t>
  </si>
  <si>
    <t>The change in PEF following administration of a bronchodilator relative to the pre-treatment PEF value.</t>
  </si>
  <si>
    <t>Peak Expiratory Flow Reversibility</t>
  </si>
  <si>
    <t>C139259</t>
  </si>
  <si>
    <t>PEFTIME</t>
  </si>
  <si>
    <t>Peak Expiratory Flow Time</t>
  </si>
  <si>
    <t>The time from the start of the test until the subject reaches his maximum expiratory gas flow rate.</t>
  </si>
  <si>
    <t>C74617</t>
  </si>
  <si>
    <t>PELGERH</t>
  </si>
  <si>
    <t>Pelger Huet Anomaly</t>
  </si>
  <si>
    <t>Pelger Huet Anomaly; Pelger-Huet Cells; PHA</t>
  </si>
  <si>
    <t>A measurement of the Pelger-Huet Anomaly (nuclei of granulocytes appear rod-like, bilobed, peanut, or dumbbell shaped) in a biological specimen.</t>
  </si>
  <si>
    <t>Pelger Huet Anomaly Measurement</t>
  </si>
  <si>
    <t>C184631</t>
  </si>
  <si>
    <t>PEMOLINE</t>
  </si>
  <si>
    <t>Pemoline</t>
  </si>
  <si>
    <t>A measurement of the pemoline in a biological specimen.</t>
  </si>
  <si>
    <t>Pemoline Measurement</t>
  </si>
  <si>
    <t>C184561</t>
  </si>
  <si>
    <t>PENDRN</t>
  </si>
  <si>
    <t>Pentedrone</t>
  </si>
  <si>
    <t>A measurement of the pentedrone in a biological specimen.</t>
  </si>
  <si>
    <t>Pentedrone Measurement</t>
  </si>
  <si>
    <t>C184562</t>
  </si>
  <si>
    <t>PENTYLN</t>
  </si>
  <si>
    <t>Pentylone</t>
  </si>
  <si>
    <t>A measurement of the pentylone in a biological specimen.</t>
  </si>
  <si>
    <t>Pentylone Measurement</t>
  </si>
  <si>
    <t>C100122</t>
  </si>
  <si>
    <t>PEPSNG</t>
  </si>
  <si>
    <t>Pepsinogen</t>
  </si>
  <si>
    <t>A measurement of the pepsinogen in a biological specimen.</t>
  </si>
  <si>
    <t>Pepsinogen Measurement</t>
  </si>
  <si>
    <t>C100469</t>
  </si>
  <si>
    <t>PEPSNGA</t>
  </si>
  <si>
    <t>Pepsinogen A</t>
  </si>
  <si>
    <t>Pepsinogen A; PGA</t>
  </si>
  <si>
    <t>A measurement of the pepsinogen A in a biological specimen.</t>
  </si>
  <si>
    <t>Pepsinogen A Measurement</t>
  </si>
  <si>
    <t>C100470</t>
  </si>
  <si>
    <t>PEPSNGC</t>
  </si>
  <si>
    <t>Pepsinogen C</t>
  </si>
  <si>
    <t>Pepsinogen C; PGC</t>
  </si>
  <si>
    <t>A measurement of the pepsinogen C in a biological specimen.</t>
  </si>
  <si>
    <t>Pepsinogen C Measurement</t>
  </si>
  <si>
    <t>C100467</t>
  </si>
  <si>
    <t>PEPSNGI</t>
  </si>
  <si>
    <t>Pepsinogen I</t>
  </si>
  <si>
    <t>Pepsinogen I; PGI</t>
  </si>
  <si>
    <t>A measurement of the pepsinogen I in a biological specimen.</t>
  </si>
  <si>
    <t>Pepsinogen I Measurement</t>
  </si>
  <si>
    <t>C100468</t>
  </si>
  <si>
    <t>PEPSNGII</t>
  </si>
  <si>
    <t>Pepsinogen II</t>
  </si>
  <si>
    <t>Pepsinogen II; PGII</t>
  </si>
  <si>
    <t>A measurement of the pepsinogen II in a biological specimen.</t>
  </si>
  <si>
    <t>Pepsinogen II Measurement</t>
  </si>
  <si>
    <t>C209644</t>
  </si>
  <si>
    <t>PEPTOSTR</t>
  </si>
  <si>
    <t>Peptostreptococcus</t>
  </si>
  <si>
    <t>A measurement of the organisms that are not assigned to the species level but are assigned to the Peptostreptococcus genus level in a biological specimen.</t>
  </si>
  <si>
    <t>Peptostreptococcus Measurement</t>
  </si>
  <si>
    <t>C127632</t>
  </si>
  <si>
    <t>PERCECE</t>
  </si>
  <si>
    <t>Proliferating Erythroid/Total Cells</t>
  </si>
  <si>
    <t>A relative measurement (ratio or percentage) of the proliferating erythroid cells to total cells in a biological specimen.</t>
  </si>
  <si>
    <t>Proliferating Erythroid Cell to Total Cell Ratio Measurement</t>
  </si>
  <si>
    <t>C112395</t>
  </si>
  <si>
    <t>PERIOSTN</t>
  </si>
  <si>
    <t>Periostin</t>
  </si>
  <si>
    <t>OSF2; Osteoblast Specific Factor 2; Periostin; POSTN</t>
  </si>
  <si>
    <t>A measurement of the periostin in a biological specimen.</t>
  </si>
  <si>
    <t>Periostin Measurement</t>
  </si>
  <si>
    <t>C177988</t>
  </si>
  <si>
    <t>PERPHNZN</t>
  </si>
  <si>
    <t>Perphenazine</t>
  </si>
  <si>
    <t>A measurement of the perphenazine in a biological specimen.</t>
  </si>
  <si>
    <t>Perphenazine Measurement</t>
  </si>
  <si>
    <t>C119291</t>
  </si>
  <si>
    <t>PF2AI8CR</t>
  </si>
  <si>
    <t>8-Iso-PGF2alpha/Creatinine</t>
  </si>
  <si>
    <t>A relative measurement (ratio or percentage) of the prostaglandin F2 alpha isoform 8 to creatinine in a biological specimen.</t>
  </si>
  <si>
    <t>8-Iso-Prostaglandin F2 Alpha to Creatinine Ratio Measurement</t>
  </si>
  <si>
    <t>C111295</t>
  </si>
  <si>
    <t>PFCT</t>
  </si>
  <si>
    <t>Platelet Function Closure Time</t>
  </si>
  <si>
    <t>PFCT; Platelet Function Closure Time</t>
  </si>
  <si>
    <t>A measurement of the platelet function closure time in a biological specimen.</t>
  </si>
  <si>
    <t>Platelet Function Closure Time Measurement</t>
  </si>
  <si>
    <t>C103343</t>
  </si>
  <si>
    <t>PG</t>
  </si>
  <si>
    <t>Prostaglandin</t>
  </si>
  <si>
    <t>A measurement of the total prostaglandin in a biological specimen.</t>
  </si>
  <si>
    <t>Prostaglandin Measurement</t>
  </si>
  <si>
    <t>C165978</t>
  </si>
  <si>
    <t>PGAG</t>
  </si>
  <si>
    <t>Platelet-Granulocyte Agg</t>
  </si>
  <si>
    <t>Platelet-Granulocyte Agg; Platelet-Granulocyte Aggregates</t>
  </si>
  <si>
    <t>A measurement of the aggregates composed of platelets and granulocytes in a biological specimen.</t>
  </si>
  <si>
    <t>Platelet-Granulocyte Aggregate Measurement</t>
  </si>
  <si>
    <t>C103431</t>
  </si>
  <si>
    <t>PGD2</t>
  </si>
  <si>
    <t>Prostaglandin D2</t>
  </si>
  <si>
    <t>A measurement of the prostaglandin D2 in a biological specimen.</t>
  </si>
  <si>
    <t>Prostaglandin D2 Measurement</t>
  </si>
  <si>
    <t>C189515</t>
  </si>
  <si>
    <t>PGD2R2</t>
  </si>
  <si>
    <t>Prostaglandin D2 Receptor 2</t>
  </si>
  <si>
    <t>A measurement of the prostaglandin D2 receptor 2 in a biological specimen.</t>
  </si>
  <si>
    <t>Prostaglandin D2 Receptor 2 Measurement</t>
  </si>
  <si>
    <t>C103432</t>
  </si>
  <si>
    <t>PGD2S</t>
  </si>
  <si>
    <t>Prostaglandin D2 Synthase</t>
  </si>
  <si>
    <t>Beta-Trace Protein; Prostaglandin D2 Synthase</t>
  </si>
  <si>
    <t>A measurement of the prostaglandin D2 synthase in a biological specimen.</t>
  </si>
  <si>
    <t>Prostaglandin D2 Synthase Measurement</t>
  </si>
  <si>
    <t>C103434</t>
  </si>
  <si>
    <t>PGE1</t>
  </si>
  <si>
    <t>Prostaglandin E1</t>
  </si>
  <si>
    <t>A measurement of the prostaglandin E1 in a biological specimen.</t>
  </si>
  <si>
    <t>Prostaglandin E1 Measurement</t>
  </si>
  <si>
    <t>C103435</t>
  </si>
  <si>
    <t>PGE2</t>
  </si>
  <si>
    <t>Prostaglandin E2</t>
  </si>
  <si>
    <t>A measurement of the prostaglandin E2 in a biological specimen.</t>
  </si>
  <si>
    <t>Prostaglandin E2 Measurement</t>
  </si>
  <si>
    <t>C103433</t>
  </si>
  <si>
    <t>PGES</t>
  </si>
  <si>
    <t>Prostaglandin E Synthase</t>
  </si>
  <si>
    <t>A measurement of the prostaglandin E synthase in a biological specimen.</t>
  </si>
  <si>
    <t>Prostaglandin E Synthase Measurement</t>
  </si>
  <si>
    <t>C103436</t>
  </si>
  <si>
    <t>PGF1A</t>
  </si>
  <si>
    <t>Prostaglandin F1 Alpha</t>
  </si>
  <si>
    <t>A measurement of the prostaglandin F1 alpha in a biological specimen.</t>
  </si>
  <si>
    <t>Prostaglandin F1 Alpha Measurement</t>
  </si>
  <si>
    <t>C103437</t>
  </si>
  <si>
    <t>PGF2A</t>
  </si>
  <si>
    <t>Prostaglandin F2 Alpha</t>
  </si>
  <si>
    <t>A measurement of the prostaglandin F2 alpha in a biological specimen.</t>
  </si>
  <si>
    <t>Prostaglandin F2 Alpha Measurement</t>
  </si>
  <si>
    <t>C119292</t>
  </si>
  <si>
    <t>PGF2AI8</t>
  </si>
  <si>
    <t>8-Iso-Prostaglandin F2 Alpha</t>
  </si>
  <si>
    <t>A measurement of the prostaglandin F2 alpha isoform 8 in a biological specimen.</t>
  </si>
  <si>
    <t>8-Iso-Prostaglandin F2 Alpha Measurement</t>
  </si>
  <si>
    <t>C147155</t>
  </si>
  <si>
    <t>PGPRES</t>
  </si>
  <si>
    <t>Peak Pressure Gradient</t>
  </si>
  <si>
    <t>A value that represents the maximum pressure gradient that exists between two points across a structure.</t>
  </si>
  <si>
    <t>C45997</t>
  </si>
  <si>
    <t>PH</t>
  </si>
  <si>
    <t>pH</t>
  </si>
  <si>
    <t>The negative logarithm (base 10) of the concentration of hydronium ions, which is used as a measure of the acidity or alkalinity of a fluid.</t>
  </si>
  <si>
    <t>C221615</t>
  </si>
  <si>
    <t>PHA</t>
  </si>
  <si>
    <t>Proteus hauseri</t>
  </si>
  <si>
    <t>A measurement of Proteus hauseri in a biological specimen.</t>
  </si>
  <si>
    <t>Proteus hauseri Measurement</t>
  </si>
  <si>
    <t>C161367</t>
  </si>
  <si>
    <t>PHADJT</t>
  </si>
  <si>
    <t>pH Adjusted for Body Temp</t>
  </si>
  <si>
    <t>A measurement of pH, which has been adjusted for body temperature, in a biological specimen.</t>
  </si>
  <si>
    <t>pH Adjusted for Body Temperature Measurement</t>
  </si>
  <si>
    <t>C81280</t>
  </si>
  <si>
    <t>PHE</t>
  </si>
  <si>
    <t>Phenylalanine</t>
  </si>
  <si>
    <t>A measurement of the phenylalanine in a biological specimen.</t>
  </si>
  <si>
    <t>Phenylalanine Measurement</t>
  </si>
  <si>
    <t>C74695</t>
  </si>
  <si>
    <t>PHENTHZ</t>
  </si>
  <si>
    <t>Phenothiazine</t>
  </si>
  <si>
    <t>Dibenzothiazine; Phenothiazine</t>
  </si>
  <si>
    <t>A measurement of the phenothiazine present in a biological specimen.</t>
  </si>
  <si>
    <t>Phenothiazine Measurement</t>
  </si>
  <si>
    <t>C147413</t>
  </si>
  <si>
    <t>PHENYTN</t>
  </si>
  <si>
    <t>Phenytoin</t>
  </si>
  <si>
    <t>A measurement of the phenytoin in a biological specimen.</t>
  </si>
  <si>
    <t>Phenytoin Measurement</t>
  </si>
  <si>
    <t>C81281</t>
  </si>
  <si>
    <t>PHETYR</t>
  </si>
  <si>
    <t>Phenylalanine/Tyrosine</t>
  </si>
  <si>
    <t>A relative measurement (ratio) of the phenylalanine to tyrosine in a biological specimen.</t>
  </si>
  <si>
    <t>Phenylalanine to Tyrosine Ratio Measurement</t>
  </si>
  <si>
    <t>C75368</t>
  </si>
  <si>
    <t>PHNBRBTL</t>
  </si>
  <si>
    <t>Phenobarbital</t>
  </si>
  <si>
    <t>A measurement of the phenobarbital present in a biological specimen.</t>
  </si>
  <si>
    <t>Phenobarbital Measurement</t>
  </si>
  <si>
    <t>C184597</t>
  </si>
  <si>
    <t>PHNDMTZN</t>
  </si>
  <si>
    <t>Phendimetrazine</t>
  </si>
  <si>
    <t>A measurement of the phendimetrazine in a biological specimen.</t>
  </si>
  <si>
    <t>Phendimetrazine Measurement</t>
  </si>
  <si>
    <t>C147414</t>
  </si>
  <si>
    <t>PHNKET</t>
  </si>
  <si>
    <t>Phenylketones</t>
  </si>
  <si>
    <t>Phenyl Ketones; Phenylketones</t>
  </si>
  <si>
    <t>A measurement of the total phenylketones in a biological specimen</t>
  </si>
  <si>
    <t>Phenylketone Measurement</t>
  </si>
  <si>
    <t>C184574</t>
  </si>
  <si>
    <t>PHNMTZN</t>
  </si>
  <si>
    <t>Phenmetrazine</t>
  </si>
  <si>
    <t>A measurement of the phenmetrazine in a biological specimen.</t>
  </si>
  <si>
    <t>Phenmetrazine Measurement</t>
  </si>
  <si>
    <t>C201430</t>
  </si>
  <si>
    <t>PHNPYR</t>
  </si>
  <si>
    <t>Phenylpyruvate</t>
  </si>
  <si>
    <t>Phenylpyruvate; Phenylpyruvic Acid; PPA; PPY; PPYR</t>
  </si>
  <si>
    <t>A measurement of the phenylpyruvate in a biological specimen.</t>
  </si>
  <si>
    <t>Phenylpyruvate Measurement</t>
  </si>
  <si>
    <t>C184573</t>
  </si>
  <si>
    <t>PHNZCN</t>
  </si>
  <si>
    <t>Phenazocine</t>
  </si>
  <si>
    <t>A measurement of the phenazocine in a biological specimen.</t>
  </si>
  <si>
    <t>Phenazocine Measurement</t>
  </si>
  <si>
    <t>C64857</t>
  </si>
  <si>
    <t>PHOS</t>
  </si>
  <si>
    <t>Phosphate</t>
  </si>
  <si>
    <t>Inorganic Phosphate; Phosphate; Phosphorus</t>
  </si>
  <si>
    <t>A measurement of the phosphate in a biological specimen.</t>
  </si>
  <si>
    <t>Phosphate Measurement</t>
  </si>
  <si>
    <t>C106553</t>
  </si>
  <si>
    <t>PHOSCLR</t>
  </si>
  <si>
    <t>Phosphate Clearance</t>
  </si>
  <si>
    <t>A measurement of the volume of serum or plasma that would be cleared of phosphate by excretion of urine for a specified unit of time (e.g. one minute).</t>
  </si>
  <si>
    <t>Phosphate Clearance Measurement</t>
  </si>
  <si>
    <t>C79461</t>
  </si>
  <si>
    <t>PHOSCRT</t>
  </si>
  <si>
    <t>Phosphate/Creatinine</t>
  </si>
  <si>
    <t>A relative measurement (ratio or percentage) of the phosphate to creatinine in a biological specimen.</t>
  </si>
  <si>
    <t>Phosphate to Creatinine Ratio Measurement</t>
  </si>
  <si>
    <t>C150821</t>
  </si>
  <si>
    <t>PHOSEXR</t>
  </si>
  <si>
    <t>Phosphorus Excretion Rate</t>
  </si>
  <si>
    <t>A measurement of the amount of phosphorus being excreted in a biological specimen over a defined amount of time (e.g. one hour).</t>
  </si>
  <si>
    <t>C96623</t>
  </si>
  <si>
    <t>PHOSLPD</t>
  </si>
  <si>
    <t>Phospholipid</t>
  </si>
  <si>
    <t>A measurement of the phospholipids in a biological specimen.</t>
  </si>
  <si>
    <t>Phospholipid Measurement</t>
  </si>
  <si>
    <t>C204665</t>
  </si>
  <si>
    <t>PHRP2</t>
  </si>
  <si>
    <t>Plasmodium Histidine Rich Protein 2</t>
  </si>
  <si>
    <t>Plasmodium Histidine Rich Protein 2; Plasmodium Histidine Rich Protein II</t>
  </si>
  <si>
    <t>A measurement of the Plasmodium histidine rich protein 2 in a biological specimen.</t>
  </si>
  <si>
    <t>Plasmodium Histidine Rich Protein 2 Measurement</t>
  </si>
  <si>
    <t>C174299</t>
  </si>
  <si>
    <t>PHTRMN</t>
  </si>
  <si>
    <t>Phentermine</t>
  </si>
  <si>
    <t>Phentermine; Phenyl-tertiary-butylamine</t>
  </si>
  <si>
    <t>A measurement of the phentermine in a biological specimen.</t>
  </si>
  <si>
    <t>Phentermine Measurement</t>
  </si>
  <si>
    <t>C179818</t>
  </si>
  <si>
    <t>PHYACLFS</t>
  </si>
  <si>
    <t>Physical Activity Lifestyle</t>
  </si>
  <si>
    <t>A description of the subject's lifestyle with respect to physical activity.</t>
  </si>
  <si>
    <t>C221681</t>
  </si>
  <si>
    <t>PHYSCORD</t>
  </si>
  <si>
    <t>Physical Coordination</t>
  </si>
  <si>
    <t>Body Coordination; Coordination; Physical Coordination</t>
  </si>
  <si>
    <t>An assessment to evaluate the ability to move multiple body parts in an orchestrated manner to achieve intended actions.</t>
  </si>
  <si>
    <t>Physical Coordination Assessment</t>
  </si>
  <si>
    <t>C82033</t>
  </si>
  <si>
    <t>PICP</t>
  </si>
  <si>
    <t>Procollagen Type I Carboxy Term Peptide</t>
  </si>
  <si>
    <t>A measurement of the procollagen-1 carboxy-terminal peptide in a biological specimen.</t>
  </si>
  <si>
    <t>Procollagen Type I Carboxy Terminal Peptide Measurement</t>
  </si>
  <si>
    <t>C120939</t>
  </si>
  <si>
    <t>PIF</t>
  </si>
  <si>
    <t>Peak Inspiratory Flow</t>
  </si>
  <si>
    <t>The maximum rate of inhalation.</t>
  </si>
  <si>
    <t>Peak Inspiratory Flow Rate</t>
  </si>
  <si>
    <t>C177987</t>
  </si>
  <si>
    <t>PIMOZIDE</t>
  </si>
  <si>
    <t>Pimozide</t>
  </si>
  <si>
    <t>A measurement of the pimozide in a biological specimen.</t>
  </si>
  <si>
    <t>Pimozide Measurement</t>
  </si>
  <si>
    <t>C139211</t>
  </si>
  <si>
    <t>PINCHSTR</t>
  </si>
  <si>
    <t>Pinch Strength</t>
  </si>
  <si>
    <t>An assessment of hand muscle strength that measures the force with which an individual can squeeze or compress an object using his thumb and one or multiple fingers from the same hand.</t>
  </si>
  <si>
    <t>C126069</t>
  </si>
  <si>
    <t>PIPIND</t>
  </si>
  <si>
    <t>Pediatric Investigation Plan Indicator</t>
  </si>
  <si>
    <t>An indication as to whether the trial is part of a pediatric investigation plan (PIP).</t>
  </si>
  <si>
    <t>C184633</t>
  </si>
  <si>
    <t>PIPRDROL</t>
  </si>
  <si>
    <t>Pipradrol</t>
  </si>
  <si>
    <t>A measurement of the pipradrol in a biological specimen.</t>
  </si>
  <si>
    <t>Pipradrol Measurement</t>
  </si>
  <si>
    <t>C150846</t>
  </si>
  <si>
    <t>PIVKAII</t>
  </si>
  <si>
    <t>Protein Induced by Vitamin K Absence-II</t>
  </si>
  <si>
    <t>DCP; Des-Gammacarboxyprothrombin; PIVKA-II; Protein Induced by Vitamin K Absence-II; Protein Induced by Vitamin K Absence/Antagonist-II</t>
  </si>
  <si>
    <t>A measurement of the protein induced by vitamin K absence-II in a biological specimen.</t>
  </si>
  <si>
    <t>Protein Induced by Vitamin K Absence-II Measurement</t>
  </si>
  <si>
    <t>C199961</t>
  </si>
  <si>
    <t>PJI</t>
  </si>
  <si>
    <t>Pneumocystis jiroveci</t>
  </si>
  <si>
    <t>A measurement of the Pneumocystis jiroveci in a biological specimen.</t>
  </si>
  <si>
    <t>Pneumocystis jiroveci Measurement</t>
  </si>
  <si>
    <t>C186179</t>
  </si>
  <si>
    <t>PJIAG</t>
  </si>
  <si>
    <t>Pneumocystis jiroveci Antigen</t>
  </si>
  <si>
    <t>A measurement of the Pneumocystis jiroveci antigen in a biological specimen.</t>
  </si>
  <si>
    <t>Pneumocystis jiroveci Antigen Measurement</t>
  </si>
  <si>
    <t>C187865</t>
  </si>
  <si>
    <t>PJIDNA</t>
  </si>
  <si>
    <t>Pneumocystis jiroveci DNA</t>
  </si>
  <si>
    <t>A measurement of the Pneumocystis jiroveci DNA in a biological specimen.</t>
  </si>
  <si>
    <t>Pneumocystis jiroveci DNA Measurement</t>
  </si>
  <si>
    <t>C127584</t>
  </si>
  <si>
    <t>PKAVEL</t>
  </si>
  <si>
    <t>Peak A Velocity</t>
  </si>
  <si>
    <t>The peak velocity of blood flow across a cardiac valve during late ventricular diastole (the active filling of the ventricle).</t>
  </si>
  <si>
    <t>C127585</t>
  </si>
  <si>
    <t>PKEVEL</t>
  </si>
  <si>
    <t>Peak E Velocity</t>
  </si>
  <si>
    <t>The peak velocity of blood flow across a cardiac valve during early ventricular diastole (the passive filling of the ventricle).</t>
  </si>
  <si>
    <t>C156530</t>
  </si>
  <si>
    <t>PKM</t>
  </si>
  <si>
    <t>Pyruvate Kinase Muscle Isozyme</t>
  </si>
  <si>
    <t>A measurement of the total pyruvate kinase muscle isozymes (M1 and M2) in a biological specimen.</t>
  </si>
  <si>
    <t>Pyruvate Kinase Muscle Isozyme Measurement</t>
  </si>
  <si>
    <t>C156532</t>
  </si>
  <si>
    <t>PKM1</t>
  </si>
  <si>
    <t>Pyruvate Kinase Isozyme M1</t>
  </si>
  <si>
    <t>A measurement of the pyruvate kinase isozyme M1 in a biological specimen.</t>
  </si>
  <si>
    <t>Pyruvate Kinase Isozyme M1 Measurement</t>
  </si>
  <si>
    <t>C156531</t>
  </si>
  <si>
    <t>PKM2</t>
  </si>
  <si>
    <t>Pyruvate Kinase Isozyme M2</t>
  </si>
  <si>
    <t>A measurement of the pyruvate kinase isozyme M2 in a biological specimen.</t>
  </si>
  <si>
    <t>Pyruvate Kinase Isozyme M2 Measurement</t>
  </si>
  <si>
    <t>C132417</t>
  </si>
  <si>
    <t>PKNOWLA</t>
  </si>
  <si>
    <t>Plasmodium knowlesi, Asexual</t>
  </si>
  <si>
    <t>A measurement of the Plasmodium knowlesi in an asexual replication stage in a biological specimen.</t>
  </si>
  <si>
    <t>Asexual Plasmodium knowlesi Measurement</t>
  </si>
  <si>
    <t>C132418</t>
  </si>
  <si>
    <t>PKNOWLS</t>
  </si>
  <si>
    <t>Plasmodium knowlesi, Sexual</t>
  </si>
  <si>
    <t>A measurement of the Plasmodium knowlesi in a sexual replication stage in a biological specimen.</t>
  </si>
  <si>
    <t>Sexual Plasmodium knowlesi Measurement</t>
  </si>
  <si>
    <t>C181405</t>
  </si>
  <si>
    <t>PLA2</t>
  </si>
  <si>
    <t>Phospholipase A2</t>
  </si>
  <si>
    <t>A measurement of the total phospholipase A2 in a biological specimen.</t>
  </si>
  <si>
    <t>Phospholipase A2 Measurement</t>
  </si>
  <si>
    <t>C114210</t>
  </si>
  <si>
    <t>PLAGGCVT</t>
  </si>
  <si>
    <t>Platelet Aggregation Curve Type</t>
  </si>
  <si>
    <t>The classification of the curve pattern that is formed as a result of platelet aggregation.</t>
  </si>
  <si>
    <t>Platelet Aggregometry Curve Type</t>
  </si>
  <si>
    <t>C114211</t>
  </si>
  <si>
    <t>PLAGMAMP</t>
  </si>
  <si>
    <t>Platelet Aggregation Mean Amplitude</t>
  </si>
  <si>
    <t>An average of the measurements of the magnitude of the platelet aggregation in a biological specimen.</t>
  </si>
  <si>
    <t>Platelet Aggregometry Mean Amplitude</t>
  </si>
  <si>
    <t>C114212</t>
  </si>
  <si>
    <t>PLAGMCVT</t>
  </si>
  <si>
    <t>Platelet Aggregation Mean Curve Type</t>
  </si>
  <si>
    <t>The classification of the curve pattern that is formed as the average result of the platelet aggregation curve measurements.</t>
  </si>
  <si>
    <t>Platelet Aggregometry Mean Curve Type</t>
  </si>
  <si>
    <t>C49692</t>
  </si>
  <si>
    <t>PLANSUB</t>
  </si>
  <si>
    <t>Planned Number of Subjects</t>
  </si>
  <si>
    <t>Anticipated Enrollment; Planned Enrollment; Planned Number of Subjects; Target Enrollment</t>
  </si>
  <si>
    <t>The planned number of subjects intended to be enrolled within a study to reach a pre-specified sample size (in any cohort or the entire study).</t>
  </si>
  <si>
    <t>Planned Subject Number</t>
  </si>
  <si>
    <t>C51951</t>
  </si>
  <si>
    <t>PLAT</t>
  </si>
  <si>
    <t>Platelets</t>
  </si>
  <si>
    <t>A measurement of the platelets (non-nucleated thrombocytes) in a biological specimen.</t>
  </si>
  <si>
    <t>Platelet Count</t>
  </si>
  <si>
    <t>C103427</t>
  </si>
  <si>
    <t>PLATAGGR</t>
  </si>
  <si>
    <t>Platelet Aggregation</t>
  </si>
  <si>
    <t>Platelet Aggregation; Platelet Function</t>
  </si>
  <si>
    <t>A measurement of the association of platelets to one another via adhesion molecules in a biological sample.</t>
  </si>
  <si>
    <t>Platelet Aggregation Measurement</t>
  </si>
  <si>
    <t>C147415</t>
  </si>
  <si>
    <t>PLATAGRN</t>
  </si>
  <si>
    <t>Platelets, Agranular</t>
  </si>
  <si>
    <t>A measurement of the agranular platelets in a biological specimen.</t>
  </si>
  <si>
    <t>Agranular Platelets Count</t>
  </si>
  <si>
    <t>C154733</t>
  </si>
  <si>
    <t>PLATBIZ</t>
  </si>
  <si>
    <t>Bizarre Platelets</t>
  </si>
  <si>
    <t>A measurement of the bizarre platelets (large with abnormal morphology and shape) in a biological specimen.</t>
  </si>
  <si>
    <t>Bizarre Platelet Count</t>
  </si>
  <si>
    <t>C96624</t>
  </si>
  <si>
    <t>PLATCLMP</t>
  </si>
  <si>
    <t>Platelet Clumps</t>
  </si>
  <si>
    <t>Platelet Clumps; PLT Clumps</t>
  </si>
  <si>
    <t>A measurement of the platelet clumps in a biological specimen.</t>
  </si>
  <si>
    <t>Platelet Clumps Count</t>
  </si>
  <si>
    <t>C135440</t>
  </si>
  <si>
    <t>PLATEST</t>
  </si>
  <si>
    <t>Platelets, Estimated</t>
  </si>
  <si>
    <t>An estimated measurement of the platelets (non-nucleated thrombocytes) in a biological specimen.</t>
  </si>
  <si>
    <t>Estimated Platelets Measurement</t>
  </si>
  <si>
    <t>C74728</t>
  </si>
  <si>
    <t>PLATGNT</t>
  </si>
  <si>
    <t>Giant Platelets</t>
  </si>
  <si>
    <t>A measurement of the giant (larger than 7um in diameter) platelets in a biological specimen.</t>
  </si>
  <si>
    <t>Giant Platelet Count</t>
  </si>
  <si>
    <t>C100424</t>
  </si>
  <si>
    <t>PLATHCT</t>
  </si>
  <si>
    <t>Platelet Hematocrit</t>
  </si>
  <si>
    <t>Platelet Hematocrit; Thrombocytocrit</t>
  </si>
  <si>
    <t>A relative measurement (ratio or percentage) of the proportion of the volume of blood taken up by platelets.</t>
  </si>
  <si>
    <t>Platelet Hematocrit Measurement</t>
  </si>
  <si>
    <t>C154723</t>
  </si>
  <si>
    <t>PLATIM</t>
  </si>
  <si>
    <t>Immature Platelets</t>
  </si>
  <si>
    <t>Immature Platelets; Reticulated Platelets</t>
  </si>
  <si>
    <t>A measurement of the immature platelets in a biological specimen.</t>
  </si>
  <si>
    <t>Immature Platelet Count</t>
  </si>
  <si>
    <t>C74729</t>
  </si>
  <si>
    <t>PLATLRG</t>
  </si>
  <si>
    <t>Large Platelets</t>
  </si>
  <si>
    <t>A measurement of the large (between 4 um and 7um in diameter) platelets in a biological specimen.</t>
  </si>
  <si>
    <t>Large Platelet Count</t>
  </si>
  <si>
    <t>C202442</t>
  </si>
  <si>
    <t>PLATRESP</t>
  </si>
  <si>
    <t>Platelets Response</t>
  </si>
  <si>
    <t>An assessment of the disease response to therapy based on platelet count.</t>
  </si>
  <si>
    <t>Platelet Response</t>
  </si>
  <si>
    <t>C116209</t>
  </si>
  <si>
    <t>PLATSAT</t>
  </si>
  <si>
    <t>Platelet Satellitism</t>
  </si>
  <si>
    <t>An examination or assessment of the platelet satellitism (platelet rosetting around cells) in a biological specimen.</t>
  </si>
  <si>
    <t>Platelet Satellitism Assessment</t>
  </si>
  <si>
    <t>C209612</t>
  </si>
  <si>
    <t>PLAUR</t>
  </si>
  <si>
    <t>Plasminogen Activator Urokinase Receptor</t>
  </si>
  <si>
    <t>Monocyte Activation Antigen Mo3; Plasminogen Activator Urokinase Receptor; Plasminogen Activator, Urokinase Receptor; Soluble CD87; UPAR; Urokinase Plasminogen Activator Receptor</t>
  </si>
  <si>
    <t>A measurement of the plasminogen activator urokinase receptor in a specimen.</t>
  </si>
  <si>
    <t>Plasminogen Activator Urokinase Receptor Measurement</t>
  </si>
  <si>
    <t>C163482</t>
  </si>
  <si>
    <t>PLCGF</t>
  </si>
  <si>
    <t>Placental Growth Factor</t>
  </si>
  <si>
    <t>PGF; PIGF; Placental Growth Factor; PLGF</t>
  </si>
  <si>
    <t>A measurement of the placental growth factor in a biological specimen.</t>
  </si>
  <si>
    <t>Placental Growth Factor Measurement</t>
  </si>
  <si>
    <t>C127633</t>
  </si>
  <si>
    <t>PLG</t>
  </si>
  <si>
    <t>Plasminogen</t>
  </si>
  <si>
    <t>A measurement of the plasminogen (antigen) in a biological specimen.</t>
  </si>
  <si>
    <t>Plasminogen Measurement</t>
  </si>
  <si>
    <t>C204664</t>
  </si>
  <si>
    <t>PLHD</t>
  </si>
  <si>
    <t>Plasmodium Lactate Dehydrogenase</t>
  </si>
  <si>
    <t>A measurement of the Plasmodium lactate dehydrogenase in a biological specimen.</t>
  </si>
  <si>
    <t>Plasmodium Lactate Dehydrogenase Measurement</t>
  </si>
  <si>
    <t>C81254</t>
  </si>
  <si>
    <t>PLMGRRFX</t>
  </si>
  <si>
    <t>Palmar Grasp Reflex</t>
  </si>
  <si>
    <t>An involuntary, primal response in the neonate to grasp the fingers when their palm is touched. This reflex is present until six months of age.</t>
  </si>
  <si>
    <t>Grasp Reflex</t>
  </si>
  <si>
    <t>C123567</t>
  </si>
  <si>
    <t>PLMXRS</t>
  </si>
  <si>
    <t>Pulmonary Reactance</t>
  </si>
  <si>
    <t>A measurement of the ability of the lung to store energy, which is required for passive expiration.</t>
  </si>
  <si>
    <t>C127796</t>
  </si>
  <si>
    <t>PLNTRDUR</t>
  </si>
  <si>
    <t>Planned Trial Duration</t>
  </si>
  <si>
    <t>The approximate period of time over which the clinical trial is expected to occur.</t>
  </si>
  <si>
    <t>C158237</t>
  </si>
  <si>
    <t>PLP</t>
  </si>
  <si>
    <t>Pyridoxal Phosphate</t>
  </si>
  <si>
    <t>Active Vitamin B6; Pyridoxal Phosphate</t>
  </si>
  <si>
    <t>A measurement of the pyridoxal phosphate in a biological specimen.</t>
  </si>
  <si>
    <t>Pyridoxal Phosphate Measurement</t>
  </si>
  <si>
    <t>C163483</t>
  </si>
  <si>
    <t>PLSCR1</t>
  </si>
  <si>
    <t>Phospholipid Scramblase 1</t>
  </si>
  <si>
    <t>A measurement of the phospholipid scramblase 1 in a biological specimen.</t>
  </si>
  <si>
    <t>Phospholipid Scramblase 1 Measurement</t>
  </si>
  <si>
    <t>C147416</t>
  </si>
  <si>
    <t>PLSIMCCE</t>
  </si>
  <si>
    <t>Immature Plasma Cells/Total Cells</t>
  </si>
  <si>
    <t>A relative measurement (ratio or percentage) of the immature plasma cells (plasmacytes) to total cells in a biological specimen.</t>
  </si>
  <si>
    <t>Immature Plasma Cells to Total Cells Ratio Measurement</t>
  </si>
  <si>
    <t>C96679</t>
  </si>
  <si>
    <t>PLSIMCE</t>
  </si>
  <si>
    <t>Immature Plasma Cells</t>
  </si>
  <si>
    <t>A measurement of the immature plasma cells in a biological specimen.</t>
  </si>
  <si>
    <t>Immature Plasma Cell Count</t>
  </si>
  <si>
    <t>C96680</t>
  </si>
  <si>
    <t>PLSIMCLY</t>
  </si>
  <si>
    <t>Immature Plasma Cells/Lymphocytes</t>
  </si>
  <si>
    <t>A relative measurement (ratio or percentage) of immature plasma cells to total lymphocytes in a biological specimen.</t>
  </si>
  <si>
    <t>Immature Plasma Cell to Lymphocyte Ratio Measurement</t>
  </si>
  <si>
    <t>C74661</t>
  </si>
  <si>
    <t>PLSMCE</t>
  </si>
  <si>
    <t>Mature Plasma Cells</t>
  </si>
  <si>
    <t>Mature Plasma Cells; Plasmacytes; Plasmocytes</t>
  </si>
  <si>
    <t>A measurement of the mature plasma cells (plasmacytes) in a biological specimen.</t>
  </si>
  <si>
    <t>Mature Plasma Cell Count</t>
  </si>
  <si>
    <t>C98869</t>
  </si>
  <si>
    <t>PLSMCECE</t>
  </si>
  <si>
    <t>Mature Plasma Cells/Total Cells</t>
  </si>
  <si>
    <t>A relative measurement (ratio or percentage) of the mature plasma cells (plasmacytes) to total cells in a biological specimen (for example a bone marrow specimen).</t>
  </si>
  <si>
    <t>Mature Plasma Cell to Total Cell Ratio Measurement</t>
  </si>
  <si>
    <t>C74911</t>
  </si>
  <si>
    <t>PLSMCELY</t>
  </si>
  <si>
    <t>Mature Plasma Cells/Lymphocytes</t>
  </si>
  <si>
    <t>A relative measurement (ratio or percentage) of the mature plasma cells (plasmacytes) to all lymphocytes in a biological specimen.</t>
  </si>
  <si>
    <t>Mature Plasma Cell to Lymphocyte Ratio Measurement</t>
  </si>
  <si>
    <t>C100453</t>
  </si>
  <si>
    <t>PLSMDM</t>
  </si>
  <si>
    <t>Plasmodium</t>
  </si>
  <si>
    <t>Malaria; Plasmodium</t>
  </si>
  <si>
    <t>Examination of a biological specimen to detect the presence of any protozoan belonging to the Plasmodium genus.</t>
  </si>
  <si>
    <t>Plasmodium Measurement</t>
  </si>
  <si>
    <t>C221586</t>
  </si>
  <si>
    <t>PLSMDMA</t>
  </si>
  <si>
    <t>Plasmodium, Asexual</t>
  </si>
  <si>
    <t>A measurement of the Plasmodium genus protozoan in an asexual replication stage in a biological specimen.</t>
  </si>
  <si>
    <t>Asexual Plasmodium Measurement</t>
  </si>
  <si>
    <t>C221587</t>
  </si>
  <si>
    <t>PLSMDMS</t>
  </si>
  <si>
    <t>Plasmodium, Sexual</t>
  </si>
  <si>
    <t>A measurement of the Plasmodium genus protozoan in a sexual replication stage in a biological specimen.</t>
  </si>
  <si>
    <t>Sexual Plasmodium Measurement</t>
  </si>
  <si>
    <t>C172494</t>
  </si>
  <si>
    <t>PLSNCE</t>
  </si>
  <si>
    <t>Neoplastic Plasma Cells</t>
  </si>
  <si>
    <t>Monoclonal Plasma Cells; Monotypic Plasma Cells; Neoplastic Plasma Cells</t>
  </si>
  <si>
    <t>A measurement of the neoplastic plasma cells in a biological specimen.</t>
  </si>
  <si>
    <t>Neoplastic Plasma Cell Count</t>
  </si>
  <si>
    <t>C74619</t>
  </si>
  <si>
    <t>PLSPCE</t>
  </si>
  <si>
    <t>Precursor Plasma Cells</t>
  </si>
  <si>
    <t>Plasmablast; Precursor Plasma Cells</t>
  </si>
  <si>
    <t>A measurement of the precursor (blast stage) plasma cells (antibody secreting cells derived from B cells via antigen stimulation) in a biological specimen.</t>
  </si>
  <si>
    <t>Precursor Plasma Cell Count</t>
  </si>
  <si>
    <t>C74650</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</si>
  <si>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</si>
  <si>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</si>
  <si>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</si>
  <si>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</si>
  <si>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C128974</t>
  </si>
  <si>
    <t>PLSTCE</t>
  </si>
  <si>
    <t>Total Plasma Cells</t>
  </si>
  <si>
    <t>A measurement of the total plasma cells in a biological specimen.</t>
  </si>
  <si>
    <t>Plasma Cell Count</t>
  </si>
  <si>
    <t>C187987</t>
  </si>
  <si>
    <t>PLSTCECE</t>
  </si>
  <si>
    <t>Total Plasma Cells/Total Cells</t>
  </si>
  <si>
    <t>Plasma Cells/Total Cells; Total Plasma Cells/Total Cells</t>
  </si>
  <si>
    <t>A relative measurement (ratio or percentage) of the total plasma cells to total cells in a biological specimen.</t>
  </si>
  <si>
    <t>Plasma Cell to Total Cell Ratio Measurement</t>
  </si>
  <si>
    <t>C128975</t>
  </si>
  <si>
    <t>PLSTCELE</t>
  </si>
  <si>
    <t>Total Plasma Cells/Leukocytes</t>
  </si>
  <si>
    <t>Plasma Cells/Leuk; Total Plasma Cells/Leukocytes</t>
  </si>
  <si>
    <t>A relative measurement (ratio or percentage) of the total plasma cells to leukocytes in a biological specimen.</t>
  </si>
  <si>
    <t>Plasma Cells to Leukocytes Ratio Measurement</t>
  </si>
  <si>
    <t>C189499</t>
  </si>
  <si>
    <t>PLSTCELY</t>
  </si>
  <si>
    <t>Total Plasma Cells/Lymphocytes</t>
  </si>
  <si>
    <t>A relative measurement (ratio or percentage) of the total plasma cells to lymphocytes in a biological specimen.</t>
  </si>
  <si>
    <t>Plasma Cell to Lymphocyte Ratio Measurement</t>
  </si>
  <si>
    <t>C111293</t>
  </si>
  <si>
    <t>PLTAGAMP</t>
  </si>
  <si>
    <t>Platelet Aggregation Amplitude</t>
  </si>
  <si>
    <t>A measurement of the magnitude of the platelet aggregation in a biological specimen.</t>
  </si>
  <si>
    <t>Platelet Aggregation Amplitude Measurement</t>
  </si>
  <si>
    <t>C110939</t>
  </si>
  <si>
    <t>PLTGRRFX</t>
  </si>
  <si>
    <t>Plantar Grasp Reflex</t>
  </si>
  <si>
    <t>An involuntary, primal response in the neonate that is characterized by flexion of the toes when the sole of the foot is stroked.</t>
  </si>
  <si>
    <t>C170580</t>
  </si>
  <si>
    <t>PLTIMPLT</t>
  </si>
  <si>
    <t>Immature Platelets/Total Platelets</t>
  </si>
  <si>
    <t>Immature Platelet Fraction; Immature Platelets/Total Platelets; IPF; Reticulated Platelets/Total Platelets</t>
  </si>
  <si>
    <t>A relative measurement (ratio or percentage) of immature platelets to total platelets in a biological specimen.</t>
  </si>
  <si>
    <t>Immature Platelets to Total Platelets Ratio Measurement</t>
  </si>
  <si>
    <t>C161353</t>
  </si>
  <si>
    <t>PLTLPLT</t>
  </si>
  <si>
    <t>Large Platelets/Total Platelets</t>
  </si>
  <si>
    <t>Large Platelets/Total Platelets; Platelet Large Cell Ratio; PLCR</t>
  </si>
  <si>
    <t>A relative measurement (ratio or percentage) of large platelets to total platelets in a biological specimen.</t>
  </si>
  <si>
    <t>Large Platelets to Total Platelets Ratio Measurement</t>
  </si>
  <si>
    <t>C111296</t>
  </si>
  <si>
    <t>PLTMORPH</t>
  </si>
  <si>
    <t>Platelet Morphology</t>
  </si>
  <si>
    <t>An examination or assessment of the form and structure of platelets.</t>
  </si>
  <si>
    <t>Platelet Morphology Measurement</t>
  </si>
  <si>
    <t>C132380</t>
  </si>
  <si>
    <t>PMDW</t>
  </si>
  <si>
    <t>Platelet Mass Distribution Width</t>
  </si>
  <si>
    <t>A measurement which represents the variation defined by two standard deviations of the platelet dry mass distribution in a biological specimen.</t>
  </si>
  <si>
    <t>C221617</t>
  </si>
  <si>
    <t>PME</t>
  </si>
  <si>
    <t>Pseudomonas mendocina</t>
  </si>
  <si>
    <t>A measurement of Pseudomonas mendocina in a biological specimen.</t>
  </si>
  <si>
    <t>Pseudomonas mendocina Measurement</t>
  </si>
  <si>
    <t>C202427</t>
  </si>
  <si>
    <t>PMEL</t>
  </si>
  <si>
    <t>Premelanosome Protein</t>
  </si>
  <si>
    <t>HMB-45; HMB45; Melanocyte Protein PMEL; Melanosomal Matrix Protein17; PMEL17; Premelanosome Protein</t>
  </si>
  <si>
    <t>A measurement of the premalanosome protein in a biological specimen.</t>
  </si>
  <si>
    <t>Melanocyte Protein PMEL Measurement</t>
  </si>
  <si>
    <t>C179760</t>
  </si>
  <si>
    <t>PMI</t>
  </si>
  <si>
    <t>Proteus mirabilis</t>
  </si>
  <si>
    <t>A measurement of the Proteus mirabilis in a biological specimen.</t>
  </si>
  <si>
    <t>Proteus mirabilis Measurement</t>
  </si>
  <si>
    <t>C184700</t>
  </si>
  <si>
    <t>PMLIGCE</t>
  </si>
  <si>
    <t>Premalignant Cells</t>
  </si>
  <si>
    <t>Precancerous Cells; Premalignant Lesions</t>
  </si>
  <si>
    <t>An evaluation of premalignant cells in a biological specimen.</t>
  </si>
  <si>
    <t>Premalignant Cell Count</t>
  </si>
  <si>
    <t>C184701</t>
  </si>
  <si>
    <t>PMLIGCEM</t>
  </si>
  <si>
    <t>Premalignant Cell Morphology</t>
  </si>
  <si>
    <t>An examination or assessment of the form and structure of premalignant cells.</t>
  </si>
  <si>
    <t>Premalignant Cell Morphology Assessment</t>
  </si>
  <si>
    <t>C178040</t>
  </si>
  <si>
    <t>PMNEPI</t>
  </si>
  <si>
    <t>Polymorphonuclear Cells in Epithelium</t>
  </si>
  <si>
    <t>An evaluation of polymorphonuclear cells in the epithelium in a biological specimen.</t>
  </si>
  <si>
    <t>Polymorphonuclear Cells in Epithelium Assessment</t>
  </si>
  <si>
    <t>C178039</t>
  </si>
  <si>
    <t>PMNINLLP</t>
  </si>
  <si>
    <t>Infilt of PMN Cells in Lamina Propria</t>
  </si>
  <si>
    <t>Infilt of PMN Cells in Lamina Propria; Infiltration of Polymorphonuclear Cells in Lamina Propria</t>
  </si>
  <si>
    <t>An evaluation of infiltration of polymorphonuclear cells in the lamina propria in a biological specimen.</t>
  </si>
  <si>
    <t>Infiltration of Polymorphonuclear Cells in Lamina Propria Assessment</t>
  </si>
  <si>
    <t>C186206</t>
  </si>
  <si>
    <t>PMS1</t>
  </si>
  <si>
    <t>PMS1 Homolog 1</t>
  </si>
  <si>
    <t>A measurement of the PMS1 mismatch repair protein in a biological specimen.</t>
  </si>
  <si>
    <t>PMS1 Homolog 1 Measurement</t>
  </si>
  <si>
    <t>C139097</t>
  </si>
  <si>
    <t>PMS2</t>
  </si>
  <si>
    <t>PMS1 Homolog 2</t>
  </si>
  <si>
    <t>A measurement of the PMS2 mismatch repair protein in a biological specimen.</t>
  </si>
  <si>
    <t>PMS1 Homolog 2 Measurement</t>
  </si>
  <si>
    <t>C127634</t>
  </si>
  <si>
    <t>PMYCECE</t>
  </si>
  <si>
    <t>Proliferating Myeloid Cells/Total Cells</t>
  </si>
  <si>
    <t>A relative measurement (ratio or percentage) of the proliferating myeloid cells to total cells in a biological specimen.</t>
  </si>
  <si>
    <t>Proliferating Myeloid Cell to Total Cell Ratio Measurement</t>
  </si>
  <si>
    <t>C80201</t>
  </si>
  <si>
    <t>PNCTPP</t>
  </si>
  <si>
    <t>Pancreatic Polypeptide</t>
  </si>
  <si>
    <t>A measurement of the pancreatic polypeptide in a biological specimen.</t>
  </si>
  <si>
    <t>Pancreatic Polypeptide Measurement</t>
  </si>
  <si>
    <t>C171521</t>
  </si>
  <si>
    <t>PNEUMIND</t>
  </si>
  <si>
    <t>Pneumonia Indicator</t>
  </si>
  <si>
    <t>An indication as to whether pneumonia has occurred.</t>
  </si>
  <si>
    <t>C119547</t>
  </si>
  <si>
    <t>PNIF</t>
  </si>
  <si>
    <t>Peak Nasal Inspiratory Flow</t>
  </si>
  <si>
    <t>The maximal flow achieved during the maximally forced inspiration through the nose initiated at maximum exhalation. (NCI)</t>
  </si>
  <si>
    <t>C127768</t>
  </si>
  <si>
    <t>PNLINV</t>
  </si>
  <si>
    <t>Perineural Invasion</t>
  </si>
  <si>
    <t>An evaluation of perineural invasion in a biological specimen.</t>
  </si>
  <si>
    <t>Perineural Invasion Assessment</t>
  </si>
  <si>
    <t>C75367</t>
  </si>
  <si>
    <t>PNTBRBTL</t>
  </si>
  <si>
    <t>Pentobarbital</t>
  </si>
  <si>
    <t>A measurement of the pentobarbital present in a biological specimen.</t>
  </si>
  <si>
    <t>Pentobarbital Measurement</t>
  </si>
  <si>
    <t>C176339</t>
  </si>
  <si>
    <t>PNTHCEMP</t>
  </si>
  <si>
    <t>Paneth Cell Metaplasia</t>
  </si>
  <si>
    <t>An evaluation of paneth cell metaplasia in a biological specimen.</t>
  </si>
  <si>
    <t>Paneth Cell Metaplasia Assessment</t>
  </si>
  <si>
    <t>C184632</t>
  </si>
  <si>
    <t>PNTZOCIN</t>
  </si>
  <si>
    <t>Pentazocine</t>
  </si>
  <si>
    <t>A measurement of the pentazocine in a biological specimen.</t>
  </si>
  <si>
    <t>Pentazocine Measurement</t>
  </si>
  <si>
    <t>C71251</t>
  </si>
  <si>
    <t>PO2</t>
  </si>
  <si>
    <t>Partial Pressure Oxygen</t>
  </si>
  <si>
    <t>PaO2; Partial Pressure Oxygen; Po2; pO2</t>
  </si>
  <si>
    <t>A measurement of the pressure of oxygen in a biological specimen.</t>
  </si>
  <si>
    <t>Partial Pressure of Oxygen Measurement</t>
  </si>
  <si>
    <t>C147417</t>
  </si>
  <si>
    <t>PO2ADJT</t>
  </si>
  <si>
    <t>Partial Pressure Oxygen Adj for Temp</t>
  </si>
  <si>
    <t>A measurement of the pressure of oxygen, which has been adjusted for body temperature, in a biological specimen.</t>
  </si>
  <si>
    <t>Partial Pressure of Oxygen Adjusted for Body Temperature Measurement</t>
  </si>
  <si>
    <t>C119293</t>
  </si>
  <si>
    <t>PO2FIO2</t>
  </si>
  <si>
    <t>PP Arterial O2/Fraction Inspired O2</t>
  </si>
  <si>
    <t>PAO2/FIO2; PP Arterial O2/Fraction Inspired O2</t>
  </si>
  <si>
    <t>A relative measurement (ratio or percentage) of the force per unit area (pressure) of oxygen dissolved in arterial blood to the percentage oxygen of an inhaled mixture of gasses.</t>
  </si>
  <si>
    <t>Partial Pressure Arterial Oxygen to Fraction Inspired Oxygen Ratio Measurement</t>
  </si>
  <si>
    <t>C79602</t>
  </si>
  <si>
    <t>POIKILO</t>
  </si>
  <si>
    <t>Poikilocytes</t>
  </si>
  <si>
    <t>A measurement of the odd-shaped erythrocytes in a whole blood specimen.</t>
  </si>
  <si>
    <t>Poikilocyte Measurement</t>
  </si>
  <si>
    <t>C74649</t>
  </si>
  <si>
    <t>POIKRBC</t>
  </si>
  <si>
    <t>Poikilocytes/Erythrocytes</t>
  </si>
  <si>
    <t>A relative measurement (ratio or percentage) of the poikilocytes, or irregularly shaped erythrocytes, to all erythrocytes in a biological specimen.</t>
  </si>
  <si>
    <t>Poikilocyte to Erythrocyte Ratio Measurement</t>
  </si>
  <si>
    <t>C64803</t>
  </si>
  <si>
    <t>POLYCHR</t>
  </si>
  <si>
    <t>Polychromasia</t>
  </si>
  <si>
    <t>A measurement of the blue-staining characteristic of newly generated erythrocytes.</t>
  </si>
  <si>
    <t>C147418</t>
  </si>
  <si>
    <t>POLYERY</t>
  </si>
  <si>
    <t>Polychromatophilic Erythroblast</t>
  </si>
  <si>
    <t>A measurement of the polychromatophilic erythroblasts in a biological specimen taken from a non-human organism.</t>
  </si>
  <si>
    <t>Polychromatophilic Erythroblast Count</t>
  </si>
  <si>
    <t>C147419</t>
  </si>
  <si>
    <t>POLYNORM</t>
  </si>
  <si>
    <t>Polychromatophilic Normoblast</t>
  </si>
  <si>
    <t>A measurement of the polychromatophilic normoblasts in a biological specimen taken from a non-human organism.</t>
  </si>
  <si>
    <t>Polychromatophilic Normoblast Count</t>
  </si>
  <si>
    <t>C199905</t>
  </si>
  <si>
    <t>PON1</t>
  </si>
  <si>
    <t>Paraoxonase 1</t>
  </si>
  <si>
    <t>Aromatic Esterase 1; Arylesterase 1; Arylesterase B-Type; Esterase A; Paraoxonase 1; Paraoxonase B-Type; Paraoxonase-1; PON 1</t>
  </si>
  <si>
    <t>A measurement of the paraoxonase 1 in a biological specimen.</t>
  </si>
  <si>
    <t>Paraoxonase 1 Measurement</t>
  </si>
  <si>
    <t>C120648</t>
  </si>
  <si>
    <t>PORPH</t>
  </si>
  <si>
    <t>Porphyrin</t>
  </si>
  <si>
    <t>A measurement of the total porphyrin in a biological specimen.</t>
  </si>
  <si>
    <t>Porphyrin Measurement</t>
  </si>
  <si>
    <t>C181483</t>
  </si>
  <si>
    <t>PORTINF</t>
  </si>
  <si>
    <t>Portal Inflammation</t>
  </si>
  <si>
    <t>An evaluation of portal inflammation in a biological specimen.</t>
  </si>
  <si>
    <t>Portal Inflammation Assessment</t>
  </si>
  <si>
    <t>C174297</t>
  </si>
  <si>
    <t>PPA</t>
  </si>
  <si>
    <t>Phenylpropanolamine</t>
  </si>
  <si>
    <t>Beta-Hydroxyamphetamine; Norephedrine; Phenylpropanolamine</t>
  </si>
  <si>
    <t>A measurement of the phenylpropanolamine in a biological specimen.</t>
  </si>
  <si>
    <t>Phenylpropanolamine Measurement</t>
  </si>
  <si>
    <t>C117771</t>
  </si>
  <si>
    <t>PPAG</t>
  </si>
  <si>
    <t>PP Interval, Aggregate</t>
  </si>
  <si>
    <t>An aggregate PP value based on the measurement of PP intervals from multiple beats within a single ECG. The method of aggregation, which can vary, is typically a measure of central tendency such as the mean.</t>
  </si>
  <si>
    <t>Aggregate PP Interval</t>
  </si>
  <si>
    <t>C135513</t>
  </si>
  <si>
    <t>PPD</t>
  </si>
  <si>
    <t>Product of Perpendicular Diameters</t>
  </si>
  <si>
    <t>PPD; Product of Perpendicular Diameters</t>
  </si>
  <si>
    <t>The longest diameter multiplied by its longest perpendicular diameter.</t>
  </si>
  <si>
    <t>C221616</t>
  </si>
  <si>
    <t>PPE</t>
  </si>
  <si>
    <t>Proteus penneri</t>
  </si>
  <si>
    <t>A measurement of Proteus penneri in a biological specimen.</t>
  </si>
  <si>
    <t>Proteus penneri Measurement</t>
  </si>
  <si>
    <t>C161358</t>
  </si>
  <si>
    <t>PPI</t>
  </si>
  <si>
    <t>Inorganic Pyrophosphate</t>
  </si>
  <si>
    <t>A measurement of the inorganic pyrophosphate in a biological specimen.</t>
  </si>
  <si>
    <t>Inorganic Pyrophosphate Measurement</t>
  </si>
  <si>
    <t>C187819</t>
  </si>
  <si>
    <t>PPIA</t>
  </si>
  <si>
    <t>Peptidylprolyl Isomerase A</t>
  </si>
  <si>
    <t>Cyclophilin A; CYPA; Peptidylprolyl Isomerase A; Rotamase A</t>
  </si>
  <si>
    <t>A measurement of the peptidylprolyl isomerase A in a biological specimen.</t>
  </si>
  <si>
    <t>Peptidylprolyl Isomerase A Measurement</t>
  </si>
  <si>
    <t>C198363</t>
  </si>
  <si>
    <t>PPLHSHN</t>
  </si>
  <si>
    <t>Number of People in Household</t>
  </si>
  <si>
    <t>The total number of people residing in the household.</t>
  </si>
  <si>
    <t>C139044</t>
  </si>
  <si>
    <t>PPRR</t>
  </si>
  <si>
    <t>Peak Pressure Rise Rate</t>
  </si>
  <si>
    <t>The greatest rate of increase in peak pressure.</t>
  </si>
  <si>
    <t>C198358</t>
  </si>
  <si>
    <t>PPRTIND</t>
  </si>
  <si>
    <t>Post-Partum Indicator</t>
  </si>
  <si>
    <t>An indication as to whether the subject is in the stages of recovery post pregnancy and birth event.</t>
  </si>
  <si>
    <t>C117772</t>
  </si>
  <si>
    <t>PPSM</t>
  </si>
  <si>
    <t>PP Interval, Single Measurement</t>
  </si>
  <si>
    <t>An electrocardiographic measurement of the interval between the onsets of two consecutive P waves.</t>
  </si>
  <si>
    <t>Single Measurement PP Interval</t>
  </si>
  <si>
    <t>C147420</t>
  </si>
  <si>
    <t>PPTDCALB</t>
  </si>
  <si>
    <t>Phosphatidylcholine/Albumin</t>
  </si>
  <si>
    <t>A relative measurement (ratio or percentage) of the phosphatidylcholine to albumin in a biological specimen.</t>
  </si>
  <si>
    <t>Phosphatidylcholine to Albumin Ratio Measurement</t>
  </si>
  <si>
    <t>C187820</t>
  </si>
  <si>
    <t>PPTDETH</t>
  </si>
  <si>
    <t>Phosphatidylethanol</t>
  </si>
  <si>
    <t>PEth; Phosphatidylethanol</t>
  </si>
  <si>
    <t>A measurement of the total phosphatidylethanol in a biological specimen.</t>
  </si>
  <si>
    <t>Phosphatidylethanol Measurement</t>
  </si>
  <si>
    <t>C221618</t>
  </si>
  <si>
    <t>PPU</t>
  </si>
  <si>
    <t>Pseudomonas putida</t>
  </si>
  <si>
    <t>A measurement of Pseudomonas putida in a biological specimen.</t>
  </si>
  <si>
    <t>Pseudomonas putida Measurement</t>
  </si>
  <si>
    <t>C116210</t>
  </si>
  <si>
    <t>PRAB</t>
  </si>
  <si>
    <t>Panel Reactive Antibody</t>
  </si>
  <si>
    <t>Panel Reactive Antibody; Percent Reactive Antibody; PRA Score</t>
  </si>
  <si>
    <t>A measurement of the panel reactive antibody that is achieved by mixing and assessing the reactivity between the recipient's immune cells and the donor's human leukocyte antigen, in which anti-HLA class I and class II antibody specificities are measured s</t>
  </si>
  <si>
    <t>Panel Reactive Antibody Test</t>
  </si>
  <si>
    <t>C132381</t>
  </si>
  <si>
    <t>PRABC</t>
  </si>
  <si>
    <t>Calculated Panel Reactive Antibody</t>
  </si>
  <si>
    <t>A measurement of the calculated panel reactive antibody, which is based on the number/type of unacceptable HLA antigens to which an organ recipient has been sensitized, and which algorithmically estimates the level of sensitization in the recipient. The C</t>
  </si>
  <si>
    <t>Calculated Panel Reactive Antibody Measurement</t>
  </si>
  <si>
    <t>C117773</t>
  </si>
  <si>
    <t>PRAG</t>
  </si>
  <si>
    <t>PR Interval, Aggregate</t>
  </si>
  <si>
    <t>PQ Interval, Aggregate; PQAG; PR Interval, Aggregate</t>
  </si>
  <si>
    <t>An aggregate PR value based on the measurement of PR intervals from multiple beats within a single ECG. The method of aggregation, which can vary, is typically a measure of central tendency such as the mean.</t>
  </si>
  <si>
    <t>Aggregate PR Interval</t>
  </si>
  <si>
    <t>C99531</t>
  </si>
  <si>
    <t>PRCDTH</t>
  </si>
  <si>
    <t>Primary Cause of Death</t>
  </si>
  <si>
    <t>The primary significant event which ultimately led to death.</t>
  </si>
  <si>
    <t>C132382</t>
  </si>
  <si>
    <t>PRCTC</t>
  </si>
  <si>
    <t>Prostate Circulating Tumor Cells</t>
  </si>
  <si>
    <t>A measurement of the prostate circulating tumor cells in a biological specimen.</t>
  </si>
  <si>
    <t>Circulating Prostate Tumor Cell Count</t>
  </si>
  <si>
    <t>C163557</t>
  </si>
  <si>
    <t>PRDCEIND</t>
  </si>
  <si>
    <t>Products of Conception Examined Ind</t>
  </si>
  <si>
    <t>Products of Conception Examined Ind; Products of Conception Examined Indicator</t>
  </si>
  <si>
    <t>An indication as to whether the products of conception have been examined.</t>
  </si>
  <si>
    <t>Products of Conception Examined Indicator</t>
  </si>
  <si>
    <t>C209645</t>
  </si>
  <si>
    <t>PRE</t>
  </si>
  <si>
    <t>Providencia rettgeri</t>
  </si>
  <si>
    <t>A measurement of the Providencia rettgeri in a biological specimen.</t>
  </si>
  <si>
    <t>Providencia rettgeri Measurement</t>
  </si>
  <si>
    <t>C100435</t>
  </si>
  <si>
    <t>PREALB</t>
  </si>
  <si>
    <t>Prealbumin</t>
  </si>
  <si>
    <t>Prealbumin; Thyroxine-binding Prealbumin; Transthyretin</t>
  </si>
  <si>
    <t>A measurement of the prealbumin in a biological specimen.</t>
  </si>
  <si>
    <t>Prealbumin Measurement</t>
  </si>
  <si>
    <t>C184642</t>
  </si>
  <si>
    <t>PREGBLN</t>
  </si>
  <si>
    <t>Pregabalin</t>
  </si>
  <si>
    <t>A measurement of the pregabalin in a biological specimen.</t>
  </si>
  <si>
    <t>Pregabalin Measurement</t>
  </si>
  <si>
    <t>C139264</t>
  </si>
  <si>
    <t>PREGIND</t>
  </si>
  <si>
    <t>Pregnant Indicator</t>
  </si>
  <si>
    <t>An indication as to whether the subject or associated person is pregnant at the time the question is asked.</t>
  </si>
  <si>
    <t>Pregnancy Indicator</t>
  </si>
  <si>
    <t>C106551</t>
  </si>
  <si>
    <t>PREGNN</t>
  </si>
  <si>
    <t>Number of Pregnancies</t>
  </si>
  <si>
    <t>A measurement of the total number of pregnancy events experienced by a female.</t>
  </si>
  <si>
    <t>C106561</t>
  </si>
  <si>
    <t>PREGST</t>
  </si>
  <si>
    <t>Pregnant During the Study</t>
  </si>
  <si>
    <t>An indicator as to whether a female is pregnant during the study period. (NCI)</t>
  </si>
  <si>
    <t>C112400</t>
  </si>
  <si>
    <t>PREMBRTH</t>
  </si>
  <si>
    <t>Premature Birth Indicator</t>
  </si>
  <si>
    <t>An indication as to whether the subject was born prior to 37 weeks and 0 days gestation.</t>
  </si>
  <si>
    <t>C122193</t>
  </si>
  <si>
    <t>PREMBTHN</t>
  </si>
  <si>
    <t>Number of Premature Births</t>
  </si>
  <si>
    <t>A measurement of the total number of birth events (both live and dead) at which the gestational age of the neonate is less than 37 weeks and 0 days.</t>
  </si>
  <si>
    <t>C170562</t>
  </si>
  <si>
    <t>PREPAMT</t>
  </si>
  <si>
    <t>Prepared Amount</t>
  </si>
  <si>
    <t>The quantity of a product that has been made ready for use.</t>
  </si>
  <si>
    <t>C147156</t>
  </si>
  <si>
    <t>PRESHT</t>
  </si>
  <si>
    <t>Pressure Half Time</t>
  </si>
  <si>
    <t>The amount of time required for the peak transvalvular pressure gradient to decrease to one half of the value.</t>
  </si>
  <si>
    <t>C221544</t>
  </si>
  <si>
    <t>PRF1</t>
  </si>
  <si>
    <t>Perforin-1</t>
  </si>
  <si>
    <t>Cytolysin; HPLH2; Lymphocyte Pore-Forming Protein; Perforin-1</t>
  </si>
  <si>
    <t>A measurement of the perforin-1 in a biological specimen.</t>
  </si>
  <si>
    <t>Perforin-1 Measurement</t>
  </si>
  <si>
    <t>C163558</t>
  </si>
  <si>
    <t>PRGENDTC</t>
  </si>
  <si>
    <t>Date Pregnancy Ended</t>
  </si>
  <si>
    <t>The date on which the pregnancy ended.</t>
  </si>
  <si>
    <t>Pregnancy End Date</t>
  </si>
  <si>
    <t>C127586</t>
  </si>
  <si>
    <t>PRGJWRVD</t>
  </si>
  <si>
    <t>Pulmonic Regur Jet Width RVOT Diam Rt</t>
  </si>
  <si>
    <t>Pulmonic Regur Jet Width RVOT Diam Rt; Pulmonic Regurgitant Jet Width to Right Ventricular Outflow Tract Diameter Ratio</t>
  </si>
  <si>
    <t>A relative measurement (ratio) of the pulmonic regurgitant jet width to right ventricular outflow tract (RVOT) diameter.</t>
  </si>
  <si>
    <t>Pulmonic Regurgitant Jet Width to Right Ventricular Outflow Tract Diameter Ratio</t>
  </si>
  <si>
    <t>C147421</t>
  </si>
  <si>
    <t>PRGNENLN</t>
  </si>
  <si>
    <t>Pregnenolone</t>
  </si>
  <si>
    <t>A measurement of the pregnenolone in a biological specimen.</t>
  </si>
  <si>
    <t>Pregnenolone Measurement</t>
  </si>
  <si>
    <t>C186092</t>
  </si>
  <si>
    <t>PRGNNDL</t>
  </si>
  <si>
    <t>Pregnanediol</t>
  </si>
  <si>
    <t>A measurement of the pregnanediol in a biological specimen.</t>
  </si>
  <si>
    <t>Pregnanediol Measurement</t>
  </si>
  <si>
    <t>C90491</t>
  </si>
  <si>
    <t>PRGOUT</t>
  </si>
  <si>
    <t>Pregnancy Outcome</t>
  </si>
  <si>
    <t>The end result of a pregnancy.</t>
  </si>
  <si>
    <t>C102699</t>
  </si>
  <si>
    <t>PRICON</t>
  </si>
  <si>
    <t>Priority of Disease Contact</t>
  </si>
  <si>
    <t>The categorization of individuals with or without the potential for having a particular disease.</t>
  </si>
  <si>
    <t>C111299</t>
  </si>
  <si>
    <t>PRINSINS</t>
  </si>
  <si>
    <t>Proinsulin/Insulin Ratio</t>
  </si>
  <si>
    <t>A relative measurement (ratio or percentage) of the proinsulin to insulin in a biological specimen.</t>
  </si>
  <si>
    <t>Proinsulin to Insulin Ratio Measurement</t>
  </si>
  <si>
    <t>C64829</t>
  </si>
  <si>
    <t>PRLYMLE</t>
  </si>
  <si>
    <t>Prolymphocytes/Leukocytes</t>
  </si>
  <si>
    <t>A relative measurement (ratio or percentage) of prolymphocytes to leukocytes in a biological specimen.</t>
  </si>
  <si>
    <t>Prolymphocyte to Leukocyte Ratio</t>
  </si>
  <si>
    <t>C62131</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</si>
  <si>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</si>
  <si>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</si>
  <si>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t>
  </si>
  <si>
    <t>Maximum PR Duration</t>
  </si>
  <si>
    <t>C62125</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</si>
  <si>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</si>
  <si>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</si>
  <si>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t>
  </si>
  <si>
    <t>Minimum PR Duration</t>
  </si>
  <si>
    <t>C184596</t>
  </si>
  <si>
    <t>PRMPNL</t>
  </si>
  <si>
    <t>Perampanel</t>
  </si>
  <si>
    <t>A measurement of the perampanel in a biological specimen.</t>
  </si>
  <si>
    <t>Perampanel Measurement</t>
  </si>
  <si>
    <t>C122141</t>
  </si>
  <si>
    <t>PRO</t>
  </si>
  <si>
    <t>Proline</t>
  </si>
  <si>
    <t>A measurement of the proline in a biological specimen.</t>
  </si>
  <si>
    <t>Proline Measurement</t>
  </si>
  <si>
    <t>C198289</t>
  </si>
  <si>
    <t>PROAP</t>
  </si>
  <si>
    <t>Proline Aminopeptidase</t>
  </si>
  <si>
    <t>Cytosol Aminopeptidase V; Proline Aminopeptidase; Proline Iminopeptidase; Prolyl Aminopeptidase</t>
  </si>
  <si>
    <t>A measurement of the proline aminopeptidase in a biological specimen.</t>
  </si>
  <si>
    <t>Proline Aminopeptidase Measurement</t>
  </si>
  <si>
    <t>C221566</t>
  </si>
  <si>
    <t>PROC10</t>
  </si>
  <si>
    <t>Pro-C10</t>
  </si>
  <si>
    <t>NC1 Domain Fragment of Type X Collagen; Pro-C10</t>
  </si>
  <si>
    <t>A measurement of the Pro-C10 (a fragment of the NC1 domain of type X collagen) in a biological specimen.</t>
  </si>
  <si>
    <t>Pro-C10 Measurement</t>
  </si>
  <si>
    <t>C221567</t>
  </si>
  <si>
    <t>PROC16</t>
  </si>
  <si>
    <t>Pro-C16</t>
  </si>
  <si>
    <t>C-Terminal Propeptide of Type XVI Collagen; Pro-C16</t>
  </si>
  <si>
    <t>A measurement of the Pro-C16 (a C-terminal fragment of type XVI collagen) in a biological specimen.</t>
  </si>
  <si>
    <t>Pro-C16 Measurement</t>
  </si>
  <si>
    <t>C221562</t>
  </si>
  <si>
    <t>PROC2</t>
  </si>
  <si>
    <t>Pro-C2</t>
  </si>
  <si>
    <t>PIIBNP; Pro-C2; Procollagen IIB N-Terminal Propeptide</t>
  </si>
  <si>
    <t>A measurement of the Pro-C2 (a N-terminal fragment of type IIB procollagen) in a biological specimen.</t>
  </si>
  <si>
    <t>Pro-C2 Measurement</t>
  </si>
  <si>
    <t>C221568</t>
  </si>
  <si>
    <t>PROC28</t>
  </si>
  <si>
    <t>Pro-C28</t>
  </si>
  <si>
    <t>C-Terminal Propeptide of Type XXVIII Collagen; Pro-C28</t>
  </si>
  <si>
    <t>A measurement of the Pro-C28 (a C-terminal fragment of type XXVIII collagen) in a biological specimen.</t>
  </si>
  <si>
    <t>Pro-C28 Measurement</t>
  </si>
  <si>
    <t>C221563</t>
  </si>
  <si>
    <t>PROC3</t>
  </si>
  <si>
    <t>Pro-C3</t>
  </si>
  <si>
    <t>ADAMTS-2 Degraded N-Terminal Type III Collagen Propeptide; ADAMTS-2 Degraded Procollagen 3 N-Terminal Propeptide; Pro-C3</t>
  </si>
  <si>
    <t>A measurement of the Pro-C3 (ADAMTS-2 cleaved N-terminal propeptide of type III collagen) in a biological specimen.</t>
  </si>
  <si>
    <t>Pro-C3 Measurement</t>
  </si>
  <si>
    <t>C221564</t>
  </si>
  <si>
    <t>PROC4</t>
  </si>
  <si>
    <t>Pro-C4</t>
  </si>
  <si>
    <t>7S Domain Fragment Propeptide of Type IV Collagen; P4NP7S; Pro-C4; Type IV Collage 7S Domain</t>
  </si>
  <si>
    <t>A measurement of the Pro-C4 (a fragment of the internal 7S domain of type IV collagen) in a biological specimen.</t>
  </si>
  <si>
    <t>Pro-C4 Measurement</t>
  </si>
  <si>
    <t>C221565</t>
  </si>
  <si>
    <t>PROC5</t>
  </si>
  <si>
    <t>Pro-C5</t>
  </si>
  <si>
    <t>C-Terminal Propeptide of Type V Collagen; Pro-C5</t>
  </si>
  <si>
    <t>A measurement of the Pro-C5 (a C-terminal propeptide of type V collagen) in a biological specimen.</t>
  </si>
  <si>
    <t>Pro-C5 Measurement</t>
  </si>
  <si>
    <t>C165979</t>
  </si>
  <si>
    <t>PROC6</t>
  </si>
  <si>
    <t>Pro-C6</t>
  </si>
  <si>
    <t>C-terminal Pro-Peptide of the Alpha 3 Type VI Collagen Chain; C-Terminal Propeptide of Type 6a3 Collagen; C-Terminal Propeptide of Type VIa3 Collagen; Endotrophin; Pro-C6</t>
  </si>
  <si>
    <t>A measurement of the C-terminal propeptide of type VIa3 collagen (pro-C6) in a biological specimen.</t>
  </si>
  <si>
    <t>Pro-C6 Measurement</t>
  </si>
  <si>
    <t>C184567</t>
  </si>
  <si>
    <t>PRODINEA</t>
  </si>
  <si>
    <t>Alphaprodine</t>
  </si>
  <si>
    <t>A measurement of the alphaprodine in a biological specimen.</t>
  </si>
  <si>
    <t>Alphaprodine Measurement</t>
  </si>
  <si>
    <t>C74791</t>
  </si>
  <si>
    <t>PROGEST</t>
  </si>
  <si>
    <t>Progesterone</t>
  </si>
  <si>
    <t>A measurement of the progesterone hormone in a biological specimen.</t>
  </si>
  <si>
    <t>Progesterone Measurement</t>
  </si>
  <si>
    <t>C117846</t>
  </si>
  <si>
    <t>PROGESTR</t>
  </si>
  <si>
    <t>Progesterone Receptor</t>
  </si>
  <si>
    <t>NR3C3; PGR; PgR; PR; Progesterone Receptor</t>
  </si>
  <si>
    <t>A measurement of the progesterone receptor protein in a biological specimen.</t>
  </si>
  <si>
    <t>Progesterone Receptor Measurement</t>
  </si>
  <si>
    <t>C156523</t>
  </si>
  <si>
    <t>PROGRP</t>
  </si>
  <si>
    <t>Pro-gastrin Releasing Peptide</t>
  </si>
  <si>
    <t>Pro-gastrin Releasing Peptide; proGRP</t>
  </si>
  <si>
    <t>A measurement of the pro-gastrin releasing peptide in a biological specimen.</t>
  </si>
  <si>
    <t>Pro-gastrin Releasing Peptide Measurement</t>
  </si>
  <si>
    <t>C81967</t>
  </si>
  <si>
    <t>PROINSUL</t>
  </si>
  <si>
    <t>Proinsulin</t>
  </si>
  <si>
    <t>A measurement of the proinsulin in a biological specimen.</t>
  </si>
  <si>
    <t>Proinsulin Measurement</t>
  </si>
  <si>
    <t>C74870</t>
  </si>
  <si>
    <t>PROLCTN</t>
  </si>
  <si>
    <t>Prolactin</t>
  </si>
  <si>
    <t>A measurement of the prolactin hormone in a biological specimen.</t>
  </si>
  <si>
    <t>Prolactin Measurement</t>
  </si>
  <si>
    <t>C74620</t>
  </si>
  <si>
    <t>PROLYM</t>
  </si>
  <si>
    <t>Prolymphocytes</t>
  </si>
  <si>
    <t>A measurement of the prolymphocytes in a biological specimen.</t>
  </si>
  <si>
    <t>Prolymphocyte Count</t>
  </si>
  <si>
    <t>C74651</t>
  </si>
  <si>
    <t>PROLYMLY</t>
  </si>
  <si>
    <t>Prolymphocytes/Lymphocytes</t>
  </si>
  <si>
    <t>A relative measurement (ratio or percentage) of the prolymphocytes to all lymphocytes in a biological specimen.</t>
  </si>
  <si>
    <t>Prolymphocyte to Lymphocyte Ratio Measurement</t>
  </si>
  <si>
    <t>C187678</t>
  </si>
  <si>
    <t>PROMONCE</t>
  </si>
  <si>
    <t>Promonocytes/Total Cells</t>
  </si>
  <si>
    <t>A relative measurement (ratio or percentage) of the promonocytes to total cells in a biological specimen (for example a bone marrow specimen).</t>
  </si>
  <si>
    <t>Promonocyte to Total Cell Ratio Measurement</t>
  </si>
  <si>
    <t>C74652</t>
  </si>
  <si>
    <t>PROMONLE</t>
  </si>
  <si>
    <t>Promonocytes/Leukocytes</t>
  </si>
  <si>
    <t>A relative measurement (ratio or percentage) of the promonocytes to all leukocytes in a biological specimen.</t>
  </si>
  <si>
    <t>Promonocyte to Lymphocyte Ratio Measurement</t>
  </si>
  <si>
    <t>C74621</t>
  </si>
  <si>
    <t>PROMONO</t>
  </si>
  <si>
    <t>Promonocytes</t>
  </si>
  <si>
    <t>A measurement of the promonocytes in a biological specimen.</t>
  </si>
  <si>
    <t>Promonocyte Count</t>
  </si>
  <si>
    <t>C74622</t>
  </si>
  <si>
    <t>PROMY</t>
  </si>
  <si>
    <t>Promyelocytes</t>
  </si>
  <si>
    <t>A measurement of the promyelocytes (immature myelocytes) in a biological specimen.</t>
  </si>
  <si>
    <t>Promyelocyte Count</t>
  </si>
  <si>
    <t>C117847</t>
  </si>
  <si>
    <t>PROMYB</t>
  </si>
  <si>
    <t>Promyeloblasts</t>
  </si>
  <si>
    <t>A measurement of the promyeloblasts in a biological specimen.</t>
  </si>
  <si>
    <t>Promyeloblasts Measurement</t>
  </si>
  <si>
    <t>C98773</t>
  </si>
  <si>
    <t>PROMYCE</t>
  </si>
  <si>
    <t>Promyelocytes/Total Cells</t>
  </si>
  <si>
    <t>A relative measurement (ratio or percentage) of the promyelocytes (immature myelocytes) to total cells in a biological specimen (for example a bone marrow specimen).</t>
  </si>
  <si>
    <t>Promyelocyte to Total Cell Ratio Measurement</t>
  </si>
  <si>
    <t>C74653</t>
  </si>
  <si>
    <t>PROMYLE</t>
  </si>
  <si>
    <t>Promyelocytes/Leukocytes</t>
  </si>
  <si>
    <t>A relative measurement (ratio or percentage) of the promyelocytes (immature myelocytes) to all leukocytes in a biological specimen.</t>
  </si>
  <si>
    <t>Promyelocyte to Lymphocyte Ratio Measurement</t>
  </si>
  <si>
    <t>C74885</t>
  </si>
  <si>
    <t>PROPOX</t>
  </si>
  <si>
    <t>Propoxyphene</t>
  </si>
  <si>
    <t>A measurement of the propoxyphene present in a biological specimen.</t>
  </si>
  <si>
    <t>Propoxyphene Measurement</t>
  </si>
  <si>
    <t>C128976</t>
  </si>
  <si>
    <t>PRORUB</t>
  </si>
  <si>
    <t>Prorubricyte</t>
  </si>
  <si>
    <t>Basophilic Erythroblast; Basophilic Normoblast; Prorubricyte</t>
  </si>
  <si>
    <t>A measurement of the prorubricytes in a biological specimen.</t>
  </si>
  <si>
    <t>Prorubricyte Count</t>
  </si>
  <si>
    <t>C128977</t>
  </si>
  <si>
    <t>PRORUBCE</t>
  </si>
  <si>
    <t>Prorubricyte/Total Cells</t>
  </si>
  <si>
    <t>A relative measurement (ratio or percentage) of the prorubricytes to total cells in a biological specimen.</t>
  </si>
  <si>
    <t>Prorubricyte to Total Cell Ratio Measurement</t>
  </si>
  <si>
    <t>C64858</t>
  </si>
  <si>
    <t>PROT</t>
  </si>
  <si>
    <t>Protein</t>
  </si>
  <si>
    <t>A measurement of the total protein in a biological specimen.</t>
  </si>
  <si>
    <t>Total Protein Measurement</t>
  </si>
  <si>
    <t>C79463</t>
  </si>
  <si>
    <t>PROTCRT</t>
  </si>
  <si>
    <t>Protein/Creatinine</t>
  </si>
  <si>
    <t>A relative measurement (ratio or percentage) of the total protein to creatinine in a biological specimen.</t>
  </si>
  <si>
    <t>Protein to Creatinine Ratio Measurement</t>
  </si>
  <si>
    <t>C191324</t>
  </si>
  <si>
    <t>PROTDNA</t>
  </si>
  <si>
    <t>Proteus DNA</t>
  </si>
  <si>
    <t>Proteus DNA; Proteus Species DNA; Proteus spp DNA</t>
  </si>
  <si>
    <t>A measurement of the DNA from any member of the genus Proteus in a biological specimen.</t>
  </si>
  <si>
    <t>Proteus DNA Measurement</t>
  </si>
  <si>
    <t>C150822</t>
  </si>
  <si>
    <t>PROTEXR</t>
  </si>
  <si>
    <t>Protein Excretion Rate</t>
  </si>
  <si>
    <t>A measurement of the amount of total protein being excreted in a biological specimen over a defined amount of time (e.g. one hour).</t>
  </si>
  <si>
    <t>C92240</t>
  </si>
  <si>
    <t>PROTOSML</t>
  </si>
  <si>
    <t>Protein/Osmolality</t>
  </si>
  <si>
    <t>Protein/Osmolality; Protein/Osmolality Ratio</t>
  </si>
  <si>
    <t>A relative measurement (ratio or percentage) of total proteins to the osmolality of a biological specimen.</t>
  </si>
  <si>
    <t>Protein to Osmolality Ratio Measurement</t>
  </si>
  <si>
    <t>C117849</t>
  </si>
  <si>
    <t>PROTOZOA</t>
  </si>
  <si>
    <t>Protozoa</t>
  </si>
  <si>
    <t>A measurement of protozoa in a biological specimen.</t>
  </si>
  <si>
    <t>Protozoa Measurement</t>
  </si>
  <si>
    <t>C147422</t>
  </si>
  <si>
    <t>PROTPATN</t>
  </si>
  <si>
    <t>Protein Pattern</t>
  </si>
  <si>
    <t>A measurement of the protein band pattern in a biological specimen.</t>
  </si>
  <si>
    <t>Protein Pattern Measurement</t>
  </si>
  <si>
    <t>C191287</t>
  </si>
  <si>
    <t>PROTRPTL</t>
  </si>
  <si>
    <t>Protriptyline</t>
  </si>
  <si>
    <t>A measurement of the protriptyline present in a biological specimen.</t>
  </si>
  <si>
    <t>Protriptyline Measurement</t>
  </si>
  <si>
    <t>C139277</t>
  </si>
  <si>
    <t>PROTRSK</t>
  </si>
  <si>
    <t>Protocol Risk Assessment</t>
  </si>
  <si>
    <t>The risk of the protocol-defined activities, procedures, and interventions to the study subjects.</t>
  </si>
  <si>
    <t>C100436</t>
  </si>
  <si>
    <t>PROTS</t>
  </si>
  <si>
    <t>Protein S</t>
  </si>
  <si>
    <t>A measurement of the total protein S in a biological specimen.</t>
  </si>
  <si>
    <t>Protein S Measurement</t>
  </si>
  <si>
    <t>C122142</t>
  </si>
  <si>
    <t>PROTSFR</t>
  </si>
  <si>
    <t>Protein S, Free</t>
  </si>
  <si>
    <t>A measurement of the unbound protein S in a biological specimen.</t>
  </si>
  <si>
    <t>Free Protein S Measurement</t>
  </si>
  <si>
    <t>C117774</t>
  </si>
  <si>
    <t>PRSB</t>
  </si>
  <si>
    <t>PR Interval, Single Beat</t>
  </si>
  <si>
    <t>PQ Interval, Single Beat; PQSB; PR Interval, Single Beat</t>
  </si>
  <si>
    <t>An electrocardiographic interval measured from the onset of the P wave to the onset of the QRS complex of a single beat utilizing one or more leads.</t>
  </si>
  <si>
    <t>Single Beat PR Interval</t>
  </si>
  <si>
    <t>C209539</t>
  </si>
  <si>
    <t>PRSEGAG</t>
  </si>
  <si>
    <t>PR Segment, Aggregate</t>
  </si>
  <si>
    <t>An aggregate PR segment value based on the measurement of PR segment intervals from multiple beats within a single ECG. The method of aggregation, which can vary, is typically a measure of central tendency such as the mean.</t>
  </si>
  <si>
    <t>Aggregate PR Segment</t>
  </si>
  <si>
    <t>C209540</t>
  </si>
  <si>
    <t>PRSEGSB</t>
  </si>
  <si>
    <t>PR Segment, Single Beat</t>
  </si>
  <si>
    <t>An electrocardiographic interval measured from the end of the P wave to the onset of the QRS complex of a single beat utilizing one or more leads.</t>
  </si>
  <si>
    <t>Single Beat PR Segment</t>
  </si>
  <si>
    <t>C209613</t>
  </si>
  <si>
    <t>PRSPSN</t>
  </si>
  <si>
    <t>Presepsin</t>
  </si>
  <si>
    <t>Presepsin; sCD14-ST; Soluble CD14 Subtype</t>
  </si>
  <si>
    <t>A measurement of the presepsin in a biological specimen.</t>
  </si>
  <si>
    <t>Presepsin Measurement</t>
  </si>
  <si>
    <t>C184598</t>
  </si>
  <si>
    <t>PRSTNZL</t>
  </si>
  <si>
    <t>Prostanozol</t>
  </si>
  <si>
    <t>A measurement of the prostanozol in a biological specimen.</t>
  </si>
  <si>
    <t>Prostanozol Measurement</t>
  </si>
  <si>
    <t>C120836</t>
  </si>
  <si>
    <t>PRVPREGN</t>
  </si>
  <si>
    <t>Number of Previous Pregnancies</t>
  </si>
  <si>
    <t>A measurement of the total number of pregnancy events experienced by the female subject prior to the current pregnancy.</t>
  </si>
  <si>
    <t>C209614</t>
  </si>
  <si>
    <t>PRXNTHN</t>
  </si>
  <si>
    <t>Paraxanthine</t>
  </si>
  <si>
    <t>1,7-dimethylxanthine; Paraxanthine</t>
  </si>
  <si>
    <t>A measurement of the paraxanthine in a specimen.</t>
  </si>
  <si>
    <t>Paraxanthine Measurement</t>
  </si>
  <si>
    <t>C139080</t>
  </si>
  <si>
    <t>PRZPM</t>
  </si>
  <si>
    <t>Prazepam</t>
  </si>
  <si>
    <t>A measurement of the prazepam present in a biological specimen.</t>
  </si>
  <si>
    <t>Prazepam Measurement</t>
  </si>
  <si>
    <t>C17634</t>
  </si>
  <si>
    <t>PSA</t>
  </si>
  <si>
    <t>Prostate Specific Antigen</t>
  </si>
  <si>
    <t>A measurement of the total prostate specific antigen in a biological specimen.</t>
  </si>
  <si>
    <t>Prostate Specific Antigen Measurement</t>
  </si>
  <si>
    <t>C132383</t>
  </si>
  <si>
    <t>PSAF</t>
  </si>
  <si>
    <t>Prostate Specific Antigen, Free</t>
  </si>
  <si>
    <t>A measurement of the unbound prostate-specific antigen in a biological specimen.</t>
  </si>
  <si>
    <t>Free Prostate Specific Antigen Measurement</t>
  </si>
  <si>
    <t>C132384</t>
  </si>
  <si>
    <t>PSAFPSAT</t>
  </si>
  <si>
    <t>PSA, Free/PSA</t>
  </si>
  <si>
    <t>A relative measurement (percentage) of the free prostate specific antigen to total prostate specific antigen in a biological specimen.</t>
  </si>
  <si>
    <t>Free PSA to Total PSA Ratio Measurement</t>
  </si>
  <si>
    <t>C132385</t>
  </si>
  <si>
    <t>PSAMRNA</t>
  </si>
  <si>
    <t>Prostate Specific Antigen mRNA</t>
  </si>
  <si>
    <t>A measurement of the prostate-specific antigen mRNA in a biological specimen.</t>
  </si>
  <si>
    <t>Prostate Specific Antigen mRNA Measurement</t>
  </si>
  <si>
    <t>C74696</t>
  </si>
  <si>
    <t>PSDEPHD</t>
  </si>
  <si>
    <t>Pseudoephedrine</t>
  </si>
  <si>
    <t>A measurement of the pseudoephedrine present in a biological specimen.</t>
  </si>
  <si>
    <t>Pseudoephedrine Measurement</t>
  </si>
  <si>
    <t>C147423</t>
  </si>
  <si>
    <t>PSDGLSRF</t>
  </si>
  <si>
    <t>Phosphatidylglycerol/Lung Surfactant</t>
  </si>
  <si>
    <t>Phosphatidylglycerol/Lung Surfactant; Phosphatidylglycerol/Pulmonary Surfactant</t>
  </si>
  <si>
    <t>A relative measurement (ratio) of the phosphatidylglycerol to total lung surfactant in a biological specimen.</t>
  </si>
  <si>
    <t>Phosphatidylglycerol to Lung Surfactant Ratio Measurement</t>
  </si>
  <si>
    <t>C117850</t>
  </si>
  <si>
    <t>PSELECT</t>
  </si>
  <si>
    <t>P-Selectin</t>
  </si>
  <si>
    <t>GMP-140; P-Selectin</t>
  </si>
  <si>
    <t>A measurement of total P-selectin in a biological specimen.</t>
  </si>
  <si>
    <t>P-Selectin Measurement</t>
  </si>
  <si>
    <t>C120650</t>
  </si>
  <si>
    <t>PSELECTS</t>
  </si>
  <si>
    <t>Soluble P-Selectin</t>
  </si>
  <si>
    <t>A measurement of the soluble P-selectin in a biological specimen.</t>
  </si>
  <si>
    <t>Soluble P-Selectin Measurement</t>
  </si>
  <si>
    <t>C172384</t>
  </si>
  <si>
    <t>PSEUDOMO</t>
  </si>
  <si>
    <t>Pseudomonas</t>
  </si>
  <si>
    <t>A measurement of the organisms that are not assigned to the species level but are assigned to the Pseudomonas genus level in a biological specimen.</t>
  </si>
  <si>
    <t>Pseudomonas Measurement</t>
  </si>
  <si>
    <t>C166053</t>
  </si>
  <si>
    <t>PSHDNA</t>
  </si>
  <si>
    <t>Plesiomonas shigelloides DNA</t>
  </si>
  <si>
    <t>A measurement of the Plesiomonas shigelloides DNA in a biological specimen.</t>
  </si>
  <si>
    <t>Plesiomonas shigelloides DNA Measurement</t>
  </si>
  <si>
    <t>C75356</t>
  </si>
  <si>
    <t>PSLCYBN</t>
  </si>
  <si>
    <t>Psilocybin</t>
  </si>
  <si>
    <t>Magic Mushrooms; Psilocybin; Psilocybine</t>
  </si>
  <si>
    <t>A measurement of the psilocybin in a biological specimen.</t>
  </si>
  <si>
    <t>Psilocybine Measurement</t>
  </si>
  <si>
    <t>C209646</t>
  </si>
  <si>
    <t>PST</t>
  </si>
  <si>
    <t>Providencia stuartii</t>
  </si>
  <si>
    <t>A measurement of the Providencia staurtii in a biological specimen.</t>
  </si>
  <si>
    <t>Providencia stuartee Measurement</t>
  </si>
  <si>
    <t>C186213</t>
  </si>
  <si>
    <t>PSUSPIND</t>
  </si>
  <si>
    <t>Pregnancy Suspected Indicator</t>
  </si>
  <si>
    <t>An indication as to whether the subject or associated person suspects that they are pregnant at the time the question is asked.</t>
  </si>
  <si>
    <t>C62656</t>
  </si>
  <si>
    <t>PT</t>
  </si>
  <si>
    <t>Prothrombin Time</t>
  </si>
  <si>
    <t>A blood clotting measurement that evaluates the extrinsic pathway of coagulation.</t>
  </si>
  <si>
    <t>C98774</t>
  </si>
  <si>
    <t>PTA</t>
  </si>
  <si>
    <t>Prothrombin Activity</t>
  </si>
  <si>
    <t>Factor II Activity; Prothrombin Activity</t>
  </si>
  <si>
    <t>A measurement of the biological activity of coagulation factor prothrombin in a biological specimen.</t>
  </si>
  <si>
    <t>Prothrombin Activity Measurement</t>
  </si>
  <si>
    <t>C170591</t>
  </si>
  <si>
    <t>PTAC</t>
  </si>
  <si>
    <t>Prothrombin Time Actual/Control</t>
  </si>
  <si>
    <t>A relative measurement (ratio or percentage) of the prothrombin time in a subject's specimen when compared to a control specimen.</t>
  </si>
  <si>
    <t>Prothrombin Time Actual to Control Ratio Measurement</t>
  </si>
  <si>
    <t>C176312</t>
  </si>
  <si>
    <t>PTAUAB42</t>
  </si>
  <si>
    <t>Phosphorylated Tau Prot/Amyloid Beta1-42</t>
  </si>
  <si>
    <t>Phosphorylated Tau Prot/Amyloid Beta1-42; Phosphorylated Tau Protein/Amyloid Beta 1-42</t>
  </si>
  <si>
    <t>A relative measurement (ratio) of the phosphorylated Tau protein to amyloid beta 1-42 in a biological specimen.</t>
  </si>
  <si>
    <t>Phosphorylated Tau Protein to Amyloid Beta1-42 Ratio Measurement</t>
  </si>
  <si>
    <t>C135473</t>
  </si>
  <si>
    <t>PTBCPLTS</t>
  </si>
  <si>
    <t>Peritubular Capillaritis</t>
  </si>
  <si>
    <t>An evaluation of peritubular capillaritis in a biological specimen.</t>
  </si>
  <si>
    <t>Peritubular Capillaritis Assessment</t>
  </si>
  <si>
    <t>C147470</t>
  </si>
  <si>
    <t>PTEN</t>
  </si>
  <si>
    <t>Phosphatase and Tensin Homolog</t>
  </si>
  <si>
    <t>A measurement of the phosphatase and tensin homolog in a biological specimen.</t>
  </si>
  <si>
    <t>Phosphatase and Tensin Homolog Measurement</t>
  </si>
  <si>
    <t>C189514</t>
  </si>
  <si>
    <t>PTF1</t>
  </si>
  <si>
    <t>Prothrombin Fragment 1</t>
  </si>
  <si>
    <t>A measurement of the prothrombin fragment 1 in a biological specimen.</t>
  </si>
  <si>
    <t>Prothrombin Fragment 1 Measurement</t>
  </si>
  <si>
    <t>C82034</t>
  </si>
  <si>
    <t>PTF1_2</t>
  </si>
  <si>
    <t>Prothrombin Fragments 1 + 2</t>
  </si>
  <si>
    <t>A measurement of the prothrombin fragments 1 and 2 in a biological specimen.</t>
  </si>
  <si>
    <t>Prothrombin Fragments 1 and 2 Measurement</t>
  </si>
  <si>
    <t>C189513</t>
  </si>
  <si>
    <t>PTF2</t>
  </si>
  <si>
    <t>Prothrombin Fragment 2</t>
  </si>
  <si>
    <t>A measurement of the prothrombin fragment 2 in a biological specimen.</t>
  </si>
  <si>
    <t>Prothrombin Fragment 2 Measurement</t>
  </si>
  <si>
    <t>C81964</t>
  </si>
  <si>
    <t>PTHCT</t>
  </si>
  <si>
    <t>Parathyroid Hormone, C-Terminal</t>
  </si>
  <si>
    <t>Parathyrin Hormone, C-Terminal; Parathyroid Hormone, C-Terminal</t>
  </si>
  <si>
    <t>A measurement of the C-terminal fragment of parathyroid hormone in a biological specimen.</t>
  </si>
  <si>
    <t>C-Terminal Parathyroid Hormone Measurement</t>
  </si>
  <si>
    <t>C74784</t>
  </si>
  <si>
    <t>PTHFG</t>
  </si>
  <si>
    <t>Parathyroid Hormone, Fragmented</t>
  </si>
  <si>
    <t>Parathyrin Hormone, Fragmented; Parathyroid Hormone, Fragmented</t>
  </si>
  <si>
    <t>A measurement of the fragmented parathyroid hormone in a biological specimen.</t>
  </si>
  <si>
    <t>Fragmented Parathyroid Hormone Measurement</t>
  </si>
  <si>
    <t>C74789</t>
  </si>
  <si>
    <t>PTHI</t>
  </si>
  <si>
    <t>Parathyroid Hormone, Intact</t>
  </si>
  <si>
    <t>Parathyrin, Intact; Parathyroid Hormone, Intact</t>
  </si>
  <si>
    <t>A measurement of the intact parathyroid hormone (consisting of amino acids 1-84 or 7-84) in a biological specimen.</t>
  </si>
  <si>
    <t>Intact Parathyroid Hormone Measurement</t>
  </si>
  <si>
    <t>C81965</t>
  </si>
  <si>
    <t>PTHMM</t>
  </si>
  <si>
    <t>Parathyroid Hormone, Mid-Molecule</t>
  </si>
  <si>
    <t>Parathyrin Hormone, Mid-Molecule; Parathyroid Hormone, Mid-Molecule</t>
  </si>
  <si>
    <t>A measurement of the mid-molecule fragment of parathyroid hormone in a biological specimen.</t>
  </si>
  <si>
    <t>Mid-Molecule Parathyroid Hormone Measurement</t>
  </si>
  <si>
    <t>C81966</t>
  </si>
  <si>
    <t>PTHNT</t>
  </si>
  <si>
    <t>Parathyroid Hormone, N-Terminal</t>
  </si>
  <si>
    <t>Parathyrin Hormone, N-Terminal; Parathyroid Hormone, N-Terminal</t>
  </si>
  <si>
    <t>A measurement of the N-terminal fragment of parathyroid hormone in a biological specimen.</t>
  </si>
  <si>
    <t>N-Terminal Parathyroid Hormone Measurement</t>
  </si>
  <si>
    <t>C117851</t>
  </si>
  <si>
    <t>PTHRP</t>
  </si>
  <si>
    <t>Parathyroid Hormone-related Protein</t>
  </si>
  <si>
    <t>Parathyrin Hormone-related Protein; Parathyroid Hormone-related Peptide; Parathyroid Hormone-related Protein</t>
  </si>
  <si>
    <t>A measurement of parathyroid hormone-related protein in a biological specimen.</t>
  </si>
  <si>
    <t>Parathyroid Hormone-related Protein Measurement</t>
  </si>
  <si>
    <t>C103451</t>
  </si>
  <si>
    <t>PTHW</t>
  </si>
  <si>
    <t>Parathyroid Hormone, Whole</t>
  </si>
  <si>
    <t>Parathyrin Hormone, Whole; Parathyroid Hormone, Whole</t>
  </si>
  <si>
    <t>A measurement of the whole parathyroid hormone (consisting of amino acids 1-84) in a biological specimen.</t>
  </si>
  <si>
    <t>Whole Parathyroid Hormone Measurement</t>
  </si>
  <si>
    <t>C102381</t>
  </si>
  <si>
    <t>PTROUGHR</t>
  </si>
  <si>
    <t>Peak Trough Ratio</t>
  </si>
  <si>
    <t>The maximum concentration during a dosing interval divided by the concentration at the end of the dosing interval.</t>
  </si>
  <si>
    <t>C139276</t>
  </si>
  <si>
    <t>PTRTDUR</t>
  </si>
  <si>
    <t>Planned Treatment Duration</t>
  </si>
  <si>
    <t>The period of time during which the treatment is intended to be given.</t>
  </si>
  <si>
    <t>C147424</t>
  </si>
  <si>
    <t>PTSAAC</t>
  </si>
  <si>
    <t>Protein S Activity Actual/Control</t>
  </si>
  <si>
    <t>Protein S Activity Actual/Control; Protein S Activity Actual/Normal; Protein S Activity Actual/Protein S Activity Control</t>
  </si>
  <si>
    <t>A relative measurement (ratio or percentage) of the biological activity of protein S in a subject's specimen when compared to the same activity in a control specimen.</t>
  </si>
  <si>
    <t>Protein S Activity Actual to Control Ratio Measurement</t>
  </si>
  <si>
    <t>C170593</t>
  </si>
  <si>
    <t>PTSAC</t>
  </si>
  <si>
    <t>Protein S Actual/Control</t>
  </si>
  <si>
    <t>A relative measurement (ratio or percentage) of the protein S in a subject's specimen when compared to a control specimen.</t>
  </si>
  <si>
    <t>Protein S Actual to Control Ratio Measurement</t>
  </si>
  <si>
    <t>C147425</t>
  </si>
  <si>
    <t>PTSFAAC</t>
  </si>
  <si>
    <t>Protein S Free Activity Actual/Control</t>
  </si>
  <si>
    <t>Protein S Free Activity Actual/Control; Protein S Free Activity Actual/Normal; Protein S Free Activity Actual/Protein S Free Activity Control</t>
  </si>
  <si>
    <t>A relative measurement (ratio or percentage) of the biological activity of free protein S in a subject's specimen when compared to the same activity in a control specimen.</t>
  </si>
  <si>
    <t>Free Protein S Activity Actual to Control Ratio Measurement</t>
  </si>
  <si>
    <t>C170596</t>
  </si>
  <si>
    <t>PTSFAC</t>
  </si>
  <si>
    <t>Protein S, Free Actual/Control</t>
  </si>
  <si>
    <t>A relative measurement (ratio or percentage) of the free protein S in a subject's specimen when compared to a control specimen.</t>
  </si>
  <si>
    <t>Free Protein S Actual to Control Ratio Measurement</t>
  </si>
  <si>
    <t>C172602</t>
  </si>
  <si>
    <t>PTSIND</t>
  </si>
  <si>
    <t>Primary Tumor Site Indicator</t>
  </si>
  <si>
    <t>An indication as to whether an anatomical location is the primary tumor site of disease.</t>
  </si>
  <si>
    <t>C178140</t>
  </si>
  <si>
    <t>PTT</t>
  </si>
  <si>
    <t>Partial Thromboplastin Time</t>
  </si>
  <si>
    <t>A measurement of the length of time that it takes for clotting to occur when no activating reagents are added to a biological specimen. The test is partial due to the absence of tissue factor (Factor III) from the reaction mixture.</t>
  </si>
  <si>
    <t>C187818</t>
  </si>
  <si>
    <t>PTTSTND</t>
  </si>
  <si>
    <t>PTT/Standard</t>
  </si>
  <si>
    <t>Partial Thromboplastin Time/Standard Thromboplastin Time; PTT/Standard; PTT/Standard PTT</t>
  </si>
  <si>
    <t>A relative measurement (ratio or percentage) of the subject's partial thromboplastin time to a standard or control partial thromboplastin time.</t>
  </si>
  <si>
    <t>Partial Thromboplastin Time to Standard Thromboplastin Time Ratio Measurement</t>
  </si>
  <si>
    <t>C209679</t>
  </si>
  <si>
    <t>PUBAGE</t>
  </si>
  <si>
    <t>Puberty Age</t>
  </si>
  <si>
    <t>The age at which puberty began.</t>
  </si>
  <si>
    <t>C209680</t>
  </si>
  <si>
    <t>PUBIND</t>
  </si>
  <si>
    <t>Puberty Indicator</t>
  </si>
  <si>
    <t>An indication as to whether the individual is undergoing or has undergone puberty.</t>
  </si>
  <si>
    <t>C127797</t>
  </si>
  <si>
    <t>PUBMEDID</t>
  </si>
  <si>
    <t>PubMed ID for Citation Used in Study</t>
  </si>
  <si>
    <t>A globally unique identifier for a biomedical article, as assigned by PubMed.</t>
  </si>
  <si>
    <t>PubMed Unique Identifier</t>
  </si>
  <si>
    <t>C49676</t>
  </si>
  <si>
    <t>PULSE</t>
  </si>
  <si>
    <t>Pulse Rate</t>
  </si>
  <si>
    <t>The rate of the pulse as observed in an artery, expressed as beats per minute. It can be measured at several anatomical sites, including the wrist, neck, temple, groin, behind the knees, or on top of the foot. (NCI)</t>
  </si>
  <si>
    <t>C100945</t>
  </si>
  <si>
    <t>PULSEPR</t>
  </si>
  <si>
    <t>Pulse Pressure</t>
  </si>
  <si>
    <t>The change in systolic to diastolic pressure which produces a pulse.</t>
  </si>
  <si>
    <t>C161359</t>
  </si>
  <si>
    <t>PUS</t>
  </si>
  <si>
    <t>Pus</t>
  </si>
  <si>
    <t>A measurement of the pus in a biological specimen.</t>
  </si>
  <si>
    <t>Pus Measurement</t>
  </si>
  <si>
    <t>C154882</t>
  </si>
  <si>
    <t>PUSTIND</t>
  </si>
  <si>
    <t>Pustule Indicator</t>
  </si>
  <si>
    <t>An indication as to whether a pustule is present.</t>
  </si>
  <si>
    <t>C127587</t>
  </si>
  <si>
    <t>PVEINDOM</t>
  </si>
  <si>
    <t>Pulmonary Vein Dominance</t>
  </si>
  <si>
    <t>The determination of whether blood flow in the pulmonary veins is greater during ventricular systole or diastole.</t>
  </si>
  <si>
    <t>C119247</t>
  </si>
  <si>
    <t>PVR</t>
  </si>
  <si>
    <t>Pulmonary Vascular Resistance</t>
  </si>
  <si>
    <t>The resistance to blood flow through the pulmonary vasculature.</t>
  </si>
  <si>
    <t>C127588</t>
  </si>
  <si>
    <t>PVRGF</t>
  </si>
  <si>
    <t>Pulmonary Valve Regurgitant Fraction</t>
  </si>
  <si>
    <t>A measurement of the volume of retrograde blood flow across the orifice of the pulmonic valve expressed as a percentage of the anterograde flow volume.</t>
  </si>
  <si>
    <t>C127589</t>
  </si>
  <si>
    <t>PVRGJW</t>
  </si>
  <si>
    <t>Pulmonic Valve Regurgitant Jet Width</t>
  </si>
  <si>
    <t>The measured width of the regurgitant jet of blood into the right ventricular outflow tract.</t>
  </si>
  <si>
    <t>C127590</t>
  </si>
  <si>
    <t>PVRGVOL</t>
  </si>
  <si>
    <t>Pulmonary Valve Regurgitant Volume</t>
  </si>
  <si>
    <t>A measurement of the volume of retrograde blood flow across the orifice of the pulmonic valve.</t>
  </si>
  <si>
    <t>C209647</t>
  </si>
  <si>
    <t>PVU</t>
  </si>
  <si>
    <t>Proteus vulgaris</t>
  </si>
  <si>
    <t>A measurement of the Proteus vulgaris in a biological specimen.</t>
  </si>
  <si>
    <t>Proteus vulgaris Measurement</t>
  </si>
  <si>
    <t>C127591</t>
  </si>
  <si>
    <t>PVVCA</t>
  </si>
  <si>
    <t>Pulmonary Valve Vena Contracta Area</t>
  </si>
  <si>
    <t>The area of the vena contracta of the pulmonic valve.</t>
  </si>
  <si>
    <t>C127592</t>
  </si>
  <si>
    <t>PVVCW</t>
  </si>
  <si>
    <t>Pulmonary Valve Vena Contracta Width</t>
  </si>
  <si>
    <t>The width of the vena contracta of the pulmonic valve.</t>
  </si>
  <si>
    <t>C117775</t>
  </si>
  <si>
    <t>PWDURAG</t>
  </si>
  <si>
    <t>P Wave Duration, Aggregate</t>
  </si>
  <si>
    <t>An aggregate P wave duration value based on the measurement of P wave duration intervals from multiple beats within a single ECG. The method of aggregation, which can vary, is typically a measure of central tendency such as the mean.</t>
  </si>
  <si>
    <t>Aggregate P Wave Duration</t>
  </si>
  <si>
    <t>C117776</t>
  </si>
  <si>
    <t>PWDURSB</t>
  </si>
  <si>
    <t>P Wave Duration, Single Beat</t>
  </si>
  <si>
    <t>An electrocardiographic interval measured from the onset of the P wave to the offset of the P wave of a single beat utilizing one or more leads.</t>
  </si>
  <si>
    <t>Single Beat P Wave Duration</t>
  </si>
  <si>
    <t>C117777</t>
  </si>
  <si>
    <t>PWHTAG</t>
  </si>
  <si>
    <t>P Wave Amplitude, Aggregate</t>
  </si>
  <si>
    <t>An aggregate P wave amplitude value based on the measurement of P wave amplitudes from multiple beats within a single ECG. The method of aggregation, which can vary, is typically a measure of central tendency such as the mean.</t>
  </si>
  <si>
    <t>Aggregate P Wave Amplitude</t>
  </si>
  <si>
    <t>C117778</t>
  </si>
  <si>
    <t>PWHTSB</t>
  </si>
  <si>
    <t>P Wave Amplitude, Single Beat</t>
  </si>
  <si>
    <t>An electrocardiographic measurement of the mean amplitude (usually measured in mm) of the P wave measured from the isoelectric baseline to the peak of the P wave of a single beat utilizing one or more leads. Based on the recording gain, this measurement i</t>
  </si>
  <si>
    <t>Single Beat P Wave Amplitude</t>
  </si>
  <si>
    <t>C122087</t>
  </si>
  <si>
    <t>PWV</t>
  </si>
  <si>
    <t>Pulse Wave Velocity</t>
  </si>
  <si>
    <t>The distance traveled by the peak of the ventricular ejection pressure wave per unit of time.</t>
  </si>
  <si>
    <t>C147426</t>
  </si>
  <si>
    <t>PYDCREAT</t>
  </si>
  <si>
    <t>Pyridinoline/Creatinine</t>
  </si>
  <si>
    <t>A relative measurement (ratio or percentage) of the pyridinoline to creatinine in a biological specimen.</t>
  </si>
  <si>
    <t>Pyridinoline to Creatinine Ratio Measurement</t>
  </si>
  <si>
    <t>C156470</t>
  </si>
  <si>
    <t>PYK</t>
  </si>
  <si>
    <t>Pyruvate Kinase</t>
  </si>
  <si>
    <t>PK; Pyruvate Kinase</t>
  </si>
  <si>
    <t>A measurement of the total pyruvate kinase in a biological specimen.</t>
  </si>
  <si>
    <t>Pyruvate Kinase Measurement</t>
  </si>
  <si>
    <t>C189346</t>
  </si>
  <si>
    <t>PYKCE</t>
  </si>
  <si>
    <t>Pyknotic Cells</t>
  </si>
  <si>
    <t>Karyopyknotic Cells; Pyknotic Cells</t>
  </si>
  <si>
    <t>A measurement of the pyknotic cells in a biological specimen.</t>
  </si>
  <si>
    <t>Pyknotic Cell Count</t>
  </si>
  <si>
    <t>C156524</t>
  </si>
  <si>
    <t>PYOCYTES</t>
  </si>
  <si>
    <t>Pyocytes</t>
  </si>
  <si>
    <t>A measurement of the pyocytes in a biological specimen.</t>
  </si>
  <si>
    <t>Pyocytes Measurement</t>
  </si>
  <si>
    <t>C80211</t>
  </si>
  <si>
    <t>PYRIDNLN</t>
  </si>
  <si>
    <t>Pyridinoline</t>
  </si>
  <si>
    <t>A measurement of the pyridinoline in a biological specimen.</t>
  </si>
  <si>
    <t>Pyridinoline Measurement</t>
  </si>
  <si>
    <t>C184643</t>
  </si>
  <si>
    <t>PYROVLRN</t>
  </si>
  <si>
    <t>Pyrovalerone</t>
  </si>
  <si>
    <t>A measurement of the pyrovalerone in a biological specimen.</t>
  </si>
  <si>
    <t>Pyrovalerone Measurement</t>
  </si>
  <si>
    <t>C147427</t>
  </si>
  <si>
    <t>PYRUVATE</t>
  </si>
  <si>
    <t>Pyruvate</t>
  </si>
  <si>
    <t>Pyruvate; Pyruvic Acid</t>
  </si>
  <si>
    <t>A measurement of the pyruvate in a biological specimen.</t>
  </si>
  <si>
    <t>Pyruvate Measurement</t>
  </si>
  <si>
    <t>C178047</t>
  </si>
  <si>
    <t>PYSACMSB</t>
  </si>
  <si>
    <t>Polysaccharides and Mucosubstances</t>
  </si>
  <si>
    <t>A measurement of the polysaccharides and mucosubstances in a biological specimen.</t>
  </si>
  <si>
    <t>Polysaccharides and Mucosubstances Measurement</t>
  </si>
  <si>
    <t>C80202</t>
  </si>
  <si>
    <t>PYY</t>
  </si>
  <si>
    <t>Peptide YY</t>
  </si>
  <si>
    <t>Peptide Tyrosine Tyrosine; Peptide YY</t>
  </si>
  <si>
    <t>A measurement of the peptide YY in a biological specimen.</t>
  </si>
  <si>
    <t>Peptide YY Measurement</t>
  </si>
  <si>
    <t>C118165</t>
  </si>
  <si>
    <t>QRS_AXIS</t>
  </si>
  <si>
    <t>QRS Axis</t>
  </si>
  <si>
    <t>A numerical representation of the electrocardiographic vector assessed at maximum deviation of the QRS complex from the isoelectric baseline, usually reported for the frontal plane.</t>
  </si>
  <si>
    <t>C117779</t>
  </si>
  <si>
    <t>QRSAG</t>
  </si>
  <si>
    <t>QRS Duration, Aggregate</t>
  </si>
  <si>
    <t>An aggregate QRS value based on the measurement of QRS intervals from multiple beats within a single ECG. The method of aggregation, which can vary, is typically a measure of central tendency such as the mean.</t>
  </si>
  <si>
    <t>Aggregate QRS Duration</t>
  </si>
  <si>
    <t>C117780</t>
  </si>
  <si>
    <t>QRSSB</t>
  </si>
  <si>
    <t>QRS Duration, Single Beat</t>
  </si>
  <si>
    <t>An electrocardiographic interval measured from the onset of the QRS complex to the offset of the QRS complex of a single beat utilizing one or more leads.</t>
  </si>
  <si>
    <t>Single Beat QRS Duration</t>
  </si>
  <si>
    <t>C117781</t>
  </si>
  <si>
    <t>QRVDVPAG</t>
  </si>
  <si>
    <t>QRS Duration, Ventr. Paced, Aggregate</t>
  </si>
  <si>
    <t>An aggregate paced QRS duration value based on the measurement of paced QRS duration intervals from multiple beats within a single ECG. The method of aggregation, which can vary, is typically a measure of central tendency such as the mean.</t>
  </si>
  <si>
    <t>Paced Ventricular Aggregate QRS Duration</t>
  </si>
  <si>
    <t>C117782</t>
  </si>
  <si>
    <t>QRVDVPSB</t>
  </si>
  <si>
    <t>QRS Duration, Ventr. Paced, Single Beat</t>
  </si>
  <si>
    <t>An electrocardiographic interval measured from the onset of the paced QRS complex to the offset of the QRS complex of a single beat utilizing one or more leads.</t>
  </si>
  <si>
    <t>Paced Ventricular Single Beat QRS Duration</t>
  </si>
  <si>
    <t>C117783</t>
  </si>
  <si>
    <t>QTAG</t>
  </si>
  <si>
    <t>QT Interval, Aggregate</t>
  </si>
  <si>
    <t>An aggregate QT value based on the measurement of QT intervals from multiple beats within a single ECG. The method of aggregation, which can vary, is typically a measure of central tendency such as the mean.</t>
  </si>
  <si>
    <t>Aggregate QT Interval</t>
  </si>
  <si>
    <t>C124332</t>
  </si>
  <si>
    <t>QTCAAG</t>
  </si>
  <si>
    <t>QTca Interval, Aggregate</t>
  </si>
  <si>
    <t>A QT Aggregate interval that is corrected for heart rate using individual probabilistic QT/RR slopes for each subject, based on the measurement of QT intervals from multiple beats within a single ECG or period of a continuous ECG. The method of aggregatio</t>
  </si>
  <si>
    <t>Aggregate QTca Interval</t>
  </si>
  <si>
    <t>C124333</t>
  </si>
  <si>
    <t>QTCASB</t>
  </si>
  <si>
    <t>QTca Interval, Single Beat</t>
  </si>
  <si>
    <t>A QT interval that is corrected for heart rate using individual probabilistic QT/RR slopes for each subject, based on a QT interval measured on a single beat utilizing one or more ECG leads.</t>
  </si>
  <si>
    <t>Single Beat QTca Interval</t>
  </si>
  <si>
    <t>C117784</t>
  </si>
  <si>
    <t>QTCBAG</t>
  </si>
  <si>
    <t>QTcB Interval, Aggregate</t>
  </si>
  <si>
    <t>A QT aggregate interval that is corrected for heart rate using Bazett's formula, based on the measurement of QT intervals from multiple beats within a single ECG. The method of aggregation, which can vary, is typically a measure of central tendency such a</t>
  </si>
  <si>
    <t>Aggregate QTCB Interval</t>
  </si>
  <si>
    <t>C117785</t>
  </si>
  <si>
    <t>QTCBSB</t>
  </si>
  <si>
    <t>QTcB Interval, Single Beat</t>
  </si>
  <si>
    <t>A QT single beat interval that is corrected for heart rate using Bazett's formula, based on a QT interval measured on a single beat utilizing one or more ECG leads.</t>
  </si>
  <si>
    <t>Single Beat QTCB Interval</t>
  </si>
  <si>
    <t>C117786</t>
  </si>
  <si>
    <t>QTCFAG</t>
  </si>
  <si>
    <t>QTcF Interval, Aggregate</t>
  </si>
  <si>
    <t>A QT aggregate interval that is corrected for heart rate using Fridericia's formula, based on the measurement of QT intervals from multiple beats within a single ECG. The method of aggregation, which can vary, is typically a measure of central tendency su</t>
  </si>
  <si>
    <t>Aggregate QTCF Interval</t>
  </si>
  <si>
    <t>C117787</t>
  </si>
  <si>
    <t>QTCFSB</t>
  </si>
  <si>
    <t>QTcF Interval, Single Beat</t>
  </si>
  <si>
    <t>A QT single beat interval that is corrected for heart rate using Fridericia's formula, based on a QT interval measured on a single beat utilizing one or more ECG leads.</t>
  </si>
  <si>
    <t>Single Beat QTCF Interval</t>
  </si>
  <si>
    <t>C123448</t>
  </si>
  <si>
    <t>QTCLAG</t>
  </si>
  <si>
    <t>QTcL Interval, Aggregate</t>
  </si>
  <si>
    <t>A QT aggregate interval corrected for heart rate using a linear correction formula.</t>
  </si>
  <si>
    <t>Aggregate QTcL Interval</t>
  </si>
  <si>
    <t>C123449</t>
  </si>
  <si>
    <t>QTCLSB</t>
  </si>
  <si>
    <t>QTcL Interval, Single Beat</t>
  </si>
  <si>
    <t>A QT single beat interval corrected for heart rate using a linear correction formula.</t>
  </si>
  <si>
    <t>Single Beat QTcL Interval</t>
  </si>
  <si>
    <t>C100391</t>
  </si>
  <si>
    <t>QTCUNS</t>
  </si>
  <si>
    <t>QTc Correction Method Unspecified</t>
  </si>
  <si>
    <t>A QT interval that is corrected for heart rate by unspecified correction method, or by non-standard correction methods.</t>
  </si>
  <si>
    <t>Corrected QT Interval</t>
  </si>
  <si>
    <t>C174285</t>
  </si>
  <si>
    <t>QTCUNSAG</t>
  </si>
  <si>
    <t>QTc Corr Method Unspecified, Aggregate</t>
  </si>
  <si>
    <t>QTc Corr Method Unspecified, Aggregate; QTc Correction Method Unspecified, Aggregate</t>
  </si>
  <si>
    <t>A QT aggregate interval that is corrected for heart rate by unspecified correction method, or by non-standard correction methods.</t>
  </si>
  <si>
    <t>QTc Correction Method Unspecified, Aggregate</t>
  </si>
  <si>
    <t>C174286</t>
  </si>
  <si>
    <t>QTCUNSSB</t>
  </si>
  <si>
    <t>QTc Corr Method Unspecified, Single Beat</t>
  </si>
  <si>
    <t>QTc Corr Method Unspecified, Single Beat; QTc Correction Method Unspecified, Single Beat</t>
  </si>
  <si>
    <t>A QT interval that is corrected for heart rate by unspecified correction method, or by non-standard correction methods, based on a QT interval measured on a single beat utilizing one or more ECG leads.</t>
  </si>
  <si>
    <t>QTc Correction Method Unspecified, Single Beat</t>
  </si>
  <si>
    <t>C123450</t>
  </si>
  <si>
    <t>QTCVAG</t>
  </si>
  <si>
    <t>QTcV Interval, Aggregate</t>
  </si>
  <si>
    <t>A QT aggregate interval corrected for heart rate using the Van der Water's correction formula.</t>
  </si>
  <si>
    <t>Aggregate QTcV Interval</t>
  </si>
  <si>
    <t>C123451</t>
  </si>
  <si>
    <t>QTCVSB</t>
  </si>
  <si>
    <t>QTcV Interval, Single Beat</t>
  </si>
  <si>
    <t>A QT single beat interval corrected for heart rate using the Van der Water's correction formula.</t>
  </si>
  <si>
    <t>Single Beat QTcV Interval</t>
  </si>
  <si>
    <t>C62135</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</si>
  <si>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</si>
  <si>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</si>
  <si>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t>
  </si>
  <si>
    <t>Maximum QT Duration</t>
  </si>
  <si>
    <t>C62133</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</si>
  <si>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</si>
  <si>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</si>
  <si>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t>
  </si>
  <si>
    <t>Minimum QT Duration</t>
  </si>
  <si>
    <t>C117788</t>
  </si>
  <si>
    <t>QTSB</t>
  </si>
  <si>
    <t>QT Interval, Single Beat</t>
  </si>
  <si>
    <t>An electrocardiographic interval measured from the onset of the QRS complex to the offset of the T wave of a single beat utilizing one or more leads.</t>
  </si>
  <si>
    <t>Single Beat QT Interval</t>
  </si>
  <si>
    <t>C139255</t>
  </si>
  <si>
    <t>QUASCOMP</t>
  </si>
  <si>
    <t>Quasi-Static Compliance</t>
  </si>
  <si>
    <t>The static elastic recoil pressure of the lungs at a given lung volume.</t>
  </si>
  <si>
    <t>C177965</t>
  </si>
  <si>
    <t>QUETIAPN</t>
  </si>
  <si>
    <t>Quetiapine</t>
  </si>
  <si>
    <t>A measurement of the quetiapine in a biological specimen.</t>
  </si>
  <si>
    <t>Quetiapine Measurement</t>
  </si>
  <si>
    <t>C184634</t>
  </si>
  <si>
    <t>QUZPM</t>
  </si>
  <si>
    <t>Quazepam</t>
  </si>
  <si>
    <t>A measurement of the quazepam in a biological specimen.</t>
  </si>
  <si>
    <t>Quazepam Measurement</t>
  </si>
  <si>
    <t>C117789</t>
  </si>
  <si>
    <t>QWAAG</t>
  </si>
  <si>
    <t>Q Wave Amplitude, Aggregate</t>
  </si>
  <si>
    <t>An aggregate Q wave amplitude value based on the measurement of Q wave amplitudes from multiple beats within a single ECG. The method of aggregation, which can vary, is typically a measure of central tendency such as the mean.</t>
  </si>
  <si>
    <t>Aggregate Q Wave Amplitude</t>
  </si>
  <si>
    <t>C117790</t>
  </si>
  <si>
    <t>QWASB</t>
  </si>
  <si>
    <t>Q Wave Amplitude, Single Beat</t>
  </si>
  <si>
    <t>An electrocardiographic measurement of the mean amplitude (usually measured in mm) of the Q wave measured from the isoelectric baseline to the peak of the Q wave of a single beat utilizing one or more leads. Based on the recording gain, this measurement m</t>
  </si>
  <si>
    <t>Single Beat Q Wave Amplitude</t>
  </si>
  <si>
    <t>C85542</t>
  </si>
  <si>
    <t>R2</t>
  </si>
  <si>
    <t>R Squared</t>
  </si>
  <si>
    <t>The goodness of fit statistic for the terminal elimination phase.</t>
  </si>
  <si>
    <t>C85553</t>
  </si>
  <si>
    <t>R2ADJ</t>
  </si>
  <si>
    <t>R Squared Adjusted</t>
  </si>
  <si>
    <t>The goodness of fit statistic for the terminal elimination phase, adjusted for the number of time points used in the estimation of Lambda z.</t>
  </si>
  <si>
    <t>Adjusted R Squared</t>
  </si>
  <si>
    <t>C156471</t>
  </si>
  <si>
    <t>RAAUC</t>
  </si>
  <si>
    <t>Ratio AUC</t>
  </si>
  <si>
    <t>The ratio of two AUC values.</t>
  </si>
  <si>
    <t>Area Under the Curve Ratio</t>
  </si>
  <si>
    <t>C176344</t>
  </si>
  <si>
    <t>RAAUCALL</t>
  </si>
  <si>
    <t>Ratio AUC All</t>
  </si>
  <si>
    <t>The ratio of two AUC All values.</t>
  </si>
  <si>
    <t>AUC All Ratio</t>
  </si>
  <si>
    <t>C156578</t>
  </si>
  <si>
    <t>RAAUCIFO</t>
  </si>
  <si>
    <t>Ratio AUC Infinity Obs</t>
  </si>
  <si>
    <t>The ratio of two AUC infinity observed values.</t>
  </si>
  <si>
    <t>Area Under the Curve Ratio Infinity Observed</t>
  </si>
  <si>
    <t>C156577</t>
  </si>
  <si>
    <t>RAAUCIFP</t>
  </si>
  <si>
    <t>Ratio AUC Infinity Pred</t>
  </si>
  <si>
    <t>The ratio of two AUC infinity predicted values.</t>
  </si>
  <si>
    <t>Area Under the Curve Ratio Infinity Predicted</t>
  </si>
  <si>
    <t>C176349</t>
  </si>
  <si>
    <t>RAAUCIND</t>
  </si>
  <si>
    <t>Ratio AUC from T1 to T2 Norm by Dose</t>
  </si>
  <si>
    <t>The ratio of two AUC from T1 to T2 normalized by dose values.</t>
  </si>
  <si>
    <t>Ratio AUC from T1 to T2 Normalized by Dose</t>
  </si>
  <si>
    <t>C176236</t>
  </si>
  <si>
    <t>RAAUCINT</t>
  </si>
  <si>
    <t>Ratio AUC from T1 to T2</t>
  </si>
  <si>
    <t>The ratio of two AUC from T1 to T2 values.</t>
  </si>
  <si>
    <t>Ratio AUC From T1 to T2</t>
  </si>
  <si>
    <t>C176348</t>
  </si>
  <si>
    <t>RAAUCIOD</t>
  </si>
  <si>
    <t>Ratio AUC Infinity Obs Norm by Dose</t>
  </si>
  <si>
    <t>The ratio of two AUC infinity observed normalized by dose values.</t>
  </si>
  <si>
    <t>Ratio AUC Infinity Observed Normalized by Dose</t>
  </si>
  <si>
    <t>C176350</t>
  </si>
  <si>
    <t>RAAUCLSD</t>
  </si>
  <si>
    <t>RatioAUC to Last Nonzero Conc NormByDose</t>
  </si>
  <si>
    <t>Ratio AUC to Last Nonzero Conc Norm by Dose</t>
  </si>
  <si>
    <t>The ratio of two AUC to last nonzero concentration normalized by dose values.</t>
  </si>
  <si>
    <t>Ratio AUC to Last Nonzero Concentration Normalized by Dose</t>
  </si>
  <si>
    <t>C176237</t>
  </si>
  <si>
    <t>RAAUCLST</t>
  </si>
  <si>
    <t>Ratio AUC to Last Nonzero Conc</t>
  </si>
  <si>
    <t>The ratio of two AUC to last nonzero concentration values.</t>
  </si>
  <si>
    <t>Ratio AUC to Last Nonzero Concentration</t>
  </si>
  <si>
    <t>C176351</t>
  </si>
  <si>
    <t>RAAUCTAU</t>
  </si>
  <si>
    <t>Ratio AUC Over Dosing Interval</t>
  </si>
  <si>
    <t>The ratio of two AUCTAU values.</t>
  </si>
  <si>
    <t>C176345</t>
  </si>
  <si>
    <t>RACAVG</t>
  </si>
  <si>
    <t>Ratio Average Concentration</t>
  </si>
  <si>
    <t>The ratio of two average concentration values.</t>
  </si>
  <si>
    <t>Average Concentration Ratio</t>
  </si>
  <si>
    <t>C156579</t>
  </si>
  <si>
    <t>RACMAX</t>
  </si>
  <si>
    <t>Ratio CMAX</t>
  </si>
  <si>
    <t>The ratio of two Cmax values.</t>
  </si>
  <si>
    <t>Cmax to Cmax Ratio Measurement</t>
  </si>
  <si>
    <t>C176352</t>
  </si>
  <si>
    <t>RACMAXD</t>
  </si>
  <si>
    <t>Ratio Max Conc Norm by Dose</t>
  </si>
  <si>
    <t>The ratio of two maximum concentration normalized by dose values.</t>
  </si>
  <si>
    <t>Ratio Maximum Concentration Normalized by Dose</t>
  </si>
  <si>
    <t>C176346</t>
  </si>
  <si>
    <t>RACMIN</t>
  </si>
  <si>
    <t>Ratio Min Conc</t>
  </si>
  <si>
    <t>The ratio of two cmin values.</t>
  </si>
  <si>
    <t>Minimum Concentration Ratio</t>
  </si>
  <si>
    <t>C176235</t>
  </si>
  <si>
    <t>RACONC</t>
  </si>
  <si>
    <t>Ratio Concentration</t>
  </si>
  <si>
    <t>The ratio of two concentration values.</t>
  </si>
  <si>
    <t>Concentration Ratio</t>
  </si>
  <si>
    <t>C176353</t>
  </si>
  <si>
    <t>RACTRGH</t>
  </si>
  <si>
    <t>Ratio Conc Trough</t>
  </si>
  <si>
    <t>The ratio of two CTROUGH values.</t>
  </si>
  <si>
    <t>Ratio Concentration Trough</t>
  </si>
  <si>
    <t>C96627</t>
  </si>
  <si>
    <t>RADIODEN</t>
  </si>
  <si>
    <t>Radiodensity</t>
  </si>
  <si>
    <t>The transparency of a material to the passage of X-rays and other forms of radiation.</t>
  </si>
  <si>
    <t>C165980</t>
  </si>
  <si>
    <t>RAGE</t>
  </si>
  <si>
    <t>Receptor Advanced Glycation Endproducts</t>
  </si>
  <si>
    <t>Advanced Glycosylation End-Product Specific Receptor; AGER; Receptor Advanced Glycation Endproducts</t>
  </si>
  <si>
    <t>A measurement of the receptor advanced glycation endproducts in a biological specimen.</t>
  </si>
  <si>
    <t>Receptor Advanced Glycation Endproducts Measurement</t>
  </si>
  <si>
    <t>C156580</t>
  </si>
  <si>
    <t>RAMAXMIN</t>
  </si>
  <si>
    <t>Ratio of CMAX to CMIN</t>
  </si>
  <si>
    <t>The ratio of Cmax value to Cmin value.</t>
  </si>
  <si>
    <t>Cmax to Cmin Ratio Measurement</t>
  </si>
  <si>
    <t>C25196</t>
  </si>
  <si>
    <t>RANDOM</t>
  </si>
  <si>
    <t>Trial is Randomized</t>
  </si>
  <si>
    <t>The process of assigning trial subjects to treatment or control groups using an element of chance to determine the assignments in order to reduce bias. NOTE: Unequal randomization is used to allocate subjects into groups at a differential rate; for exampl</t>
  </si>
  <si>
    <t>Randomization</t>
  </si>
  <si>
    <t>C98775</t>
  </si>
  <si>
    <t>RANDQT</t>
  </si>
  <si>
    <t>Randomization Quotient</t>
  </si>
  <si>
    <t>The randomization quotient is the number of planned subjects to be exposed to investigational therapy, independent of dose or other factors, divided by the total number of planned subjects.</t>
  </si>
  <si>
    <t>C117852</t>
  </si>
  <si>
    <t>RANKL</t>
  </si>
  <si>
    <t>Receptor Activator Nuclear KappaB Ligand</t>
  </si>
  <si>
    <t>Receptor Activator Nuclear KappaB Ligand; Receptor Activator of Nuclear Kappa-B Ligand</t>
  </si>
  <si>
    <t>A measurement of the receptor activator of nuclear kappa-B ligand in a biological specimen.</t>
  </si>
  <si>
    <t>Receptor Activator Nuclear KappaB Ligand Measurement</t>
  </si>
  <si>
    <t>C81957</t>
  </si>
  <si>
    <t>RANTES</t>
  </si>
  <si>
    <t>Reg upon Act Normal T-cell Exprd Secrtd</t>
  </si>
  <si>
    <t>Chemokine Ligand 5; Reg upon Act Normal T-cell Exprd Secrtd</t>
  </si>
  <si>
    <t>A measurement of the RANTES (regulated on activation, normally, T-cell expressed, and secreted) chemokine in a biological specimen.</t>
  </si>
  <si>
    <t>Reg upon Act Normal T-cell Exprd Secrtd Measurement</t>
  </si>
  <si>
    <t>C176354</t>
  </si>
  <si>
    <t>RARECIFO</t>
  </si>
  <si>
    <t>Ratio Amt Rec Infinity Obs</t>
  </si>
  <si>
    <t>The ratio of two amount recovered infinity observed values.</t>
  </si>
  <si>
    <t>Ratio Amount Recovered Infinity Observed</t>
  </si>
  <si>
    <t>C176347</t>
  </si>
  <si>
    <t>RARECINT</t>
  </si>
  <si>
    <t>Ratio Amt Rec from T1 to T2</t>
  </si>
  <si>
    <t>The ratio of two amount recovered from T1 to T2 values.</t>
  </si>
  <si>
    <t>Ratio Amount Recovered from T1 to T2</t>
  </si>
  <si>
    <t>C154878</t>
  </si>
  <si>
    <t>RASHIND</t>
  </si>
  <si>
    <t>Rash Indicator</t>
  </si>
  <si>
    <t>An indication as to whether rash is present.</t>
  </si>
  <si>
    <t>C120927</t>
  </si>
  <si>
    <t>RAW</t>
  </si>
  <si>
    <t>Airway Resistance</t>
  </si>
  <si>
    <t>A measurement of respiratory tract resistance to airflow during inspiration and expiration.</t>
  </si>
  <si>
    <t>C170623</t>
  </si>
  <si>
    <t>RAWPP</t>
  </si>
  <si>
    <t>Percent Predicted Airway Resistance</t>
  </si>
  <si>
    <t>A measurement of respiratory tract resistance to airflow during inspiration and expiration, as a proportion of the predicted normal value.</t>
  </si>
  <si>
    <t>C51946</t>
  </si>
  <si>
    <t>RBC</t>
  </si>
  <si>
    <t>Erythrocytes</t>
  </si>
  <si>
    <t>Erythrocytes; Red Blood Cells</t>
  </si>
  <si>
    <t>A measurement of the total erythrocytes in a biological specimen.</t>
  </si>
  <si>
    <t>Erythrocyte Count</t>
  </si>
  <si>
    <t>C111197</t>
  </si>
  <si>
    <t>RBCAGGLU</t>
  </si>
  <si>
    <t>Erythrocyte Agglutination</t>
  </si>
  <si>
    <t>Autoagglutination; Erythrocyte Agglutination; RBC Agglutination</t>
  </si>
  <si>
    <t>A measurement of the erythrocyte agglutination in a biological specimen.</t>
  </si>
  <si>
    <t>Erythrocyte Agglutination Measurement</t>
  </si>
  <si>
    <t>C92245</t>
  </si>
  <si>
    <t>RBCCLMP</t>
  </si>
  <si>
    <t>Erythrocyte Cell Clumps</t>
  </si>
  <si>
    <t>Erythrocyte Cell Clumps; RBC Aggregates; RBC Clumps; Red Blood Cell Clumps</t>
  </si>
  <si>
    <t>A measurement of red blood cell clumps in a biological specimen.</t>
  </si>
  <si>
    <t>Erythrocyte Cell Clumps Measurement</t>
  </si>
  <si>
    <t>C209615</t>
  </si>
  <si>
    <t>RBCDFORM</t>
  </si>
  <si>
    <t>Erythrocyte Deformability</t>
  </si>
  <si>
    <t>An assessment of a red blood cell's ability to adapt its shape to dynamically changing flow conditions, thus minimizing resistance to flow.</t>
  </si>
  <si>
    <t>Erythrocyte Deformability Measurement</t>
  </si>
  <si>
    <t>C117853</t>
  </si>
  <si>
    <t>RBCDIPOP</t>
  </si>
  <si>
    <t>Dimorphic Erythrocyte Population</t>
  </si>
  <si>
    <t>Dimorphic Erythrocyte Population; Dimorphic RBC Population</t>
  </si>
  <si>
    <t>Examination of a biological specimen to detect the presence of dimorphic erythrocyte population.</t>
  </si>
  <si>
    <t>C150839</t>
  </si>
  <si>
    <t>RBCDYRBC</t>
  </si>
  <si>
    <t>Dysmorphic Erythrocytes/Erythrocytes</t>
  </si>
  <si>
    <t>A measurement (ratio or percentage) of dysmorphic erythrocytes to total erythrocytes in a biological specimen.</t>
  </si>
  <si>
    <t>Dysmorphic Erythrocytes to Erythrocytes Ratio Measurement</t>
  </si>
  <si>
    <t>C135441</t>
  </si>
  <si>
    <t>RBCDYSM</t>
  </si>
  <si>
    <t>Dysmorphic Erythrocytes</t>
  </si>
  <si>
    <t>A measurement of the dysmorphic erythrocytes in a biological specimen.</t>
  </si>
  <si>
    <t>Dysmorphic Erythrocyte Count</t>
  </si>
  <si>
    <t>C116212</t>
  </si>
  <si>
    <t>RBCFRAG</t>
  </si>
  <si>
    <t>Erythrocyte Fragment</t>
  </si>
  <si>
    <t>Erythrocyte Fragment; RBC Fragment</t>
  </si>
  <si>
    <t>A measurement of the red blood cell fragments (red cell fragments that have a reticular-like shape with rounded ends and no spicules, differentiating them from schistocytes and acanthocytes) in a biological specimen.</t>
  </si>
  <si>
    <t>Erythrocyte Fragment Measurement</t>
  </si>
  <si>
    <t>C96605</t>
  </si>
  <si>
    <t>RBCGHOST</t>
  </si>
  <si>
    <t>Erythrocyte Ghosts</t>
  </si>
  <si>
    <t>Erythrocyte Ghosts; RBC Ghosts</t>
  </si>
  <si>
    <t>A measurement of the erythrocyte ghosts (erythrocytes in which hemoglobin has been removed through hemolysis) in a biological specimen.</t>
  </si>
  <si>
    <t>Erythrocyte Ghost Count</t>
  </si>
  <si>
    <t>C92296</t>
  </si>
  <si>
    <t>RBCMORPH</t>
  </si>
  <si>
    <t>Erythrocyte Cell Morphology</t>
  </si>
  <si>
    <t>Erythrocyte Cell Morphology; RBC Morphology; Red Blood Cell Morphology</t>
  </si>
  <si>
    <t>An examination or assessment of the form and structure of red blood cells.</t>
  </si>
  <si>
    <t>C209616</t>
  </si>
  <si>
    <t>RBCMRGD</t>
  </si>
  <si>
    <t>Erythrocyte Membrane Rigidity</t>
  </si>
  <si>
    <t>An assessment of the rigidity of the membrane of erythrocytes in a biological specimen.</t>
  </si>
  <si>
    <t>Erythrocyte Membrane Rigidity Measurement</t>
  </si>
  <si>
    <t>C74705</t>
  </si>
  <si>
    <t>RBCNUC</t>
  </si>
  <si>
    <t>Nucleated Erythrocytes</t>
  </si>
  <si>
    <t>Nucleated Erythrocytes; Nucleated Red Blood Cells</t>
  </si>
  <si>
    <t>A measurement of the nucleated erythrocytes (large, immature nucleated erythrocytes) in a biological specimen.</t>
  </si>
  <si>
    <t>Nucleated Red Blood Cell Count</t>
  </si>
  <si>
    <t>C82046</t>
  </si>
  <si>
    <t>RBCNUCLE</t>
  </si>
  <si>
    <t>Nucleated Erythrocytes/Leukocytes</t>
  </si>
  <si>
    <t>A relative measurement (ratio or percentage) of nucleated erythrocytes to leukocytes in a biological specimen.</t>
  </si>
  <si>
    <t>Nucleated Erythrocyte to Leukocyte Ratio Measurement</t>
  </si>
  <si>
    <t>C74647</t>
  </si>
  <si>
    <t>RBCNURBC</t>
  </si>
  <si>
    <t>Nucleated Erythrocytes/Erythrocytes</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</si>
  <si>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</si>
  <si>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</si>
  <si>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</si>
  <si>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C154815</t>
  </si>
  <si>
    <t>RBOAG</t>
  </si>
  <si>
    <t>Rubeola Antigen</t>
  </si>
  <si>
    <t>Measles Virus Antigen</t>
  </si>
  <si>
    <t>A measurement of the Rubeola virus antigen in a biological specimen.</t>
  </si>
  <si>
    <t>Rubeola Antigen Measurement</t>
  </si>
  <si>
    <t>C100437</t>
  </si>
  <si>
    <t>RBP</t>
  </si>
  <si>
    <t>Retinol Binding Protein</t>
  </si>
  <si>
    <t>A measurement of the total retinol binding protein in a biological specimen.</t>
  </si>
  <si>
    <t>Retinol Binding Protein Measurement</t>
  </si>
  <si>
    <t>C189526</t>
  </si>
  <si>
    <t>RBP1</t>
  </si>
  <si>
    <t>Retinol Binding Protein 1</t>
  </si>
  <si>
    <t>A measurement of the retinol binding protein 1 in a biological specimen.</t>
  </si>
  <si>
    <t>Retinol Binding Protein 1 Measurement</t>
  </si>
  <si>
    <t>C189525</t>
  </si>
  <si>
    <t>RBP2</t>
  </si>
  <si>
    <t>Retinol Binding Protein 2</t>
  </si>
  <si>
    <t>A measurement of the retinol binding protein 2 in a biological specimen.</t>
  </si>
  <si>
    <t>Retinol Binding Protein 2 Measurement</t>
  </si>
  <si>
    <t>C189524</t>
  </si>
  <si>
    <t>RBP3</t>
  </si>
  <si>
    <t>Retinol Binding Protein 3</t>
  </si>
  <si>
    <t>A measurement of the retinol binding protein 3 in a biological specimen.</t>
  </si>
  <si>
    <t>Retinol Binding Protein 3 Measurement</t>
  </si>
  <si>
    <t>C189523</t>
  </si>
  <si>
    <t>RBP4</t>
  </si>
  <si>
    <t>Retinol Binding Protein 4</t>
  </si>
  <si>
    <t>A measurement of the retinol binding protein 4 in a biological specimen.</t>
  </si>
  <si>
    <t>Retinol Binding Protein 4 Measurement</t>
  </si>
  <si>
    <t>C154729</t>
  </si>
  <si>
    <t>RBPCREAT</t>
  </si>
  <si>
    <t>Retinol Binding Protein/Creatinine</t>
  </si>
  <si>
    <t>A relative measurement (ratio or percentage) of the retinol binding protein to creatinine in a biological specimen.</t>
  </si>
  <si>
    <t>Retinol Binding Protein to Creatinine Ratio Measurement</t>
  </si>
  <si>
    <t>C112032</t>
  </si>
  <si>
    <t>RCAMIFO</t>
  </si>
  <si>
    <t>Amt Rec Infinity Obs</t>
  </si>
  <si>
    <t>The cumulative amount recovered from the specimen type specified in PPSPEC extrapolated to infinity, calculated using the observed value of the last non-zero concentration.</t>
  </si>
  <si>
    <t>Amount Recovered Infinity Observed</t>
  </si>
  <si>
    <t>C112223</t>
  </si>
  <si>
    <t>RCAMIFOB</t>
  </si>
  <si>
    <t>Amt Rec Infinity Obs Norm by BMI</t>
  </si>
  <si>
    <t>The cumulative amount recovered from the specimen type specified in PPSPEC extrapolated to infinity, calculated using the observed value of the last non-zero concentration, divided by the body mass index.</t>
  </si>
  <si>
    <t>Amount Recovered Infinity Observed Normalized by Body Mass Index</t>
  </si>
  <si>
    <t>C112224</t>
  </si>
  <si>
    <t>RCAMIFOS</t>
  </si>
  <si>
    <t>Amt Rec Infinity Obs Norm by SA</t>
  </si>
  <si>
    <t>The cumulative amount recovered from the specimen type specified in PPSPEC extrapolated to infinity, calculated using the observed value of the last non-zero concentration, divided by the surface area.</t>
  </si>
  <si>
    <t>Amount Recovered Infinity Observed Normalized by Surface Area</t>
  </si>
  <si>
    <t>C112225</t>
  </si>
  <si>
    <t>RCAMIFOW</t>
  </si>
  <si>
    <t>Amt Rec Infinity Obs Norm by WT</t>
  </si>
  <si>
    <t>The cumulative amount recovered from the specimen type specified in PPSPEC extrapolated to infinity, calculated using the observed value of the last non-zero concentration, divided by the weight.</t>
  </si>
  <si>
    <t>Amount Recovered Infinity Observed Normalized by Weight</t>
  </si>
  <si>
    <t>C112033</t>
  </si>
  <si>
    <t>RCAMIFP</t>
  </si>
  <si>
    <t>Amt Rec Infinity Pred</t>
  </si>
  <si>
    <t>The cumulative amount recovered from the specimen type specified in PPSPEC extrapolated to infinity, calculated using the predicted value of the last non-zero concentration.</t>
  </si>
  <si>
    <t>Amount Recovered Infinity Predicted</t>
  </si>
  <si>
    <t>C112226</t>
  </si>
  <si>
    <t>RCAMIFPB</t>
  </si>
  <si>
    <t>Amt Rec Infinity Pred Norm by BMI</t>
  </si>
  <si>
    <t>The cumulative amount recovered from the specimen type specified in PPSPEC extrapolated to infinity, calculated using the predicted value of the last non-zero concentration, divided by the body mass index.</t>
  </si>
  <si>
    <t>Amount Recovered Infinity Predicted Normalized by Body Mass Index</t>
  </si>
  <si>
    <t>C112227</t>
  </si>
  <si>
    <t>RCAMIFPS</t>
  </si>
  <si>
    <t>Amt Rec Infinity Pred Norm by SA</t>
  </si>
  <si>
    <t>The cumulative amount recovered from the specimen type specified in PPSPEC extrapolated to infinity, calculated using the predicted value of the last non-zero concentration, divided by the surface area.</t>
  </si>
  <si>
    <t>Amount Recovered Infinity Predicted Normalized by Surface Area</t>
  </si>
  <si>
    <t>C112228</t>
  </si>
  <si>
    <t>RCAMIFPW</t>
  </si>
  <si>
    <t>Amt Rec Infinity Pred Norm by WT</t>
  </si>
  <si>
    <t>The cumulative amount recovered from the specimen type specified in PPSPEC extrapolated to infinity, calculated using the predicted value of the last non-zero concentration, divided by the weight.</t>
  </si>
  <si>
    <t>Amount Recovered Infinity Predicted Normalized by Weight</t>
  </si>
  <si>
    <t>C102359</t>
  </si>
  <si>
    <t>RCAMINT</t>
  </si>
  <si>
    <t>Amt Rec from T1 to T2</t>
  </si>
  <si>
    <t>The cumulative amount recovered from the specimen type specified in PPSPEC over the interval from T1 to T2.</t>
  </si>
  <si>
    <t>Amount Recovered from T1 to T2</t>
  </si>
  <si>
    <t>C102360</t>
  </si>
  <si>
    <t>RCAMINTB</t>
  </si>
  <si>
    <t>Amt Rec from T1 to T2 Norm by BMI</t>
  </si>
  <si>
    <t>The cumulative amount recovered from the specimen type specified in PPSPEC over the interval from T1 to T2 divided by body mass index.</t>
  </si>
  <si>
    <t>Amount Recovered from T1 to T2 Normalized by Body Mass Index</t>
  </si>
  <si>
    <t>C102361</t>
  </si>
  <si>
    <t>RCAMINTS</t>
  </si>
  <si>
    <t>Amt Rec from T1 to T2 Norm by SA</t>
  </si>
  <si>
    <t>The cumulative amount recovered from the specimen type specified in PPSPEC over the interval from T1 to T2 divided by surface area.</t>
  </si>
  <si>
    <t>Amount Recovered from T1 to T2 Normalized by Surface Area</t>
  </si>
  <si>
    <t>C102362</t>
  </si>
  <si>
    <t>RCAMINTW</t>
  </si>
  <si>
    <t>Amt Rec from T1 to T2 Norm by WT</t>
  </si>
  <si>
    <t>The cumulative amount recovered from the specimen type specified in PPSPEC over the interval from T1 to T2 divided by weight.</t>
  </si>
  <si>
    <t>Amount Recovered from T1 to T2 Normalized by Weight</t>
  </si>
  <si>
    <t>C174346</t>
  </si>
  <si>
    <t>RCAMLST</t>
  </si>
  <si>
    <t>Amt Rec to Last Nonzero Conc</t>
  </si>
  <si>
    <t>The cumulative amount recovered from the specimen type specified in PPSPEC, from the time of dosing to the last non-zero concentration.</t>
  </si>
  <si>
    <t>Amount Recovered to Last Nonzero Concentration</t>
  </si>
  <si>
    <t>C102363</t>
  </si>
  <si>
    <t>RCAMTAU</t>
  </si>
  <si>
    <t>Amt Rec Over Dosing Interval</t>
  </si>
  <si>
    <t>The cumulative amount recovered from the specimen type specified in PPSPEC between doses (TAU).</t>
  </si>
  <si>
    <t>Amount Recovered Over Dosing Interval</t>
  </si>
  <si>
    <t>C102364</t>
  </si>
  <si>
    <t>RCAMTAUB</t>
  </si>
  <si>
    <t>Amt Rec Over Dosing Interval Norm by BMI</t>
  </si>
  <si>
    <t>The cumulative amount recovered from the specimen type specified in PPSPEC between doses (TAU) divided by body mass index.</t>
  </si>
  <si>
    <t>Amount Recovered Over Dosing Interval Normalized by Body Mass Index</t>
  </si>
  <si>
    <t>C102365</t>
  </si>
  <si>
    <t>RCAMTAUS</t>
  </si>
  <si>
    <t>Amt Rec Over Dosing Interval Norm by SA</t>
  </si>
  <si>
    <t>The cumulative amount recovered from the specimen type specified in PPSPEC between doses (TAU) divided by surface area.</t>
  </si>
  <si>
    <t>Amount Recovered Over Dosing Interval Normalized by Surface Area</t>
  </si>
  <si>
    <t>C102366</t>
  </si>
  <si>
    <t>RCAMTAUW</t>
  </si>
  <si>
    <t>Amt Rec Over Dosing Interval Norm by WT</t>
  </si>
  <si>
    <t>The cumulative amount recovered from the specimen type specified in PPSPEC between doses (TAU) divided by weight.</t>
  </si>
  <si>
    <t>Amount Recovered Over Dosing Interval Normalized by Weight</t>
  </si>
  <si>
    <t>C201437</t>
  </si>
  <si>
    <t>RCLRNA</t>
  </si>
  <si>
    <t>Replication Competent Lentivirus RNA</t>
  </si>
  <si>
    <t>A measurement of the RNA from a replication competent viral vector lentivirus in a biological specimen.</t>
  </si>
  <si>
    <t>Replication Competent Lentivirus RNA Measurement</t>
  </si>
  <si>
    <t>C112034</t>
  </si>
  <si>
    <t>RCPCIFO</t>
  </si>
  <si>
    <t>Pct Rec Infinity Obs</t>
  </si>
  <si>
    <t>The percentage of the administered dose that is recovered from the specimen type specified in PPSPEC extrapolated to infinity, calculated using the observed value of the last non-zero concentration.</t>
  </si>
  <si>
    <t>Percent Recovered Infinity Observed</t>
  </si>
  <si>
    <t>C112389</t>
  </si>
  <si>
    <t>RCPCIFOB</t>
  </si>
  <si>
    <t>Pct Rec Infinity Obs Norm by BMI</t>
  </si>
  <si>
    <t>The percentage of the administered dose that is recovered from the specimen type specified in PPSPEC extrapolated to infinity, calculated using the observed value of the last non-zero concentration, divided by the body mass index.</t>
  </si>
  <si>
    <t>Percent Recovered Infinity Observed Normalized by Body Mass Index</t>
  </si>
  <si>
    <t>C112390</t>
  </si>
  <si>
    <t>RCPCIFOS</t>
  </si>
  <si>
    <t>Pct Rec Infinity Obs Norm by SA</t>
  </si>
  <si>
    <t>The percentage of the administered dose that is recovered from the specimen type specified in PPSPEC extrapolated to infinity, calculated using the observed value of the last non-zero concentration, divided by the surface area.</t>
  </si>
  <si>
    <t>Percent Recovered Infinity Observed Normalized by Surface Area</t>
  </si>
  <si>
    <t>C112391</t>
  </si>
  <si>
    <t>RCPCIFOW</t>
  </si>
  <si>
    <t>Pct Rec Infinity Obs Norm by WT</t>
  </si>
  <si>
    <t>The percentage of the administered dose that is recovered from the specimen type specified in PPSPEC extrapolated to infinity, calculated using the observed value of the last non-zero concentration, divided by the weight.</t>
  </si>
  <si>
    <t>Percent Recovered Infinity Observed Normalized by Weight</t>
  </si>
  <si>
    <t>C112035</t>
  </si>
  <si>
    <t>RCPCIFP</t>
  </si>
  <si>
    <t>Pct Rec Infinity Pred</t>
  </si>
  <si>
    <t>The percentage of the administered dose that is recovered from the specimen type specified in PPSPEC extrapolated to infinity, calculated using the predicted value of the last non-zero concentration.</t>
  </si>
  <si>
    <t>Percent Recovered Infinity Predicted</t>
  </si>
  <si>
    <t>C112392</t>
  </si>
  <si>
    <t>RCPCIFPB</t>
  </si>
  <si>
    <t>Pct Rec Infinity Pred Norm by BMI</t>
  </si>
  <si>
    <t>The percentage of the administered dose that is recovered from the specimen type specified in PPSPEC extrapolated to infinity, calculated using the predicted value of the last non-zero concentration, divided by the body mass index.</t>
  </si>
  <si>
    <t>Percent Recovered Infinity Predicted Normalized by Body Mass Index</t>
  </si>
  <si>
    <t>C112393</t>
  </si>
  <si>
    <t>RCPCIFPS</t>
  </si>
  <si>
    <t>Pct Rec Infinity Pred Norm by SA</t>
  </si>
  <si>
    <t>The percentage of the administered dose that is recovered from the specimen type specified in PPSPEC extrapolated to infinity, calculated using the predicted value of the last non-zero concentration, divided by the surface area.</t>
  </si>
  <si>
    <t>Percent Recovered Infinity Predicted Normalized by Surface Area</t>
  </si>
  <si>
    <t>C112394</t>
  </si>
  <si>
    <t>RCPCIFPW</t>
  </si>
  <si>
    <t>Pct Rec Infinity Pred Norm by WT</t>
  </si>
  <si>
    <t>The percentage of the administered dose that is recovered from the specimen type specified in PPSPEC extrapolated to infinity, calculated using the predicted value of the last non-zero concentration, divided by the weight.</t>
  </si>
  <si>
    <t>Percent Recovered Infinity Predicted Normalized by Weight</t>
  </si>
  <si>
    <t>C102382</t>
  </si>
  <si>
    <t>RCPCINT</t>
  </si>
  <si>
    <t>Pct Rec from T1 to T2</t>
  </si>
  <si>
    <t>The percentage of the administered dose that is recovered from the specimen type specified in PPSPEC, over the interval between T1 and T2.</t>
  </si>
  <si>
    <t>Percent Recovered from T1 to T2</t>
  </si>
  <si>
    <t>C102383</t>
  </si>
  <si>
    <t>RCPCINTB</t>
  </si>
  <si>
    <t>Pct Rec from T1 to T2 Norm by BMI</t>
  </si>
  <si>
    <t>The percentage of the administered dose that is recovered from the specimen type specified in PPSPEC, over the interval between T1 and T2 divided by body mass index.</t>
  </si>
  <si>
    <t>Percent Recovered from T1 to T2 Normalized by Body Mass Index</t>
  </si>
  <si>
    <t>C102384</t>
  </si>
  <si>
    <t>RCPCINTS</t>
  </si>
  <si>
    <t>Pct Rec from T1 to T2 Norm by SA</t>
  </si>
  <si>
    <t>The percentage of the administered dose that is recovered from the specimen type specified in PPSPEC, over the interval between T1 and T2 divided by surface area.</t>
  </si>
  <si>
    <t>Percent Recovered from T1 to T2 Normalized by Surface Area</t>
  </si>
  <si>
    <t>C102385</t>
  </si>
  <si>
    <t>RCPCINTW</t>
  </si>
  <si>
    <t>Pct Rec from T1 to T2 Norm by WT</t>
  </si>
  <si>
    <t>The percentage of the administered dose that is recovered from the specimen type specified in PPSPEC, over the interval between T1 and T2 divided by weight.</t>
  </si>
  <si>
    <t>Percent Recovered from T1 to T2 Normalized by Weight</t>
  </si>
  <si>
    <t>C166075</t>
  </si>
  <si>
    <t>RCPCLST</t>
  </si>
  <si>
    <t>Pct Rec to Last Nonzero Conc</t>
  </si>
  <si>
    <t>The percentage of the administered dose that is recovered from the specimen type specified in PPSPEC, from the time of dosing to the last non-zero concentration.</t>
  </si>
  <si>
    <t>Percent Recovered To Last Nonzero Concentration</t>
  </si>
  <si>
    <t>C102386</t>
  </si>
  <si>
    <t>RCPCTAU</t>
  </si>
  <si>
    <t>Pct Rec Over Dosing Interval</t>
  </si>
  <si>
    <t>The percentage of the administered dose that is recovered from the specimen type specified in PPSPEC, between doses (TAU).</t>
  </si>
  <si>
    <t>Percent Recovered Over Dosing Interval</t>
  </si>
  <si>
    <t>C102387</t>
  </si>
  <si>
    <t>RCPCTAUB</t>
  </si>
  <si>
    <t>Pct Rec Over Dosing Interval Norm by BMI</t>
  </si>
  <si>
    <t>The percentage of the administered dose that is recovered from the specimen type specified in PPSPEC, between doses (TAU) divided by the body mass index.</t>
  </si>
  <si>
    <t>Percent Recovered Over Dosing Interval Normalized by Body Mass Index</t>
  </si>
  <si>
    <t>C102388</t>
  </si>
  <si>
    <t>RCPCTAUS</t>
  </si>
  <si>
    <t>Pct Rec Over Dosing Interval Norm by SA</t>
  </si>
  <si>
    <t>The percentage of the administered dose that is recovered from the specimen type specified in PPSPEC, between doses (TAU) divided by surface area.</t>
  </si>
  <si>
    <t>Percent Recovered Over Dosing Interval Normalized by Surface Area</t>
  </si>
  <si>
    <t>C102389</t>
  </si>
  <si>
    <t>RCPCTAUW</t>
  </si>
  <si>
    <t>Pct Rec Over Dosing Interval Norm by WT</t>
  </si>
  <si>
    <t>The percentage of the administered dose that is recovered from the specimen type specified in PPSPEC, between doses (TAU) divided by weight.</t>
  </si>
  <si>
    <t>Percent Recovered Over Dosing Interval Normalized by Weight</t>
  </si>
  <si>
    <t>C147428</t>
  </si>
  <si>
    <t>RDCSUB</t>
  </si>
  <si>
    <t>Reducing Substances</t>
  </si>
  <si>
    <t>A measurement of the reducing substances (e.g., sugars, glutathione, creatinine, uric acid, and ascorbic acid) in a biological specimen.</t>
  </si>
  <si>
    <t>Reducing Substance Measurement</t>
  </si>
  <si>
    <t>C147429</t>
  </si>
  <si>
    <t>RDCSUG</t>
  </si>
  <si>
    <t>Reducing Sugars</t>
  </si>
  <si>
    <t>A measurement of the reducing sugars in a biological specimen.</t>
  </si>
  <si>
    <t>Reducing Sugar Measurement</t>
  </si>
  <si>
    <t>C126070</t>
  </si>
  <si>
    <t>RDIND</t>
  </si>
  <si>
    <t>Rare Disease Indicator</t>
  </si>
  <si>
    <t>An indication as to whether the condition under study is considered a rare disease.</t>
  </si>
  <si>
    <t>C123627</t>
  </si>
  <si>
    <t>RDIORESP</t>
  </si>
  <si>
    <t>Radiologic Response</t>
  </si>
  <si>
    <t>An assessment of the radiologic response of the disease to the therapy.</t>
  </si>
  <si>
    <t>C64800</t>
  </si>
  <si>
    <t>RDW</t>
  </si>
  <si>
    <t>Erythrocytes Distribution Width</t>
  </si>
  <si>
    <t>Erythrocytes Distribution Width; RDW-CV; Red Blood Cell Distribution Width; Red Cell Volume Distribution Width</t>
  </si>
  <si>
    <t>A relative measurement (ratio or percentage) of the standard deviation of the red blood cell volume to the mean distribution of the red blood cell volume in a biological specimen.</t>
  </si>
  <si>
    <t>Erythrocyte Distribution Width Measurement</t>
  </si>
  <si>
    <t>C139074</t>
  </si>
  <si>
    <t>RDWR</t>
  </si>
  <si>
    <t>Ret Volume Distribution Width</t>
  </si>
  <si>
    <t>RDWr; Ret Volume Distribution Width; Reticulocyte Volume Distribution Width</t>
  </si>
  <si>
    <t>A relative measurement (ratio or percentage) of the standard deviation of the reticulocyte volume to the mean distribution of the reticulocyte volume in a biological specimen.</t>
  </si>
  <si>
    <t>Reticulocyte Volume Distribution Width</t>
  </si>
  <si>
    <t>C139072</t>
  </si>
  <si>
    <t>RDWRCV</t>
  </si>
  <si>
    <t>Ret RDW Coefficient of Variation</t>
  </si>
  <si>
    <t>RDWr-CV; Red Cell Volume Distribution Width Coefficient of Variation in Reticulocytes; Ret RDW Coefficient of Variation; Reticulocyte Volume Distribution Width Coefficient of Variation</t>
  </si>
  <si>
    <t>A measurement of the volume dispersion within a reticulocyte population, calculated as the standard deviation of the mean reticulocyte volume divided by the mean reticulocyte volume, multiplied by 100 to convert to a percentage.</t>
  </si>
  <si>
    <t>Reticulocyte Volume Distribution Width Coefficient of Variation</t>
  </si>
  <si>
    <t>C139073</t>
  </si>
  <si>
    <t>RDWRSD</t>
  </si>
  <si>
    <t>Ret RDW Standard Deviation</t>
  </si>
  <si>
    <t>RDWr-SD; Red Cell Volume Distribution Width Standard Deviation in Reticulocytes; Ret RDW Standard Deviation; Reticulocyte Volume Distribution Width Standard Deviation</t>
  </si>
  <si>
    <t>A measurement of the volume dispersion within a reticulocyte population, calculated as the width of the distribution curve at the 20 percent frequency level.</t>
  </si>
  <si>
    <t>Reticulocyte Volume Distribution Width Standard Deviation</t>
  </si>
  <si>
    <t>C139071</t>
  </si>
  <si>
    <t>RDWSD</t>
  </si>
  <si>
    <t>RDW Standard Deviation</t>
  </si>
  <si>
    <t>RDW Standard Deviation; RDW-SD; Red Cell Volume Distribution Width Standard Deviation</t>
  </si>
  <si>
    <t>A measurement of the volume dispersion within an erythrocyte population, calculated as the width of the distribution curve at the 20 percent frequency level.</t>
  </si>
  <si>
    <t>Red Cell Volume Distribution Width Standard Deviation</t>
  </si>
  <si>
    <t>C74716</t>
  </si>
  <si>
    <t>REAAB</t>
  </si>
  <si>
    <t>Reagin Antibody</t>
  </si>
  <si>
    <t>Rapid Plasma Reagin; Reagin Antibody; RPR; VDRL; Venereal Disease Research Laboratory Test</t>
  </si>
  <si>
    <t>A measurement of the non-specific Treponemal antibodies produced in response to cellular damage caused by Treponema pallidum (syphilis) in a biological specimen.</t>
  </si>
  <si>
    <t>Rapid Plasma Reagin Measurement</t>
  </si>
  <si>
    <t>C179819</t>
  </si>
  <si>
    <t>REACTGR</t>
  </si>
  <si>
    <t>Reaction Grade</t>
  </si>
  <si>
    <t>The position on a scale to assess the degree of the response to a stimulus or intervention.</t>
  </si>
  <si>
    <t>C25637</t>
  </si>
  <si>
    <t>REACTIV</t>
  </si>
  <si>
    <t>Reactivity</t>
  </si>
  <si>
    <t>A description of the action in response to some kind of stimulus.</t>
  </si>
  <si>
    <t>Reaction</t>
  </si>
  <si>
    <t>C117892</t>
  </si>
  <si>
    <t>RECYLDR</t>
  </si>
  <si>
    <t>Cylindrical Refraction Error</t>
  </si>
  <si>
    <t>Cylindrical Refraction Error; Cylindrical Refractive Error</t>
  </si>
  <si>
    <t>A measurement of the extent of defect in vision caused by a mismatch of optical power between the cylindrical and horizontal meridians, resulting in sub-optimal reflection of light onto the retina. (NCI)</t>
  </si>
  <si>
    <t>Cylindrical Refractive Error</t>
  </si>
  <si>
    <t>C198356</t>
  </si>
  <si>
    <t>REEXAM</t>
  </si>
  <si>
    <t>Respiratory System Examination</t>
  </si>
  <si>
    <t>An observation, assessment or examination of the respiratory system.</t>
  </si>
  <si>
    <t>C221673</t>
  </si>
  <si>
    <t>REFLEX</t>
  </si>
  <si>
    <t>Reflex</t>
  </si>
  <si>
    <t>An assessment to evaluate an automatic, instinctive, and unlearned reaction to a stimulus.</t>
  </si>
  <si>
    <t>Reflex Assessment</t>
  </si>
  <si>
    <t>C98714</t>
  </si>
  <si>
    <t>REGID</t>
  </si>
  <si>
    <t>Registry Identifier</t>
  </si>
  <si>
    <t>Identification numbers assigned to the protocol by clinicaltrials.gov, EudraCT, or other registries.</t>
  </si>
  <si>
    <t>Clinical Trial Registry Identifier</t>
  </si>
  <si>
    <t>C163556</t>
  </si>
  <si>
    <t>RELSZCHG</t>
  </si>
  <si>
    <t>Relative Size Change</t>
  </si>
  <si>
    <t>An assessment of the size difference in comparison to a baseline or previous value.</t>
  </si>
  <si>
    <t>C170563</t>
  </si>
  <si>
    <t>REMAMT</t>
  </si>
  <si>
    <t>Remaining Amount</t>
  </si>
  <si>
    <t>The quantity of a product that remains after dosing, consumption, or use.</t>
  </si>
  <si>
    <t>C154871</t>
  </si>
  <si>
    <t>REMDUR</t>
  </si>
  <si>
    <t>REM Duration</t>
  </si>
  <si>
    <t>The total amount of time an individual spends in rapid eye movement (REM) sleep.</t>
  </si>
  <si>
    <t>Rapid Eye Movement Sleep Phase Duration</t>
  </si>
  <si>
    <t>C154872</t>
  </si>
  <si>
    <t>REMLAT</t>
  </si>
  <si>
    <t>REM Latency</t>
  </si>
  <si>
    <t>The time between the onset of sleep and the onset of the first rapid eye movement (REM) cycle.</t>
  </si>
  <si>
    <t>Rapid Eye Movement Sleep Phase Latency</t>
  </si>
  <si>
    <t>C156558</t>
  </si>
  <si>
    <t>REMTST</t>
  </si>
  <si>
    <t>REM/Total Sleep Time</t>
  </si>
  <si>
    <t>A relative measurement (percentage) of the rapid eye movement (REM) sleep time to total sleep time.</t>
  </si>
  <si>
    <t>REM to Total Sleep Time Ratio Measurement</t>
  </si>
  <si>
    <t>C75913</t>
  </si>
  <si>
    <t>RENALCL</t>
  </si>
  <si>
    <t>Renal CL</t>
  </si>
  <si>
    <t>The clearance of a substance from the blood by the kidneys.</t>
  </si>
  <si>
    <t>Renal Clearance</t>
  </si>
  <si>
    <t>C105458</t>
  </si>
  <si>
    <t>RENALCLB</t>
  </si>
  <si>
    <t>Renal CL Norm by BMI</t>
  </si>
  <si>
    <t>The clearance of a substance from the blood by the kidneys divided by the body mass index.</t>
  </si>
  <si>
    <t>Renal Clearance Normalized by BMI</t>
  </si>
  <si>
    <t>C105459</t>
  </si>
  <si>
    <t>RENALCLD</t>
  </si>
  <si>
    <t>Renal CL Norm by Dose</t>
  </si>
  <si>
    <t>The clearance of a substance from the blood by the kidneys divided by the dose.</t>
  </si>
  <si>
    <t>Renal Clearance Normalized by Dose</t>
  </si>
  <si>
    <t>C105460</t>
  </si>
  <si>
    <t>RENALCLS</t>
  </si>
  <si>
    <t>Renal CL Norm by SA</t>
  </si>
  <si>
    <t>The clearance of a substance from the blood by the kidneys divided by the surface area.</t>
  </si>
  <si>
    <t>Renal Clearance Normalized by SA</t>
  </si>
  <si>
    <t>C105461</t>
  </si>
  <si>
    <t>RENALCLW</t>
  </si>
  <si>
    <t>Renal CL Norm by WT</t>
  </si>
  <si>
    <t>The clearance of a substance from the blood by the kidneys divided by the weight.</t>
  </si>
  <si>
    <t>Renal Clearance Normalized by WT</t>
  </si>
  <si>
    <t>C122050</t>
  </si>
  <si>
    <t>RENCLTAU</t>
  </si>
  <si>
    <t>Renal CL for Dose Int</t>
  </si>
  <si>
    <t>The clearance of a substance from the blood by the kidneys, calculated using AUCTAU.</t>
  </si>
  <si>
    <t>Renal Clearance for Dose Interval</t>
  </si>
  <si>
    <t>C74893</t>
  </si>
  <si>
    <t>RENIN</t>
  </si>
  <si>
    <t>Renin</t>
  </si>
  <si>
    <t>Active Renin; Angiotensinogenase; Direct Renin; Renin</t>
  </si>
  <si>
    <t>A measurement of the renin in a biological specimen.</t>
  </si>
  <si>
    <t>Renin Measurement</t>
  </si>
  <si>
    <t>C111305</t>
  </si>
  <si>
    <t>RENINA</t>
  </si>
  <si>
    <t>Renin Activity</t>
  </si>
  <si>
    <t>A measurement of the renin activity in a biological specimen.</t>
  </si>
  <si>
    <t>Renin Activity Measurement</t>
  </si>
  <si>
    <t>C123568</t>
  </si>
  <si>
    <t>RER</t>
  </si>
  <si>
    <t>Respiratory Exchange Ratio</t>
  </si>
  <si>
    <t>The ratio between the amount of carbon dioxide produced and oxygen consumed in one breath.</t>
  </si>
  <si>
    <t>C80205</t>
  </si>
  <si>
    <t>RESISTIN</t>
  </si>
  <si>
    <t>Resistin</t>
  </si>
  <si>
    <t>A measurement of the resistin in a biological specimen.</t>
  </si>
  <si>
    <t>Resistin Measurement</t>
  </si>
  <si>
    <t>C49678</t>
  </si>
  <si>
    <t>RESP</t>
  </si>
  <si>
    <t>Respiratory Rate</t>
  </si>
  <si>
    <t>The rate of breathing (inhalation and exhalation) measured within in a unit time, usually expressed as breaths per minute. (NCI)</t>
  </si>
  <si>
    <t>C117893</t>
  </si>
  <si>
    <t>RESPHERE</t>
  </si>
  <si>
    <t>Spherical Refractive Error</t>
  </si>
  <si>
    <t>Spherical Refraction Error; Spherical Refractive Error</t>
  </si>
  <si>
    <t>A measurement of the extent of defect in vision caused by a mismatch of optimal power between the cornea and/or lens and the length of the eyeball, resulting in sub-optimal reflection of light onto the retina. (NCI)</t>
  </si>
  <si>
    <t>C126071</t>
  </si>
  <si>
    <t>RESUBLTR</t>
  </si>
  <si>
    <t>Resubmission Letter</t>
  </si>
  <si>
    <t>An alphabetic character that describes the incremental order of trial resubmissions.</t>
  </si>
  <si>
    <t>C78722</t>
  </si>
  <si>
    <t>RETAMT</t>
  </si>
  <si>
    <t>Returned Amount</t>
  </si>
  <si>
    <t>The quantity of a product that has been returned. (NCI)</t>
  </si>
  <si>
    <t>C102274</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</si>
  <si>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</si>
  <si>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</si>
  <si>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</si>
  <si>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</si>
  <si>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C51947</t>
  </si>
  <si>
    <t>RETI</t>
  </si>
  <si>
    <t>Reticulocytes</t>
  </si>
  <si>
    <t>A measurement of the reticulocytes in a biological specimen.</t>
  </si>
  <si>
    <t>Reticulocyte Count</t>
  </si>
  <si>
    <t>C187680</t>
  </si>
  <si>
    <t>RETICE</t>
  </si>
  <si>
    <t>Reticulocytes/Total Cells</t>
  </si>
  <si>
    <t>A relative measurement (ratio or percentage) of reticulocytes to total cells in a biological specimen.</t>
  </si>
  <si>
    <t>Reticulocyte to Total Cell Ratio Measurement</t>
  </si>
  <si>
    <t>C98776</t>
  </si>
  <si>
    <t>RETICH</t>
  </si>
  <si>
    <t>Ret. Corpuscular Hemoglobin Content</t>
  </si>
  <si>
    <t>CHr; Ret. Corpuscular Hemoglobin Content; Reticulocyte Cellular Hemoglobin Content</t>
  </si>
  <si>
    <t>A measurement of the average total amount of hemoglobin per reticulocyte.</t>
  </si>
  <si>
    <t>Reticulocyte Corpuscular Hemoglobin Content</t>
  </si>
  <si>
    <t>C116188</t>
  </si>
  <si>
    <t>RETIH</t>
  </si>
  <si>
    <t>High Absorption Reticulocytes</t>
  </si>
  <si>
    <t>A measurement of the high absorption reticulocytes in a biological specimen.</t>
  </si>
  <si>
    <t>High Absorption Reticulocyte Measurement</t>
  </si>
  <si>
    <t>C102273</t>
  </si>
  <si>
    <t>RETIHCR</t>
  </si>
  <si>
    <t>Hematocrit Corrected Reticulocytes</t>
  </si>
  <si>
    <t>A measurement of the hematocrit corrected reticulocytes in a biological specimen.</t>
  </si>
  <si>
    <t>Hematocrit Corrected Reticulocyte Count</t>
  </si>
  <si>
    <t>C116189</t>
  </si>
  <si>
    <t>RETIHRTC</t>
  </si>
  <si>
    <t>High Absorption Retic/Reticulocytes</t>
  </si>
  <si>
    <t>A relative measurement (ratio or percentage) of the high absorption reticulocytes to total reticulocytes in a biological specimen.</t>
  </si>
  <si>
    <t>High Absorption Reticulocytes to Total Reticulocytes Ratio Measurement</t>
  </si>
  <si>
    <t>C116190</t>
  </si>
  <si>
    <t>RETIL</t>
  </si>
  <si>
    <t>Low Absorption Reticulocytes</t>
  </si>
  <si>
    <t>A measurement of the low absorption reticulocytes in a biological specimen.</t>
  </si>
  <si>
    <t>Low Absorption Reticulocyte Measurement</t>
  </si>
  <si>
    <t>C116191</t>
  </si>
  <si>
    <t>RETILRTC</t>
  </si>
  <si>
    <t>Low Absorption Retic/Reticulocytes</t>
  </si>
  <si>
    <t>A relative measurement (ratio or percentage) of the low absorption reticulocytes to total reticulocytes in a biological specimen.</t>
  </si>
  <si>
    <t>Low Absorption Reticulocytes to Total Reticulocytes Ratio Measurement</t>
  </si>
  <si>
    <t>C116192</t>
  </si>
  <si>
    <t>RETIM</t>
  </si>
  <si>
    <t>Medium Absorption Reticulocytes</t>
  </si>
  <si>
    <t>A measurement of the medium absorption reticulocytes in a biological specimen.</t>
  </si>
  <si>
    <t>Medium Absorption Reticulocyte Measurement</t>
  </si>
  <si>
    <t>C116193</t>
  </si>
  <si>
    <t>RETIMRTC</t>
  </si>
  <si>
    <t>Medium Absorption Retic/Reticulocytes</t>
  </si>
  <si>
    <t>A relative measurement (ratio or percentage) of the medium absorption reticulocytes to total reticulocytes in a biological specimen.</t>
  </si>
  <si>
    <t>Medium Absorption Reticulocytes to Total Reticulocytes Ratio Measurement</t>
  </si>
  <si>
    <t>C187824</t>
  </si>
  <si>
    <t>RETINOAC</t>
  </si>
  <si>
    <t>Retinoic Acid</t>
  </si>
  <si>
    <t>Retinoate; Retinoic Acid</t>
  </si>
  <si>
    <t>A measurement of the retinoic acid in a biological specimen.</t>
  </si>
  <si>
    <t>Retinoic Acid Measurement</t>
  </si>
  <si>
    <t>C64828</t>
  </si>
  <si>
    <t>RETIRBC</t>
  </si>
  <si>
    <t>Reticulocytes/Erythrocytes</t>
  </si>
  <si>
    <t>A relative measurement (ratio or percentage) of reticulocytes to erythrocytes in a biological specimen.</t>
  </si>
  <si>
    <t>Reticulocyte to Erythrocyte Ratio</t>
  </si>
  <si>
    <t>C135442</t>
  </si>
  <si>
    <t>RETPALM</t>
  </si>
  <si>
    <t>Retinyl Palmitate</t>
  </si>
  <si>
    <t>Retinol Palmitate; Retinyl Palmitate; Vitamin A Palmitate</t>
  </si>
  <si>
    <t>A measurement of the endogenous retinyl palmitate vitamin A in a biological specimen.</t>
  </si>
  <si>
    <t>Retinyl Palmitate Measurement</t>
  </si>
  <si>
    <t>C201306</t>
  </si>
  <si>
    <t>RFATAB</t>
  </si>
  <si>
    <t>Autoantibody, Rheumatoid Factor</t>
  </si>
  <si>
    <t>A measurement of any of the rheumatoid factor autoantibodies in a biological specimen.</t>
  </si>
  <si>
    <t>Rheumatoid Factor Autoantibody Measurement</t>
  </si>
  <si>
    <t>C201424</t>
  </si>
  <si>
    <t>RFIGAAB</t>
  </si>
  <si>
    <t>IgA Autoantibody, Rheumatoid Factor</t>
  </si>
  <si>
    <t>A measurement of the rheumatoid factor IgA autoantibody in a biological specimen.</t>
  </si>
  <si>
    <t>Rheumatoid Factor IgA Autoantibody Measurement</t>
  </si>
  <si>
    <t>C201425</t>
  </si>
  <si>
    <t>RFIGGAB</t>
  </si>
  <si>
    <t>IgG Autoantibody, Rheumatoid Factor</t>
  </si>
  <si>
    <t>A measurement of the rheumatoid factor IgG autoantibody in a biological specimen.</t>
  </si>
  <si>
    <t>Rheumatoid Factor IgG Autoantibody Measurement</t>
  </si>
  <si>
    <t>C201426</t>
  </si>
  <si>
    <t>RFIGMAB</t>
  </si>
  <si>
    <t>IgM Autoantibody, Rheumatoid Factor</t>
  </si>
  <si>
    <t>A measurement of the rheumatoid factor IgM autoantibody in a biological specimen.</t>
  </si>
  <si>
    <t>Rheumatoid Factor IgM Autoantibody Measurement</t>
  </si>
  <si>
    <t>C122089</t>
  </si>
  <si>
    <t>RFLMAG</t>
  </si>
  <si>
    <t>Reflection Magnitude</t>
  </si>
  <si>
    <t>The reflected-to-forward pressure wave amplitude ratio. (Hashimoto J et al, J Hypertens. 2008 May;26(5):1017-24)</t>
  </si>
  <si>
    <t>C122090</t>
  </si>
  <si>
    <t>RFLWAMP</t>
  </si>
  <si>
    <t>Reflection Wave Amplitude</t>
  </si>
  <si>
    <t>The summation of the numerous waves being reflected by sites of impedance mismatch where central elastic arteries join more muscular arteries.</t>
  </si>
  <si>
    <t>C92948</t>
  </si>
  <si>
    <t>RH</t>
  </si>
  <si>
    <t>Rh Factor</t>
  </si>
  <si>
    <t>A measurement of non-specified Rhesus factor antigen(s) in a biological specimen.</t>
  </si>
  <si>
    <t>Rh Factor Measurement</t>
  </si>
  <si>
    <t>C125948</t>
  </si>
  <si>
    <t>RHD</t>
  </si>
  <si>
    <t>RhD Factor</t>
  </si>
  <si>
    <t>A measurement of the Rhesus factor D antigen in a biological specimen.</t>
  </si>
  <si>
    <t>RhD Factor Measurement</t>
  </si>
  <si>
    <t>C111307</t>
  </si>
  <si>
    <t>RHYNOS</t>
  </si>
  <si>
    <t>Rhythm Not Otherwise Specified</t>
  </si>
  <si>
    <t>An electrocardiographic assessment of cardiac rhythm not otherwise specified.</t>
  </si>
  <si>
    <t>Rhythm Not Otherwise Specified ECG Assessment</t>
  </si>
  <si>
    <t>C187867</t>
  </si>
  <si>
    <t>RICKDNA</t>
  </si>
  <si>
    <t>Rickettsia DNA</t>
  </si>
  <si>
    <t>A measurement of the DNA from any member of the genus Rickettsia in a biological specimen.</t>
  </si>
  <si>
    <t>Rickettsia DNA Measurement</t>
  </si>
  <si>
    <t>C102666</t>
  </si>
  <si>
    <t>RISKPOP</t>
  </si>
  <si>
    <t>Member of High Risk Population</t>
  </si>
  <si>
    <t>An indication that a subject is part of a population group that has a greater chance of contracting a disease or disorder.</t>
  </si>
  <si>
    <t>C102711</t>
  </si>
  <si>
    <t>RISKSOC</t>
  </si>
  <si>
    <t>Social Risk Factor</t>
  </si>
  <si>
    <t>Social factors such as personal behavior, lifestyle, or environment belonging to the subject which are known to increase the likelihood of infection and disease.</t>
  </si>
  <si>
    <t>C170582</t>
  </si>
  <si>
    <t>RITALAC</t>
  </si>
  <si>
    <t>Ritalinic Acid</t>
  </si>
  <si>
    <t>A measurement of the ritalinic acid in a biological specimen.</t>
  </si>
  <si>
    <t>Ritalinic Acid Measurement</t>
  </si>
  <si>
    <t>C120655</t>
  </si>
  <si>
    <t>RLP</t>
  </si>
  <si>
    <t>RLP Cholesterol</t>
  </si>
  <si>
    <t>A measurement of the cholesterol remnant-like particles in a biological specimen.</t>
  </si>
  <si>
    <t>Remnant-like Particle Cholesterol Measurement</t>
  </si>
  <si>
    <t>C117961</t>
  </si>
  <si>
    <t>RLPSCRIT</t>
  </si>
  <si>
    <t>Relapse Criteria</t>
  </si>
  <si>
    <t>A standard from which a judgment concerning a disease relapse can be established.</t>
  </si>
  <si>
    <t>C120656</t>
  </si>
  <si>
    <t>RMNTLP</t>
  </si>
  <si>
    <t>Remnant Lipoprotein</t>
  </si>
  <si>
    <t>A measurement of the remnant lipoproteins in a biological specimen.</t>
  </si>
  <si>
    <t>Remnant Lipoprotein Measurement</t>
  </si>
  <si>
    <t>C132301</t>
  </si>
  <si>
    <t>RNA</t>
  </si>
  <si>
    <t>Ribonucleic Acid</t>
  </si>
  <si>
    <t>A measurement of a targeted ribonucleic acid (RNA) in a biological specimen.</t>
  </si>
  <si>
    <t>Ribonucleic Acid Measurement</t>
  </si>
  <si>
    <t>C122049</t>
  </si>
  <si>
    <t>RNCLINT</t>
  </si>
  <si>
    <t>Renal CL from T1 to T2</t>
  </si>
  <si>
    <t>The clearance of a substance from the blood by the kidneys over the interval from T1 to T2.</t>
  </si>
  <si>
    <t>Renal Clearance from T1 to T2</t>
  </si>
  <si>
    <t>C122330</t>
  </si>
  <si>
    <t>RNCLINTB</t>
  </si>
  <si>
    <t>Renal CL from T1 to T2 Norm by BMI</t>
  </si>
  <si>
    <t>The clearance of a substance from the blood by the kidneys over the interval from T1 to T2 divided by the body mass index.</t>
  </si>
  <si>
    <t>Renal Clearance from T1 to T2 Normalized by Body Mass Index</t>
  </si>
  <si>
    <t>C122331</t>
  </si>
  <si>
    <t>RNCLINTD</t>
  </si>
  <si>
    <t>Renal CL from T1 to T2 Norm by Dose</t>
  </si>
  <si>
    <t>The clearance of a substance from the blood by the kidneys over the interval from T1 to T2 divided by the dose.</t>
  </si>
  <si>
    <t>Renal Clearance from T1 to T2 Normalized by Dose</t>
  </si>
  <si>
    <t>C122332</t>
  </si>
  <si>
    <t>RNCLINTS</t>
  </si>
  <si>
    <t>Renal CL from T1 to T2 Norm by SA</t>
  </si>
  <si>
    <t>The clearance of a substance from the blood by the kidneys over the interval from T1 to T2 divided by the surface area.</t>
  </si>
  <si>
    <t>Renal Clearance from T1 to T2 Normalized by Surface Area</t>
  </si>
  <si>
    <t>C122333</t>
  </si>
  <si>
    <t>RNCLINTW</t>
  </si>
  <si>
    <t>Renal CL from T1 to T2 Norm by WT</t>
  </si>
  <si>
    <t>The clearance of a substance from the blood by the kidneys over the interval from T1 to T2 divided by the weight.</t>
  </si>
  <si>
    <t>Renal Clearance from T1 to T2 Normalized by Weight</t>
  </si>
  <si>
    <t>C122334</t>
  </si>
  <si>
    <t>RNCLTAUB</t>
  </si>
  <si>
    <t>Renal CL for Dose Int Norm by BMI</t>
  </si>
  <si>
    <t>The clearance of a substance from the blood by the kidneys, calculated using AUCTAU, divided by the body mass index.</t>
  </si>
  <si>
    <t>Renal Clearance for Dose Interval Normalized by Body Mass Index</t>
  </si>
  <si>
    <t>C122335</t>
  </si>
  <si>
    <t>RNCLTAUD</t>
  </si>
  <si>
    <t>Renal CL for Dose Int Norm by Dose</t>
  </si>
  <si>
    <t>The clearance of a substance from the blood by the kidneys, calculated using AUCTAU, divided by the dose.</t>
  </si>
  <si>
    <t>Renal Clearance for Dose Interval Normalized by Dose</t>
  </si>
  <si>
    <t>C122336</t>
  </si>
  <si>
    <t>RNCLTAUS</t>
  </si>
  <si>
    <t>Renal CL for Dose Int Norm by SA</t>
  </si>
  <si>
    <t>The clearance of a substance from the blood by the kidneys, calculated using AUCTAU, divided by the surface area.</t>
  </si>
  <si>
    <t>Renal Clearance for Dose Interval Normalized by Surface Area</t>
  </si>
  <si>
    <t>C122337</t>
  </si>
  <si>
    <t>RNCLTAUW</t>
  </si>
  <si>
    <t>Renal CL for Dose Int Norm by WT</t>
  </si>
  <si>
    <t>The clearance of a substance from the blood by the kidneys, calculated using AUCTAU, divided by the weight.</t>
  </si>
  <si>
    <t>Renal Clearance for Dose Interval Normalized by Weight</t>
  </si>
  <si>
    <t>C154843</t>
  </si>
  <si>
    <t>RNCLUB</t>
  </si>
  <si>
    <t>Renal CL for Unbound Drug</t>
  </si>
  <si>
    <t>The unbound fraction of drug within the portion of total clearance attributed to the kidneys.</t>
  </si>
  <si>
    <t>Renal Clearance for Unbound Drug</t>
  </si>
  <si>
    <t>C221522</t>
  </si>
  <si>
    <t>RNCSLVNI</t>
  </si>
  <si>
    <t>Reason CS/LV Lead Not Implanted</t>
  </si>
  <si>
    <t>An explanation as to why the CS/LV lead was not implanted into the subject.</t>
  </si>
  <si>
    <t>C130195</t>
  </si>
  <si>
    <t>RNLANUM</t>
  </si>
  <si>
    <t>Number of Renal Arteries</t>
  </si>
  <si>
    <t>A measurement of the total number of renal arteries.</t>
  </si>
  <si>
    <t>C130196</t>
  </si>
  <si>
    <t>RNLVNUM</t>
  </si>
  <si>
    <t>Number of Renal Veins</t>
  </si>
  <si>
    <t>A measurement of the total number of renal veins.</t>
  </si>
  <si>
    <t>C122146</t>
  </si>
  <si>
    <t>ROM</t>
  </si>
  <si>
    <t>Reactive Oxygen Metabolite</t>
  </si>
  <si>
    <t>A measurement of the reactive oxygen metabolite in a biological specimen.</t>
  </si>
  <si>
    <t>Reactive Oxygen Metabolite Measurement</t>
  </si>
  <si>
    <t>C139212</t>
  </si>
  <si>
    <t>ROMABDT</t>
  </si>
  <si>
    <t>Range of Motion, Abduction</t>
  </si>
  <si>
    <t>An assessment of joint flexibility that measures the movement of a body part pulling away from the midline of the body, in number of degrees. (NCI)</t>
  </si>
  <si>
    <t>C139214</t>
  </si>
  <si>
    <t>ROMDORFL</t>
  </si>
  <si>
    <t>Range of Motion, Dorsiflexion</t>
  </si>
  <si>
    <t>An assessment of joint flexibility that measures the movement of a body part bending towards its dorsal surface, in number of degrees. (NCI)</t>
  </si>
  <si>
    <t>C139213</t>
  </si>
  <si>
    <t>ROMEXT</t>
  </si>
  <si>
    <t>Range of Motion, Extension</t>
  </si>
  <si>
    <t>An assessment of joint flexibility that measures the straightening (unbending) movement between body parts, in number of degrees. (NCI)</t>
  </si>
  <si>
    <t>C81320</t>
  </si>
  <si>
    <t>ROOTRFX</t>
  </si>
  <si>
    <t>Rooting Reflex</t>
  </si>
  <si>
    <t>An involuntary, primal response in the neonate to search for the nipple when the cheek is touched.</t>
  </si>
  <si>
    <t>C221619</t>
  </si>
  <si>
    <t>ROR</t>
  </si>
  <si>
    <t>Raoultella ornithinolytica</t>
  </si>
  <si>
    <t>A measurement of Raoultella ornithinolytica in a biological specimen.</t>
  </si>
  <si>
    <t>Raoultella ornithinolytica Measurement</t>
  </si>
  <si>
    <t>C154804</t>
  </si>
  <si>
    <t>ROS1</t>
  </si>
  <si>
    <t>ROS1 Protein</t>
  </si>
  <si>
    <t>ROS Proto-oncogene 1 Protein; ROS1 Protein</t>
  </si>
  <si>
    <t>A measurement of the ROS proto-oncogene 1 protein in a biological specimen.</t>
  </si>
  <si>
    <t>ROS1 Protein Measurement</t>
  </si>
  <si>
    <t>C154827</t>
  </si>
  <si>
    <t>ROTAG</t>
  </si>
  <si>
    <t>Rotavirus Antigen</t>
  </si>
  <si>
    <t>A measurement of the antigen from any member of the genus Rotavirus in a biological specimen.</t>
  </si>
  <si>
    <t>Rotavirus Antigen Measurement</t>
  </si>
  <si>
    <t>C172549</t>
  </si>
  <si>
    <t>ROTAVIRU</t>
  </si>
  <si>
    <t>Rotavirus</t>
  </si>
  <si>
    <t>A measurement of the organisms that are not assigned to the species level but are assigned to the Rotavirus genus level in a biological specimen.</t>
  </si>
  <si>
    <t>Rotavirus Measurement</t>
  </si>
  <si>
    <t>C186180</t>
  </si>
  <si>
    <t>ROTRNA</t>
  </si>
  <si>
    <t>Rotavirus RNA</t>
  </si>
  <si>
    <t>A measurement of the RNA from any member of the genus Rotavirus in a biological specimen.</t>
  </si>
  <si>
    <t>Rotavirus RNA Measurement</t>
  </si>
  <si>
    <t>C74624</t>
  </si>
  <si>
    <t>ROULEAUX</t>
  </si>
  <si>
    <t>Rouleaux Formation</t>
  </si>
  <si>
    <t>A measurement of the stacking red blood cells in a biological specimen.</t>
  </si>
  <si>
    <t>Rouleaux Formation Count</t>
  </si>
  <si>
    <t>C142288</t>
  </si>
  <si>
    <t>ROUNDCE</t>
  </si>
  <si>
    <t>Round Cells</t>
  </si>
  <si>
    <t>A measurement of the round cells (round shaped cells mainly comprised of white blood cells and immature spermatogenic cells) in a biological specimen.</t>
  </si>
  <si>
    <t>Round Cell Count</t>
  </si>
  <si>
    <t>C38114</t>
  </si>
  <si>
    <t>ROUTE</t>
  </si>
  <si>
    <t>Route of Administration</t>
  </si>
  <si>
    <t>The way in which a pharmaceutical product is taken into, or makes contact with, the body. (CDISC Glossary)</t>
  </si>
  <si>
    <t>C142289</t>
  </si>
  <si>
    <t>RPA1</t>
  </si>
  <si>
    <t>Renal Papillary Antigen 1</t>
  </si>
  <si>
    <t>A measurement of the renal papillary antigen 1 in a biological specimen.</t>
  </si>
  <si>
    <t>Renal Papillary Antigen 1 Measurement</t>
  </si>
  <si>
    <t>C198359</t>
  </si>
  <si>
    <t>RPEXAM</t>
  </si>
  <si>
    <t>Reproductive System Examination</t>
  </si>
  <si>
    <t>An observation, assessment or examination of the reproductive system.</t>
  </si>
  <si>
    <t>C147430</t>
  </si>
  <si>
    <t>RPTLAAC</t>
  </si>
  <si>
    <t>Reptilase Activity Actual/Control</t>
  </si>
  <si>
    <t>Reptilase Activity Actual/Control; Reptilase Activity Actual/Normal; Reptilase Activity Actual/Reptilase Activity Control</t>
  </si>
  <si>
    <t>A relative measurement (ratio or percentage) of the biological activity of reptilase dependent coagulation in a subject's specimen when compared to the same activity in a control specimen.</t>
  </si>
  <si>
    <t>Reptilase Activity Actual to Control Ratio Measurement</t>
  </si>
  <si>
    <t>C96628</t>
  </si>
  <si>
    <t>RPTLTIME</t>
  </si>
  <si>
    <t>Reptilase Time</t>
  </si>
  <si>
    <t>A measurement of the time it takes a plasma sample to clot after adding the active enzyme reptilase.</t>
  </si>
  <si>
    <t>Reptilase Time Measurement</t>
  </si>
  <si>
    <t>C117791</t>
  </si>
  <si>
    <t>RRAG</t>
  </si>
  <si>
    <t>RR Interval, Aggregate</t>
  </si>
  <si>
    <t>An aggregate RR value based on the measurement of RR intervals from multiple beats within a single ECG. The method of aggregation, which can vary, is typically a measure of central tendency such as the mean.</t>
  </si>
  <si>
    <t>Aggregate RR Interval</t>
  </si>
  <si>
    <t>C62094</t>
  </si>
  <si>
    <t>RRMAX</t>
  </si>
  <si>
    <t>Summary (Max) RR Duration</t>
  </si>
  <si>
    <t>The maximum duration (time) between successive peaks of R waves in a particular set of RR intervals. (NCI)</t>
  </si>
  <si>
    <t>Maximum RR Duration</t>
  </si>
  <si>
    <t>C62093</t>
  </si>
  <si>
    <t>RRMIN</t>
  </si>
  <si>
    <t>Summary (Min) RR Duration</t>
  </si>
  <si>
    <t>The minimum duration (time) between successive peaks of R waves in a particular set of RR intervals. (NCI)</t>
  </si>
  <si>
    <t>Minimum RR Duration</t>
  </si>
  <si>
    <t>C166054</t>
  </si>
  <si>
    <t>RROARNA</t>
  </si>
  <si>
    <t>Rotavirus A RNA</t>
  </si>
  <si>
    <t>Rotavirus A RNA; Rotavirus Group A RNA</t>
  </si>
  <si>
    <t>A measurement of the Rotavirus A RNA in a biological specimen.</t>
  </si>
  <si>
    <t>Rotavirus A RNA Measurement</t>
  </si>
  <si>
    <t>C122185</t>
  </si>
  <si>
    <t>RRS</t>
  </si>
  <si>
    <t>Total Respiratory System Resistance</t>
  </si>
  <si>
    <t>A calculated value based on all factors that influence the flow of gas from the airway opening to the alveoli, including airway resistance, and tissue resistance of the lung and chest wall. (NCI)</t>
  </si>
  <si>
    <t>C117792</t>
  </si>
  <si>
    <t>RRSM</t>
  </si>
  <si>
    <t>RR Interval, Single Measurement</t>
  </si>
  <si>
    <t>An electrocardiographic measurement of the interval between two consecutive R waves. If R waves are not present, this measurement may utilize the interval between the most easily identified components of the QRS complex within two consecutive beats.</t>
  </si>
  <si>
    <t>RR Interval Single Measurement</t>
  </si>
  <si>
    <t>C117793</t>
  </si>
  <si>
    <t>RSAAG</t>
  </si>
  <si>
    <t>RS Wave Amplitude, Aggregate</t>
  </si>
  <si>
    <t>An aggregate RS wave amplitude value based on measurements from multiple beats from a single ECG. The method of aggregation, which can vary, is typically a measure of central tendency such as the mean.</t>
  </si>
  <si>
    <t>RS Wave Amplitude Aggregate</t>
  </si>
  <si>
    <t>C163484</t>
  </si>
  <si>
    <t>RSAD2</t>
  </si>
  <si>
    <t>Cytomegalovirus-Induced Gene 5 Protein</t>
  </si>
  <si>
    <t>Cytomegalovirus-Induced Gene 5 Protein; Radical S-adenosyl Methionine Domain-Containing Protein 2</t>
  </si>
  <si>
    <t>A measurement of the cytomegalovirus-induced gene 5 protein in a biological specimen.</t>
  </si>
  <si>
    <t>Cytomegalovirus-Induced Gene 5 Protein Measurement</t>
  </si>
  <si>
    <t>C117794</t>
  </si>
  <si>
    <t>RSASB</t>
  </si>
  <si>
    <t>RS Wave Amplitude, Single Beat</t>
  </si>
  <si>
    <t>An electrocardiographic measurement of the sum of the amplitudes of the R and S waves, obtained from a single beat in one particular lead or set of leads.</t>
  </si>
  <si>
    <t>RS Wave Amplitude Single Beat</t>
  </si>
  <si>
    <t>C177971</t>
  </si>
  <si>
    <t>RSOH9RS</t>
  </si>
  <si>
    <t>Risperidone+9-Hydroxyrisperidone</t>
  </si>
  <si>
    <t>Risperidone+9-Hydroxyrisperidone; Risperidone+Paliperidone</t>
  </si>
  <si>
    <t>A measurement of the risperidone and 9-hydroxyrisperidone in a biological specimen.</t>
  </si>
  <si>
    <t>Risperidone and 9-Hydroxyrisperidone Measurement</t>
  </si>
  <si>
    <t>C177969</t>
  </si>
  <si>
    <t>RSPDN</t>
  </si>
  <si>
    <t>Risperidone</t>
  </si>
  <si>
    <t>A measurement of the risperidone in a biological specimen.</t>
  </si>
  <si>
    <t>Risperidone Measurement</t>
  </si>
  <si>
    <t>C171526</t>
  </si>
  <si>
    <t>RSV</t>
  </si>
  <si>
    <t>Respiratory Syncytial Virus</t>
  </si>
  <si>
    <t>A measurement of the respiratory syncytial virus in a biological specimen.</t>
  </si>
  <si>
    <t>Respiratory Syncytial Virus Measurement</t>
  </si>
  <si>
    <t>C184660</t>
  </si>
  <si>
    <t>RSVA</t>
  </si>
  <si>
    <t>Respiratory Syncytial Virus Type A</t>
  </si>
  <si>
    <t>A measurement of the respiratory syncytial virus type A in a biological specimen.</t>
  </si>
  <si>
    <t>Respiratory Syncytial Virus Type A Measurement</t>
  </si>
  <si>
    <t>C154823</t>
  </si>
  <si>
    <t>RSVAG</t>
  </si>
  <si>
    <t>Respiratory Syncytial Virus Antigen</t>
  </si>
  <si>
    <t>Respiratory Syncytial Virus Antigen; RSV Antigen</t>
  </si>
  <si>
    <t>A measurement of the respiratory syncytial virus antigen in a biological specimen.</t>
  </si>
  <si>
    <t>Respiratory Syncytial Virus Antigen Measurement</t>
  </si>
  <si>
    <t>C198336</t>
  </si>
  <si>
    <t>RSVANUAC</t>
  </si>
  <si>
    <t>RSV Type A Nucleic Acid</t>
  </si>
  <si>
    <t>Respiratory Syncytial Virus Type A Nucleic Acid; RSV Type A Nucleic Acid</t>
  </si>
  <si>
    <t>A measurement of the respiratory syncytial virus type A nucleic acid in a biological specimen.</t>
  </si>
  <si>
    <t>Human Respiratory Syncytial Virus Type A Nucleic Acid Measurement</t>
  </si>
  <si>
    <t>C199962</t>
  </si>
  <si>
    <t>RSVARNA</t>
  </si>
  <si>
    <t>Respiratory Syncytial Virus Type A RNA</t>
  </si>
  <si>
    <t>Respiratory Syncytial Virus Type A RNA; RSV Type A RNA</t>
  </si>
  <si>
    <t>A measurement of the respiratory syncytial virus type A RNA in a biological specimen.</t>
  </si>
  <si>
    <t>Respiratory Syncytial Virus Type A RNA Measurement</t>
  </si>
  <si>
    <t>C184661</t>
  </si>
  <si>
    <t>RSVB</t>
  </si>
  <si>
    <t>Respiratory Syncytial Virus Type B</t>
  </si>
  <si>
    <t>A measurement of the respiratory syncytial virus type B in a biological specimen.</t>
  </si>
  <si>
    <t>Respiratory Syncytial Virus Type B Measurement</t>
  </si>
  <si>
    <t>C198337</t>
  </si>
  <si>
    <t>RSVBNUAC</t>
  </si>
  <si>
    <t>RSV Type B Nucleic Acid</t>
  </si>
  <si>
    <t>Respiratory Syncytial Virus Type B Nucleic Acid; RSV Type B Nucleic Acid</t>
  </si>
  <si>
    <t>A measurement of the respiratory syncytial virus type B nucleic acid in a biological specimen.</t>
  </si>
  <si>
    <t>Human Respiratory Syncytial Virus Type B Nucleic Acid Measurement</t>
  </si>
  <si>
    <t>C199963</t>
  </si>
  <si>
    <t>RSVBRNA</t>
  </si>
  <si>
    <t>Respiratory Syncytial Virus Type B RNA</t>
  </si>
  <si>
    <t>Respiratory Syncytial Virus Type B RNA; RSV Type B RNA</t>
  </si>
  <si>
    <t>A measurement of the respiratory syncytial virus type B RNA in a biological specimen.</t>
  </si>
  <si>
    <t>Respiratory Syncytial Virus Type B RNA Measurement</t>
  </si>
  <si>
    <t>C186181</t>
  </si>
  <si>
    <t>RSVRNA</t>
  </si>
  <si>
    <t>Respiratory Syncytial Virus RNA</t>
  </si>
  <si>
    <t>A measurement of the respiratory syncytial virus RNA in a biological specimen.</t>
  </si>
  <si>
    <t>Respiratory Syncytial Virus RNA Measurement</t>
  </si>
  <si>
    <t>C81968</t>
  </si>
  <si>
    <t>RT3</t>
  </si>
  <si>
    <t>Triiodothyronine, Reverse</t>
  </si>
  <si>
    <t>A measurement of the reverse triiodothyronine in a biological specimen.</t>
  </si>
  <si>
    <t>Reverse Triiodothyronine Measurement</t>
  </si>
  <si>
    <t>C204675</t>
  </si>
  <si>
    <t>RTCNFBRO</t>
  </si>
  <si>
    <t>Reticulin Fibrosis</t>
  </si>
  <si>
    <t>An evaluation of reticulin fibrosis in a biological specimen.</t>
  </si>
  <si>
    <t>Reticulin Fibrosis Assessment</t>
  </si>
  <si>
    <t>C126072</t>
  </si>
  <si>
    <t>RTSPCDES</t>
  </si>
  <si>
    <t>Retained Biospecimen Description</t>
  </si>
  <si>
    <t>A textual description of the specimen types that are retained as reserve samples.</t>
  </si>
  <si>
    <t>C128978</t>
  </si>
  <si>
    <t>RUB</t>
  </si>
  <si>
    <t>Rubricyte</t>
  </si>
  <si>
    <t>Polychromatophilic Erythroblast; Polychromatophilic Normoblast; Rubricyte</t>
  </si>
  <si>
    <t>A measurement of the rubricytes in a biological specimen.</t>
  </si>
  <si>
    <t>Rubricyte Count</t>
  </si>
  <si>
    <t>C129006</t>
  </si>
  <si>
    <t>RUBCE</t>
  </si>
  <si>
    <t>Rubricyte/Total Cells</t>
  </si>
  <si>
    <t>A relative measurement (ratio or percentage) of the rubricytes to total cells in a biological specimen.</t>
  </si>
  <si>
    <t>Rubricyte to Total Cell Ratio Measurement</t>
  </si>
  <si>
    <t>C89836</t>
  </si>
  <si>
    <t>RV</t>
  </si>
  <si>
    <t>Residual Volume</t>
  </si>
  <si>
    <t>The volume of air remaining in the lungs after maximum exhalation.</t>
  </si>
  <si>
    <t>C209535</t>
  </si>
  <si>
    <t>RVEF</t>
  </si>
  <si>
    <t>Right Ventricular Ejection Fraction</t>
  </si>
  <si>
    <t>The percent or fraction of the right ventricular end diastolic volume ejected during systole that can be measured by visual estimation or calculation.</t>
  </si>
  <si>
    <t>C135380</t>
  </si>
  <si>
    <t>RVEF_C</t>
  </si>
  <si>
    <t>Right Ventricular Ejection Fraction, Cal</t>
  </si>
  <si>
    <t>Right Ventricular Ejection Fraction, Cal; Right Ventricular Ejection Fraction, Calculated</t>
  </si>
  <si>
    <t>A calculated percent or fraction of the volume of blood ejected from the right ventricle during right ventricular systole, calculated as the right ventricular stroke volume divided by the right ventricular end diastolic volume.</t>
  </si>
  <si>
    <t>Calculated Right Ventricular Ejection Fraction</t>
  </si>
  <si>
    <t>C135381</t>
  </si>
  <si>
    <t>RVEF_E</t>
  </si>
  <si>
    <t>Right Ventricular Ejection Fraction, Est</t>
  </si>
  <si>
    <t>Right Ventricular Ejection Fraction, Est; Right Ventricular Ejection Fraction, Estimated</t>
  </si>
  <si>
    <t>A visual estimation of the percent or fraction of the volume of blood ejected from the right ventricle during right ventricular systole.</t>
  </si>
  <si>
    <t>Estimated Right Ventricular Ejection Fraction</t>
  </si>
  <si>
    <t>C179761</t>
  </si>
  <si>
    <t>RVENT</t>
  </si>
  <si>
    <t>Human rhinovirus/enterovirus</t>
  </si>
  <si>
    <t>A measurement of the Human rhinovirus and/or Human enterovirus in a biological specimen.</t>
  </si>
  <si>
    <t>Human Rhinovirus and/or Enterovirus Measurement</t>
  </si>
  <si>
    <t>C199930</t>
  </si>
  <si>
    <t>RVENTNA</t>
  </si>
  <si>
    <t>Human rhinovirus/enterovirus Nuc Acid</t>
  </si>
  <si>
    <t>Human rhinovirus/enterovirus Nuc Acid; Human rhinovirus/enterovirus Nucleic Acid</t>
  </si>
  <si>
    <t>A measurement of nucleic acid from any member of the Human Rhinovirus species and/or Human Enterovirus species in a biological specimen.</t>
  </si>
  <si>
    <t>Human Rhinovirus and/or Enterovirus Nucleic Acid Measurement</t>
  </si>
  <si>
    <t>C170609</t>
  </si>
  <si>
    <t>RVENTRNA</t>
  </si>
  <si>
    <t>Human rhinovirus/enterovirus RNA</t>
  </si>
  <si>
    <t>A measurement of RNA from any member of the Human Rhinovirus species and/or Human Enterovirus species in a biological specimen.</t>
  </si>
  <si>
    <t>Human rhinovirus and/or enterovirus RNA Measurement</t>
  </si>
  <si>
    <t>C112385</t>
  </si>
  <si>
    <t>RVPP</t>
  </si>
  <si>
    <t>Percent Predicted Residual Volume</t>
  </si>
  <si>
    <t>The volume of air remaining in the lungs after maximum exhalation as a proportion of the predicted normal value.</t>
  </si>
  <si>
    <t>C117795</t>
  </si>
  <si>
    <t>RWAAG</t>
  </si>
  <si>
    <t>R Wave Amplitude, Aggregate</t>
  </si>
  <si>
    <t>An aggregate R wave amplitude value based on the measurement of R wave amplitudes from multiple beats within a single ECG. The method of aggregation, which can vary, is typically a measure of central tendency such as the mean.</t>
  </si>
  <si>
    <t>R Wave Amplitude Aggregate</t>
  </si>
  <si>
    <t>C117796</t>
  </si>
  <si>
    <t>RWASB</t>
  </si>
  <si>
    <t>R Wave Amplitude, Single Beat</t>
  </si>
  <si>
    <t>An electrocardiographic measurement of the mean amplitude (usually measured in mm) of the R wave measured from the isoelectric baseline to the peak of the R wave of a single beat utilizing one or more leads. Based on the recording gain, this measurement i</t>
  </si>
  <si>
    <t>R Wave Amplitude Single Beat</t>
  </si>
  <si>
    <t>C127798</t>
  </si>
  <si>
    <t>RXMLCIND</t>
  </si>
  <si>
    <t>Request for XML Copy of Study Indicator</t>
  </si>
  <si>
    <t>An indication as to whether the registrant would like to receive an XML copy of their study as saved on EudraCT.</t>
  </si>
  <si>
    <t>Study Saved as XML Indicator</t>
  </si>
  <si>
    <t>C202425</t>
  </si>
  <si>
    <t>S100</t>
  </si>
  <si>
    <t>S100 Calcium Binding Proteins</t>
  </si>
  <si>
    <t>A measurement of the S100 family of calcium binding proteins in a biological specimen.</t>
  </si>
  <si>
    <t>S100 Calcium Binding Protein Measurement</t>
  </si>
  <si>
    <t>C127769</t>
  </si>
  <si>
    <t>S100A7</t>
  </si>
  <si>
    <t>S100 Calcium Binding Protein A7</t>
  </si>
  <si>
    <t>A measurement of the S100 calcium binding protein A7 in a biological specimen.</t>
  </si>
  <si>
    <t>S100 Calcium Binding Protein A7 Measurement</t>
  </si>
  <si>
    <t>C154730</t>
  </si>
  <si>
    <t>S100A8</t>
  </si>
  <si>
    <t>S100 Calcium Binding Protein A8</t>
  </si>
  <si>
    <t>A measurement of the S100 calcium binding protein A8 in a biological specimen.</t>
  </si>
  <si>
    <t>S100 Calcium Binding Protein A8 Measurement</t>
  </si>
  <si>
    <t>C127635</t>
  </si>
  <si>
    <t>S100B</t>
  </si>
  <si>
    <t>S100 Calcium-Binding Protein B</t>
  </si>
  <si>
    <t>A measure of the S100 calcium-binding protein B in a biological specimen.</t>
  </si>
  <si>
    <t>S100 Calcium-Binding Protein B Measurement</t>
  </si>
  <si>
    <t>C165981</t>
  </si>
  <si>
    <t>S6PHS</t>
  </si>
  <si>
    <t>Phos-S6 Ribosomal Protein</t>
  </si>
  <si>
    <t>Phos-S6 Ribosomal Protein; Phosphorylated S6 protein of the 40S ribosomal subunit</t>
  </si>
  <si>
    <t>A measurement of the phosphorylated S6 protein of the 40S ribosomal subunit in a biological specimen.</t>
  </si>
  <si>
    <t>Phosphorylated 40S Ribosomal Protein S6 Measurement</t>
  </si>
  <si>
    <t>C165982</t>
  </si>
  <si>
    <t>SAA1</t>
  </si>
  <si>
    <t>Serum Amyloid A1</t>
  </si>
  <si>
    <t>PIG4; SAA1; Serum Amyloid A-1 Protein; Serum Amyloid A1</t>
  </si>
  <si>
    <t>A measurement of the serum amyloid A1 in a biological specimen.</t>
  </si>
  <si>
    <t>Serum Amyloid A1 Measurement</t>
  </si>
  <si>
    <t>C186093</t>
  </si>
  <si>
    <t>SAAG</t>
  </si>
  <si>
    <t>Serum-Ascites Albumin Gradient</t>
  </si>
  <si>
    <t>SAAG; Serum-Ascites Albumin Gradient</t>
  </si>
  <si>
    <t>A measurement of the serum-ascites albumin gradient, calculated by subtracting the amount of albumin in ascites fluid from the albumin in serum.</t>
  </si>
  <si>
    <t>Serum-Ascites Albumin Gradient Measurement</t>
  </si>
  <si>
    <t>C87054</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</si>
  <si>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</si>
  <si>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</si>
  <si>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t>
  </si>
  <si>
    <t>C179762</t>
  </si>
  <si>
    <t>SAG</t>
  </si>
  <si>
    <t>Streptococcus agalactiae</t>
  </si>
  <si>
    <t>A measurement of the Streptococcus agalactiae in a biological specimen.</t>
  </si>
  <si>
    <t>Streptococcus agalactiae Measurement</t>
  </si>
  <si>
    <t>C154824</t>
  </si>
  <si>
    <t>SAGAG</t>
  </si>
  <si>
    <t>Streptococcus agalactiae Antigen</t>
  </si>
  <si>
    <t>Streptococcus agalactiae Antigen; Streptococcus Group B Antigen</t>
  </si>
  <si>
    <t>A measurement of the Streptococcus agalactiae antigen in a biological specimen.</t>
  </si>
  <si>
    <t>Streptococcus agalactiae Antigen Measurement</t>
  </si>
  <si>
    <t>C186182</t>
  </si>
  <si>
    <t>SAGDNA</t>
  </si>
  <si>
    <t>Streptococcus agalactiae DNA</t>
  </si>
  <si>
    <t>A measurement of the Streptococcus agalactiae DNA in a biological specimen.</t>
  </si>
  <si>
    <t>Streptococcus agalactiae DNA Measurement</t>
  </si>
  <si>
    <t>C172516</t>
  </si>
  <si>
    <t>SAHOMC</t>
  </si>
  <si>
    <t>S-Adenosylhomocysteine</t>
  </si>
  <si>
    <t>S-adenosyl-L-homocysteine; S-Adenosylhomocysteine; SAH</t>
  </si>
  <si>
    <t>A measurement of the S-adenosylhomocysteine in a biological specimen.</t>
  </si>
  <si>
    <t>S-Adenosylhomocysteine Measurement</t>
  </si>
  <si>
    <t>C147431</t>
  </si>
  <si>
    <t>SALCYLT</t>
  </si>
  <si>
    <t>Salicylates</t>
  </si>
  <si>
    <t>A measurement of the salicylates in a biological specimen.</t>
  </si>
  <si>
    <t>Salicylates Measurement</t>
  </si>
  <si>
    <t>C139256</t>
  </si>
  <si>
    <t>SALKA</t>
  </si>
  <si>
    <t>Salazar-Knowles Equation Parameter A</t>
  </si>
  <si>
    <t>A representation of the exponential function described by the Salazar-Knowles equation, and an estimation of a subject's inspiratory capacity.</t>
  </si>
  <si>
    <t>C139257</t>
  </si>
  <si>
    <t>SALKB</t>
  </si>
  <si>
    <t>Salazar-Knowles Equation Parameter B</t>
  </si>
  <si>
    <t>The difference between the volume at total lung capacity and the hypothesized volume at a transpulmonary pressure of zero.</t>
  </si>
  <si>
    <t>C139258</t>
  </si>
  <si>
    <t>SALKK</t>
  </si>
  <si>
    <t>Salazar-Knowles Equation, K</t>
  </si>
  <si>
    <t>The reflection of the curvature of the upper portion of the deflationary limb of the pressure-volume curve.</t>
  </si>
  <si>
    <t>Salazar-Knowles Equation, K Parameter</t>
  </si>
  <si>
    <t>C198338</t>
  </si>
  <si>
    <t>SALMOAG</t>
  </si>
  <si>
    <t>Salmonella Antigen</t>
  </si>
  <si>
    <t>A measurement of the antigen from any member of the genus Salmonella in a biological specimen.</t>
  </si>
  <si>
    <t>Salmonella Antigen Measurement</t>
  </si>
  <si>
    <t>C186183</t>
  </si>
  <si>
    <t>SALMODNA</t>
  </si>
  <si>
    <t>Salmonella DNA</t>
  </si>
  <si>
    <t>A measurement of the DNA from any member of the genus Salmonella in a biological specimen.</t>
  </si>
  <si>
    <t>Salmonella DNA Measurement</t>
  </si>
  <si>
    <t>C181460</t>
  </si>
  <si>
    <t>SALMONEL</t>
  </si>
  <si>
    <t>Salmonella</t>
  </si>
  <si>
    <t>A measurement of the organisms that are not assigned to the species level but are assigned to the Salmonella genus level in a biological specimen.</t>
  </si>
  <si>
    <t>Salmonella Measurement</t>
  </si>
  <si>
    <t>C74566</t>
  </si>
  <si>
    <t>SALTYP</t>
  </si>
  <si>
    <t>Employee Salary Type</t>
  </si>
  <si>
    <t>A code specifying the method used by the employer to compute the employee's salary or wages. For example, hourly, annual, or commission.</t>
  </si>
  <si>
    <t>C172515</t>
  </si>
  <si>
    <t>SAMETH</t>
  </si>
  <si>
    <t>S-Adenosylmethionine</t>
  </si>
  <si>
    <t>S-adenosyl-L-methionine; S-Adenosylmethionine; SAM-e; SAMe; SAMMY</t>
  </si>
  <si>
    <t>A measurement of the S-adenosylmethionine in a biological specimen.</t>
  </si>
  <si>
    <t>S-Adenosylmethionine Measurement</t>
  </si>
  <si>
    <t>C127593</t>
  </si>
  <si>
    <t>SAMIND</t>
  </si>
  <si>
    <t>Systolic Anterior Motion Indicator</t>
  </si>
  <si>
    <t>SAM Indicator; Systolic Anterior Motion Indicator</t>
  </si>
  <si>
    <t>An indication as to whether there is systolic anterior motion of a cardiac valve and its associated structures.</t>
  </si>
  <si>
    <t>C127594</t>
  </si>
  <si>
    <t>SAMSEV</t>
  </si>
  <si>
    <t>Systolic Anterior Motion Severity</t>
  </si>
  <si>
    <t>SAM Severity; Systolic Anterior Motion Severity</t>
  </si>
  <si>
    <t>The assessment of the severity of the systolic anterior motion of a cardiac valve and its associated structures.</t>
  </si>
  <si>
    <t>C187871</t>
  </si>
  <si>
    <t>SAN</t>
  </si>
  <si>
    <t>Streptococcus anginosus</t>
  </si>
  <si>
    <t>A measurement of the Streptococcus anginosus in a biological specimen.</t>
  </si>
  <si>
    <t>Streptococcus anginosus Measurement</t>
  </si>
  <si>
    <t>C221621</t>
  </si>
  <si>
    <t>SANG</t>
  </si>
  <si>
    <t>Streptococcus anginosus Group</t>
  </si>
  <si>
    <t>A measurement of Streptococcus anginosus Group in a biological specimen.</t>
  </si>
  <si>
    <t>Streptococcus anginosus Group Measurement</t>
  </si>
  <si>
    <t>C174311</t>
  </si>
  <si>
    <t>SAO2FIO2</t>
  </si>
  <si>
    <t>Oxygen Saturation/Fraction Inspired O2</t>
  </si>
  <si>
    <t>A relative measurement (ratio or percentage) of the oxygen-hemoglobin saturation of a volume of blood to the volumetric fraction of oxygen in the inhaled gas.</t>
  </si>
  <si>
    <t>C174327</t>
  </si>
  <si>
    <t>SAR12AG</t>
  </si>
  <si>
    <t>SARS-CoV-1/SARS-CoV-2 Antigen</t>
  </si>
  <si>
    <t>A measurement of the antigens from SARS-CoV-1 and/or SARS-CoV-2 in a biological specimen.</t>
  </si>
  <si>
    <t>SARS-CoV-1/SARS-CoV-2 Antigen Measurement</t>
  </si>
  <si>
    <t>C176327</t>
  </si>
  <si>
    <t>SAR2AG</t>
  </si>
  <si>
    <t>SARS-CoV-2 Antigen</t>
  </si>
  <si>
    <t>A measurement of the SARS-CoV-2 antigen in a biological specimen.</t>
  </si>
  <si>
    <t>SARS-CoV-2 Antigen Measurement</t>
  </si>
  <si>
    <t>C189547</t>
  </si>
  <si>
    <t>SAR2NPAG</t>
  </si>
  <si>
    <t>SARS-CoV-2 Nucleocapsid Protein Antigen</t>
  </si>
  <si>
    <t>SARS-CoV-2 N Protein Antigen</t>
  </si>
  <si>
    <t>A measurement of the SARS-CoV-2 nucleocapsid protein antigen in a biological specimen.</t>
  </si>
  <si>
    <t>SARS-CoV-2 Nucleocapsid Protein Antigen Measurement</t>
  </si>
  <si>
    <t>C171531</t>
  </si>
  <si>
    <t>SAR2RNA</t>
  </si>
  <si>
    <t>SARS-CoV-2 RNA</t>
  </si>
  <si>
    <t>A measurement of the SARS-CoV-2 RNA in a biological specimen.</t>
  </si>
  <si>
    <t>SARS-CoV-2 RNA Measurement</t>
  </si>
  <si>
    <t>C187869</t>
  </si>
  <si>
    <t>SAR2SRNA</t>
  </si>
  <si>
    <t>SARS-CoV-2 S RNA</t>
  </si>
  <si>
    <t>SARS-CoV-2 S Gene; SARS-CoV-2 S RNA; SARS-CoV-2 Spike RNA</t>
  </si>
  <si>
    <t>A measurement of the SARS-CoV-2 S RNA in a biological specimen.</t>
  </si>
  <si>
    <t>SARS-CoV-2 S RNA Measurement</t>
  </si>
  <si>
    <t>C154760</t>
  </si>
  <si>
    <t>SARCOSIN</t>
  </si>
  <si>
    <t>Sarcosine</t>
  </si>
  <si>
    <t>N-Methylglycine; Sarcosine</t>
  </si>
  <si>
    <t>A measurement of the sarcosine in a biological specimen.</t>
  </si>
  <si>
    <t>Sarcosine Measurement</t>
  </si>
  <si>
    <t>C174324</t>
  </si>
  <si>
    <t>SARRMRNA</t>
  </si>
  <si>
    <t>SARS-related Coronavirus RNA/MERS RNA</t>
  </si>
  <si>
    <t>A measurement of the SARS-related and/or MERS Coronavirus RNA which includes but not limited to SARS-CoV, SARS-CoV-2, other SARS-like Coronavirus, and/or MERS-CoV in a biological specimen.</t>
  </si>
  <si>
    <t>SARS-related Coronavirus RNA/MERS RNA Measurement</t>
  </si>
  <si>
    <t>C174328</t>
  </si>
  <si>
    <t>SARSCOV1</t>
  </si>
  <si>
    <t>Severe Acute Resp Syndro-Rel Coronavirus</t>
  </si>
  <si>
    <t>SARS-CoV; SARS-CoV-1; Severe Acute Respiratory Syndrome-Related Coronavirus</t>
  </si>
  <si>
    <t>A measurement of the severe acute respiratory syndrome-related Coronavirus in a biological specimen.</t>
  </si>
  <si>
    <t>Severe Acute Respiratory Syndrome-related Coronavirus Measurement</t>
  </si>
  <si>
    <t>C171532</t>
  </si>
  <si>
    <t>SARSCOV2</t>
  </si>
  <si>
    <t>Severe Acute Resp Syndrome Coronavirus 2</t>
  </si>
  <si>
    <t>SARS-CoV-2; Severe Acute Resp Syndrome Coronavirus 2; Severe Acute Respiratory Syndrome Coronavirus 2</t>
  </si>
  <si>
    <t>A measurement of the severe acute respiratory syndrome Coronavirus 2 in a biological specimen.</t>
  </si>
  <si>
    <t>Severe Acute Respiratory Syndrome Coronavirus 2 Measurement</t>
  </si>
  <si>
    <t>C174323</t>
  </si>
  <si>
    <t>SARSRRNA</t>
  </si>
  <si>
    <t>SARS-related Coronavirus RNA</t>
  </si>
  <si>
    <t>A measurement of the SARS-related Coronavirus RNA including but not limited to SARS-CoV, SARS-CoV-2, and/or other SARS-like Coronavirus in a biological specimen.</t>
  </si>
  <si>
    <t>SARS-related Coronavirus RNA Measurement</t>
  </si>
  <si>
    <t>C221665</t>
  </si>
  <si>
    <t>SATV</t>
  </si>
  <si>
    <t>Subcutaneous Adipose Tissue Volume</t>
  </si>
  <si>
    <t>A measurement of the volume of adipose tissue within the subcutaneous layer of the skin.</t>
  </si>
  <si>
    <t>Subcutaneous Adipose Tissue Volume Measurement</t>
  </si>
  <si>
    <t>C186184</t>
  </si>
  <si>
    <t>SAUDNA</t>
  </si>
  <si>
    <t>Staphylococcus aureus DNA</t>
  </si>
  <si>
    <t>A measurement of the Staphylococcus aureus DNA in a biological specimen.</t>
  </si>
  <si>
    <t>Staphylococcus aureus DNA Measurement</t>
  </si>
  <si>
    <t>C147460</t>
  </si>
  <si>
    <t>SAUREUS</t>
  </si>
  <si>
    <t>Staphylococcus aureus</t>
  </si>
  <si>
    <t>S. aureus; Staphylococcus aureus</t>
  </si>
  <si>
    <t>A measurement of the Staphylococcus aureus in a biological specimen.</t>
  </si>
  <si>
    <t>Staphylococcus aureus Measurement</t>
  </si>
  <si>
    <t>C170618</t>
  </si>
  <si>
    <t>SAWVOL</t>
  </si>
  <si>
    <t>Specific Airway Volume</t>
  </si>
  <si>
    <t>A parameter used in functional respiratory imaging, derived by dividing the airway volume of a specified intrapulmonary region by the total volume of the same specified intrapulmonary region.</t>
  </si>
  <si>
    <t>C170622</t>
  </si>
  <si>
    <t>SAWVOLPP</t>
  </si>
  <si>
    <t>Percent Predicted Specific Airway Volume</t>
  </si>
  <si>
    <t>A parameter used in functional respiratory imaging, derived by dividing the airway volume of a specified intrapulmonary region by the total volume of the same specified intrapulmonary region, expressed as a proportion of the predicted normal value.</t>
  </si>
  <si>
    <t>C172608</t>
  </si>
  <si>
    <t>SBPAPCTL</t>
  </si>
  <si>
    <t>Systolic BP-for-Age Percentile</t>
  </si>
  <si>
    <t>Systolic Blood Pressure-for-Age Percentile; Systolic BP-for-Age Percentile</t>
  </si>
  <si>
    <t>An assessed relationship of an individual's systolic blood pressure and age to that of a reference population, expressed as a percentile.</t>
  </si>
  <si>
    <t>Systolic Blood Pressure-for-Age Percentile</t>
  </si>
  <si>
    <t>C172607</t>
  </si>
  <si>
    <t>SBPHPCTL</t>
  </si>
  <si>
    <t>Systolic BP-for-Height Percentile</t>
  </si>
  <si>
    <t>Systolic Blood Pressure-for-Height Percentile; Systolic BP-for-Height Percentile</t>
  </si>
  <si>
    <t>An assessed relationship of an individual's systolic blood pressure and height to that of a reference population, expressed as a percentile.</t>
  </si>
  <si>
    <t>Systolic Blood Pressure-for-Height Percentile</t>
  </si>
  <si>
    <t>C184635</t>
  </si>
  <si>
    <t>SBUTRMN</t>
  </si>
  <si>
    <t>Sibutramine</t>
  </si>
  <si>
    <t>A measurement of the sibutramine in a biological specimen.</t>
  </si>
  <si>
    <t>Sibutramine Measurement</t>
  </si>
  <si>
    <t>C209617</t>
  </si>
  <si>
    <t>SBZMA</t>
  </si>
  <si>
    <t>S-Benzyl Mercapturic Acid</t>
  </si>
  <si>
    <t>N-Acetyl-S-benzyl-L-cysteine; S-Benzyl Mercapturic Acid; S-Benzylmercapturate; S-Benzylmercapturic Acid; SBNAC</t>
  </si>
  <si>
    <t>A measurement of the S-benzyl mercapturic acid in a specimen.</t>
  </si>
  <si>
    <t>S-Benzyl Mercapturic Acid Measurement</t>
  </si>
  <si>
    <t>C202424</t>
  </si>
  <si>
    <t>SCARD1</t>
  </si>
  <si>
    <t>Scavenger Receptor Class D, Member 1</t>
  </si>
  <si>
    <t>CD68; CD68 Molecule; GP110; SCARD1; Scavenger Receptor Class D, Member 1</t>
  </si>
  <si>
    <t>A measurement of the scavenger receptor class D, member 1 in a biological specimen.</t>
  </si>
  <si>
    <t>Scavenger Receptor Class D, Member 1 Measurement</t>
  </si>
  <si>
    <t>C189360</t>
  </si>
  <si>
    <t>SCBFCIND</t>
  </si>
  <si>
    <t>Subj Currently Breastfeeding a Child Ind</t>
  </si>
  <si>
    <t>Subj Currently Breastfeeding a Child Ind; Subject Currently Breastfeeding a Child Indicator</t>
  </si>
  <si>
    <t>An indication as to whether the individual is currently breastfeeding a child.</t>
  </si>
  <si>
    <t>Subject Currently Breastfeeding a Child Indicator</t>
  </si>
  <si>
    <t>C75369</t>
  </si>
  <si>
    <t>SCBRBTL</t>
  </si>
  <si>
    <t>Secobarbital</t>
  </si>
  <si>
    <t>A measurement of the secobarbital present in a biological specimen.</t>
  </si>
  <si>
    <t>Secobarbital Measurement</t>
  </si>
  <si>
    <t>C120660</t>
  </si>
  <si>
    <t>SCCAG</t>
  </si>
  <si>
    <t>Squamous Cell Carcinoma Antigen</t>
  </si>
  <si>
    <t>A measurement of the squamous cell carcinoma antigen in a biological specimen.</t>
  </si>
  <si>
    <t>Squamous Cell Carcinoma Antigen Measurement</t>
  </si>
  <si>
    <t>C82035</t>
  </si>
  <si>
    <t>SCF</t>
  </si>
  <si>
    <t>Stem Cell Factor</t>
  </si>
  <si>
    <t>KIT Ligand; Stem Cell Factor</t>
  </si>
  <si>
    <t>A measurement of the stem cell factor in a biological specimen.</t>
  </si>
  <si>
    <t>Stem Cell Factor Measurement</t>
  </si>
  <si>
    <t>C199680</t>
  </si>
  <si>
    <t>SCFR</t>
  </si>
  <si>
    <t>Mast/Stem Cell Growth Factor Rec Kit</t>
  </si>
  <si>
    <t>C-Kit; CD117; KIT Proto-Oncogene, Receptor Tyrosine Kinase; Mast/Stem Cell Growth Factor Rec Kit; Mast/Stem Cell Growth Factor Receptor Kit</t>
  </si>
  <si>
    <t>A measurement of the mast/stem cell growth factor receptor kit in a biological specimen.</t>
  </si>
  <si>
    <t>Mast/Stem Cell Growth Factor Receptor Kit Measurement</t>
  </si>
  <si>
    <t>C186094</t>
  </si>
  <si>
    <t>SCHISRBC</t>
  </si>
  <si>
    <t>Schistocytes/Erythrocytes</t>
  </si>
  <si>
    <t>A relative measure (ratio or percentage) of schistocytes to erythrocytes in a biological specimen.</t>
  </si>
  <si>
    <t>Schistocyte to Erythrocyte Ratio Measurement</t>
  </si>
  <si>
    <t>C74706</t>
  </si>
  <si>
    <t>SCHISTO</t>
  </si>
  <si>
    <t>Schistocytes</t>
  </si>
  <si>
    <t>A measurement of the schistocytes (fragmented red blood cells) in a biological specimen.</t>
  </si>
  <si>
    <t>Schistocyte Count</t>
  </si>
  <si>
    <t>C74656</t>
  </si>
  <si>
    <t>SCKCERBC</t>
  </si>
  <si>
    <t>Sickle Cells/Erythrocytes</t>
  </si>
  <si>
    <t>A relative measurement (ratio or percentage) of the sickle cells (sickle shaped red blood cells) to all erythrocytes in a biological specimen.</t>
  </si>
  <si>
    <t>Sickle Cell to Erythrocyte Ratio Measurement</t>
  </si>
  <si>
    <t>C74626</t>
  </si>
  <si>
    <t>SCKLCE</t>
  </si>
  <si>
    <t>Sickle Cells</t>
  </si>
  <si>
    <t>Drepanocytes; Sickle Cells</t>
  </si>
  <si>
    <t>A measurement of the sickle cells (sickle shaped red blood cells) in a biological specimen.</t>
  </si>
  <si>
    <t>Sickle Cell Count</t>
  </si>
  <si>
    <t>C154745</t>
  </si>
  <si>
    <t>SCN</t>
  </si>
  <si>
    <t>Thiocyanate</t>
  </si>
  <si>
    <t>A measurement of the thiocyanate in a biological specimen.</t>
  </si>
  <si>
    <t>Thiocyanate Measurement</t>
  </si>
  <si>
    <t>C186095</t>
  </si>
  <si>
    <t>SCNYLACT</t>
  </si>
  <si>
    <t>Succinylacetone</t>
  </si>
  <si>
    <t>A measurement of the succinylacetone in a biological specimen.</t>
  </si>
  <si>
    <t>Succinylacetone Measurement</t>
  </si>
  <si>
    <t>C25338</t>
  </si>
  <si>
    <t>SCORE</t>
  </si>
  <si>
    <t>Score</t>
  </si>
  <si>
    <t>A value (e.g., number, numeric range, ratio) that assesses and orders a result or response for purposes of comparison.</t>
  </si>
  <si>
    <t>C79465</t>
  </si>
  <si>
    <t>SDH</t>
  </si>
  <si>
    <t>Sorbitol Dehydrogenase</t>
  </si>
  <si>
    <t>A measurement of the sorbitol dehydrogenase in a biological specimen.</t>
  </si>
  <si>
    <t>Sorbitol Dehydrogenase Measurement</t>
  </si>
  <si>
    <t>C158232</t>
  </si>
  <si>
    <t>SDMA</t>
  </si>
  <si>
    <t>Symmetric Dimethylarginine</t>
  </si>
  <si>
    <t>N,N'-dimethylarginine; Symmetric Dimethylarginine</t>
  </si>
  <si>
    <t>A measurement of the symmetric dimethylarginine in a biological specimen.</t>
  </si>
  <si>
    <t>Symmetric Dimethylarginine Measurement</t>
  </si>
  <si>
    <t>C98783</t>
  </si>
  <si>
    <t>SDMDUR</t>
  </si>
  <si>
    <t>Stable Disease Minimum Duration</t>
  </si>
  <si>
    <t>The protocol specified minimum amount of time needed to meet the definition of stable disease.</t>
  </si>
  <si>
    <t>C221527</t>
  </si>
  <si>
    <t>SDSRTYPE</t>
  </si>
  <si>
    <t>Sudden Death Syndrome Risk Type</t>
  </si>
  <si>
    <t>A characterization or classification of the syndromes or conditions that put a subject at risk for sudden death.</t>
  </si>
  <si>
    <t>C174284</t>
  </si>
  <si>
    <t>SDTHIND</t>
  </si>
  <si>
    <t>Sudden Death Indicator</t>
  </si>
  <si>
    <t>An indication as to whether death was unexpected or occurred without warning.</t>
  </si>
  <si>
    <t>C156604</t>
  </si>
  <si>
    <t>SDTIGVER</t>
  </si>
  <si>
    <t>SDTM IG Version</t>
  </si>
  <si>
    <t>SDTM IG Version; SDTM Implementation Guide Version; SDTMIG Version</t>
  </si>
  <si>
    <t>The version of the CDISC Study Data Tabulation Model implementation guide that is being used in the study submission.</t>
  </si>
  <si>
    <t>Study Data Tabulation Model Implementation Guide Version</t>
  </si>
  <si>
    <t>C189317</t>
  </si>
  <si>
    <t>SDTMDVER</t>
  </si>
  <si>
    <t>SDTMIG Medical Device Version</t>
  </si>
  <si>
    <t>SDTM IG Medical Device Version; SDTM Implementation Guide Medical Device Version; SDTMIG Medical Device Version; SDTMIG-MD Version</t>
  </si>
  <si>
    <t>The version of the CDISC Study Data Tabulation Model implementation guide for medical devices that is being used in the study submission.</t>
  </si>
  <si>
    <t>SDTM Implementation Guide Medical Device Version</t>
  </si>
  <si>
    <t>C156605</t>
  </si>
  <si>
    <t>SDTMVER</t>
  </si>
  <si>
    <t>SDTM Version</t>
  </si>
  <si>
    <t>The version of the CDISC Study Data Tabulation Model that is being used in the study submission.</t>
  </si>
  <si>
    <t>Study Data Tabulation Model Version</t>
  </si>
  <si>
    <t>C127799</t>
  </si>
  <si>
    <t>SDXMLIND</t>
  </si>
  <si>
    <t>Secure Delivery XML Required Indicator</t>
  </si>
  <si>
    <t>An indication as to whether the XML copy of the EudraCT application requires secure E-mail delivery.</t>
  </si>
  <si>
    <t>Requires Secure Email Delivery of XML Indicator</t>
  </si>
  <si>
    <t>C187825</t>
  </si>
  <si>
    <t>SE</t>
  </si>
  <si>
    <t>Selenium</t>
  </si>
  <si>
    <t>A measurement of the selenium in a specimen.</t>
  </si>
  <si>
    <t>Selenium Measurement</t>
  </si>
  <si>
    <t>C156553</t>
  </si>
  <si>
    <t>Sleep Efficiency</t>
  </si>
  <si>
    <t>A relative measurement (percentage) of the total sleep time (N1 sleep + N2 sleep + N3 sleep + REM sleep) to the total time spent in bed.</t>
  </si>
  <si>
    <t>C116142</t>
  </si>
  <si>
    <t>SECDTH</t>
  </si>
  <si>
    <t>Secondary Cause of Death</t>
  </si>
  <si>
    <t>The secondary significant event which ultimately led to death.</t>
  </si>
  <si>
    <t>C74871</t>
  </si>
  <si>
    <t>SECRETIN</t>
  </si>
  <si>
    <t>Secretin</t>
  </si>
  <si>
    <t>A measurement of the secretin hormone in a biological specimen.</t>
  </si>
  <si>
    <t>Secretin Measurement</t>
  </si>
  <si>
    <t>C105744</t>
  </si>
  <si>
    <t>SEDEXAM</t>
  </si>
  <si>
    <t>Sediment Examination</t>
  </si>
  <si>
    <t>Microscopic Sediment Analysis; Sediment Analysis; Sediment Examination</t>
  </si>
  <si>
    <t>An observation, assessment or examination of the sediment in a biological specimen.</t>
  </si>
  <si>
    <t>Sediment Analysis</t>
  </si>
  <si>
    <t>C199964</t>
  </si>
  <si>
    <t>SEN</t>
  </si>
  <si>
    <t>Salmonella enterica</t>
  </si>
  <si>
    <t>A measurement of the Salmonella enterica in a biological specimen.</t>
  </si>
  <si>
    <t>Salmonella enterica Measurement</t>
  </si>
  <si>
    <t>C166055</t>
  </si>
  <si>
    <t>SENBODNA</t>
  </si>
  <si>
    <t>Salmonella enterica/bongori DNA</t>
  </si>
  <si>
    <t>A measurement of the Salmonella enterica and/or Salmonella bongori DNA in a biological specimen.</t>
  </si>
  <si>
    <t>Salmonella enterica and/or Salmonella bongori DNA Measurement</t>
  </si>
  <si>
    <t>C90462</t>
  </si>
  <si>
    <t>SENDTC</t>
  </si>
  <si>
    <t>Study End Date</t>
  </si>
  <si>
    <t>The date on which the final data item for a clinical study was collected from the last study participant (that is, last subject, last visit, or as otherwise defined in the study protocol). (CDISC Glossary)</t>
  </si>
  <si>
    <t>Clinical Study End Date</t>
  </si>
  <si>
    <t>C187870</t>
  </si>
  <si>
    <t>SEP</t>
  </si>
  <si>
    <t>Staphylococcus epidermidis</t>
  </si>
  <si>
    <t>A measurement of the Staphylococcus epidermidis in a biological specimen.</t>
  </si>
  <si>
    <t>Staphylococcus epidermidis Measurement</t>
  </si>
  <si>
    <t>C122149</t>
  </si>
  <si>
    <t>SER</t>
  </si>
  <si>
    <t>Serine</t>
  </si>
  <si>
    <t>A measurement of the serine in a biological specimen.</t>
  </si>
  <si>
    <t>Serine Measurement</t>
  </si>
  <si>
    <t>C179763</t>
  </si>
  <si>
    <t>SERRATIA</t>
  </si>
  <si>
    <t>Serratia</t>
  </si>
  <si>
    <t>A measurement of the organisms that are not assigned to the species level but are assigned to the Serratia genus level in a biological specimen.</t>
  </si>
  <si>
    <t>Serratia Measurement</t>
  </si>
  <si>
    <t>C147432</t>
  </si>
  <si>
    <t>SERTRAL</t>
  </si>
  <si>
    <t>Sertraline</t>
  </si>
  <si>
    <t>A measurement of the sertraline present in a biological specimen.</t>
  </si>
  <si>
    <t>Sertraline Measurement</t>
  </si>
  <si>
    <t>C187817</t>
  </si>
  <si>
    <t>SERTRALN</t>
  </si>
  <si>
    <t>Norsertraline</t>
  </si>
  <si>
    <t>A measurement of the norsertraline in a biological specimen.</t>
  </si>
  <si>
    <t>Norsertraline Measurement</t>
  </si>
  <si>
    <t>C102708</t>
  </si>
  <si>
    <t>SETCON</t>
  </si>
  <si>
    <t>Setting of Contact</t>
  </si>
  <si>
    <t>The environment within which the person may have come into contact with a disease carrier, or played the role of a disease carrier.</t>
  </si>
  <si>
    <t>Setting of Disease Contact</t>
  </si>
  <si>
    <t>C117962</t>
  </si>
  <si>
    <t>SEVCRIT</t>
  </si>
  <si>
    <t>Severity Criteria</t>
  </si>
  <si>
    <t>A standard from which a judgment concerning the severity of an event, disease or condition can be established.</t>
  </si>
  <si>
    <t>C189357</t>
  </si>
  <si>
    <t>SEXABDUR</t>
  </si>
  <si>
    <t>Duration of Sexual Abstinence</t>
  </si>
  <si>
    <t>The length of time during which the individual abstained from sexual activity.</t>
  </si>
  <si>
    <t>C205472</t>
  </si>
  <si>
    <t>SEXABRTH</t>
  </si>
  <si>
    <t>Sex Assigned at Birth</t>
  </si>
  <si>
    <t>The sex assigned to an infant, most often based on the infant's anatomical and other biological characteristics. Sometimes referred to as birth sex, natal sex, biological sex, or sex; however, sex assigned at birth is the recommended term. (Fenway Health)</t>
  </si>
  <si>
    <t>C84361</t>
  </si>
  <si>
    <t>SEXORIE</t>
  </si>
  <si>
    <t>Sexual Orientation</t>
  </si>
  <si>
    <t>The pattern of a person's emotional, romantic, and/or sexual attractions.</t>
  </si>
  <si>
    <t>C49696</t>
  </si>
  <si>
    <t>SEXPOP</t>
  </si>
  <si>
    <t>Sex of Participants</t>
  </si>
  <si>
    <t>The specific sex, either male, female, or mixed of the subject group being studied. (NCI)</t>
  </si>
  <si>
    <t>Sex of Study Group</t>
  </si>
  <si>
    <t>C74625</t>
  </si>
  <si>
    <t>SEZCE</t>
  </si>
  <si>
    <t>Sezary Cells</t>
  </si>
  <si>
    <t>A measurement of the Sezary cells (atypical lymphocytes with cerebriform nuclei) in a biological specimen.</t>
  </si>
  <si>
    <t>Sezary Cell Count</t>
  </si>
  <si>
    <t>C158231</t>
  </si>
  <si>
    <t>SEZCELE</t>
  </si>
  <si>
    <t>Sezary Cells/Leukocytes</t>
  </si>
  <si>
    <t>A relative measurement (ratio or percentage) of the Sezary cells to all leukocytes in a biological specimen.</t>
  </si>
  <si>
    <t>Sezary Cells to Leukocytes Ratio Measurement</t>
  </si>
  <si>
    <t>C74655</t>
  </si>
  <si>
    <t>SEZCELY</t>
  </si>
  <si>
    <t>Sezary Cells/Lymphocytes</t>
  </si>
  <si>
    <t>A relative measurement (ratio or percentage of the Sezary cells (atypical lymphocytes with cerebriform nuclei) to all lymphocytes in a biological specimen.</t>
  </si>
  <si>
    <t>Sezary Cell to Lymphocyte Ratio Measurement</t>
  </si>
  <si>
    <t>C111322</t>
  </si>
  <si>
    <t>SFTPD</t>
  </si>
  <si>
    <t>Surfactant Protein D</t>
  </si>
  <si>
    <t>SP-D; Surfactant Protein D</t>
  </si>
  <si>
    <t>A measurement of the surfactant protein D in a biological specimen.</t>
  </si>
  <si>
    <t>Surfactant Protein D Measurement</t>
  </si>
  <si>
    <t>C132457</t>
  </si>
  <si>
    <t>SFTSRESP</t>
  </si>
  <si>
    <t>Soft Tissue Response</t>
  </si>
  <si>
    <t>An assessment of the soft tissue response of the disease to the therapy.</t>
  </si>
  <si>
    <t>C221623</t>
  </si>
  <si>
    <t>SGA</t>
  </si>
  <si>
    <t>Streptococcus gallolyticus</t>
  </si>
  <si>
    <t>A measurement of Streptococcus gallolyticus in a biological specimen.</t>
  </si>
  <si>
    <t>Streptococcus gallolyticus Measurement</t>
  </si>
  <si>
    <t>C122186</t>
  </si>
  <si>
    <t>SGAW</t>
  </si>
  <si>
    <t>Specific Airway Conductance</t>
  </si>
  <si>
    <t>A measurement of the airway conductance relative to lung volume. (NCI)</t>
  </si>
  <si>
    <t>C128986</t>
  </si>
  <si>
    <t>SGBESCR</t>
  </si>
  <si>
    <t>Sharp/Genant Bone Erosion Score</t>
  </si>
  <si>
    <t>The numerical value that represents the result of a clinical assessment of bone erosion based on the Genant modification of the Sharp Joint Erosion Assessment (Genant HK. Methods of assessing radiographic change in rheumatoid arthritis. Am J Med. 1983 Dec</t>
  </si>
  <si>
    <t>Sharp Genant Bone Erosion Score</t>
  </si>
  <si>
    <t>C179824</t>
  </si>
  <si>
    <t>SGDMGIND</t>
  </si>
  <si>
    <t>Surgical Damage Indicator</t>
  </si>
  <si>
    <t>An indication as to whether surgical damage has occurred.</t>
  </si>
  <si>
    <t>C209536</t>
  </si>
  <si>
    <t>SGELGE</t>
  </si>
  <si>
    <t>Segmental Late Gadolinium Enhancement</t>
  </si>
  <si>
    <t>The identification of the segment which exabits characteristics of late gadolinium enhancement.</t>
  </si>
  <si>
    <t>C128987</t>
  </si>
  <si>
    <t>SGJSNSCR</t>
  </si>
  <si>
    <t>Sharp/Genant JSN Score</t>
  </si>
  <si>
    <t>The numerical value that represents the result of a clinical assessment of joint space narrowing based on the Genant modification of the Sharp Joint Space Narrowing Assessment (Genant HK. Methods of assessing radiographic change in rheumatoid arthritis. A</t>
  </si>
  <si>
    <t>Sharp Genant Joint Space Narrowing Score</t>
  </si>
  <si>
    <t>C201448</t>
  </si>
  <si>
    <t>SGMGDIST</t>
  </si>
  <si>
    <t>Surgical Margin Distance</t>
  </si>
  <si>
    <t>Closest Surgical Margin Distance; Distance to True Margin Surface; Excision Margin Distance; Resection Margin Distance; Surgical Margin; Surgical Margin Distance; True Margin Surface Distance</t>
  </si>
  <si>
    <t>A measurement of the distance from the tumor border to the closest surgical margin.</t>
  </si>
  <si>
    <t>Surgical Margin Distance Measurement</t>
  </si>
  <si>
    <t>C177569</t>
  </si>
  <si>
    <t>SGMGIREG</t>
  </si>
  <si>
    <t>Surgical Margin Involvement Region</t>
  </si>
  <si>
    <t>The anatomical region or plane containing neoplastic tissue that has been left outside the boundary of a resected specimen within the patient.</t>
  </si>
  <si>
    <t>Anatomic Site for Involved Surgical Margin</t>
  </si>
  <si>
    <t>C123560</t>
  </si>
  <si>
    <t>SGMGSTAT</t>
  </si>
  <si>
    <t>Surgical Margins Status</t>
  </si>
  <si>
    <t>The determination of the presence of actual or potential neoplastic tissue which has been left outside the boundary of a resected specimen within the patient. (NCI)</t>
  </si>
  <si>
    <t>C165983</t>
  </si>
  <si>
    <t>SH2D1A</t>
  </si>
  <si>
    <t>SH2 Domain Containing 1A Protein</t>
  </si>
  <si>
    <t>DSHP; Duncan Disease SH2-Protein; EBVS; IMD5; LYP; MTCP1; SAP; SAP/SH2D1A; SH2 Domain Containing 1A Protein; XLP; XLPD; XLPD1</t>
  </si>
  <si>
    <t>A measurement of the SH2 domain containing 1A protein in a biological specimen.</t>
  </si>
  <si>
    <t>SH2 Domain Containing 1A Protein Measurement</t>
  </si>
  <si>
    <t>C186185</t>
  </si>
  <si>
    <t>SHA</t>
  </si>
  <si>
    <t>Staphylococcus haemolyticus</t>
  </si>
  <si>
    <t>A measurement of the Staphylococcus haemolyticus in a biological specimen.</t>
  </si>
  <si>
    <t>Staphylococcus haemolyticus Measurement</t>
  </si>
  <si>
    <t>C25677</t>
  </si>
  <si>
    <t>SHAPE</t>
  </si>
  <si>
    <t>Shape</t>
  </si>
  <si>
    <t>The spatial arrangement of something as distinct from its substance. (NCI)</t>
  </si>
  <si>
    <t>C74745</t>
  </si>
  <si>
    <t>SHBG</t>
  </si>
  <si>
    <t>Sex Hormone Binding Globulin</t>
  </si>
  <si>
    <t>Sex Hormone Binding Globulin; Sex Hormone Binding Protein</t>
  </si>
  <si>
    <t>A measurement of the sex hormone binding (globulin) protein in a biological specimen.</t>
  </si>
  <si>
    <t>Sex Hormone Binding Protein Measurement</t>
  </si>
  <si>
    <t>C177989</t>
  </si>
  <si>
    <t>SHH</t>
  </si>
  <si>
    <t>Sonic Hedgehog</t>
  </si>
  <si>
    <t>A measurement of the sonic hedgehog protein in a biological specimen.</t>
  </si>
  <si>
    <t>Sonic Hedgehog Measurement</t>
  </si>
  <si>
    <t>C198339</t>
  </si>
  <si>
    <t>SHIGAG</t>
  </si>
  <si>
    <t>Shigella Antigen</t>
  </si>
  <si>
    <t>A measurement of the antigen from any member of the genus Shigella in a biological specimen.</t>
  </si>
  <si>
    <t>Shigella Antigen Measurement</t>
  </si>
  <si>
    <t>C184669</t>
  </si>
  <si>
    <t>SHIGATOX</t>
  </si>
  <si>
    <t>Shiga Toxin</t>
  </si>
  <si>
    <t>A measurement of the shiga toxin in a biological specimen.</t>
  </si>
  <si>
    <t>Shiga Toxin Measurement</t>
  </si>
  <si>
    <t>C184670</t>
  </si>
  <si>
    <t>SHIGDNA</t>
  </si>
  <si>
    <t>Shigella DNA</t>
  </si>
  <si>
    <t>A measurement of the DNA from any member of the genus Shigella in a biological specimen.</t>
  </si>
  <si>
    <t>Shigella DNA Measurement</t>
  </si>
  <si>
    <t>C186186</t>
  </si>
  <si>
    <t>SHIGEIEC</t>
  </si>
  <si>
    <t>Shigella/EIEC</t>
  </si>
  <si>
    <t>Shigella/EIEC; Shigella/Enteroinvasive E. coli; Shigella/Enteroinvasive Escherichia coli</t>
  </si>
  <si>
    <t>A measurement of the organisms that are not assigned to the species level but are assigned to the Shigella genus level and/or enteroinvasive Escherichia coli in a biological specimen.</t>
  </si>
  <si>
    <t>Shigella and/or Enteroinvasive Escherichia coli DNA Measurement</t>
  </si>
  <si>
    <t>C181459</t>
  </si>
  <si>
    <t>SHIGELLA</t>
  </si>
  <si>
    <t>Shigella</t>
  </si>
  <si>
    <t>A measurement of the organisms that are not assigned to the species level but are assigned to the Shigella genus level in a biological specimen.</t>
  </si>
  <si>
    <t>Shigella Measurement</t>
  </si>
  <si>
    <t>C221620</t>
  </si>
  <si>
    <t>SHO</t>
  </si>
  <si>
    <t>Staphylococcus hominis</t>
  </si>
  <si>
    <t>A measurement of Staphylococcus hominis in a biological specimen.</t>
  </si>
  <si>
    <t>Staphylococcus hominis Measurement</t>
  </si>
  <si>
    <t>C210401</t>
  </si>
  <si>
    <t>SHSMEXST</t>
  </si>
  <si>
    <t>Second Hand Smoke Exposure Status</t>
  </si>
  <si>
    <t>The status of an individual with regard to secondhand smoke exposure.</t>
  </si>
  <si>
    <t>C132386</t>
  </si>
  <si>
    <t>SICAM1</t>
  </si>
  <si>
    <t>Soluble Intercell Adhesion Molecule 1</t>
  </si>
  <si>
    <t>A measurement of the soluble intercellular adhesion molecule 1 in a biological specimen.</t>
  </si>
  <si>
    <t>Soluble Intercellular Adhesion Molecule 1 Measurement</t>
  </si>
  <si>
    <t>C186096</t>
  </si>
  <si>
    <t>SICAM4</t>
  </si>
  <si>
    <t>Soluble Intercell Adhesion Molecule 4</t>
  </si>
  <si>
    <t>Soluble Intercell Adhesion Molecule 4; Soluble Intercellular Adhesion Molecule 4</t>
  </si>
  <si>
    <t>A measurement of the soluble intercellular adhesion molecule 4 in a biological specimen.</t>
  </si>
  <si>
    <t>Soluble Intercellular Adhesion Molecule 4 Measurement</t>
  </si>
  <si>
    <t>C74876</t>
  </si>
  <si>
    <t>SIXMAM</t>
  </si>
  <si>
    <t>6-Monoacetylmorphine</t>
  </si>
  <si>
    <t>A measurement of the 6-monoacetylmorphine present in a biological specimen.</t>
  </si>
  <si>
    <t>6-Monoacetylmorphine Measurement</t>
  </si>
  <si>
    <t>C154879</t>
  </si>
  <si>
    <t>SKGLAIND</t>
  </si>
  <si>
    <t>Skene's Gland Abnormality Indicator</t>
  </si>
  <si>
    <t>An indication as to whether the Skene's gland is abnormal.</t>
  </si>
  <si>
    <t>C74563</t>
  </si>
  <si>
    <t>SKINCLAS</t>
  </si>
  <si>
    <t>Skin Classification</t>
  </si>
  <si>
    <t>Fitzpatrick Skin Classification; Skin Classification</t>
  </si>
  <si>
    <t>Test to categorize the sensitivity of a subject's skin to sunlight. (Fitzpatrick TB. The validity and practicality of sun-reactive skin types I through VI. Arch. Dermatol. 1998 124: 869-871.)</t>
  </si>
  <si>
    <t>Fitzpatrick Classification Scale</t>
  </si>
  <si>
    <t>C154866</t>
  </si>
  <si>
    <t>SKNCUDNC</t>
  </si>
  <si>
    <t>Skin Conductance</t>
  </si>
  <si>
    <t>The degree to which the skin can conduct electricity.</t>
  </si>
  <si>
    <t>C100438</t>
  </si>
  <si>
    <t>SLTFRNRC</t>
  </si>
  <si>
    <t>Soluble Transferrin Receptor</t>
  </si>
  <si>
    <t>A measurement of the soluble transferrin receptor in a biological specimen.</t>
  </si>
  <si>
    <t>Soluble Transferrin Receptor Measurement</t>
  </si>
  <si>
    <t>C114223</t>
  </si>
  <si>
    <t>SLXAG</t>
  </si>
  <si>
    <t>Sialyl SSEA-1 Antigen</t>
  </si>
  <si>
    <t>Sialyl Lewis X Antigen; Sialyl Lex; Sialyl SSEA-1 Antigen; Sialyl-CD15; SLeX</t>
  </si>
  <si>
    <t>A measurement of the sialyl stage-specific embryonic antigen-1 in a biological specimen.</t>
  </si>
  <si>
    <t>Sialyl SSEA-1 Antigen Measurement</t>
  </si>
  <si>
    <t>C198340</t>
  </si>
  <si>
    <t>SMA</t>
  </si>
  <si>
    <t>Serratia marcescens</t>
  </si>
  <si>
    <t>A measurement of the Serratia marcescens in a biological specimen.</t>
  </si>
  <si>
    <t>Serratia marcescens Measurement</t>
  </si>
  <si>
    <t>C191326</t>
  </si>
  <si>
    <t>SMADNA</t>
  </si>
  <si>
    <t>Serratia marcescens DNA</t>
  </si>
  <si>
    <t>A measurement of the Serratia marcescens DNA in a biological specimen.</t>
  </si>
  <si>
    <t>Serratia marcescens DNA Measurement</t>
  </si>
  <si>
    <t>C74627</t>
  </si>
  <si>
    <t>SMDGCE</t>
  </si>
  <si>
    <t>Smudge Cells</t>
  </si>
  <si>
    <t>Basket Cells; Gumprecht Shadow Cells; Shadow Cells; Smudge Cells</t>
  </si>
  <si>
    <t>A measurement of the smudge cells (the nuclear remnant of a ruptured white blood cell) in a biological specimen.</t>
  </si>
  <si>
    <t>Smudge Cell Count</t>
  </si>
  <si>
    <t>C119294</t>
  </si>
  <si>
    <t>SMDGCELE</t>
  </si>
  <si>
    <t>Smudge Cells/Leukocytes</t>
  </si>
  <si>
    <t>Basket Cells/Leukocytes; Gumprecht Shadow Cells/Leukocytes; Shadow Cells/Leukocytes; Smudge Cells/Leukocytes</t>
  </si>
  <si>
    <t>A relative measurement (ratio or percentage) of smudge cells to leukocytes in a biological specimen.</t>
  </si>
  <si>
    <t>Smudge Cells to Leukocytes Ratio Measurement</t>
  </si>
  <si>
    <t>C156662</t>
  </si>
  <si>
    <t>SMGAIND</t>
  </si>
  <si>
    <t>Small for Gestational Age Indicator</t>
  </si>
  <si>
    <t>An indication as to whether the fetus or infant is small for the gestational age.</t>
  </si>
  <si>
    <t>C221625</t>
  </si>
  <si>
    <t>SMI</t>
  </si>
  <si>
    <t>Streptococcus mitis</t>
  </si>
  <si>
    <t>A measurement of Streptococcus mitis in a biological specimen.</t>
  </si>
  <si>
    <t>Streptococcus mitis Measurement</t>
  </si>
  <si>
    <t>C178017</t>
  </si>
  <si>
    <t>SMMASS</t>
  </si>
  <si>
    <t>Skeletal Muscle Mass</t>
  </si>
  <si>
    <t>A measurement of the total mass of the skeletal muscle.</t>
  </si>
  <si>
    <t>Skeletal Muscle Mass Measurement</t>
  </si>
  <si>
    <t>C204635</t>
  </si>
  <si>
    <t>SMREXAM</t>
  </si>
  <si>
    <t>Smear Examination</t>
  </si>
  <si>
    <t>Smear Evaluation; Smear Examination; Specimen Smear Examination</t>
  </si>
  <si>
    <t>An observation, assessment or examination of a smear of a biological specimen.</t>
  </si>
  <si>
    <t>C189495</t>
  </si>
  <si>
    <t>SMRP</t>
  </si>
  <si>
    <t>Soluble Mesothelin Related Peptides</t>
  </si>
  <si>
    <t>Soluble Mesothelin Related Peptides; Soluble Mesothelin Related Proteins</t>
  </si>
  <si>
    <t>A measurement of the soluble mesothelin related peptides in a biological specimen.</t>
  </si>
  <si>
    <t>Soluble Mesothelin Related Peptides Measurement</t>
  </si>
  <si>
    <t>C111312</t>
  </si>
  <si>
    <t>SNRARRY</t>
  </si>
  <si>
    <t>Sinus Node Rhythms and Arrhythmias</t>
  </si>
  <si>
    <t>An electrocardiographic assessment of sinus node rhythms and arrhythmias.</t>
  </si>
  <si>
    <t>Sinus Node Rhythm and Arrhythmia ECG Assessment</t>
  </si>
  <si>
    <t>C114224</t>
  </si>
  <si>
    <t>SO2</t>
  </si>
  <si>
    <t>Sulfur Dioxide</t>
  </si>
  <si>
    <t>A measurement of the sulfur dioxide in a biological specimen.</t>
  </si>
  <si>
    <t>Sulfur Dioxide Measurement</t>
  </si>
  <si>
    <t>C198364</t>
  </si>
  <si>
    <t>SOCECCLS</t>
  </si>
  <si>
    <t>Socioeconomic Classification</t>
  </si>
  <si>
    <t>Socioeconomic Class; Socioeconomic Classification</t>
  </si>
  <si>
    <t>A characterization or classification of an individual that takes into account economics, demographics, and social interactions, used to stratify individual behaviors within a society or culture.</t>
  </si>
  <si>
    <t>Socioeconomic Class</t>
  </si>
  <si>
    <t>C64809</t>
  </si>
  <si>
    <t>SODIUM</t>
  </si>
  <si>
    <t>Sodium</t>
  </si>
  <si>
    <t>A measurement of the sodium in a biological specimen.</t>
  </si>
  <si>
    <t>Sodium Measurement</t>
  </si>
  <si>
    <t>C150823</t>
  </si>
  <si>
    <t>SODMEXR</t>
  </si>
  <si>
    <t>Sodium Excretion Rate</t>
  </si>
  <si>
    <t>A measurement of the amount of sodium being excreted in a biological specimen over a defined amount of time (e.g. one hour).</t>
  </si>
  <si>
    <t>C154867</t>
  </si>
  <si>
    <t>SOL</t>
  </si>
  <si>
    <t>Sleep Onset Latency</t>
  </si>
  <si>
    <t>The duration of time between when the lights are turned off and when the individual falls asleep.</t>
  </si>
  <si>
    <t>C80360</t>
  </si>
  <si>
    <t>SOMATRO</t>
  </si>
  <si>
    <t>Somatotrophin</t>
  </si>
  <si>
    <t>Growth Hormone; Somatotrophin; Somatotropin</t>
  </si>
  <si>
    <t>A measurement of the somatotrophin (growth) hormone in a biological specimen.</t>
  </si>
  <si>
    <t>Somatotrophin Measurement</t>
  </si>
  <si>
    <t>C117857</t>
  </si>
  <si>
    <t>SOST</t>
  </si>
  <si>
    <t>Sclerostin</t>
  </si>
  <si>
    <t>A measurement of the sclerostin in a biological specimen.</t>
  </si>
  <si>
    <t>Sclerostin Measurement</t>
  </si>
  <si>
    <t>C202423</t>
  </si>
  <si>
    <t>SOX10</t>
  </si>
  <si>
    <t>SRY-Box Transcription Factor 10</t>
  </si>
  <si>
    <t>SOX-10; SRY-Box 10; SRY-Box Transcription Factor 10</t>
  </si>
  <si>
    <t>A measurement of the SRY-box transcription factor 10 in a biological specimen.</t>
  </si>
  <si>
    <t>SRY-Box Transcription Factor 10 Measurement</t>
  </si>
  <si>
    <t>C120837</t>
  </si>
  <si>
    <t>SPABORTN</t>
  </si>
  <si>
    <t>Number of Spontaneous Abortions</t>
  </si>
  <si>
    <t>Number of Miscarriages; Number of Spontaneous Abortions</t>
  </si>
  <si>
    <t>A measurement of the total number of spontaneous abortions (in which the fetus is less than 20 weeks gestational age) experienced by a female subject.</t>
  </si>
  <si>
    <t>C202376</t>
  </si>
  <si>
    <t>SPAN1</t>
  </si>
  <si>
    <t>S-Pancreas-1 Antigen</t>
  </si>
  <si>
    <t>S-Pancreas-1 Antigen; Sialylated Carbonated Antigen SPAN-1; SPan-1</t>
  </si>
  <si>
    <t>A measurement of the S-pancreas-1 antigen in a biological specimen.</t>
  </si>
  <si>
    <t>S-Pancreas-1 Antigen Measurement</t>
  </si>
  <si>
    <t>C74663</t>
  </si>
  <si>
    <t>SPERM</t>
  </si>
  <si>
    <t>Spermatozoa</t>
  </si>
  <si>
    <t>A measurement of the spermatozoa cells present in a biological specimen.</t>
  </si>
  <si>
    <t>Spermatozoa Cell Count</t>
  </si>
  <si>
    <t>C102281</t>
  </si>
  <si>
    <t>SPERMMTL</t>
  </si>
  <si>
    <t>Sperm Motility</t>
  </si>
  <si>
    <t>A measurement of the sperm capable of forward, progressive movement in a semen specimen.</t>
  </si>
  <si>
    <t>Sperm Motility Measurement</t>
  </si>
  <si>
    <t>C161366</t>
  </si>
  <si>
    <t>SPERMP</t>
  </si>
  <si>
    <t>Spermatozoa, Progressive</t>
  </si>
  <si>
    <t>A measurement of the progressive spermatozoa (motile in a forward direction) in a biological specimen.</t>
  </si>
  <si>
    <t>Progressive Spermatozoa Measurement</t>
  </si>
  <si>
    <t>C64832</t>
  </si>
  <si>
    <t>SPGRAV</t>
  </si>
  <si>
    <t>Specific Gravity</t>
  </si>
  <si>
    <t>A ratio of the density of a fluid to the density of water.</t>
  </si>
  <si>
    <t>C74707</t>
  </si>
  <si>
    <t>SPHERO</t>
  </si>
  <si>
    <t>Spherocytes</t>
  </si>
  <si>
    <t>A measurement of the spherocytes (small, sphere-shaped red blood cells) in a biological specimen.</t>
  </si>
  <si>
    <t>Spherocyte Count</t>
  </si>
  <si>
    <t>C199904</t>
  </si>
  <si>
    <t>SPINK1</t>
  </si>
  <si>
    <t>Serine Peptidase Inhibitor Kazal Type 1</t>
  </si>
  <si>
    <t>Pancreatic Secretory Trypsin Inhibitor; PSTI; Serine Peptidase Inhibitor Kazal Type 1; Spink3; TATI; Tumor-Associated Trypsin Inhibitor</t>
  </si>
  <si>
    <t>A measurement of the serine peptidase inhibitor Kazal type 1 in a biological specimen.</t>
  </si>
  <si>
    <t>Serine Peptidase Inhibitor Kazal Type 1 Measurement</t>
  </si>
  <si>
    <t>C201436</t>
  </si>
  <si>
    <t>SPIROCHE</t>
  </si>
  <si>
    <t>Spirochaetales</t>
  </si>
  <si>
    <t>Spirochaetales; Spirochete Bacteria</t>
  </si>
  <si>
    <t>A measurement of the organisms that are not assigned to the species level but are assigned to the Spirochaetales order level in a biological specimen.</t>
  </si>
  <si>
    <t>Spirochaetales Measurement</t>
  </si>
  <si>
    <t>C120663</t>
  </si>
  <si>
    <t>SPLA2II</t>
  </si>
  <si>
    <t>Type II Secretory Phospholipase A2</t>
  </si>
  <si>
    <t>A measurement of the type II secretory phospholipase A2 in a biological specimen.</t>
  </si>
  <si>
    <t>Type II Secretory Phospholipase A2 Measurement</t>
  </si>
  <si>
    <t>C202450</t>
  </si>
  <si>
    <t>SPLMIND</t>
  </si>
  <si>
    <t>Splenomegaly Indicator</t>
  </si>
  <si>
    <t>An indication as to whether splenomegaly (enlarged spleen) is present.</t>
  </si>
  <si>
    <t>C135482</t>
  </si>
  <si>
    <t>SPLNRESP</t>
  </si>
  <si>
    <t>Spleen Response</t>
  </si>
  <si>
    <t>An assessment of the disease response to therapy within the spleen.</t>
  </si>
  <si>
    <t>Disease Response in Spleen</t>
  </si>
  <si>
    <t>C142290</t>
  </si>
  <si>
    <t>SPMAGGLU</t>
  </si>
  <si>
    <t>Sperm Agglutination</t>
  </si>
  <si>
    <t>A measurement of the motile spermatozoa agglutination in a biological specimen.</t>
  </si>
  <si>
    <t>Sperm Agglutination Measurement</t>
  </si>
  <si>
    <t>C142291</t>
  </si>
  <si>
    <t>SPMAGGR</t>
  </si>
  <si>
    <t>Sperm Aggregation</t>
  </si>
  <si>
    <t>A measurement of the immotile spermatozoa aggregation in a biological specimen.</t>
  </si>
  <si>
    <t>Sperm Aggregation Measurement</t>
  </si>
  <si>
    <t>C147433</t>
  </si>
  <si>
    <t>SPMMSPM</t>
  </si>
  <si>
    <t>Motile Sperm/Total Sperm</t>
  </si>
  <si>
    <t>A relative measurement (ratio or percentage) of the motile sperm to total sperm in a biological specimen.</t>
  </si>
  <si>
    <t>Motile Sperm to Total Sperm Ratio Measurement</t>
  </si>
  <si>
    <t>C161365</t>
  </si>
  <si>
    <t>SPMPSPM</t>
  </si>
  <si>
    <t>Spermatozoa, Progressive/Spermatozoa</t>
  </si>
  <si>
    <t>A relative measurement (ratio or percentage) of the progressive spermatozoa to total spermatozoa in a biological specimen.</t>
  </si>
  <si>
    <t>Progressive Spermatozoa to Total Spermatozoa Ratio Measurement</t>
  </si>
  <si>
    <t>C187872</t>
  </si>
  <si>
    <t>SPN</t>
  </si>
  <si>
    <t>Streptococcus pneumoniae</t>
  </si>
  <si>
    <t>A measurement of the Streptococcus pneumoniae in a biological specimen.</t>
  </si>
  <si>
    <t>Streptococcus pneumoniae Measurement</t>
  </si>
  <si>
    <t>C122152</t>
  </si>
  <si>
    <t>SPNAG</t>
  </si>
  <si>
    <t>Streptococcus pneumoniae Antigen</t>
  </si>
  <si>
    <t>A measurement of the Streptococcus pneumoniae antigen in a biological specimen.</t>
  </si>
  <si>
    <t>Streptococcus pneumoniae Antigen Measurement</t>
  </si>
  <si>
    <t>C186187</t>
  </si>
  <si>
    <t>SPNDNA</t>
  </si>
  <si>
    <t>Streptococcus pneumoniae DNA</t>
  </si>
  <si>
    <t>A measurement of Streptococcus pneumoniae DNA in a biological specimen.</t>
  </si>
  <si>
    <t>Streptococcus pneumoniae DNA Measurement</t>
  </si>
  <si>
    <t>C70793</t>
  </si>
  <si>
    <t>SPONSOR</t>
  </si>
  <si>
    <t>Clinical Study Sponsor</t>
  </si>
  <si>
    <t>Clinical Study Sponsor; Sponsor; Study Sponsor</t>
  </si>
  <si>
    <t>An individual, company, institution, or organization that takes responsibility for the initiation, management, and/or financing of a clinical study. [After ICH E6, WHO, 21 CFR 50.3 (e), and after IDMP]</t>
  </si>
  <si>
    <t>C111320</t>
  </si>
  <si>
    <t>SPRARRY</t>
  </si>
  <si>
    <t>Supraventricular Arrhythmias</t>
  </si>
  <si>
    <t>An electrocardiographic assessment of supraventricular arrhythmias excluding tachycardias.</t>
  </si>
  <si>
    <t>Supraventricular Arrhythmia ECG Assessment</t>
  </si>
  <si>
    <t>C135009</t>
  </si>
  <si>
    <t>SPREFID</t>
  </si>
  <si>
    <t>Sponsor's Study Reference ID</t>
  </si>
  <si>
    <t>The reference identifier by which the study is known to the sponsor. This may be different from the STUDYID if the data were collected under a different identifier (e.g., used in a situation where a contract facility performs the study and provides a fina</t>
  </si>
  <si>
    <t>Sponsor Study Reference Identifier</t>
  </si>
  <si>
    <t>C111321</t>
  </si>
  <si>
    <t>SPRTARRY</t>
  </si>
  <si>
    <t>Supraventricular Tachyarrhythmias</t>
  </si>
  <si>
    <t>An electrocardiographic assessment of supraventricular tachyarrhythmias.</t>
  </si>
  <si>
    <t>Supraventricular Tachyarrhythmia ECG Assessment</t>
  </si>
  <si>
    <t>C106569</t>
  </si>
  <si>
    <t>SPWEIGHT</t>
  </si>
  <si>
    <t>Specimen Weight</t>
  </si>
  <si>
    <t>A measurement of the weight of a biological specimen.</t>
  </si>
  <si>
    <t>Specimen Weight Measurement</t>
  </si>
  <si>
    <t>C187873</t>
  </si>
  <si>
    <t>SPY</t>
  </si>
  <si>
    <t>Streptococcus pyogenes</t>
  </si>
  <si>
    <t>A measurement of the Streptococcus pyogenes in a biological specimen.</t>
  </si>
  <si>
    <t>Streptococcus pyogenes Measurement</t>
  </si>
  <si>
    <t>C154814</t>
  </si>
  <si>
    <t>SPYAG</t>
  </si>
  <si>
    <t>Streptococcus pyogenes Antigen</t>
  </si>
  <si>
    <t>A measurement of the Streptococcus pyogenes antigen in a biological specimen.</t>
  </si>
  <si>
    <t>Streptococcus pyogenes Antigen Measurement</t>
  </si>
  <si>
    <t>C191327</t>
  </si>
  <si>
    <t>SPYDNA</t>
  </si>
  <si>
    <t>Streptococcus pyogenes DNA</t>
  </si>
  <si>
    <t>A measurement of the Streptococcus pyogenes DNA in a biological specimen.</t>
  </si>
  <si>
    <t>Streptococcus pyogenes DNA Measurement</t>
  </si>
  <si>
    <t>C186188</t>
  </si>
  <si>
    <t>SR2RDRPR</t>
  </si>
  <si>
    <t>SARS-CoV-2 RdRp RNA</t>
  </si>
  <si>
    <t>SARS-CoV-2 RdRp Gene; SARS-CoV-2 RdRp RNA; SARS-CoV-2 RNA-dependent RNA Polymerase RNA</t>
  </si>
  <si>
    <t>A measurement of the SARS-CoV-2 RdRp RNA in a biological specimen.</t>
  </si>
  <si>
    <t>SARS-CoV-2 RdRp RNA Measurement</t>
  </si>
  <si>
    <t>C122338</t>
  </si>
  <si>
    <t>SRAUC</t>
  </si>
  <si>
    <t>Stationarity Ratio AUC</t>
  </si>
  <si>
    <t>The area under the curve (AUCTAU) at steady state divided by the area under the curve extrapolated to infinity for the initial dosing interval.</t>
  </si>
  <si>
    <t>Stationarity Ratio Area Under the Curve</t>
  </si>
  <si>
    <t>C123569</t>
  </si>
  <si>
    <t>SRAW</t>
  </si>
  <si>
    <t>Specific Airway Resistance</t>
  </si>
  <si>
    <t>A measurement used to describe airway behavior irrespective of lung volume; it is calculated as airway resistance (Raw) multiplied by functional residual capacity (FRC).</t>
  </si>
  <si>
    <t>C170624</t>
  </si>
  <si>
    <t>SRAWPP</t>
  </si>
  <si>
    <t>Percent Predicted Sp Airway Resistance</t>
  </si>
  <si>
    <t>Percent Predicted Sp Airway Resistance; Percent Predicted Specific Airway Resistance</t>
  </si>
  <si>
    <t>A measurement used to describe airway behavior irrespective of lung volume; it is calculated as airway resistance (Raw) multiplied by functional residual capacity (FRC), as a proportion of the predicted normal value.</t>
  </si>
  <si>
    <t>Percent Predicted Specific Airway Resistance</t>
  </si>
  <si>
    <t>C126073</t>
  </si>
  <si>
    <t>SREVIND</t>
  </si>
  <si>
    <t>SUSAR Reporting to EVCTM Indicator</t>
  </si>
  <si>
    <t>An indication as to whether suspected unexpected serious adverse reactions (SUSAR) will be reported to a EudraVigiliance clinical trial module (EVCTM).</t>
  </si>
  <si>
    <t>SUSAR Reporting to EudraVigiliance Clinical Trial Module Indicator</t>
  </si>
  <si>
    <t>C189355</t>
  </si>
  <si>
    <t>SRGSTIND</t>
  </si>
  <si>
    <t>Surgically Sterile Indicator</t>
  </si>
  <si>
    <t>An indication as to whether the individual has been surgically sterilized.</t>
  </si>
  <si>
    <t>Individual Surgically Sterile Indicator</t>
  </si>
  <si>
    <t>C126074</t>
  </si>
  <si>
    <t>SRNCAIND</t>
  </si>
  <si>
    <t>SUSAR Reporting to NCA Indicator</t>
  </si>
  <si>
    <t>An indication as to whether suspected unexpected serious adverse reactions (SUSAR) will be reported to national competent authorities (NCA).</t>
  </si>
  <si>
    <t>SUSAR Reporting to National Competent Authority Indicator</t>
  </si>
  <si>
    <t>C198290</t>
  </si>
  <si>
    <t>SRPNA12</t>
  </si>
  <si>
    <t>Serpin A12</t>
  </si>
  <si>
    <t>OL-64; Serpin A12; Serpin Family A Member 12; Vaspin; Visceral Adipose Tissue-Derived Serpin</t>
  </si>
  <si>
    <t>A measurement of the serpin A12 in a biological specimen.</t>
  </si>
  <si>
    <t>Serpin A12 Measurement</t>
  </si>
  <si>
    <t>C209618</t>
  </si>
  <si>
    <t>SRPNA6</t>
  </si>
  <si>
    <t>Serpin A6</t>
  </si>
  <si>
    <t>CBG; Corticosteroid Binding Globulin; Corticosteroid-binding Globulin; Serpin A6; Transcortin</t>
  </si>
  <si>
    <t>A measurement of the serpin A6 in a biological specimen.</t>
  </si>
  <si>
    <t>Serpin A6 Measurement</t>
  </si>
  <si>
    <t>C199899</t>
  </si>
  <si>
    <t>SRPNB5</t>
  </si>
  <si>
    <t>Serpin Family B Member 5</t>
  </si>
  <si>
    <t>Maspin; Peptidase Inhibitor 5; PI-5; PI5; Serpin B5; Serpin Family B Member 5</t>
  </si>
  <si>
    <t>A measurement of the serpin family B member 5 in a biological specimen.</t>
  </si>
  <si>
    <t>Serpin Family B Member 5 Measurement</t>
  </si>
  <si>
    <t>C199906</t>
  </si>
  <si>
    <t>SRPNF1</t>
  </si>
  <si>
    <t>Serpin Family F Member 1</t>
  </si>
  <si>
    <t>PEDF; Pigment Epithelium Derived Factor; Serpin F1; Serpin Family F Member 1</t>
  </si>
  <si>
    <t>A measurement of the serpin family F member 1 in a biological specimen.</t>
  </si>
  <si>
    <t>Serpin Family F Member 1 Measurement</t>
  </si>
  <si>
    <t>C74872</t>
  </si>
  <si>
    <t>SRTONIN</t>
  </si>
  <si>
    <t>Serotonin</t>
  </si>
  <si>
    <t>A measurement of the serotonin hormone in a biological specimen.</t>
  </si>
  <si>
    <t>Serotonin Measurement</t>
  </si>
  <si>
    <t>C179764</t>
  </si>
  <si>
    <t>SSA</t>
  </si>
  <si>
    <t>Staphylococcus saprophyticus</t>
  </si>
  <si>
    <t>A measurement of the Staphylococcus saprophyticus in a biological specimen.</t>
  </si>
  <si>
    <t>Staphylococcus saprophyticus Measurement</t>
  </si>
  <si>
    <t>C221626</t>
  </si>
  <si>
    <t>SSAL</t>
  </si>
  <si>
    <t>Streptococcus salivarius</t>
  </si>
  <si>
    <t>A measurement of Streptococcus salivarius in a biological specimen.</t>
  </si>
  <si>
    <t>Streptococcus salivarius Measurement</t>
  </si>
  <si>
    <t>C127800</t>
  </si>
  <si>
    <t>SSEUTIND</t>
  </si>
  <si>
    <t>Single Site EU State Trial Indicator</t>
  </si>
  <si>
    <t>An indication as to whether the clinical study is being conducted at only one site within the European Union member state concerned by the application.</t>
  </si>
  <si>
    <t>Single Site European Union State Trial Indicator</t>
  </si>
  <si>
    <t>C209447</t>
  </si>
  <si>
    <t>SSHIPNAM</t>
  </si>
  <si>
    <t>State-Specific Health Ins Program Name</t>
  </si>
  <si>
    <t>State-Specific Health Ins Program Name; State-Specific Health Insurance Program Name</t>
  </si>
  <si>
    <t>The name of the U.S. state-specific health insurance program.</t>
  </si>
  <si>
    <t>State-Specific Health Insurance Program Name</t>
  </si>
  <si>
    <t>C209691</t>
  </si>
  <si>
    <t>SSMCDNAM</t>
  </si>
  <si>
    <t>State-Specific Medicaid Program Name</t>
  </si>
  <si>
    <t>The name of the U.S. state-specific Medicaid program.</t>
  </si>
  <si>
    <t>C209692</t>
  </si>
  <si>
    <t>SSMCRNAM</t>
  </si>
  <si>
    <t>State-Specific Medicare Program Name</t>
  </si>
  <si>
    <t>The name of the U.S. state-specific Medicare program.</t>
  </si>
  <si>
    <t>C98785</t>
  </si>
  <si>
    <t>SSSKNF</t>
  </si>
  <si>
    <t>Subscapular Skinfold Thickness</t>
  </si>
  <si>
    <t>A measurement of the thickness of a pinch of skin situated below or on the underside of the scapula. (NCI)</t>
  </si>
  <si>
    <t>C69208</t>
  </si>
  <si>
    <t>SSTDTC</t>
  </si>
  <si>
    <t>Study Start Date</t>
  </si>
  <si>
    <t>The earliest date of informed consent among any subject (Date/Time of Informed Consent, RFICDTC) that enrolled in the study. For studies conducted without informed consent (i.e., emergency use) use the date of treatment. Dates for subjects who were screen</t>
  </si>
  <si>
    <t>C126075</t>
  </si>
  <si>
    <t>SSTDYDTL</t>
  </si>
  <si>
    <t>Substudy Details</t>
  </si>
  <si>
    <t>A textual description of the substudy.</t>
  </si>
  <si>
    <t>C126076</t>
  </si>
  <si>
    <t>SSTDYIND</t>
  </si>
  <si>
    <t>Substudy Planned Indicator</t>
  </si>
  <si>
    <t>An indication as to whether a study performed on a subgroup of subjects included in the original trial (substudy) is planned for the current study.</t>
  </si>
  <si>
    <t>C165984</t>
  </si>
  <si>
    <t>SSTR2</t>
  </si>
  <si>
    <t>Somatostatin Receptor Type 2</t>
  </si>
  <si>
    <t>Somatostatin Receptor Type 2; SRIF-1</t>
  </si>
  <si>
    <t>A measurement of the somatostatin receptor type 2 in a biological specimen.</t>
  </si>
  <si>
    <t>Somatostatin Receptor Type 2 Measurement</t>
  </si>
  <si>
    <t>C221675</t>
  </si>
  <si>
    <t>STANDABL</t>
  </si>
  <si>
    <t>Standing Ability</t>
  </si>
  <si>
    <t>An evaluation of an individual's ability to stand.</t>
  </si>
  <si>
    <t>Standing Ability Evaluation</t>
  </si>
  <si>
    <t>C139040</t>
  </si>
  <si>
    <t>STANFADC</t>
  </si>
  <si>
    <t>Stanford AoD Classification</t>
  </si>
  <si>
    <t>Stanford AoD Classification; Stanford Aortic Dissection Classification</t>
  </si>
  <si>
    <t>The type of aortic dissection present as defined by the Stanford Classification System (Daily PO, Trueblood HW, Stinson EB, Wuerflein RD, Shumway NE. Management of acute aortic dissections. Ann Thorac Surg. 1970 Sep;10(3):237-47).</t>
  </si>
  <si>
    <t>Stanford Aortic Dissection Classification</t>
  </si>
  <si>
    <t>C189581</t>
  </si>
  <si>
    <t>STAPHCGN</t>
  </si>
  <si>
    <t>Staphylococcus, Coagulase Negative</t>
  </si>
  <si>
    <t>A measurement of the coagulase negative Staphylococcus species in a biological specimen.</t>
  </si>
  <si>
    <t>Coagulase Negative Staphylococcus Measurement</t>
  </si>
  <si>
    <t>C189580</t>
  </si>
  <si>
    <t>STAPHCGP</t>
  </si>
  <si>
    <t>Staphylococcus, Coagulase Positive</t>
  </si>
  <si>
    <t>A measurement of the coagulase positive Staphylococcus species in a biological specimen.</t>
  </si>
  <si>
    <t>Coagulase Positive Staphylococcus Measurement</t>
  </si>
  <si>
    <t>C156469</t>
  </si>
  <si>
    <t>STAT3</t>
  </si>
  <si>
    <t>Signal Transducer and Activator of Transcription 3; STAT3</t>
  </si>
  <si>
    <t>A measurement of the STAT3 (signal transducer and activator of transcription 3) in a biological specimen.</t>
  </si>
  <si>
    <t>STAT3 Measurement</t>
  </si>
  <si>
    <t>C156521</t>
  </si>
  <si>
    <t>STAT3P</t>
  </si>
  <si>
    <t>Phosphorylated STAT3</t>
  </si>
  <si>
    <t>Phosphorylated STAT3; pSTAT3</t>
  </si>
  <si>
    <t>A measurement of the phosphorylated STAT3 (signal transducer and activator of transcription 3) in a biological specimen.</t>
  </si>
  <si>
    <t>Phosphorylated STAT3 Measurement</t>
  </si>
  <si>
    <t>C156522</t>
  </si>
  <si>
    <t>STAT3PS3</t>
  </si>
  <si>
    <t>Phosphorylated STAT3/STAT3</t>
  </si>
  <si>
    <t>Phosphorylated STAT3/STAT3; pSTAT3/STAT3</t>
  </si>
  <si>
    <t>A relative measurement (ratio or percentage) of the phosphorylated STAT3 to total STAT3 in a biological specimen.</t>
  </si>
  <si>
    <t>Phosphorylated STAT3 to STAT3 Ratio Measurement</t>
  </si>
  <si>
    <t>C154721</t>
  </si>
  <si>
    <t>STBSEXCS</t>
  </si>
  <si>
    <t>Standard Base Excess</t>
  </si>
  <si>
    <t>A calculated measurement of the amount of acid required to return blood with hemoglobin at 5g/dL, which is used as a surrogate for extracellular fluid, to a normal pH under standard conditions.</t>
  </si>
  <si>
    <t>Standard Base Excess Measurement</t>
  </si>
  <si>
    <t>C117797</t>
  </si>
  <si>
    <t>STDAG</t>
  </si>
  <si>
    <t>ST Segment Depression, Aggregate</t>
  </si>
  <si>
    <t>An aggregate ST segment depression value based on the measurement of ST segment depression from multiple beats within a single ECG. The method of aggregation, which can vary, is typically a measure of central tendency such as the mean.</t>
  </si>
  <si>
    <t>ST Segment Depression Aggregate</t>
  </si>
  <si>
    <t>C147485</t>
  </si>
  <si>
    <t>STDNTIND</t>
  </si>
  <si>
    <t>Student Indicator</t>
  </si>
  <si>
    <t>An indication as to whether the subject or associated person is enrolled in school.</t>
  </si>
  <si>
    <t>C62163</t>
  </si>
  <si>
    <t>STDPMAX</t>
  </si>
  <si>
    <t>Summary (Max) ST Depression</t>
  </si>
  <si>
    <t>The maximum depression (negative deflection from baseline, usually measured in mm) of the ST segment, obtained from a set of measurements of the depression of the ST segment. This is usually expressed in millivolt.</t>
  </si>
  <si>
    <t>Maximum ST Segment Depression by ECG Finding</t>
  </si>
  <si>
    <t>C62162</t>
  </si>
  <si>
    <t>STDPMIN</t>
  </si>
  <si>
    <t>Summary (Min) ST Depression</t>
  </si>
  <si>
    <t>The minimum depression (negative deflection from baseline, usually measured in mm) of the ST segment, obtained from a set of measurements of the depression of the ST segment. This is usually expressed in millivolt.</t>
  </si>
  <si>
    <t>Minimum ST Segment Depression by ECG Finding</t>
  </si>
  <si>
    <t>C117798</t>
  </si>
  <si>
    <t>STDSB</t>
  </si>
  <si>
    <t>ST Segment Depression, Single Beat</t>
  </si>
  <si>
    <t>An electrocardiographic measurement of the mean amplitude (usually measured in mm) of the ST segment depression below the isoelectric baseline measured from the baseline to the ST segment of a single beat utilizing one or more leads. Based on the recordin</t>
  </si>
  <si>
    <t>ST Segment Depression Single Beat</t>
  </si>
  <si>
    <t>C117799</t>
  </si>
  <si>
    <t>STDVAG</t>
  </si>
  <si>
    <t>ST Segment Deviation, Aggregate</t>
  </si>
  <si>
    <t>An aggregate ST segment deviation value based on the measurement of ST segment deviation from multiple beats within a single ECG. The method of aggregation, which can vary, is typically a measure of central tendency such as the mean.</t>
  </si>
  <si>
    <t>ST Segment Deviation Aggregate</t>
  </si>
  <si>
    <t>C62157</t>
  </si>
  <si>
    <t>STDVMAX</t>
  </si>
  <si>
    <t>Summary (Max) ST Deviation</t>
  </si>
  <si>
    <t>The maximum deviation (distance from baseline, positive or negative, usually measured in mm) of the ST segment, obtained from a set of measurements of the deviation of the ST segment. This is usually expressed in millivolt.</t>
  </si>
  <si>
    <t>Maximum ST Deviation</t>
  </si>
  <si>
    <t>C62156</t>
  </si>
  <si>
    <t>STDVMIN</t>
  </si>
  <si>
    <t>Summary (Min) ST Deviation</t>
  </si>
  <si>
    <t>The minimum deviation (distance from baseline, positive or negative, usually measured in mm) of the ST segment, obtained from a set of measurements of the deviation of the ST segment. This is usually expressed in millivolt.</t>
  </si>
  <si>
    <t>Minimum ST Deviation</t>
  </si>
  <si>
    <t>C117800</t>
  </si>
  <si>
    <t>STDVSB</t>
  </si>
  <si>
    <t>ST Segment Deviation, Single Beat</t>
  </si>
  <si>
    <t>An electrocardiographic measurement of the mean amplitude (usually measured in mm) of the ST segment deviation above or below the isoelectric baseline measured from the baseline to the ST segment of a single beat utilizing one or more leads. Based on the</t>
  </si>
  <si>
    <t>ST Segment Deviation Single Beat</t>
  </si>
  <si>
    <t>C117801</t>
  </si>
  <si>
    <t>STEAG</t>
  </si>
  <si>
    <t>ST Segment Elevation, Aggregate</t>
  </si>
  <si>
    <t>An aggregate ST segment elevation value based on the measurement of ST segment elevation from multiple beats within a single ECG. The method of aggregation, which can vary, is typically a measure of central tendency such as the mean.</t>
  </si>
  <si>
    <t>ST Segment Elevation Aggregate</t>
  </si>
  <si>
    <t>C62160</t>
  </si>
  <si>
    <t>STELMAX</t>
  </si>
  <si>
    <t>Summary (Max) ST Elevation</t>
  </si>
  <si>
    <t>The maximum elevation (positive deflection from baseline, usually measured in mm) of the ST segment, obtained from a set of measurements of the elevation of the ST segment. This is usually reported in millivolt.</t>
  </si>
  <si>
    <t>Maximum ST Segment Elevation</t>
  </si>
  <si>
    <t>C62159</t>
  </si>
  <si>
    <t>STELMIN</t>
  </si>
  <si>
    <t>Summary (Min) ST Elevation</t>
  </si>
  <si>
    <t>The minimum elevation (positive deflection from baseline, usually measured in mm) of the ST segment, obtained from a set of measurements of the elevation of the ST segment. This is usually reported in millivolt.</t>
  </si>
  <si>
    <t>Minimum ST Segment Elevation</t>
  </si>
  <si>
    <t>C139112</t>
  </si>
  <si>
    <t>STENMALT</t>
  </si>
  <si>
    <t>Stenotrophomonas maltophilia</t>
  </si>
  <si>
    <t>A measurement of the organisms that are assigned to the Stenotrophomonas maltophilia species in a biological specimen.</t>
  </si>
  <si>
    <t>Stenotrophomonas maltophilia Measurement</t>
  </si>
  <si>
    <t>C81322</t>
  </si>
  <si>
    <t>STEPRFX</t>
  </si>
  <si>
    <t>Stepping Reflex</t>
  </si>
  <si>
    <t>An involuntary, primal response in the neonate to take brisk steps when the feet are placed on a surface whilst in a supported standing position.</t>
  </si>
  <si>
    <t>Step Reflex</t>
  </si>
  <si>
    <t>C117802</t>
  </si>
  <si>
    <t>STESB</t>
  </si>
  <si>
    <t>ST Segment Elevation, Single Beat</t>
  </si>
  <si>
    <t>An electrocardiographic measurement of the mean amplitude (usually measured in mV) of the ST segment elevation above the isoelectric baseline measured from the baseline to the ST segment of a single beat utilizing one or more leads. Based on the recording</t>
  </si>
  <si>
    <t>ST Segment Elevation Single Beat</t>
  </si>
  <si>
    <t>C221627</t>
  </si>
  <si>
    <t>STH</t>
  </si>
  <si>
    <t>Streptococcus thoraltensis</t>
  </si>
  <si>
    <t>A measurement of Streptococcus thoraltensis in a biological specimen.</t>
  </si>
  <si>
    <t>Streptococcus thoraltensis Measurement</t>
  </si>
  <si>
    <t>C122194</t>
  </si>
  <si>
    <t>STILBIND</t>
  </si>
  <si>
    <t>Stillbirth Indicator</t>
  </si>
  <si>
    <t>An indication as to whether any pregnancies resulted in stillbirths.</t>
  </si>
  <si>
    <t>C96567</t>
  </si>
  <si>
    <t>STIPBASO</t>
  </si>
  <si>
    <t>Basophilic Stippling</t>
  </si>
  <si>
    <t>A measurement of the basophilic stippling in a biological specimen.</t>
  </si>
  <si>
    <t>Basophilic Stippling Measurement</t>
  </si>
  <si>
    <t>C184600</t>
  </si>
  <si>
    <t>STNBLN</t>
  </si>
  <si>
    <t>Stenbolone</t>
  </si>
  <si>
    <t>Deacetylanatrofin; Stenbolone</t>
  </si>
  <si>
    <t>A measurement of the stenbolone in a biological specimen.</t>
  </si>
  <si>
    <t>Stenbolone Measurement</t>
  </si>
  <si>
    <t>C184599</t>
  </si>
  <si>
    <t>STNZLL</t>
  </si>
  <si>
    <t>Stanozolol</t>
  </si>
  <si>
    <t>A measurement of the stanozolol in a biological specimen.</t>
  </si>
  <si>
    <t>Stanozolol Measurement</t>
  </si>
  <si>
    <t>C74708</t>
  </si>
  <si>
    <t>STOMCY</t>
  </si>
  <si>
    <t>Stomatocytes</t>
  </si>
  <si>
    <t>A measurement of the stomatocytes (red blood cells with an oval or rectangular area of central pallor, producing the appearance of a cell mouth) in a biological specimen.</t>
  </si>
  <si>
    <t>Stomatocyte Count</t>
  </si>
  <si>
    <t>C49698</t>
  </si>
  <si>
    <t>STOPRULE</t>
  </si>
  <si>
    <t>Study Stop Rules</t>
  </si>
  <si>
    <t>The rule, regulation and/or condition that determines the point in time when a clinical trial will be terminated. (NCI)</t>
  </si>
  <si>
    <t>Study Stop Rule</t>
  </si>
  <si>
    <t>C16153</t>
  </si>
  <si>
    <t>STRATFCT</t>
  </si>
  <si>
    <t>Stratification Factor</t>
  </si>
  <si>
    <t>Selected factors that are used during randomization to ensure there is balance of these factors across all subjects within each arm of a study. The subject level values of these factors may be used as fixed effects in statistical models and for sensitivit</t>
  </si>
  <si>
    <t>Stratification Factors</t>
  </si>
  <si>
    <t>C221622</t>
  </si>
  <si>
    <t>STREPTBH</t>
  </si>
  <si>
    <t>Streptococcus beta-hemolytic</t>
  </si>
  <si>
    <t>A measurement of beta-hemolytic Streptococcus in a biological specimen.</t>
  </si>
  <si>
    <t>Beta-Hemolytic Streptococcus Measurement</t>
  </si>
  <si>
    <t>C221624</t>
  </si>
  <si>
    <t>STREPTGH</t>
  </si>
  <si>
    <t>Streptococcus gamma-hemolytic</t>
  </si>
  <si>
    <t>A measurement of gamma-hemolytic Streptococcus in a biological specimen.</t>
  </si>
  <si>
    <t>Gamma-Hemolytic Streptococcus Measurement</t>
  </si>
  <si>
    <t>C187667</t>
  </si>
  <si>
    <t>STREPTOC</t>
  </si>
  <si>
    <t>Streptococcus</t>
  </si>
  <si>
    <t>A measurement of the organisms that are not assigned to the species level but are assigned to the Streptococcus genus level in a biological specimen.</t>
  </si>
  <si>
    <t>Streptococcus Measurement</t>
  </si>
  <si>
    <t>C127770</t>
  </si>
  <si>
    <t>STRMCECE</t>
  </si>
  <si>
    <t>Stromal Cells/Total Cells</t>
  </si>
  <si>
    <t>A relative measurement (ratio or percentage) of the stromal cells to total cells in a biological specimen.</t>
  </si>
  <si>
    <t>Stromal Cell to Total Cell Ratio Measurement</t>
  </si>
  <si>
    <t>C94989</t>
  </si>
  <si>
    <t>STROKVOL</t>
  </si>
  <si>
    <t>Stroke Volume</t>
  </si>
  <si>
    <t>The difference in the volumes of blood between the points of maximum dilation and maximum contraction. This is the end diastolic volume minus the end systolic volume.</t>
  </si>
  <si>
    <t>C135443</t>
  </si>
  <si>
    <t>STROPONI</t>
  </si>
  <si>
    <t>Skeletal Troponin I</t>
  </si>
  <si>
    <t>Skeletal Troponin I; sTnl</t>
  </si>
  <si>
    <t>A measurement of the total skeletal troponin I in a biological specimen.</t>
  </si>
  <si>
    <t>Skeletal Troponin I Measurement</t>
  </si>
  <si>
    <t>C135483</t>
  </si>
  <si>
    <t>STRUSTAT</t>
  </si>
  <si>
    <t>Steroid Use Status</t>
  </si>
  <si>
    <t>An assessment of steroid usage as a condition of disease response to therapy. (NCI)</t>
  </si>
  <si>
    <t>C177993</t>
  </si>
  <si>
    <t>STS</t>
  </si>
  <si>
    <t>Steroid Sulfatase</t>
  </si>
  <si>
    <t>Steroid Sulfatase; Steryl-sulfatase</t>
  </si>
  <si>
    <t>A measurement of the steroid sulfatase in a biological specimen.</t>
  </si>
  <si>
    <t>Steroid Sulfatase Measurement</t>
  </si>
  <si>
    <t>C117803</t>
  </si>
  <si>
    <t>STSDURAG</t>
  </si>
  <si>
    <t>ST Segment Duration, Aggregate</t>
  </si>
  <si>
    <t>An aggregate ST segment duration value based on the measurement of ST segment duration intervals from multiple beats within a single ECG. The method of aggregation, which can vary, is typically a measure of central tendency such as the mean.</t>
  </si>
  <si>
    <t>ST Segment Duration Aggregate</t>
  </si>
  <si>
    <t>C117804</t>
  </si>
  <si>
    <t>STSDURSB</t>
  </si>
  <si>
    <t>ST Segment Duration, Single Beat</t>
  </si>
  <si>
    <t>An electrocardiographic interval measured from the J point to the onset of the T wave of a single beat utilizing one or more leads.</t>
  </si>
  <si>
    <t>ST Segment Duration Single Beat</t>
  </si>
  <si>
    <t>C181477</t>
  </si>
  <si>
    <t>STSEXT</t>
  </si>
  <si>
    <t>Steatosis Extent</t>
  </si>
  <si>
    <t>Steatosis Extent; Steatosis Grade</t>
  </si>
  <si>
    <t>An evaluation of the amount or degree of steatosis (fatty tissue) in a biological specimen.</t>
  </si>
  <si>
    <t>C181478</t>
  </si>
  <si>
    <t>STSLOC</t>
  </si>
  <si>
    <t>Steatosis Location</t>
  </si>
  <si>
    <t>An evaluation of the predominant distribution pattern of steatosis (fatty tissue) in a biological specimen.</t>
  </si>
  <si>
    <t>C111363</t>
  </si>
  <si>
    <t>STSTWUW</t>
  </si>
  <si>
    <t>ST Segment, T wave, and U wave</t>
  </si>
  <si>
    <t>An electrocardiographic assessment of the characteristics of the ST segment, T wave, and U wave.</t>
  </si>
  <si>
    <t>ST Segment, T wave, and U wave ECG Assessment</t>
  </si>
  <si>
    <t>C142175</t>
  </si>
  <si>
    <t>STYPE</t>
  </si>
  <si>
    <t>Study Type</t>
  </si>
  <si>
    <t>Study Type; Study Type Classification</t>
  </si>
  <si>
    <t>The nature of the investigation for which study information is being collected. (After clinicaltrials.gov)</t>
  </si>
  <si>
    <t>C147475</t>
  </si>
  <si>
    <t>SUBECADT</t>
  </si>
  <si>
    <t>Subject to Eye Chart Actual Distance</t>
  </si>
  <si>
    <t>The actual distance between the subject and the eye chart during an eye assessment.</t>
  </si>
  <si>
    <t>Actual Subject to Eye Chart Distance</t>
  </si>
  <si>
    <t>C147476</t>
  </si>
  <si>
    <t>SUBECPDT</t>
  </si>
  <si>
    <t>Subject to Eye Chart Planned Distance</t>
  </si>
  <si>
    <t>The planned distance between the subject and the eye chart during an eye assessment.</t>
  </si>
  <si>
    <t>Planned Subject to Eye Chart Distance</t>
  </si>
  <si>
    <t>C81323</t>
  </si>
  <si>
    <t>SUCKRFX</t>
  </si>
  <si>
    <t>Sucking Reflex</t>
  </si>
  <si>
    <t>An involuntary, primal response in the neonate when a nipple is placed on an infant's lips.</t>
  </si>
  <si>
    <t>C184575</t>
  </si>
  <si>
    <t>SUFNTNL</t>
  </si>
  <si>
    <t>Sufentanil</t>
  </si>
  <si>
    <t>A measurement of the sufentanil in a biological specimen.</t>
  </si>
  <si>
    <t>Sufentanil Measurement</t>
  </si>
  <si>
    <t>C122153</t>
  </si>
  <si>
    <t>SULFATE</t>
  </si>
  <si>
    <t>Sulfate</t>
  </si>
  <si>
    <t>Sulfate; Sulphate</t>
  </si>
  <si>
    <t>A measurement of the sulfate in a biological specimen.</t>
  </si>
  <si>
    <t>Sulfate Measurement</t>
  </si>
  <si>
    <t>C181545</t>
  </si>
  <si>
    <t>SULMAX</t>
  </si>
  <si>
    <t>SUV Maximum Corrected for Lean Body Mass</t>
  </si>
  <si>
    <t>Standardized Uptake Value Maximum Corrected for Lean Body Mass; SUV Maximum Corrected for Lean Body Mass</t>
  </si>
  <si>
    <t>The standardized uptake value corrected for lean body mass of the pixel or voxel with the strongest signal, within a defined area or volume of interest (VOI).</t>
  </si>
  <si>
    <t>Maximum Standardized Uptake Value Corrected for Lean Body Mass</t>
  </si>
  <si>
    <t>C181546</t>
  </si>
  <si>
    <t>SULMEAN</t>
  </si>
  <si>
    <t>SUV Mean Corrected for Lean Body Mass</t>
  </si>
  <si>
    <t>Standardized Uptake Value Mean Corrected for Lean Body Mass; SUV Mean Corrected for Lean Body Mass</t>
  </si>
  <si>
    <t>The arithmetic mean of a group of standardized uptake values corrected for lean body mass within a defined area or volume of interest (VOI).</t>
  </si>
  <si>
    <t>Mean Standardized Uptake Value Corrected for Lean Body Mass</t>
  </si>
  <si>
    <t>C181547</t>
  </si>
  <si>
    <t>SULPEAK</t>
  </si>
  <si>
    <t>SUV Peak Corrected for Lean Body Mass</t>
  </si>
  <si>
    <t>Standardized Uptake Value Peak Corrected for Lean Body Mass; SUV Peak Corrected for Lean Body Mass</t>
  </si>
  <si>
    <t>The peak of standardized uptake value corrected for lean body mass distribution, generated by a histogram of all SUV values, across a defined area or volume of interest (VOI).</t>
  </si>
  <si>
    <t>Peak Standardized Uptake Value Corrected for Lean Body Mass</t>
  </si>
  <si>
    <t>C96631</t>
  </si>
  <si>
    <t>SUMDIAM</t>
  </si>
  <si>
    <t>Sum of Diameter</t>
  </si>
  <si>
    <t>A calculation of the aggregated diameter values.</t>
  </si>
  <si>
    <t>Sum of Diameters</t>
  </si>
  <si>
    <t>C96632</t>
  </si>
  <si>
    <t>SUMLDIAM</t>
  </si>
  <si>
    <t>Sum of Longest Diameter</t>
  </si>
  <si>
    <t>A calculation of the aggregated longest diameter values.</t>
  </si>
  <si>
    <t>Sum of Longest Diameters</t>
  </si>
  <si>
    <t>C96633</t>
  </si>
  <si>
    <t>SUMLPERP</t>
  </si>
  <si>
    <t>Sum of Longest Perpendicular</t>
  </si>
  <si>
    <t>A calculation of the aggregated longest perpendicular values.</t>
  </si>
  <si>
    <t>Sum of Longest Perpendiculars</t>
  </si>
  <si>
    <t>C103441</t>
  </si>
  <si>
    <t>SUMNLNLD</t>
  </si>
  <si>
    <t>Sum Diameters of Non Lymph Node Tumors</t>
  </si>
  <si>
    <t>A calculation of the aggregated diameter values for tumors other than the lymph nodes.</t>
  </si>
  <si>
    <t>Sum of Diameters of Non Lymph Node Tumors</t>
  </si>
  <si>
    <t>C221684</t>
  </si>
  <si>
    <t>SUMNPLD</t>
  </si>
  <si>
    <t>Sum Diameters of Non-Pleural Lesions</t>
  </si>
  <si>
    <t>A calculation of the aggregated diameter values for tumors other than the pleural lesions.</t>
  </si>
  <si>
    <t>Sum of Diameters of Non-Pleural Lesions</t>
  </si>
  <si>
    <t>C132261</t>
  </si>
  <si>
    <t>SUMPPD</t>
  </si>
  <si>
    <t>Sum of Products of Perpendicular Diam</t>
  </si>
  <si>
    <t>SPD; Sum of Products of Perpendicular Diam; Sum of Products of Perpendicular Diameters</t>
  </si>
  <si>
    <t>The result of the addition of the products of perpendicular diameters.</t>
  </si>
  <si>
    <t>Sum of Products of Perpendicular Diameters</t>
  </si>
  <si>
    <t>C96634</t>
  </si>
  <si>
    <t>SUMVDIAM</t>
  </si>
  <si>
    <t>Sum of Viable Diameter</t>
  </si>
  <si>
    <t>A calculation of the aggregated diameter values taken from the viable portion of the tumor mass.</t>
  </si>
  <si>
    <t>Sum of Viable Diameters</t>
  </si>
  <si>
    <t>C96635</t>
  </si>
  <si>
    <t>SUMVOL</t>
  </si>
  <si>
    <t>Sum of Volume</t>
  </si>
  <si>
    <t>A calculation of the aggregated volume values.</t>
  </si>
  <si>
    <t>Sum of Volumes</t>
  </si>
  <si>
    <t>C25717</t>
  </si>
  <si>
    <t>SURVSTAT</t>
  </si>
  <si>
    <t>Survival Status</t>
  </si>
  <si>
    <t>The state or condition of being living or deceased; also includes the case where the vital status is unknown.</t>
  </si>
  <si>
    <t>Vital Status</t>
  </si>
  <si>
    <t>C156550</t>
  </si>
  <si>
    <t>SUSMUIND</t>
  </si>
  <si>
    <t>Susceptibility Score Mutations Indicator</t>
  </si>
  <si>
    <t>An indication as to whether one or more scored mutations of interest that may confer susceptibility in the microorganism is present.</t>
  </si>
  <si>
    <t>C69310</t>
  </si>
  <si>
    <t>SUV</t>
  </si>
  <si>
    <t>Standard Uptake Value</t>
  </si>
  <si>
    <t>The ratio between the tissue radioactivity concentration at a point in time C(T) and the injected dose of radioactivity per kilogram of the patient's body weight.</t>
  </si>
  <si>
    <t>Standardized Uptake Value</t>
  </si>
  <si>
    <t>C95012</t>
  </si>
  <si>
    <t>SUVMAX</t>
  </si>
  <si>
    <t>Standardized Uptake Value Maximum</t>
  </si>
  <si>
    <t>The standardized (by total body weight) uptake value of the pixel or voxel with the strongest signal, within a defined area or volume of interest (VOI).</t>
  </si>
  <si>
    <t>C181544</t>
  </si>
  <si>
    <t>SUVMEAN</t>
  </si>
  <si>
    <t>Standardized Uptake Value Mean</t>
  </si>
  <si>
    <t>Average Metabolic Standard Uptake Value; Standardized Uptake Value Mean</t>
  </si>
  <si>
    <t>The arithmetic mean of a group of standardized (by total body weight) uptake values within a defined area or volume of interest (VOI).</t>
  </si>
  <si>
    <t>C191352</t>
  </si>
  <si>
    <t>SUVMIN</t>
  </si>
  <si>
    <t>Standardized Uptake Value Minimum</t>
  </si>
  <si>
    <t>The standardized (by total body weight) uptake value of the pixel or voxel with the lowest signal, within a defined area or volume of interest (VOI).</t>
  </si>
  <si>
    <t>C95013</t>
  </si>
  <si>
    <t>SUVPEAK</t>
  </si>
  <si>
    <t>Standardized Uptake Value Peak</t>
  </si>
  <si>
    <t>The maximum average (peak) of standardized (by total body weight) uptake value distribution, generated by a histogram of all SUV values, across a defined area or volume of interest (VOI).</t>
  </si>
  <si>
    <t>C116141</t>
  </si>
  <si>
    <t>SUVR</t>
  </si>
  <si>
    <t>Standard Uptake Value Ratio</t>
  </si>
  <si>
    <t>The ratio between the uptake or binding of a radiopharmaceutical agent in an anatomical region of interest and a context-defined reference anatomical region.</t>
  </si>
  <si>
    <t>C128988</t>
  </si>
  <si>
    <t>SVBESCR</t>
  </si>
  <si>
    <t>Sharp/Van der Heijde Bone Erosion Score</t>
  </si>
  <si>
    <t>The numerical value that represents the result of a clinical assessment of bone erosion based on the Van der Heijde modification of the Sharp Joint Erosion Assessment (Van der Heijde DM, van Riel PL, Nuver-Zwart IH, Gribnau FW, van de Putte LB. Effects of</t>
  </si>
  <si>
    <t>Sharp van der Heijde Bone Erosion Score</t>
  </si>
  <si>
    <t>C111315</t>
  </si>
  <si>
    <t>SVC</t>
  </si>
  <si>
    <t>Slow Vital Capacity</t>
  </si>
  <si>
    <t>The maximum volume of air that can be exhaled after slow maximum inhalation.</t>
  </si>
  <si>
    <t>C92533</t>
  </si>
  <si>
    <t>SVCAM1</t>
  </si>
  <si>
    <t>Soluble Vasc Cell Adhesion Molecule 1</t>
  </si>
  <si>
    <t>A measurement of the soluble vascular cell adhesion molecule 1 in a biological specimen.</t>
  </si>
  <si>
    <t>Soluble Vascular Cell Adhesion Molecule 1</t>
  </si>
  <si>
    <t>C112386</t>
  </si>
  <si>
    <t>SVCPP</t>
  </si>
  <si>
    <t>Percent Predicted Slow Vital Capacity</t>
  </si>
  <si>
    <t>The maximum volume of air that can be exhaled after slow maximum inhalation as a proportion of the predicted normal value.</t>
  </si>
  <si>
    <t>C221628</t>
  </si>
  <si>
    <t>SVI</t>
  </si>
  <si>
    <t>Streptococcus viridans</t>
  </si>
  <si>
    <t>A measurement of Streptococcus viridans in a biological specimen.</t>
  </si>
  <si>
    <t>Streptococcus viridans Measurement</t>
  </si>
  <si>
    <t>C128989</t>
  </si>
  <si>
    <t>SVJSNSCR</t>
  </si>
  <si>
    <t>Sharp/Van der Heijde JSN Score</t>
  </si>
  <si>
    <t>The numerical value that represents the result of a clinical assessment of joint space narrowing based on the Van der Heijde modification of the Sharp Joint Space Narrowing Assessment (Van der Heijde DM, van Riel PL, Nuver-Zwart IH, Gribnau FW, van de Put</t>
  </si>
  <si>
    <t>Sharp van der Heijde Joint Space Narrowing Score</t>
  </si>
  <si>
    <t>C119248</t>
  </si>
  <si>
    <t>SVR</t>
  </si>
  <si>
    <t>Systemic Vascular Resistance</t>
  </si>
  <si>
    <t>Systemic Vascular Resistance; Total Peripheral Resistance</t>
  </si>
  <si>
    <t>The resistance to blood flow through the systemic vasculature.</t>
  </si>
  <si>
    <t>C117805</t>
  </si>
  <si>
    <t>SWAAG</t>
  </si>
  <si>
    <t>S Wave Amplitude, Aggregate</t>
  </si>
  <si>
    <t>An aggregate S wave amplitude value based on the measurement of S wave amplitudes from multiple beats within a single ECG. The method of aggregation, which can vary, is typically a measure of central tendency such as the mean.</t>
  </si>
  <si>
    <t>S Wave Amplitude Aggregate</t>
  </si>
  <si>
    <t>C117806</t>
  </si>
  <si>
    <t>SWASB</t>
  </si>
  <si>
    <t>S Wave Amplitude, Single Beat</t>
  </si>
  <si>
    <t>An electrocardiographic measurement of the mean amplitude (usually measured in mm) of the S wave measured from the isoelectric baseline to the peak of the S wave of a single beat utilizing one or more leads. Based on the recording gain, this measurement i</t>
  </si>
  <si>
    <t>S Wave Amplitude Single Beat</t>
  </si>
  <si>
    <t>C161416</t>
  </si>
  <si>
    <t>SWING</t>
  </si>
  <si>
    <t>Swing</t>
  </si>
  <si>
    <t>The difference between Cmax and Cmin standardized to Cmin within a dosing interval.</t>
  </si>
  <si>
    <t>PK Swing</t>
  </si>
  <si>
    <t>C127774</t>
  </si>
  <si>
    <t>SWLLIND</t>
  </si>
  <si>
    <t>Swollen Indicator</t>
  </si>
  <si>
    <t>An indication as to whether there are symptoms of swelling.</t>
  </si>
  <si>
    <t>C209693</t>
  </si>
  <si>
    <t>SXCLUSE</t>
  </si>
  <si>
    <t>Sex for Clinical Use</t>
  </si>
  <si>
    <t>An arbitrary categorization of individuals based on the assemblage of physical properties related to reproduction, and commonly associated with the designation of such categories as female and male. This designation is based on some combination of observa</t>
  </si>
  <si>
    <t>Sex Assigned for Clinical Purpose</t>
  </si>
  <si>
    <t>C201478</t>
  </si>
  <si>
    <t>SXPRTFN</t>
  </si>
  <si>
    <t>Number of Female Sexual Partners</t>
  </si>
  <si>
    <t>Total Number of Female Sexual Partners</t>
  </si>
  <si>
    <t>The number of females with whom one has engaged in sexual activity within a specified time interval.</t>
  </si>
  <si>
    <t>C201477</t>
  </si>
  <si>
    <t>SXPRTMN</t>
  </si>
  <si>
    <t>Number of Male Sexual Partners</t>
  </si>
  <si>
    <t>Total Number of Male Sexual Partners</t>
  </si>
  <si>
    <t>The number of males with whom one has engaged in sexual activity within a specified time interval.</t>
  </si>
  <si>
    <t>C201475</t>
  </si>
  <si>
    <t>SXPRTNFN</t>
  </si>
  <si>
    <t>Number of New Female Sexual Partners</t>
  </si>
  <si>
    <t>The number of new female sexual partners within a specified time interval.</t>
  </si>
  <si>
    <t>C201474</t>
  </si>
  <si>
    <t>SXPRTNMN</t>
  </si>
  <si>
    <t>Number of New Male Sexual Partners</t>
  </si>
  <si>
    <t>The number of new male sexual partners within a specified time interval.</t>
  </si>
  <si>
    <t>C201476</t>
  </si>
  <si>
    <t>SXPRTNON</t>
  </si>
  <si>
    <t>Number of New Oral Sexual Partners</t>
  </si>
  <si>
    <t>The number of new individuals with whom one has engaged in oral sex within a specified time interval.</t>
  </si>
  <si>
    <t>C201479</t>
  </si>
  <si>
    <t>SXPRTON</t>
  </si>
  <si>
    <t>Number of Oral Sexual Partners</t>
  </si>
  <si>
    <t>Total Number of Oral Sexual Partners</t>
  </si>
  <si>
    <t>The number of individuals with whom one has engaged in oral sexual activity within a specified time interval.</t>
  </si>
  <si>
    <t>C124434</t>
  </si>
  <si>
    <t>SYMPTDTR</t>
  </si>
  <si>
    <t>Symptomatic Deterioration</t>
  </si>
  <si>
    <t>A global deterioration of health status providing evidence of disease progression not covered by disease response criteria (eg. RECIST).</t>
  </si>
  <si>
    <t>C4876</t>
  </si>
  <si>
    <t>SYMPTOM</t>
  </si>
  <si>
    <t>Symptom</t>
  </si>
  <si>
    <t>A physical or mental experience or observation reported by a patient that may indicate a disease.</t>
  </si>
  <si>
    <t>C191298</t>
  </si>
  <si>
    <t>SYNVCY</t>
  </si>
  <si>
    <t>Synoviocytes</t>
  </si>
  <si>
    <t>Synoviocytes; Total Synoviocytes</t>
  </si>
  <si>
    <t>A measurement of the total synoviocytes in a biological specimen.</t>
  </si>
  <si>
    <t>Synoviocytes Cell Count</t>
  </si>
  <si>
    <t>C191297</t>
  </si>
  <si>
    <t>SYNVCYLE</t>
  </si>
  <si>
    <t>Synoviocytes/Leukocytes</t>
  </si>
  <si>
    <t>Synoviocytes/Leukocytes; Total Synoviocytes/Leukocytes</t>
  </si>
  <si>
    <t>A relative measurement (ratio or percentage) of the synoviocytes to all leukocytes in a biological specimen.</t>
  </si>
  <si>
    <t>Synoviocytes to Leukocytes Ratio Measurement</t>
  </si>
  <si>
    <t>C25298</t>
  </si>
  <si>
    <t>SYSBP</t>
  </si>
  <si>
    <t>Systolic Blood Pressure</t>
  </si>
  <si>
    <t>The maximum blood pressure in the systemic arterial circulation during the cardiac cycle.</t>
  </si>
  <si>
    <t>C139031</t>
  </si>
  <si>
    <t>SYSPRS_E</t>
  </si>
  <si>
    <t>Systolic Pressure, Estimated</t>
  </si>
  <si>
    <t>A quantitative estimate of the pressure in a given cardiovascular structure during ventricular systole.</t>
  </si>
  <si>
    <t>Estimated Systolic Blood Pressure</t>
  </si>
  <si>
    <t>C118166</t>
  </si>
  <si>
    <t>T_AXIS</t>
  </si>
  <si>
    <t>T Wave Axis</t>
  </si>
  <si>
    <t>A numerical representation of the electrocardiographic vector assessed at maximum deviation of the T wave from the isoelectric baseline, usually reported for the frontal plane.</t>
  </si>
  <si>
    <t>C80363</t>
  </si>
  <si>
    <t>T1</t>
  </si>
  <si>
    <t>Longitudinal Relaxation Time</t>
  </si>
  <si>
    <t>Longitudinal Relaxation Time; Spin-Lattice Relaxation Time; T1 Relaxation Time; T1 Time</t>
  </si>
  <si>
    <t>The time constant representing the decay of longitudinal magnetization.</t>
  </si>
  <si>
    <t>C80364</t>
  </si>
  <si>
    <t>T2</t>
  </si>
  <si>
    <t>Transverse Relaxation Time</t>
  </si>
  <si>
    <t>Spin-Spin Relaxation; T2 Relaxation Time; T2 Time; Transverse Relaxation Time</t>
  </si>
  <si>
    <t>The time constant representing the decay of transverse magnetization.</t>
  </si>
  <si>
    <t>Transverse Spin Relaxation Time</t>
  </si>
  <si>
    <t>C74747</t>
  </si>
  <si>
    <t>T3</t>
  </si>
  <si>
    <t>Triiodothyronine</t>
  </si>
  <si>
    <t>Total T3; Triiodothyronine</t>
  </si>
  <si>
    <t>A measurement of the total (free and bound) triiodothyronine in a biological specimen.</t>
  </si>
  <si>
    <t>Triiodothyronine Measurement</t>
  </si>
  <si>
    <t>C74787</t>
  </si>
  <si>
    <t>T3FR</t>
  </si>
  <si>
    <t>Triiodothyronine, Free</t>
  </si>
  <si>
    <t>Free T3; Triiodothyronine, Free</t>
  </si>
  <si>
    <t>A measurement of the free triiodothyronine in a biological specimen.</t>
  </si>
  <si>
    <t>Free Triiodothyronine Measurement</t>
  </si>
  <si>
    <t>C209457</t>
  </si>
  <si>
    <t>T3HXCT</t>
  </si>
  <si>
    <t>Trans-3 Hydroxycotinine</t>
  </si>
  <si>
    <t>3-HC; 3HC; Trans-3 Hydroxycotinine</t>
  </si>
  <si>
    <t>A measurement of the total trans-3'- hydroxycotinine in a specimen.</t>
  </si>
  <si>
    <t>Trans-3 Hydroxycotinine Measurement</t>
  </si>
  <si>
    <t>C209619</t>
  </si>
  <si>
    <t>T3HXCTFR</t>
  </si>
  <si>
    <t>Trans-3'- Hydroxycotinine, Free</t>
  </si>
  <si>
    <t>Free 3-HC; Free 3HC; Trans-3'- Hydroxycotinine, Free</t>
  </si>
  <si>
    <t>A measurement of the free (unbound) trans-3'- hydroxycotinine in a specimen.</t>
  </si>
  <si>
    <t>Free Trans-3'-Hydroxycotinine Measurement</t>
  </si>
  <si>
    <t>C209620</t>
  </si>
  <si>
    <t>T3HXCTG</t>
  </si>
  <si>
    <t>Trans-3'- Hydroxycotinineglucuronide</t>
  </si>
  <si>
    <t>3HC-gluc; Trans-3'- Hydroxycotinineglucuronide; Trans-3'-Hydroxycotinine-O-glucuronide</t>
  </si>
  <si>
    <t>A measurement of the trans-3'- hydroxycotinineglucuronide in a specimen.</t>
  </si>
  <si>
    <t>Trans-3'-Hydroxycotinineglucuronide Measurement</t>
  </si>
  <si>
    <t>C74748</t>
  </si>
  <si>
    <t>T3UP</t>
  </si>
  <si>
    <t>Triiodothyronine Uptake</t>
  </si>
  <si>
    <t>T3RU; T3U; Triiodothyronine Uptake</t>
  </si>
  <si>
    <t>A measurement of the binding of triiodothyronine to thyroxine binding globulin protein in a biological specimen.</t>
  </si>
  <si>
    <t>Triiodothyronine Uptake Measurement</t>
  </si>
  <si>
    <t>C74794</t>
  </si>
  <si>
    <t>T4</t>
  </si>
  <si>
    <t>Thyroxine</t>
  </si>
  <si>
    <t>Thyroxine; Total T4</t>
  </si>
  <si>
    <t>A measurement of the total (free and bound) thyroxine in a biological specimen.</t>
  </si>
  <si>
    <t>Total Thyroxine Measurement</t>
  </si>
  <si>
    <t>C74786</t>
  </si>
  <si>
    <t>T4FR</t>
  </si>
  <si>
    <t>Thyroxine, Free</t>
  </si>
  <si>
    <t>Free T4; Thyroxine, Free</t>
  </si>
  <si>
    <t>A measurement of the free thyroxine in a biological specimen.</t>
  </si>
  <si>
    <t>Free Thyroxine Measurement</t>
  </si>
  <si>
    <t>C170598</t>
  </si>
  <si>
    <t>T4FRIDX</t>
  </si>
  <si>
    <t>Thyroxine, Free Index</t>
  </si>
  <si>
    <t>A measurement of the thyroid status in a biological specimen. This is calculated by a mathematical formula that takes into account the total thyroxine and unbound thyroxine binding globulins.</t>
  </si>
  <si>
    <t>Free Thyroxine Index</t>
  </si>
  <si>
    <t>C120664</t>
  </si>
  <si>
    <t>T4FRIND</t>
  </si>
  <si>
    <t>Thyroxine, Free, Indirect</t>
  </si>
  <si>
    <t>An indirect measurement of the free thyroxine in a biological specimen.</t>
  </si>
  <si>
    <t>Indirect Free Thyroxine Measurement</t>
  </si>
  <si>
    <t>C209621</t>
  </si>
  <si>
    <t>TAC</t>
  </si>
  <si>
    <t>Total Antioxidant Capacity</t>
  </si>
  <si>
    <t>Total Anti-Oxidant Capacity; Total Antioxidant Capacity</t>
  </si>
  <si>
    <t>A measurement of the amount and/or activity of antioxidants in a specimen.</t>
  </si>
  <si>
    <t>Total Antioxidant Capacity Measurement</t>
  </si>
  <si>
    <t>C204676</t>
  </si>
  <si>
    <t>TACSTD2</t>
  </si>
  <si>
    <t>Tumor Assoc Calcium Signal Transducer 2</t>
  </si>
  <si>
    <t>Cell Surface Glycoprotein Trop-2; EGP1; Epithelial Glycoprotein-1; TROP2; Trophoblast Cell Surface Antigen 2; Tumor Assoc Calcium Signal Transducer 2; Tumor Associated Calcium Signal Transducer 2</t>
  </si>
  <si>
    <t>A measurement of the tumor associated calcium signal transducer 2 in a biological specimen.</t>
  </si>
  <si>
    <t>Tumor Associated Calcium Signal Transducer 2 Measurement</t>
  </si>
  <si>
    <t>C163486</t>
  </si>
  <si>
    <t>TAP1</t>
  </si>
  <si>
    <t>Peptide Transporter TAP1</t>
  </si>
  <si>
    <t>Antigen Peptide Transporter 1; Peptide Transporter TAP1</t>
  </si>
  <si>
    <t>A measurement of the peptide transporter TAP1 in a biological specimen.</t>
  </si>
  <si>
    <t>Peptide Transporter TAP1 Measurement</t>
  </si>
  <si>
    <t>C106574</t>
  </si>
  <si>
    <t>TAT</t>
  </si>
  <si>
    <t>Thrombin/Antithrombin</t>
  </si>
  <si>
    <t>Thrombin/Antithrombin; Thrombin/Antithrombin III</t>
  </si>
  <si>
    <t>A relative measurement (ratio or percentage) of the thrombin to antithrombin present in a sample.</t>
  </si>
  <si>
    <t>Thrombin to Antithrombin Ratio Measurement</t>
  </si>
  <si>
    <t>C161371</t>
  </si>
  <si>
    <t>TATC</t>
  </si>
  <si>
    <t>Thrombin Antithrombin Complex</t>
  </si>
  <si>
    <t>TAT; Thrombin Antithrombin Complex; Thrombin Antithrombin Complex Antigen</t>
  </si>
  <si>
    <t>A measurement of the thrombin-antithrombin complexes in a biological specimen.</t>
  </si>
  <si>
    <t>Thrombin Antithrombin Complex Measurement</t>
  </si>
  <si>
    <t>C176355</t>
  </si>
  <si>
    <t>TAU</t>
  </si>
  <si>
    <t>Dosing Interval</t>
  </si>
  <si>
    <t>The duration of time between two doses.</t>
  </si>
  <si>
    <t>C187821</t>
  </si>
  <si>
    <t>TAU181P</t>
  </si>
  <si>
    <t>Phosphorylated Tau Protein 181</t>
  </si>
  <si>
    <t>Phosphorylated Tau 181; Phosphorylated Tau Protein 181; pTau181</t>
  </si>
  <si>
    <t>A measurement of the phosphorylated Tau protein 181 in a biological specimen.</t>
  </si>
  <si>
    <t>Phosphorylated Tau Protein 181 Measurement</t>
  </si>
  <si>
    <t>C202390</t>
  </si>
  <si>
    <t>TAU212P</t>
  </si>
  <si>
    <t>Phosphorylated Tau Protein 212</t>
  </si>
  <si>
    <t>Phosphorylated Tau 212; Phosphorylated Tau Protein 212; pTau212</t>
  </si>
  <si>
    <t>A measurement of the phosphorylated Tau protein 212 in a biological specimen.</t>
  </si>
  <si>
    <t>Phosphorylated Tau Protein 212 Measurement</t>
  </si>
  <si>
    <t>C202389</t>
  </si>
  <si>
    <t>TAU217P</t>
  </si>
  <si>
    <t>Phosphorylated Tau Protein 217</t>
  </si>
  <si>
    <t>Phosphorylated Tau 217; Phosphorylated Tau Protein 217; pTau217</t>
  </si>
  <si>
    <t>A measurement of the phosphorylated Tau protein 217 in a biological specimen.</t>
  </si>
  <si>
    <t>Phosphorylated Tau Protein 217 Measurement</t>
  </si>
  <si>
    <t>C202388</t>
  </si>
  <si>
    <t>TAU231P</t>
  </si>
  <si>
    <t>Phosphorylated Tau Protein 231</t>
  </si>
  <si>
    <t>Phosphorylated Tau 231; Phosphorylated Tau Protein 231; pTau231</t>
  </si>
  <si>
    <t>A measurement of the phosphorylated Tau protein 231 in a biological specimen.</t>
  </si>
  <si>
    <t>Phosphorylated Tau Protein 231 Measurement</t>
  </si>
  <si>
    <t>C147483</t>
  </si>
  <si>
    <t>TAUHL</t>
  </si>
  <si>
    <t>Half-Life TAU</t>
  </si>
  <si>
    <t>Half-life calculated within a dosing interval.</t>
  </si>
  <si>
    <t>C158223</t>
  </si>
  <si>
    <t>TAURCRT</t>
  </si>
  <si>
    <t>Taurine/Creatinine</t>
  </si>
  <si>
    <t>A relative measurement (ratio) of the taurine to the creatinine in a biological specimen.</t>
  </si>
  <si>
    <t>Taurine to Creatinine Ratio Measurement</t>
  </si>
  <si>
    <t>C122154</t>
  </si>
  <si>
    <t>TAURINE</t>
  </si>
  <si>
    <t>Taurine</t>
  </si>
  <si>
    <t>Tauric Acid; Taurine</t>
  </si>
  <si>
    <t>A measurement of the taurine in a biological specimen.</t>
  </si>
  <si>
    <t>Taurine Measurement</t>
  </si>
  <si>
    <t>C74746</t>
  </si>
  <si>
    <t>TBG</t>
  </si>
  <si>
    <t>Thyroxine Binding Globulin</t>
  </si>
  <si>
    <t>A measurement of the thyroxine binding globulin protein in a biological specimen.</t>
  </si>
  <si>
    <t>Thyroxine Binding Globulin Protein Measurement</t>
  </si>
  <si>
    <t>C201423</t>
  </si>
  <si>
    <t>TBII</t>
  </si>
  <si>
    <t>Autoantibody, TBII</t>
  </si>
  <si>
    <t>Autoantibody, TBII; Autoantibody, Thyrotropin Binding Inhibitory Immunoglobulin</t>
  </si>
  <si>
    <t>A measurement of the thyrotropin binding inhibitory immunoglobulin autoantibody in a biological specimen.</t>
  </si>
  <si>
    <t>Thyrotropin Binding Inhibitory Immunoglobulin Autoantibody Measurement</t>
  </si>
  <si>
    <t>C181491</t>
  </si>
  <si>
    <t>TBLFRM</t>
  </si>
  <si>
    <t>Tubule Formation</t>
  </si>
  <si>
    <t>An evaluation of tubule formation in a biological specimen.</t>
  </si>
  <si>
    <t>Tubule Formation Assessment</t>
  </si>
  <si>
    <t>C49658</t>
  </si>
  <si>
    <t>TBLIND</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</si>
  <si>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</si>
  <si>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</si>
  <si>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</si>
  <si>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C189496</t>
  </si>
  <si>
    <t>TBP</t>
  </si>
  <si>
    <t>TATA Box Binding Protein</t>
  </si>
  <si>
    <t>TATA Box Binding Protein; TATA-Binding Protein</t>
  </si>
  <si>
    <t>A measurement of the TATA-box binding protein in a biological specimen.</t>
  </si>
  <si>
    <t>TATA Box Binding Protein Measurement</t>
  </si>
  <si>
    <t>C210153</t>
  </si>
  <si>
    <t>TBPRD</t>
  </si>
  <si>
    <t>Tobacco Product</t>
  </si>
  <si>
    <t>Any product made or derived from tobacco, or containing nicotine from any source, that is intended for human consumption, including any component, part, or accessory of a tobacco product (except for raw materials other than tobacco used in manufacturing a</t>
  </si>
  <si>
    <t>C221682</t>
  </si>
  <si>
    <t>TBUT</t>
  </si>
  <si>
    <t>Tear Breakup Time</t>
  </si>
  <si>
    <t>Tear Break-up Time; Tear Breakup Time; Tear Film Breakup Time</t>
  </si>
  <si>
    <t>The interval of time between the last blink and the first appearance of a black spot in the fluorescein-stained tear film.</t>
  </si>
  <si>
    <t>Tear Breakup Time Assessment</t>
  </si>
  <si>
    <t>C104622</t>
  </si>
  <si>
    <t>TBW</t>
  </si>
  <si>
    <t>Total Body Water</t>
  </si>
  <si>
    <t>A measurement of the quantity of water within the body, including both the intracellular and extracellular compartments.</t>
  </si>
  <si>
    <t>Total Body Water Measurement</t>
  </si>
  <si>
    <t>C202438</t>
  </si>
  <si>
    <t>TCACYR</t>
  </si>
  <si>
    <t>Tricarboxylic Acid Cycle Rate</t>
  </si>
  <si>
    <t>Citric Acid Cycle Rate; Krebs Cycle Citric Acid Rate; TCA Cycle Rate; Tricarboxylic Acid Cycle Rate</t>
  </si>
  <si>
    <t>A measurement of the metabolic rate of the tricarboxylic acid cycle in a biological specimen.</t>
  </si>
  <si>
    <t>Tricarboxylic Acid Cycle Rate Measurement</t>
  </si>
  <si>
    <t>C176306</t>
  </si>
  <si>
    <t>TCDCA</t>
  </si>
  <si>
    <t>Taurochenodeoxycholate</t>
  </si>
  <si>
    <t>Taurochenodeoxycholate; Taurochenodeoxycholic Acid</t>
  </si>
  <si>
    <t>A measurement of the taurochenodeoxycholate in a biological specimen.</t>
  </si>
  <si>
    <t>Taurochenodeoxycholate Measurement</t>
  </si>
  <si>
    <t>C176301</t>
  </si>
  <si>
    <t>TCHT</t>
  </si>
  <si>
    <t>Taurocholate</t>
  </si>
  <si>
    <t>Taurocholate; Taurocholic Acid</t>
  </si>
  <si>
    <t>A measurement of the taurocholate in a biological specimen.</t>
  </si>
  <si>
    <t>Taurocholate Measurement</t>
  </si>
  <si>
    <t>C49647</t>
  </si>
  <si>
    <t>TCNTRL</t>
  </si>
  <si>
    <t>Control Type</t>
  </si>
  <si>
    <t>Comparator against which the study treatment is evaluated.</t>
  </si>
  <si>
    <t>C210222</t>
  </si>
  <si>
    <t>TCSCOIND</t>
  </si>
  <si>
    <t>Tobacco Cessation Counseling Indicator</t>
  </si>
  <si>
    <t>An indication as to whether the individual has received tobacco cessation counseling.</t>
  </si>
  <si>
    <t>C49650</t>
  </si>
  <si>
    <t>TDIGRP</t>
  </si>
  <si>
    <t>Diagnosis Group</t>
  </si>
  <si>
    <t>A grouping of individuals on the basis of a shared procedure or disease, or lack thereof.</t>
  </si>
  <si>
    <t>C117859</t>
  </si>
  <si>
    <t>TDTAG</t>
  </si>
  <si>
    <t>Terminal Deoxynucleotidyl Transferase Ag</t>
  </si>
  <si>
    <t>Terminal Deoxynucleotidyl Transferase Ag; Terminal Deoxynucleotidyl Transferase Antigen</t>
  </si>
  <si>
    <t>A measurement of the terminal deoxynucleotidyl transferase antigen in a biological specimen.</t>
  </si>
  <si>
    <t>Terminal Deoxynucleotidyl Transferase Antigen Measurement</t>
  </si>
  <si>
    <t>C64801</t>
  </si>
  <si>
    <t>TEARDCY</t>
  </si>
  <si>
    <t>Dacryocytes</t>
  </si>
  <si>
    <t>Dacryocytes; Tear Shaped Erythrocytes; Teardrop Cells</t>
  </si>
  <si>
    <t>A measurement of dacryocytes in a biological specimen.</t>
  </si>
  <si>
    <t>Dacryocyte Analysis</t>
  </si>
  <si>
    <t>C172574</t>
  </si>
  <si>
    <t>TEARSCR</t>
  </si>
  <si>
    <t>Tear Secretion</t>
  </si>
  <si>
    <t>Lacrimation; Tear Production; Tear Secretion</t>
  </si>
  <si>
    <t>A measurement of the amount of tear production in a subject.</t>
  </si>
  <si>
    <t>Tear Secretion Amount</t>
  </si>
  <si>
    <t>C172575</t>
  </si>
  <si>
    <t>TEARSCRR</t>
  </si>
  <si>
    <t>Tear Secretion Rate</t>
  </si>
  <si>
    <t>A measurement of the amount of tears being secreted over a defined amount of time (e.g. 5 minutes).</t>
  </si>
  <si>
    <t>C117807</t>
  </si>
  <si>
    <t>TECHQUAL</t>
  </si>
  <si>
    <t>Technical Quality</t>
  </si>
  <si>
    <t>A statement about an electrocardiographic recording describing technical issues or interference during the recording, processing, or transmission of the data. This does not represent an electrocardiographic diagnosis.</t>
  </si>
  <si>
    <t>ECG Technical Quality</t>
  </si>
  <si>
    <t>C174446</t>
  </si>
  <si>
    <t>TEMP</t>
  </si>
  <si>
    <t>Temperature</t>
  </si>
  <si>
    <t>Body Temperature; Temperature</t>
  </si>
  <si>
    <t>A measurement of the temperature of the body.</t>
  </si>
  <si>
    <t>Body Temperature</t>
  </si>
  <si>
    <t>C174370</t>
  </si>
  <si>
    <t>TEMPCB</t>
  </si>
  <si>
    <t>Core Body Temperature</t>
  </si>
  <si>
    <t>A measurement of the temperature within the deep tissues of the body.</t>
  </si>
  <si>
    <t>C174371</t>
  </si>
  <si>
    <t>TEMPPB</t>
  </si>
  <si>
    <t>Peripheral Body Temperature</t>
  </si>
  <si>
    <t>A measurement of the temperature of the body at or near its surface.</t>
  </si>
  <si>
    <t>C74793</t>
  </si>
  <si>
    <t>TESTOS</t>
  </si>
  <si>
    <t>Testosterone</t>
  </si>
  <si>
    <t>Testosterone; Total Testosterone</t>
  </si>
  <si>
    <t>A measurement of the total (free and bound) testosterone in a biological specimen.</t>
  </si>
  <si>
    <t>Total Testosterone Measurement</t>
  </si>
  <si>
    <t>C117860</t>
  </si>
  <si>
    <t>TESTOSBA</t>
  </si>
  <si>
    <t>Bioavailable Testosterone</t>
  </si>
  <si>
    <t>A measurement of bioavailable testosterone in a biological specimen.</t>
  </si>
  <si>
    <t>Bioavailable Testosterone Measurement</t>
  </si>
  <si>
    <t>C74785</t>
  </si>
  <si>
    <t>TESTOSFR</t>
  </si>
  <si>
    <t>Testosterone, Free</t>
  </si>
  <si>
    <t>A measurement of the free testosterone in a biological specimen.</t>
  </si>
  <si>
    <t>Free Testosterone Measurement</t>
  </si>
  <si>
    <t>C147434</t>
  </si>
  <si>
    <t>TESTOSWB</t>
  </si>
  <si>
    <t>Testosterone, Weakly Bound</t>
  </si>
  <si>
    <t>A measurement of the weakly bound testosterone (testosterone bound to albumin) in a biological specimen.</t>
  </si>
  <si>
    <t>Weakly Bound Testosterone Measurement</t>
  </si>
  <si>
    <t>C82037</t>
  </si>
  <si>
    <t>TFERRIN</t>
  </si>
  <si>
    <t>Transferrin</t>
  </si>
  <si>
    <t>Beta-1 Metal-Binding Globulin; Serotransferrin; Siderophilin; Transferrin</t>
  </si>
  <si>
    <t>A measurement of the total transferrin in a biological specimen.</t>
  </si>
  <si>
    <t>Transferrin Measurement</t>
  </si>
  <si>
    <t>C199896</t>
  </si>
  <si>
    <t>TFF3</t>
  </si>
  <si>
    <t>Trefoil Factor 3</t>
  </si>
  <si>
    <t>A measurement of the trefoil factor 3 in a biological specimen.</t>
  </si>
  <si>
    <t>Trefoil Factor 3 Measurement</t>
  </si>
  <si>
    <t>C202391</t>
  </si>
  <si>
    <t>TFPIFR</t>
  </si>
  <si>
    <t>Tissue Factor Pathway Inhibitor, Free</t>
  </si>
  <si>
    <t>Free Tissue Factor Pathway Inhibitor Antigen; Tissue Factor Pathway Inhibitor, Free</t>
  </si>
  <si>
    <t>A measurement of the free tissue factor pathway inhibitor in a biological specimen.</t>
  </si>
  <si>
    <t>Free Tissue Factor Pathway Inhibitor Antigen Measurement</t>
  </si>
  <si>
    <t>C199909</t>
  </si>
  <si>
    <t>TFR1</t>
  </si>
  <si>
    <t>Transferrin Receptor Protein 1</t>
  </si>
  <si>
    <t>P90; Soluble CD71; TfR1; Transferrin Receptor Protein 1</t>
  </si>
  <si>
    <t>A measurement of the transferrin receptor protein 1 in a biological specimen.</t>
  </si>
  <si>
    <t>Transferrin Receptor Protein 1 Measurement</t>
  </si>
  <si>
    <t>C98792</t>
  </si>
  <si>
    <t>TFRRNSAT</t>
  </si>
  <si>
    <t>Transferrin Saturation</t>
  </si>
  <si>
    <t>Iron Binding Capacity Saturation; Iron Saturation; Iron to TIBC; Transferrin Saturation</t>
  </si>
  <si>
    <t>A measurement of the iron bound to transferrin in a biological specimen.</t>
  </si>
  <si>
    <t>Transferrin Saturation Measurement</t>
  </si>
  <si>
    <t>C165985</t>
  </si>
  <si>
    <t>TGFA</t>
  </si>
  <si>
    <t>Transforming Growth Factor Alpha</t>
  </si>
  <si>
    <t>Protransforming Growth Factor Alpha; TGF-Alpha; Transforming Growth Factor Alpha</t>
  </si>
  <si>
    <t>A measurement of the transforming growth factor alpha in a biological specimen.</t>
  </si>
  <si>
    <t>Transforming Growth Factor Alpha Measurement</t>
  </si>
  <si>
    <t>C122155</t>
  </si>
  <si>
    <t>TGFB</t>
  </si>
  <si>
    <t>Transforming Growth Factor Beta</t>
  </si>
  <si>
    <t>A measurement of the total transforming growth factor beta in a biological specimen.</t>
  </si>
  <si>
    <t>Transforming Growth Factor Beta Measurement</t>
  </si>
  <si>
    <t>C117861</t>
  </si>
  <si>
    <t>TGFB1</t>
  </si>
  <si>
    <t>Transforming Growth Factor Beta 1</t>
  </si>
  <si>
    <t>A measurement of the transforming growth factor beta 1 in a biological specimen.</t>
  </si>
  <si>
    <t>Transforming Growth Factor Beta 1 Measurement</t>
  </si>
  <si>
    <t>C165986</t>
  </si>
  <si>
    <t>TGFB2</t>
  </si>
  <si>
    <t>Transforming Growth Factor Beta 2</t>
  </si>
  <si>
    <t>G-TSF; LDS4; TGF-beta2; Transforming Growth Factor Beta 2</t>
  </si>
  <si>
    <t>A measurement of the transforming growth factor beta 2 in a biological specimen.</t>
  </si>
  <si>
    <t>Transforming Growth Factor Beta 2 Measurement</t>
  </si>
  <si>
    <t>C165987</t>
  </si>
  <si>
    <t>TGFB3</t>
  </si>
  <si>
    <t>Transforming Growth Factor Beta 3</t>
  </si>
  <si>
    <t>ARVD; ARVD1; LDS5; RNHF; TGF-beta3; Transforming Growth Factor Beta 3</t>
  </si>
  <si>
    <t>A measurement of the transforming growth factor beta 3 in a biological specimen.</t>
  </si>
  <si>
    <t>Transforming Growth Factor Beta 3 Measurement</t>
  </si>
  <si>
    <t>C103446</t>
  </si>
  <si>
    <t>TGLOB</t>
  </si>
  <si>
    <t>Thyroglobulin</t>
  </si>
  <si>
    <t>TG; Thyroglobulin</t>
  </si>
  <si>
    <t>A measurement of the thyroglobulin in a biological specimen.</t>
  </si>
  <si>
    <t>Thyroglobulin Measurement</t>
  </si>
  <si>
    <t>C147435</t>
  </si>
  <si>
    <t>TGLOBRR</t>
  </si>
  <si>
    <t>Thyroglobulin Recovery Rate</t>
  </si>
  <si>
    <t>A measurement of the thyroglobulin recovery rate in a biological specimen obtained by measuring the thyroglobulin concentration before and after a known amount of thyroglobulin has been added to the specimen.</t>
  </si>
  <si>
    <t>C184665</t>
  </si>
  <si>
    <t>TGODNA</t>
  </si>
  <si>
    <t>Toxoplasma gondii DNA</t>
  </si>
  <si>
    <t>A measurement of the Toxoplasma gondii DNA in a biological specimen.</t>
  </si>
  <si>
    <t>Toxoplasma gondii DNA Measurement</t>
  </si>
  <si>
    <t>C124426</t>
  </si>
  <si>
    <t>TGV</t>
  </si>
  <si>
    <t>Thoracic Gas Volume</t>
  </si>
  <si>
    <t>The absolute volume of air contained in the thoracic cavity at any given point in time and at any level of alveolar pressure.</t>
  </si>
  <si>
    <t>C135444</t>
  </si>
  <si>
    <t>THBD</t>
  </si>
  <si>
    <t>Thrombomodulin</t>
  </si>
  <si>
    <t>BDCA3; Thrombomodulin</t>
  </si>
  <si>
    <t>A measurement of the thrombomodulin in a biological specimen.</t>
  </si>
  <si>
    <t>Thrombomodulin Measurement</t>
  </si>
  <si>
    <t>C147436</t>
  </si>
  <si>
    <t>THC</t>
  </si>
  <si>
    <t>Tetrahydrocannabinol</t>
  </si>
  <si>
    <t>Delta-9-Tetrahydrocannabinol; Tetrahydrocannabinol; THC</t>
  </si>
  <si>
    <t>A measurement of the tetrahydrocannabinol in a biological specimen.</t>
  </si>
  <si>
    <t>Tetrahydrocannabinol Measurement</t>
  </si>
  <si>
    <t>C142293</t>
  </si>
  <si>
    <t>THCCOOH</t>
  </si>
  <si>
    <t>11-Nor-Delta9-THC-9-Carboxylic Acid</t>
  </si>
  <si>
    <t>11-Nor-Delta9-THC-9-Carboxylic Acid; THC-COOH</t>
  </si>
  <si>
    <t>A measurement of 11-nor-delta-9-tetrahydrocannabinol-9-carboxylic acid present in a biological specimen.</t>
  </si>
  <si>
    <t>11-Nor-Delta9-THC-9-Carboxylic Acid Measurement</t>
  </si>
  <si>
    <t>C127595</t>
  </si>
  <si>
    <t>THCKEVD</t>
  </si>
  <si>
    <t>Cross-sec Thickness, EVD</t>
  </si>
  <si>
    <t>Cross-sec Thickness, EVD; Cross-sectional Thickness, End Ventricular Diastole</t>
  </si>
  <si>
    <t>The cross-sectional thickness of a cardiovascular structure measured at end ventricular diastole.</t>
  </si>
  <si>
    <t>Cross-sectional Thickness at End Ventricular Diastole</t>
  </si>
  <si>
    <t>C127596</t>
  </si>
  <si>
    <t>THCKEVS</t>
  </si>
  <si>
    <t>Cross-sec Thickness, EVS</t>
  </si>
  <si>
    <t>Cross-sec Thickness, EVS; Cross-sectional Thickness, End Ventricular Systole</t>
  </si>
  <si>
    <t>The cross-sectional thickness of a cardiovascular structure measured at end ventricular systole.</t>
  </si>
  <si>
    <t>Cross-sectional Thickness at End Ventricular Systole</t>
  </si>
  <si>
    <t>C186097</t>
  </si>
  <si>
    <t>THDCSL5A</t>
  </si>
  <si>
    <t>5-Alpha Tetrahydrocortisol</t>
  </si>
  <si>
    <t>A measurement of the 5-alpha tetrahydrocortisol in a biological specimen.</t>
  </si>
  <si>
    <t>5-Alpha Tetrahydrocortisol Measurement</t>
  </si>
  <si>
    <t>C184577</t>
  </si>
  <si>
    <t>THEBAINE</t>
  </si>
  <si>
    <t>Thebaine</t>
  </si>
  <si>
    <t>A measurement of the thebaine in a biological specimen.</t>
  </si>
  <si>
    <t>Thebaine Measurement</t>
  </si>
  <si>
    <t>C105445</t>
  </si>
  <si>
    <t>THEOPHYL</t>
  </si>
  <si>
    <t>Theophylline</t>
  </si>
  <si>
    <t>A measurement of the Theophylline present in a biological specimen.</t>
  </si>
  <si>
    <t>Theophylline Measurement</t>
  </si>
  <si>
    <t>C101302</t>
  </si>
  <si>
    <t>THERAREA</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</si>
  <si>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</si>
  <si>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t>
  </si>
  <si>
    <t>C184602</t>
  </si>
  <si>
    <t>THGSTNON</t>
  </si>
  <si>
    <t>Tetrahydrogestrinone</t>
  </si>
  <si>
    <t>A measurement of the tetrahydrogestrinone in a biological specimen.</t>
  </si>
  <si>
    <t>Tetrahydrogestrinone Measurement</t>
  </si>
  <si>
    <t>C41145</t>
  </si>
  <si>
    <t>THICK</t>
  </si>
  <si>
    <t>Thickness</t>
  </si>
  <si>
    <t>The dimension between two surfaces of an object, usually the smallest dimension as opposed to the width or the length.</t>
  </si>
  <si>
    <t>C120719</t>
  </si>
  <si>
    <t>THICKMAX</t>
  </si>
  <si>
    <t>Thickness, Maximum</t>
  </si>
  <si>
    <t>The maximum number in a group of values that represent the thickness of an object.</t>
  </si>
  <si>
    <t>Maximum Thickness</t>
  </si>
  <si>
    <t>C120720</t>
  </si>
  <si>
    <t>THICKMIN</t>
  </si>
  <si>
    <t>Thickness, Minimum</t>
  </si>
  <si>
    <t>The minimum number in a group of values that represent the thickness of an object.</t>
  </si>
  <si>
    <t>Minimum Thickness</t>
  </si>
  <si>
    <t>C120721</t>
  </si>
  <si>
    <t>THICKMN</t>
  </si>
  <si>
    <t>Thickness, Mean</t>
  </si>
  <si>
    <t>The mean number in a group of values that represent the thickness of an object.</t>
  </si>
  <si>
    <t>Mean Thickness</t>
  </si>
  <si>
    <t>C120722</t>
  </si>
  <si>
    <t>THICKSD</t>
  </si>
  <si>
    <t>Thickness, Standard Deviation</t>
  </si>
  <si>
    <t>The standard deviation in a group of values that represent the thickness of an object.</t>
  </si>
  <si>
    <t>Standard Deviation of Thickness</t>
  </si>
  <si>
    <t>C184604</t>
  </si>
  <si>
    <t>THIOPNTL</t>
  </si>
  <si>
    <t>Thiopental</t>
  </si>
  <si>
    <t>A measurement of the thiopental in a biological specimen.</t>
  </si>
  <si>
    <t>Thiopental Measurement</t>
  </si>
  <si>
    <t>C177978</t>
  </si>
  <si>
    <t>THIORDZN</t>
  </si>
  <si>
    <t>Thioridazine</t>
  </si>
  <si>
    <t>A measurement of the thioridazine in a biological specimen.</t>
  </si>
  <si>
    <t>Thioridazine Measurement</t>
  </si>
  <si>
    <t>C177976</t>
  </si>
  <si>
    <t>THIOTHXN</t>
  </si>
  <si>
    <t>Thiothixene</t>
  </si>
  <si>
    <t>A measurement of the thiothixene in a biological specimen.</t>
  </si>
  <si>
    <t>Thiothixene Measurement</t>
  </si>
  <si>
    <t>C189361</t>
  </si>
  <si>
    <t>THLARAGE</t>
  </si>
  <si>
    <t>Thelarche Age</t>
  </si>
  <si>
    <t>The age at onset of breast development.</t>
  </si>
  <si>
    <t>C147437</t>
  </si>
  <si>
    <t>THMBAAC</t>
  </si>
  <si>
    <t>Thrombin Activity Actual/Control</t>
  </si>
  <si>
    <t>Thrombin Activity Actual/Control; Thrombin Activity Actual/Normal; Thrombin Activity Actual/Thrombin Activity Control</t>
  </si>
  <si>
    <t>A relative measurement (ratio or percentage) of the biological activity of thrombin dependent coagulation in a subject's specimen when compared to the same activity in a control specimen.</t>
  </si>
  <si>
    <t>Thrombin Activity Actual to Control Ratio Measurement</t>
  </si>
  <si>
    <t>C184603</t>
  </si>
  <si>
    <t>THMYLL</t>
  </si>
  <si>
    <t>Thiamylal</t>
  </si>
  <si>
    <t>A measurement of the thiamylal in a biological specimen.</t>
  </si>
  <si>
    <t>Thiamylal Measurement</t>
  </si>
  <si>
    <t>C122156</t>
  </si>
  <si>
    <t>THR</t>
  </si>
  <si>
    <t>Threonine</t>
  </si>
  <si>
    <t>A measurement of the threonine in a biological specimen.</t>
  </si>
  <si>
    <t>Threonine Measurement</t>
  </si>
  <si>
    <t>C158224</t>
  </si>
  <si>
    <t>THRCREAT</t>
  </si>
  <si>
    <t>Threonine/Creatinine</t>
  </si>
  <si>
    <t>A relative measurement (ratio) of the threonine to the creatinine in a biological specimen.</t>
  </si>
  <si>
    <t>Threonine to Creatinine Ratio Measurement</t>
  </si>
  <si>
    <t>C74873</t>
  </si>
  <si>
    <t>THRMPTN</t>
  </si>
  <si>
    <t>Thrombopoietin</t>
  </si>
  <si>
    <t>A measurement of the thrombopoietin hormone in a biological specimen.</t>
  </si>
  <si>
    <t>Thrombopoietin Measurement</t>
  </si>
  <si>
    <t>C111283</t>
  </si>
  <si>
    <t>THROMNUC</t>
  </si>
  <si>
    <t>Thrombocytes</t>
  </si>
  <si>
    <t>Nucleated Thrombocytes; Thrombocytes</t>
  </si>
  <si>
    <t>A measurement of the nucleated platelets, namely thrombocytes, in a biological specimen. This is typically measured in birds and other non-mammalian vertebrates.</t>
  </si>
  <si>
    <t>Nucleated Thrombocyte Count</t>
  </si>
  <si>
    <t>C96639</t>
  </si>
  <si>
    <t>THYPXD</t>
  </si>
  <si>
    <t>Thyroperoxidase</t>
  </si>
  <si>
    <t>Thyroid Peroxidase; Thyroperoxidase</t>
  </si>
  <si>
    <t>A measurement of the thyroperoxidase in a biological specimen.</t>
  </si>
  <si>
    <t>Thyroperoxidase Measurement</t>
  </si>
  <si>
    <t>C191365</t>
  </si>
  <si>
    <t>TIBIAL</t>
  </si>
  <si>
    <t>Tibial Length</t>
  </si>
  <si>
    <t>A measurement of the length of the tibia.</t>
  </si>
  <si>
    <t>C204677</t>
  </si>
  <si>
    <t>TIGIT</t>
  </si>
  <si>
    <t>T-Cell Immunoreceptor with Ig and ITIM Domains; TIGIT; WUCAM</t>
  </si>
  <si>
    <t>A measurement of the T-cell immunoreceptor with Ig and ITIM domains in a biological specimen.</t>
  </si>
  <si>
    <t>T-Cell Immunoreceptor with Ig and ITIM Domains Measurement</t>
  </si>
  <si>
    <t>C204700</t>
  </si>
  <si>
    <t>TIGVER</t>
  </si>
  <si>
    <t>Tobacco IG Version</t>
  </si>
  <si>
    <t>Tobacco IG Version; Tobacco Implementation Guide Version</t>
  </si>
  <si>
    <t>The version of the CDISC tobacco implementation guide that is being used in the study submission.</t>
  </si>
  <si>
    <t>CDISC Tobacco Implementation Guide Version</t>
  </si>
  <si>
    <t>C204678</t>
  </si>
  <si>
    <t>TILY</t>
  </si>
  <si>
    <t>Tumor-Infiltrating Lymphocytes</t>
  </si>
  <si>
    <t>TIL; Tumor-Infiltrating Lymphocyte Cells; Tumor-Infiltrating Lymphocytes</t>
  </si>
  <si>
    <t>A measurement of the tumor-infiltrating lymphocyte cells in a biological specimen.</t>
  </si>
  <si>
    <t>Tumor-Infiltrating Lymphocyte Count</t>
  </si>
  <si>
    <t>C163487</t>
  </si>
  <si>
    <t>TIMM10</t>
  </si>
  <si>
    <t>Translocase Inner Mitochondrial Membr 10</t>
  </si>
  <si>
    <t>Translocase Inner Mitochondrial Membr 10; Translocase of Inner Mitochondrial Membrane 10</t>
  </si>
  <si>
    <t>A measurement of the translocase of inner mitochondrial membrane 10 in a biological specimen.</t>
  </si>
  <si>
    <t>Translocase Inner Mitochondrial Membrane 10 Measurement</t>
  </si>
  <si>
    <t>C221575</t>
  </si>
  <si>
    <t>TIMP</t>
  </si>
  <si>
    <t>Tissue Inhibitor of Metalloproteinase</t>
  </si>
  <si>
    <t>TIM; Tissue Inhibitor of Metalloproteinase</t>
  </si>
  <si>
    <t>A measurement of the total tissue inhibitor metalloproteinase in a biological specimen.</t>
  </si>
  <si>
    <t>Tissue Inhibitor of Metalloproteinase Measurement</t>
  </si>
  <si>
    <t>C82036</t>
  </si>
  <si>
    <t>TIMP1</t>
  </si>
  <si>
    <t>Tissue Inhibitor of Metalloproteinase 1</t>
  </si>
  <si>
    <t>EPA; Erythroid Potentiating Activity; Fibroblast Collagenase Inhibitor; Metalloproteinase Inhibitor 1; Tissue Inhibitor of Metalloproteinase 1</t>
  </si>
  <si>
    <t>A measurement of the tissue inhibitor of metalloproteinase 1 in a biological specimen.</t>
  </si>
  <si>
    <t>Tissue Inhibitor of Metalloproteinase 1 Measurement</t>
  </si>
  <si>
    <t>C106575</t>
  </si>
  <si>
    <t>TIMP1CRE</t>
  </si>
  <si>
    <t>TIMP1/Creatinine</t>
  </si>
  <si>
    <t>TIMP1/Creatinine; Tissue Inhibitor of Metalloproteinase 1/Creatinine</t>
  </si>
  <si>
    <t>A relative measurement (ratio or percentage) of the tissue inhibitor of metalloproteinase 1 to creatinine present in a sample.</t>
  </si>
  <si>
    <t>Tissue Inhibitor of Metalloproteinase 1 to Creatinine Ratio Measurement</t>
  </si>
  <si>
    <t>C199908</t>
  </si>
  <si>
    <t>TIMP2</t>
  </si>
  <si>
    <t>Tissue Inhibitor of Metalloproteinase 2</t>
  </si>
  <si>
    <t>CSC-21K; Metalloproteinase Inhibitor 2; Tissue Inhibitor of Metalloproteinase 2</t>
  </si>
  <si>
    <t>A measurement of the tissue inhibitor of metalloproteinase 2 in a biological specimen.</t>
  </si>
  <si>
    <t>Tissue Inhibitor of Metalloproteinase 2 Measurement</t>
  </si>
  <si>
    <t>C165988</t>
  </si>
  <si>
    <t>TIMP3</t>
  </si>
  <si>
    <t>Tissue Inhibitor of Metalloproteinase 3</t>
  </si>
  <si>
    <t>HSMRK222; K222; K222TA2; Metalloproteinase Inhibitor 3; Protein MIG-5; SFD; Tissue Inhibitor of Metalloproteinase 3</t>
  </si>
  <si>
    <t>A measurement of the tissue inhibitor of metalloproteinase 3 in a biological specimen.</t>
  </si>
  <si>
    <t>Tissue Inhibitor of Metalloproteinase 3 Measurement</t>
  </si>
  <si>
    <t>C178053</t>
  </si>
  <si>
    <t>TIND</t>
  </si>
  <si>
    <t>Target Indicator</t>
  </si>
  <si>
    <t>An indication as to whether a target tumor, lesion, or site of disease is present.</t>
  </si>
  <si>
    <t>C49652</t>
  </si>
  <si>
    <t>TINDTP</t>
  </si>
  <si>
    <t>Trial Intent Type</t>
  </si>
  <si>
    <t>The planned purpose of the therapy, device, or agent under study in the clinical trial.</t>
  </si>
  <si>
    <t>Clinical Study by Intent</t>
  </si>
  <si>
    <t>C176340</t>
  </si>
  <si>
    <t>TISABNUM</t>
  </si>
  <si>
    <t>Number of Abnormal Tissue Samples</t>
  </si>
  <si>
    <t>The total number of tissue samples in which a pathological abnormality has been observed.</t>
  </si>
  <si>
    <t>C49802</t>
  </si>
  <si>
    <t>TITLE</t>
  </si>
  <si>
    <t>Trial Title</t>
  </si>
  <si>
    <t>Official Study Title; Study Title; Trial Title</t>
  </si>
  <si>
    <t>The sponsor-defined name of the clinical study.</t>
  </si>
  <si>
    <t>C120665</t>
  </si>
  <si>
    <t>TK</t>
  </si>
  <si>
    <t>Thymidine Kinase</t>
  </si>
  <si>
    <t>A measurement of the total thymidine kinase in a biological specimen.</t>
  </si>
  <si>
    <t>Thymidine Kinase Measurement</t>
  </si>
  <si>
    <t>C135445</t>
  </si>
  <si>
    <t>TK1</t>
  </si>
  <si>
    <t>Thymidine Kinase 1</t>
  </si>
  <si>
    <t>Thymidine Kinase 1; Thymidine Kinase, Cytosolic</t>
  </si>
  <si>
    <t>A measurement of the thymidine kinase 1 in a biological specimen.</t>
  </si>
  <si>
    <t>Thymidine Kinase 1 Measurement</t>
  </si>
  <si>
    <t>C135446</t>
  </si>
  <si>
    <t>TK2</t>
  </si>
  <si>
    <t>Thymidine Kinase 2</t>
  </si>
  <si>
    <t>Thymidine Kinase 2; Thymidine Kinase, Mitochondrial</t>
  </si>
  <si>
    <t>A measurement of the thymidine kinase 2 in a biological specimen.</t>
  </si>
  <si>
    <t>Thymidine Kinase 2 Measurement</t>
  </si>
  <si>
    <t>C132387</t>
  </si>
  <si>
    <t>TKG</t>
  </si>
  <si>
    <t>T-Kininogen</t>
  </si>
  <si>
    <t>A measurement of the total T-kininogen in a biological specimen.</t>
  </si>
  <si>
    <t>T-Kininogen Measurement</t>
  </si>
  <si>
    <t>C85824</t>
  </si>
  <si>
    <t>TLAG</t>
  </si>
  <si>
    <t>Time Until First Nonzero Conc</t>
  </si>
  <si>
    <t>The time prior to the first measurable (non-zero) concentration.</t>
  </si>
  <si>
    <t>Time until First Nonzero Concentration</t>
  </si>
  <si>
    <t>C111325</t>
  </si>
  <si>
    <t>TLC</t>
  </si>
  <si>
    <t>Total Lung Capacity</t>
  </si>
  <si>
    <t>The total volume of air in the lungs after maximum inhalation.</t>
  </si>
  <si>
    <t>C176309</t>
  </si>
  <si>
    <t>TLCHT</t>
  </si>
  <si>
    <t>Taurolithocholate</t>
  </si>
  <si>
    <t>Taurolithocholate; Taurolithocholic Acid</t>
  </si>
  <si>
    <t>A measurement of the taurolithocholate in a biological specimen.</t>
  </si>
  <si>
    <t>Taurolithocholate Measurement</t>
  </si>
  <si>
    <t>C112388</t>
  </si>
  <si>
    <t>TLCPP</t>
  </si>
  <si>
    <t>Percent Predicted Total Lung Capacity</t>
  </si>
  <si>
    <t>The total volume of air in the lungs after maximum inhalation as a proportion of the predicted normal value.</t>
  </si>
  <si>
    <t>C204679</t>
  </si>
  <si>
    <t>TLS</t>
  </si>
  <si>
    <t>Tertiary Lymphoid Structures</t>
  </si>
  <si>
    <t>Tertiary Lymphoid Structures; TLSs</t>
  </si>
  <si>
    <t>An evaluation of tertiary lymphoid structures in a biological specimen.</t>
  </si>
  <si>
    <t>Tertiary Lymphoid Structure Assessment</t>
  </si>
  <si>
    <t>C85822</t>
  </si>
  <si>
    <t>TLST</t>
  </si>
  <si>
    <t>Time of Last Nonzero Conc</t>
  </si>
  <si>
    <t>The time of the last measurable (positive) concentration.</t>
  </si>
  <si>
    <t>Time of Last Nonzero Concentration</t>
  </si>
  <si>
    <t>C122157</t>
  </si>
  <si>
    <t>TLYCE</t>
  </si>
  <si>
    <t>T-Lymphocytes</t>
  </si>
  <si>
    <t>T Cells; T-Cell Lymphocytes; T-Cells; T-Lymphocytes</t>
  </si>
  <si>
    <t>A measurement of the total thymocyte-derived lymphocytes in a biological specimen.</t>
  </si>
  <si>
    <t>T-Lymphocyte Count</t>
  </si>
  <si>
    <t>C161337</t>
  </si>
  <si>
    <t>TLYMPIDX</t>
  </si>
  <si>
    <t>T-Lymphocyte Proliferation Index</t>
  </si>
  <si>
    <t>A relative measurement (ratio or percentage) of T-lymphocyte proliferation due to stimulation by an antigen of interest to a non-stimulated T-lymphocyte proliferation control.</t>
  </si>
  <si>
    <t>C128979</t>
  </si>
  <si>
    <t>TLYMXM</t>
  </si>
  <si>
    <t>T-lymphocyte Crossmatch</t>
  </si>
  <si>
    <t>A measurement to determine human leukocyte antigens (HLA) histocompatibility between the recipient and the donor by examining the presence or absence of the recipient's anti-HLA antibody reactivity towards HLA antigens expressed on the donor T-lymphocytes</t>
  </si>
  <si>
    <t>T-lymphocyte Crossmatch Measurement</t>
  </si>
  <si>
    <t>C70919</t>
  </si>
  <si>
    <t>TMAX</t>
  </si>
  <si>
    <t>Time of CMAX Observation</t>
  </si>
  <si>
    <t>Time of CMAX; Time of CMAX Observation</t>
  </si>
  <si>
    <t>The time of maximum observed concentration sampled during a dosing interval.</t>
  </si>
  <si>
    <t>Tmax</t>
  </si>
  <si>
    <t>C187951</t>
  </si>
  <si>
    <t>TMBRDCFG</t>
  </si>
  <si>
    <t>Tumor Border Configuration</t>
  </si>
  <si>
    <t>Invasive Margin; Tumor Border Configuration; Tumor Margin Configuration</t>
  </si>
  <si>
    <t>An evaluation of the morphologic appearance at the point where the tumor meets adjacent, non-tumor tissue.</t>
  </si>
  <si>
    <t>Tumor Margin Configuration Assessment</t>
  </si>
  <si>
    <t>C187949</t>
  </si>
  <si>
    <t>TMDIFF</t>
  </si>
  <si>
    <t>Tumor Differentiation</t>
  </si>
  <si>
    <t>An evaluation of the tissue architecture of the tumor in comparison to the non-pathological tissue the tumor arose from.</t>
  </si>
  <si>
    <t>Tumor Differentiation Assessment</t>
  </si>
  <si>
    <t>C184563</t>
  </si>
  <si>
    <t>TMEPRDN</t>
  </si>
  <si>
    <t>Trimeperidine</t>
  </si>
  <si>
    <t>A measurement of the trimeperidine in a biological specimen.</t>
  </si>
  <si>
    <t>Trimeperidine Measurement</t>
  </si>
  <si>
    <t>C85825</t>
  </si>
  <si>
    <t>TMIN</t>
  </si>
  <si>
    <t>Time of CMIN Observation</t>
  </si>
  <si>
    <t>Time of CMIN; Time of CMIN Observation</t>
  </si>
  <si>
    <t>The time of minimum observed concentration sampled during a dosing interval.</t>
  </si>
  <si>
    <t>Tmin</t>
  </si>
  <si>
    <t>C214715</t>
  </si>
  <si>
    <t>TMINLIND</t>
  </si>
  <si>
    <t>Tumor Infiltration Indicator</t>
  </si>
  <si>
    <t>Infiltrating Cancer Indicator; Infiltrating Tumor Indicator; Invasive Tumor Indicator; Tumor Infiltration Indicator</t>
  </si>
  <si>
    <t>An indication as to whether tumor infiltration has occurred.</t>
  </si>
  <si>
    <t>C187950</t>
  </si>
  <si>
    <t>TMINLPTN</t>
  </si>
  <si>
    <t>Tumor Infiltration Pattern</t>
  </si>
  <si>
    <t>An evaluation of the tumor infiltration pattern in a biological specimen.</t>
  </si>
  <si>
    <t>Tumor Infiltration Pattern Assessment</t>
  </si>
  <si>
    <t>C132458</t>
  </si>
  <si>
    <t>TMRESP</t>
  </si>
  <si>
    <t>Tumor Marker Response</t>
  </si>
  <si>
    <t>An assessment of disease response to therapy based on tumor marker measurement.</t>
  </si>
  <si>
    <t>C75376</t>
  </si>
  <si>
    <t>TMZPM</t>
  </si>
  <si>
    <t>Temazepam</t>
  </si>
  <si>
    <t>A measurement of the temazepam present in a biological specimen.</t>
  </si>
  <si>
    <t>Temazepam Measurement</t>
  </si>
  <si>
    <t>C199887</t>
  </si>
  <si>
    <t>TNC</t>
  </si>
  <si>
    <t>Tenascin C</t>
  </si>
  <si>
    <t>Tenascin C; Tenascin-C; TN-C</t>
  </si>
  <si>
    <t>A measurement of the tenascin C in a biological specimen.</t>
  </si>
  <si>
    <t>Tenascin C Measurement</t>
  </si>
  <si>
    <t>C127775</t>
  </si>
  <si>
    <t>TNDRIND</t>
  </si>
  <si>
    <t>Tenderness Indicator</t>
  </si>
  <si>
    <t>An indication as to whether there are symptoms of tenderness.</t>
  </si>
  <si>
    <t>C74751</t>
  </si>
  <si>
    <t>TNF</t>
  </si>
  <si>
    <t>Tumor Necrosis Factor</t>
  </si>
  <si>
    <t>Tumor Necrosis Factor; Tumor Necrosis Factor alpha</t>
  </si>
  <si>
    <t>A measurement of the total tumor necrosis factor (cachexin) cytokine in a biological specimen.</t>
  </si>
  <si>
    <t>Tumor Necrosis Factor Measurement</t>
  </si>
  <si>
    <t>C165989</t>
  </si>
  <si>
    <t>TNF10</t>
  </si>
  <si>
    <t>TNF Superfamily Member 10</t>
  </si>
  <si>
    <t>APO2L; Soluble CD253; TL2; TNF-Related Apoptosis-Inducing Ligand; TNFSF10; TNLG6A; TRAIL</t>
  </si>
  <si>
    <t>A measurement of the total tumor necrosis factor superfamily member 10 in a biological specimen.</t>
  </si>
  <si>
    <t>TNF Superfamily Member 10 Measurement</t>
  </si>
  <si>
    <t>C198291</t>
  </si>
  <si>
    <t>TNF10R3</t>
  </si>
  <si>
    <t>TNF Receptor Superfamily Member 10c</t>
  </si>
  <si>
    <t>CD263; DcR1; TNF Receptor Superfamily Member 10c; TNF-Related Apoptosis-Inducing Ligand Receptor 3; TRAIL Receptor 3; TRAILR3</t>
  </si>
  <si>
    <t>A measurement of the TNF receptor superfamily member 10c in a biological specimen.</t>
  </si>
  <si>
    <t>Tumor Necrosis Factor Receptor Superfamily Member 10c Measurement</t>
  </si>
  <si>
    <t>C165990</t>
  </si>
  <si>
    <t>TNF12</t>
  </si>
  <si>
    <t>TNF Superfamily Member 12</t>
  </si>
  <si>
    <t>APO3L; DR3LG; TNF Superfamily Member 12; TNLG4A; TWEAK</t>
  </si>
  <si>
    <t>A measurement of the total tumor necrosis factor superfamily member 12 in a biological specimen.</t>
  </si>
  <si>
    <t>TNF Superfamily Member 12 Measurement</t>
  </si>
  <si>
    <t>C156525</t>
  </si>
  <si>
    <t>TNF12EXR</t>
  </si>
  <si>
    <t>TNF Superfamily Member 12 Excretion Rate</t>
  </si>
  <si>
    <t>TNF Superfamily Member 12 Excretion Rate; TWEAK Excretion Rate</t>
  </si>
  <si>
    <t>A measurement of the amount of TNF superfamily member 12 being excreted in a biological specimen over a defined period of time (e.g. one hour).</t>
  </si>
  <si>
    <t>C156526</t>
  </si>
  <si>
    <t>TNF12S</t>
  </si>
  <si>
    <t>Soluble TNF Superfamily Member 12</t>
  </si>
  <si>
    <t>Soluble TNF Superfamily Member 12; Soluble TNFSF12</t>
  </si>
  <si>
    <t>A measurement of soluble tumor necrosis factor superfamily member 12 in a biological specimen.</t>
  </si>
  <si>
    <t>Soluble TNF Superfamily Member 12 Measurement</t>
  </si>
  <si>
    <t>C174308</t>
  </si>
  <si>
    <t>TNF5S</t>
  </si>
  <si>
    <t>Soluble TNF Superfamily Member 5</t>
  </si>
  <si>
    <t>Soluble CD154; Soluble CD40 Ligand; Soluble CD40L; Soluble CD40LG; Soluble gp39; Soluble T-BAM; Soluble TNF Superfamily Member 5; Soluble TNFSF5; Soluble TRAP</t>
  </si>
  <si>
    <t>A measurement of the soluble tumor necrosis factor superfamily member 5 in a biological specimen.</t>
  </si>
  <si>
    <t>Soluble TNF Superfamily Member 5 Measurement</t>
  </si>
  <si>
    <t>C117862</t>
  </si>
  <si>
    <t>TNFAPI</t>
  </si>
  <si>
    <t>TNF-a Production Inhibition</t>
  </si>
  <si>
    <t>TNF-a Production Inhibition; TNF-a Production Inhibitory Activity</t>
  </si>
  <si>
    <t>A measurement of TNF-a production inhibitory activity in a biological specimen.</t>
  </si>
  <si>
    <t>TNF-a Production Inhibitory Activity Measurement</t>
  </si>
  <si>
    <t>C120666</t>
  </si>
  <si>
    <t>TNFR1</t>
  </si>
  <si>
    <t>Tumor Necrosis Factor Receptor 1</t>
  </si>
  <si>
    <t>Soluble CD120a; Tumor Necrosis Factor Receptor 1</t>
  </si>
  <si>
    <t>A measurement of the tumor necrosis factor receptor 1 (CD120a) in a biological specimen.</t>
  </si>
  <si>
    <t>Tumor Necrosis Factor Receptor 1 Measurement</t>
  </si>
  <si>
    <t>C165991</t>
  </si>
  <si>
    <t>TNFR1B</t>
  </si>
  <si>
    <t>TNF Receptor 1B</t>
  </si>
  <si>
    <t>CD120b; p75; p75TNFR; Soluble CD120b; TBPII; TNF Receptor 1B; TNF-R-II; TNF-R75; TNFBR; TNFR1B; TNFR2; TNFR80; Tumor Necrosis Factor Receptor 2</t>
  </si>
  <si>
    <t>A measurement of the tumor necrosis factor receptor superfamily member 1B in a biological specimen.</t>
  </si>
  <si>
    <t>TNF Receptor 1B Measurement</t>
  </si>
  <si>
    <t>C117864</t>
  </si>
  <si>
    <t>TNFR1BS</t>
  </si>
  <si>
    <t>Soluble TNF Receptor 1B</t>
  </si>
  <si>
    <t>Soluble CD120b; Soluble TNF Receptor 1B; Soluble TNF Receptor Type II; Soluble TNFR1B; Soluble TNFRSF1B; Soluble Tumor Necrosis Factor Receptor Superfamily Member 1B</t>
  </si>
  <si>
    <t>A measurement of the soluble tumor necrosis factor receptor superfamily member 1B in a biological specimen.</t>
  </si>
  <si>
    <t>Soluble Tumor Necrosis Factor Receptor Type II Measurement</t>
  </si>
  <si>
    <t>C174312</t>
  </si>
  <si>
    <t>TNFR5S</t>
  </si>
  <si>
    <t>Soluble TNF Receptor Superfamily Mem 5</t>
  </si>
  <si>
    <t>Soluble B-cell Surface Antigen CD40; Soluble Bp50; Soluble CD40; Soluble CDW40; Soluble p50; Soluble TNF Receptor Superfamily Mem 5; Soluble TNF Receptor Superfamily Member 5; Soluble TNFRSF5; Soluble Tumor Necrosis Factor Receptor Superfamily, Member 5</t>
  </si>
  <si>
    <t>A measurement of the soluble tumor necrosis factor receptor superfamily member 5 (CD40) in a biological specimen.</t>
  </si>
  <si>
    <t>Soluble TNF Receptor Superfamily Member 5 Measurement</t>
  </si>
  <si>
    <t>C199916</t>
  </si>
  <si>
    <t>TNFR7S</t>
  </si>
  <si>
    <t>Soluble TNF Receptor Superfamily Mem 7</t>
  </si>
  <si>
    <t>Soluble CD27; Soluble CD27 Antigen; Soluble CD27 Molecule; Soluble TNF Receptor Superfamily Mem 7; Soluble TNFRSF7; Soluble Tumor Necrosis Factor Receptor Superfamily Member 7</t>
  </si>
  <si>
    <t>A measurement of the soluble tumor necrosis factor receptor superfamily member 7 (CD27) in a biological specimen.</t>
  </si>
  <si>
    <t>Soluble TNF Receptor Superfamily Mem 7 Measurement</t>
  </si>
  <si>
    <t>C202393</t>
  </si>
  <si>
    <t>TNFR9S</t>
  </si>
  <si>
    <t>Soluble TNF Receptor Superfamily Mem 9</t>
  </si>
  <si>
    <t>sCD137; Soluble CD137; Soluble TNF Receptor Superfamily Mem 9; Soluble TNF Receptor Superfamily Member 9; Soluble TNFRSF9</t>
  </si>
  <si>
    <t>A measurement of the soluble tumor necrosis factor receptor superfamily member 9 (CD137) in a biological specimen.</t>
  </si>
  <si>
    <t>Soluble Tumor Necrosis Factor Receptor Superfamily Member 9 Measurement</t>
  </si>
  <si>
    <t>C117749</t>
  </si>
  <si>
    <t>TNFSR</t>
  </si>
  <si>
    <t>Soluble Tumor Necrosis Factor Receptor</t>
  </si>
  <si>
    <t>A measurement of the total soluble tumor necrosis factor receptor in a biological specimen.</t>
  </si>
  <si>
    <t>Soluble Tumor Necrosis Factor Receptor Measurement</t>
  </si>
  <si>
    <t>C117863</t>
  </si>
  <si>
    <t>TNFSR1</t>
  </si>
  <si>
    <t>Soluble TNF Receptor Type I</t>
  </si>
  <si>
    <t>A measurement of the soluble tumor necrosis factor receptor type I in a biological specimen.</t>
  </si>
  <si>
    <t>Soluble Tumor Necrosis Factor Receptor Type I Measurement</t>
  </si>
  <si>
    <t>C204653</t>
  </si>
  <si>
    <t>TOLUENE</t>
  </si>
  <si>
    <t>Toluene</t>
  </si>
  <si>
    <t>Methylbenzene; Phenylmethane; Toluene; Toluol</t>
  </si>
  <si>
    <t>A measurement of the toluene in a specimen.</t>
  </si>
  <si>
    <t>Toluene Measurement</t>
  </si>
  <si>
    <t>C187827</t>
  </si>
  <si>
    <t>TOMREG2</t>
  </si>
  <si>
    <t>Tomoregulin-2</t>
  </si>
  <si>
    <t>Tomoregulin-2; Transmembrane Protein With EGF-Like And Two Follistatin-Like Domains 2</t>
  </si>
  <si>
    <t>A measurement of the tomoregulin-2 in a biological specimen.</t>
  </si>
  <si>
    <t>Tomoregulin-2 Measurement</t>
  </si>
  <si>
    <t>C150865</t>
  </si>
  <si>
    <t>TOXBPCDF</t>
  </si>
  <si>
    <t>Toxin B-Producing Clostridium difficile</t>
  </si>
  <si>
    <t>A measurement of the toxin B-producing strain of Clostridium difficile in a biological specimen.</t>
  </si>
  <si>
    <t>Toxin B-Producing Clostridium difficile Measurement</t>
  </si>
  <si>
    <t>C150862</t>
  </si>
  <si>
    <t>TOXCDF</t>
  </si>
  <si>
    <t>Toxigenic Clostridium difficile</t>
  </si>
  <si>
    <t>A measurement of the toxigenic strain of Clostridium difficile in a biological specimen.</t>
  </si>
  <si>
    <t>Toxigenic Clostridium difficile Measurement</t>
  </si>
  <si>
    <t>C96641</t>
  </si>
  <si>
    <t>TOXGRAN</t>
  </si>
  <si>
    <t>Toxic Granulation</t>
  </si>
  <si>
    <t>A measurement of the toxic granulation in granulocytic blood cells.</t>
  </si>
  <si>
    <t>Toxic Granulation Measurement</t>
  </si>
  <si>
    <t>C127813</t>
  </si>
  <si>
    <t>TOXVAC</t>
  </si>
  <si>
    <t>Toxic Vacuolation</t>
  </si>
  <si>
    <t>A measurement of the toxic vacuolation in any of the granulocytic blood cells.</t>
  </si>
  <si>
    <t>Toxic Vacuolation Assessment</t>
  </si>
  <si>
    <t>C184647</t>
  </si>
  <si>
    <t>TPA</t>
  </si>
  <si>
    <t>Treponema pallidum</t>
  </si>
  <si>
    <t>A measurement of the Treponema pallidum in a biological specimen.</t>
  </si>
  <si>
    <t>Treponema pallidum Measurement</t>
  </si>
  <si>
    <t>C81993</t>
  </si>
  <si>
    <t>TPAAG</t>
  </si>
  <si>
    <t>Tissue Plasminogen Activator Antigen</t>
  </si>
  <si>
    <t>A measurement of the tissue plasminogen activator antigen in a biological specimen.</t>
  </si>
  <si>
    <t>Tissue Plasminogen Activator Measurement</t>
  </si>
  <si>
    <t>C198341</t>
  </si>
  <si>
    <t>TPADNA</t>
  </si>
  <si>
    <t>Treponema pallidum DNA</t>
  </si>
  <si>
    <t>A measurement of the Treponema pallidum DNA in a biological specimen.</t>
  </si>
  <si>
    <t>Treponema pallidum DNA Measurement</t>
  </si>
  <si>
    <t>C163488</t>
  </si>
  <si>
    <t>TPAG</t>
  </si>
  <si>
    <t>Tissue Polypeptide Antigen</t>
  </si>
  <si>
    <t>Tissue Polypeptide Antigen; TPA</t>
  </si>
  <si>
    <t>A measurement of the tissue polypeptide antigen in a biological specimen.</t>
  </si>
  <si>
    <t>Tissue Polypeptide Antigen Measurement</t>
  </si>
  <si>
    <t>C48281</t>
  </si>
  <si>
    <t>TPHASE</t>
  </si>
  <si>
    <t>Trial Phase Classification</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</si>
  <si>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</si>
  <si>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t>
  </si>
  <si>
    <t>Trial Phase</t>
  </si>
  <si>
    <t>C184576</t>
  </si>
  <si>
    <t>TPNTDL</t>
  </si>
  <si>
    <t>Tapentadol</t>
  </si>
  <si>
    <t>A measurement of the tapentadol in a biological specimen.</t>
  </si>
  <si>
    <t>Tapentadol Measurement</t>
  </si>
  <si>
    <t>C84811</t>
  </si>
  <si>
    <t>TPRONP</t>
  </si>
  <si>
    <t>Non-Phosphorylated Tau Protein</t>
  </si>
  <si>
    <t>A measurement of the non-phosphorylated Tau protein in a biological specimen.</t>
  </si>
  <si>
    <t>Nonphosphorylated Tau Protein Measurement</t>
  </si>
  <si>
    <t>C84810</t>
  </si>
  <si>
    <t>TPROT</t>
  </si>
  <si>
    <t>Tau Protein</t>
  </si>
  <si>
    <t>Tau Protein; Total Tau Protein</t>
  </si>
  <si>
    <t>A measurement of the total Tau protein in a biological specimen.</t>
  </si>
  <si>
    <t>Tau Protein Measurement</t>
  </si>
  <si>
    <t>C163489</t>
  </si>
  <si>
    <t>TPROTFR</t>
  </si>
  <si>
    <t>Tau Protein, Free</t>
  </si>
  <si>
    <t>A measurement of the free tau protein in a biological specimen.</t>
  </si>
  <si>
    <t>Free Tau Protein Measurement</t>
  </si>
  <si>
    <t>C84812</t>
  </si>
  <si>
    <t>TPROTP</t>
  </si>
  <si>
    <t>Phosphorylated Tau Protein</t>
  </si>
  <si>
    <t>Phosphorylated Tau Protein; pTau</t>
  </si>
  <si>
    <t>A measurement of the phosphorylated Tau protein in a biological specimen.</t>
  </si>
  <si>
    <t>Phosphorylated Tau Protein Measurement</t>
  </si>
  <si>
    <t>C117808</t>
  </si>
  <si>
    <t>TPTEAG</t>
  </si>
  <si>
    <t>Tpeak-Tend Interval, Aggregate</t>
  </si>
  <si>
    <t>An aggregate Tpeak-Tend value based on the measurement of Tpeak-Tend from multiple beats within a single ECG. The method of aggregation, which can vary, is typically a measure of central tendency such as the mean.</t>
  </si>
  <si>
    <t>T Peak-T End Interval Aggregate</t>
  </si>
  <si>
    <t>C117809</t>
  </si>
  <si>
    <t>TPTESB</t>
  </si>
  <si>
    <t>Tpeak-Tend Interval, Single Beat</t>
  </si>
  <si>
    <t>An electrocardiographic interval measured from the peak of the T wave to the offset of the T wave of a single beat utilizing one or more leads.</t>
  </si>
  <si>
    <t>T Peak-T End Interval Single Beat</t>
  </si>
  <si>
    <t>C117865</t>
  </si>
  <si>
    <t>TRACP5B</t>
  </si>
  <si>
    <t>Tartrate-Resistant Acid Phosphatase 5b</t>
  </si>
  <si>
    <t>Tartrate-Resistant Acid Phosphatase 5b; TRAP5B</t>
  </si>
  <si>
    <t>A measurement of tartrate-resistant acid phosphatase 5b in a biological specimen.</t>
  </si>
  <si>
    <t>Tartrate-Resistant Acid Phosphatase 5b Measurement</t>
  </si>
  <si>
    <t>C161376</t>
  </si>
  <si>
    <t>TRAMADOL</t>
  </si>
  <si>
    <t>Tramadol</t>
  </si>
  <si>
    <t>A measurement of the tramadol present in a biological specimen.</t>
  </si>
  <si>
    <t>Tramadol Measurement</t>
  </si>
  <si>
    <t>C163490</t>
  </si>
  <si>
    <t>TRANK1</t>
  </si>
  <si>
    <t>TPR-Ankyrin Repeat-Containing Protein 1</t>
  </si>
  <si>
    <t>TPR and Ankyrin Repeat-Containing Protein 1; TPR-Ankyrin Repeat-Containing Protein 1</t>
  </si>
  <si>
    <t>A measurement of the TPR-ankyrin repeat-containing protein 1 in a biological specimen.</t>
  </si>
  <si>
    <t>TPR-Ankyrin Repeat-containing Protein 1 Measurement</t>
  </si>
  <si>
    <t>C80208</t>
  </si>
  <si>
    <t>TRAP</t>
  </si>
  <si>
    <t>Total Radical-Trap Antioxidant Potential</t>
  </si>
  <si>
    <t>A measurement of the ability of the antioxidants in a biological specimen to buffer free radicals in a suspension.</t>
  </si>
  <si>
    <t>Total Radical-Trap Antioxidant Potential Measurement</t>
  </si>
  <si>
    <t>C154800</t>
  </si>
  <si>
    <t>TRCETMCE</t>
  </si>
  <si>
    <t>Transitional Cells/Tumor Cells</t>
  </si>
  <si>
    <t>A relative measurement (ratio or percentage) of the transitional cells to the tumor cells in a biological specimen.</t>
  </si>
  <si>
    <t>Transitional Cell to Tumor Cell Ratio Measurement</t>
  </si>
  <si>
    <t>C100420</t>
  </si>
  <si>
    <t>TRCYANDP</t>
  </si>
  <si>
    <t>Tricyclic Antidepressants</t>
  </si>
  <si>
    <t>A measurement of tricyclic antidepressants in a biological specimen.</t>
  </si>
  <si>
    <t>Tricyclic Antidepressant Measurement</t>
  </si>
  <si>
    <t>C187960</t>
  </si>
  <si>
    <t>TREMOR</t>
  </si>
  <si>
    <t>Tremor</t>
  </si>
  <si>
    <t>An evaluation of tremor (the shaking movement of the whole body or just a certain part of it, often caused by problems of the neurons responsible for muscle action).</t>
  </si>
  <si>
    <t>Tremor Evaluation</t>
  </si>
  <si>
    <t>C202434</t>
  </si>
  <si>
    <t>TREMPSTR</t>
  </si>
  <si>
    <t>Postural Tremor</t>
  </si>
  <si>
    <t>An evaluation of postural tremor (involuntary and rhythmic shaking of a body part that is held against gravity).</t>
  </si>
  <si>
    <t>Postural Tremor Evaluation</t>
  </si>
  <si>
    <t>C201461</t>
  </si>
  <si>
    <t>TREMREST</t>
  </si>
  <si>
    <t>Resting Tremor</t>
  </si>
  <si>
    <t>An evaluation of resting tremor (involuntary and rhythmic shaking of a body part that is relaxed and not held against gravity, and where the tremor amplitude decreases with voluntary movements).</t>
  </si>
  <si>
    <t>Resting Tremor Evaluation</t>
  </si>
  <si>
    <t>C126077</t>
  </si>
  <si>
    <t>TRGFUDUR</t>
  </si>
  <si>
    <t>Target Follow-Up Duration</t>
  </si>
  <si>
    <t>The anticipated time period over which each study participant is to be followed. (ClinicalTrials.gov)</t>
  </si>
  <si>
    <t>Planned Follow-Up Duration</t>
  </si>
  <si>
    <t>C127597</t>
  </si>
  <si>
    <t>TRGJARA</t>
  </si>
  <si>
    <t>Tricus Regur Jet Area R Atrial Area Rt</t>
  </si>
  <si>
    <t>Tricus Regur Jet Area R Atrial Area Rt; Tricuspid Regurgitant Jet Area to Right Atrial Area Ratio</t>
  </si>
  <si>
    <t>A relative measurement (ratio) of the tricuspid regurgitant jet area to the right atrial area.</t>
  </si>
  <si>
    <t>Tricuspid Regurgitant Jet Area to Right Atrial Area Ratio</t>
  </si>
  <si>
    <t>C202440</t>
  </si>
  <si>
    <t>TRGNRESP</t>
  </si>
  <si>
    <t>Target Nodal Response</t>
  </si>
  <si>
    <t>An assessment of the response of a target nodal lesion(s) to the therapy.</t>
  </si>
  <si>
    <t>C94534</t>
  </si>
  <si>
    <t>TRGRESP</t>
  </si>
  <si>
    <t>Target Response</t>
  </si>
  <si>
    <t>An assessment of the response of a target lesion(s) to the therapy.</t>
  </si>
  <si>
    <t>Response in Target Lesion</t>
  </si>
  <si>
    <t>C96636</t>
  </si>
  <si>
    <t>TRGTCE</t>
  </si>
  <si>
    <t>Target Cells</t>
  </si>
  <si>
    <t>Codocytes; Target Cells</t>
  </si>
  <si>
    <t>A measurement of the target cells in a biological specimen.</t>
  </si>
  <si>
    <t>Target Cell Count</t>
  </si>
  <si>
    <t>C74874</t>
  </si>
  <si>
    <t>TRH</t>
  </si>
  <si>
    <t>Thyrotropin Releasing Hormone</t>
  </si>
  <si>
    <t>Thyrotropin Releasing Factor; Thyrotropin Releasing Hormone</t>
  </si>
  <si>
    <t>A measurement of the thyrotropin releasing hormone in a biological specimen.</t>
  </si>
  <si>
    <t>Thyrotropin Releasing Hormone Measurement</t>
  </si>
  <si>
    <t>C205754</t>
  </si>
  <si>
    <t>TRIBAFIL</t>
  </si>
  <si>
    <t>Tribal Affiliation</t>
  </si>
  <si>
    <t>A tribe or band with which a person associates. (USCDI)</t>
  </si>
  <si>
    <t>C92238</t>
  </si>
  <si>
    <t>TRICH</t>
  </si>
  <si>
    <t>Trichomonas</t>
  </si>
  <si>
    <t>Examination of a biological specimen to detect the presence of any protozoan belonging to the Trichomonas genus.</t>
  </si>
  <si>
    <t>Trichomonas Screening</t>
  </si>
  <si>
    <t>C186189</t>
  </si>
  <si>
    <t>TRICHRNA</t>
  </si>
  <si>
    <t>Trichomonas RNA</t>
  </si>
  <si>
    <t>A measurement of the RNA from any member of the genus Trichomonas in a biological specimen.</t>
  </si>
  <si>
    <t>Trichomonas RNA Measurement</t>
  </si>
  <si>
    <t>C177982</t>
  </si>
  <si>
    <t>TRIFLPZN</t>
  </si>
  <si>
    <t>Trifluoperazine</t>
  </si>
  <si>
    <t>A measurement of the trifluoperazine in a biological specimen.</t>
  </si>
  <si>
    <t>Trifluoperazine Measurement</t>
  </si>
  <si>
    <t>C64812</t>
  </si>
  <si>
    <t>TRIG</t>
  </si>
  <si>
    <t>Triglycerides</t>
  </si>
  <si>
    <t>A measurement of the triglycerides in a biological specimen.</t>
  </si>
  <si>
    <t>Triglyceride Measurement</t>
  </si>
  <si>
    <t>C121183</t>
  </si>
  <si>
    <t>TRIGHDL</t>
  </si>
  <si>
    <t>Triglycerides/HDL Cholesterol</t>
  </si>
  <si>
    <t>A relative measurement (ratio or percentage) of the triglycerides to high density lipoprotein cholesterol in a biological specimen.</t>
  </si>
  <si>
    <t>Triglycerides to HDL Cholesterol Ratio Measurement</t>
  </si>
  <si>
    <t>C163491</t>
  </si>
  <si>
    <t>TRIM21</t>
  </si>
  <si>
    <t>Tripartite Motif Containing Protein 21</t>
  </si>
  <si>
    <t>E3 Ubiquitin-Protein Ligase TRIM21; Ro(SS-A); Sjogren Syndrome Type A Antigen; Tripartite Motif Containing Protein 21</t>
  </si>
  <si>
    <t>A measurement of the tripartite motif containing protein 21 in a biological specimen.</t>
  </si>
  <si>
    <t>Tripartite Motif Containing Protein 21 Measurement</t>
  </si>
  <si>
    <t>C187799</t>
  </si>
  <si>
    <t>TRIM33</t>
  </si>
  <si>
    <t>E3 Ubiquitin-Protein Ligase TRIM33</t>
  </si>
  <si>
    <t>E3 Ubiquitin-Protein Ligase TRIM33; Tripartite Motif Containing 33</t>
  </si>
  <si>
    <t>A measurement of the E3 ubiquitin-protein ligase TRIM33 in a biological specimen.</t>
  </si>
  <si>
    <t>E3 Ubiquitin-Protein Ligase TRIM33 Measurement</t>
  </si>
  <si>
    <t>C163492</t>
  </si>
  <si>
    <t>TRIM38</t>
  </si>
  <si>
    <t>Tripartite Motif Containing Protein 38</t>
  </si>
  <si>
    <t>A measurement of the tripartite motif containing protein 38 in a biological specimen.</t>
  </si>
  <si>
    <t>Tripartite Motif Containing Protein 38 Measurement</t>
  </si>
  <si>
    <t>C176361</t>
  </si>
  <si>
    <t>TRMPGCAT</t>
  </si>
  <si>
    <t>Term Pregnancy Category</t>
  </si>
  <si>
    <t>A classification of the gestation duration of the pregnancy at the time of delivery.</t>
  </si>
  <si>
    <t>C184605</t>
  </si>
  <si>
    <t>TRNBLN</t>
  </si>
  <si>
    <t>Trenbolone</t>
  </si>
  <si>
    <t>17beta-Trenbolone; Trenbolone; Trienbolone</t>
  </si>
  <si>
    <t>A measurement of the trenbolone in a biological specimen.</t>
  </si>
  <si>
    <t>Trenbolone Measurement</t>
  </si>
  <si>
    <t>C74749</t>
  </si>
  <si>
    <t>TROPONI</t>
  </si>
  <si>
    <t>Troponin I</t>
  </si>
  <si>
    <t>A measurement of the actin binding troponin in a biological specimen.</t>
  </si>
  <si>
    <t>Troponin I Measurement</t>
  </si>
  <si>
    <t>C135447</t>
  </si>
  <si>
    <t>TROPONI1</t>
  </si>
  <si>
    <t>Troponin I Type 1</t>
  </si>
  <si>
    <t>Slow-Twitch Skeletal Muscle Troponin I; ssTnI; Troponin I Type 1</t>
  </si>
  <si>
    <t>A measurement of the troponin I type 1 (slow twitch skeletal muscle) in a biological specimen.</t>
  </si>
  <si>
    <t>Troponin I Type 1 Measurement</t>
  </si>
  <si>
    <t>C127636</t>
  </si>
  <si>
    <t>TROPONI2</t>
  </si>
  <si>
    <t>Troponin I Type 2</t>
  </si>
  <si>
    <t>Fast-Twitch Skeletal Muscle Troponin I; fsTnI; Troponin I Type 2</t>
  </si>
  <si>
    <t>A measurement of the troponin I type 2 (fast twitch skeletal muscle) in a biological specimen.</t>
  </si>
  <si>
    <t>Troponin I Type 2 Measurement</t>
  </si>
  <si>
    <t>C135448</t>
  </si>
  <si>
    <t>TROPONI3</t>
  </si>
  <si>
    <t>Troponin I Type 3</t>
  </si>
  <si>
    <t>Cardiac Troponin I; cTnI; TNNC1; Troponin I Type 3</t>
  </si>
  <si>
    <t>A measurement of the troponin I type 3 (cardiac muscle) in a biological specimen.</t>
  </si>
  <si>
    <t>Troponin I Type 3 Measurement</t>
  </si>
  <si>
    <t>C111327</t>
  </si>
  <si>
    <t>TROPONIN</t>
  </si>
  <si>
    <t>Troponin</t>
  </si>
  <si>
    <t>A measurement of the total troponin in a biological specimen.</t>
  </si>
  <si>
    <t>Troponin Measurement</t>
  </si>
  <si>
    <t>C74750</t>
  </si>
  <si>
    <t>TROPONT</t>
  </si>
  <si>
    <t>Troponin T</t>
  </si>
  <si>
    <t>A measurement of the tropomyosin binding troponin in a biological specimen.</t>
  </si>
  <si>
    <t>Troponin T Measurement</t>
  </si>
  <si>
    <t>C122339</t>
  </si>
  <si>
    <t>TROUGHPR</t>
  </si>
  <si>
    <t>Trough Peak Ratio</t>
  </si>
  <si>
    <t>The concentration at the start of a dosing interval divided by the maximum concentration during the dosing interval.</t>
  </si>
  <si>
    <t>C154739</t>
  </si>
  <si>
    <t>TRP</t>
  </si>
  <si>
    <t>Tryptophan</t>
  </si>
  <si>
    <t>A measurement of the tryptophan in a biological specimen.</t>
  </si>
  <si>
    <t>Tryptophan Measurement</t>
  </si>
  <si>
    <t>C135449</t>
  </si>
  <si>
    <t>TRP1TRG1</t>
  </si>
  <si>
    <t>Trypsin 1 and Trypsinogen 1</t>
  </si>
  <si>
    <t>A measurement of the trypsin 1 and trypsinogen 1 in a biological specimen.</t>
  </si>
  <si>
    <t>Trypsin 1 and Trypsinogen 1 Measurement</t>
  </si>
  <si>
    <t>C163493</t>
  </si>
  <si>
    <t>TRPCRT</t>
  </si>
  <si>
    <t>Tryptophan/Creatinine</t>
  </si>
  <si>
    <t>A relative measurement (ratio or percentage) of the tryptophan to creatinine in a biological specimen.</t>
  </si>
  <si>
    <t>Tryptophan to Creatinine Ratio Measurement</t>
  </si>
  <si>
    <t>C135450</t>
  </si>
  <si>
    <t>TRPTRG</t>
  </si>
  <si>
    <t>Trypsin and Trypsinogen</t>
  </si>
  <si>
    <t>A measurement of the total trypsin and total trypsinogen in a biological specimen.</t>
  </si>
  <si>
    <t>Trypsin and Trypsinogen Measurement</t>
  </si>
  <si>
    <t>C98793</t>
  </si>
  <si>
    <t>TRSKNF</t>
  </si>
  <si>
    <t>Triceps Skinfold Thickness</t>
  </si>
  <si>
    <t>A measurement of the thickness of a pinch of skin on the triceps. (NCI)</t>
  </si>
  <si>
    <t>C41161</t>
  </si>
  <si>
    <t>TRT</t>
  </si>
  <si>
    <t>Investigational Therapy or Treatment</t>
  </si>
  <si>
    <t>Investigational Interventional; Investigational Therapy or Treatment</t>
  </si>
  <si>
    <t>The drug, device, therapy, procedure, or process under investigation in a clinical study that is believed to have an effect on outcomes of interest in a study (e.g., health-related quality of life, efficacy, safety, pharmacoeconomics). [After https://gran</t>
  </si>
  <si>
    <t>Protocol Agent</t>
  </si>
  <si>
    <t>C163494</t>
  </si>
  <si>
    <t>TRYPSIN</t>
  </si>
  <si>
    <t>Trypsin</t>
  </si>
  <si>
    <t>A measurement of the trypsin in a biological specimen.</t>
  </si>
  <si>
    <t>Trypsin Measurement</t>
  </si>
  <si>
    <t>C92292</t>
  </si>
  <si>
    <t>TRYPTASE</t>
  </si>
  <si>
    <t>Tryptase</t>
  </si>
  <si>
    <t>A measurement of the tryptase in a biological specimen.</t>
  </si>
  <si>
    <t>Tryptase Measurement</t>
  </si>
  <si>
    <t>C187828</t>
  </si>
  <si>
    <t>TRZDN</t>
  </si>
  <si>
    <t>Trazodone</t>
  </si>
  <si>
    <t>A measurement of the trazodone in a biological specimen.</t>
  </si>
  <si>
    <t>Trazodone Measurement</t>
  </si>
  <si>
    <t>C181451</t>
  </si>
  <si>
    <t>TRZLM</t>
  </si>
  <si>
    <t>Triazolam</t>
  </si>
  <si>
    <t>A measurement of the triazolam in a biological specimen.</t>
  </si>
  <si>
    <t>Triazolam Measurement</t>
  </si>
  <si>
    <t>C204687</t>
  </si>
  <si>
    <t>TSCDIND</t>
  </si>
  <si>
    <t>Testicular Disease Indicator</t>
  </si>
  <si>
    <t>An indication as to whether testicular disease is present.</t>
  </si>
  <si>
    <t>C64813</t>
  </si>
  <si>
    <t>TSH</t>
  </si>
  <si>
    <t>Thyrotropin</t>
  </si>
  <si>
    <t>Thyroid Stimulating Hormone; Thyrotropin</t>
  </si>
  <si>
    <t>A measurement of the thyrotropin in a biological specimen.</t>
  </si>
  <si>
    <t>Thyrotropin Measurement</t>
  </si>
  <si>
    <t>C181446</t>
  </si>
  <si>
    <t>TSHT4FR</t>
  </si>
  <si>
    <t>Thyrotropin/Thyroxine, Free</t>
  </si>
  <si>
    <t>Thyroid Stimulating Hormone/Free T4; Thyrotropin/Thyroxine, Free</t>
  </si>
  <si>
    <t>A relative measurement (ratio) of the thyrotropin to free thyroxine in a biological specimen.</t>
  </si>
  <si>
    <t>Thyrotropin to Free Thyroxine Ratio Measurement</t>
  </si>
  <si>
    <t>C201422</t>
  </si>
  <si>
    <t>TSI</t>
  </si>
  <si>
    <t>Autoantibody, TSI</t>
  </si>
  <si>
    <t>Autoantibody, Thyroid Stimulating Immunoglobulin; Autoantibody, TSI</t>
  </si>
  <si>
    <t>A measurement of the thyroid stimulating immunoglobulin autoantibody in a biological specimen.</t>
  </si>
  <si>
    <t>Thyroid Stimulating Immunoglobulin Autoantibody Measurement</t>
  </si>
  <si>
    <t>C161368</t>
  </si>
  <si>
    <t>TSIAC</t>
  </si>
  <si>
    <t>TSI Actual/Control</t>
  </si>
  <si>
    <t>Thyroid Stimulating Immunoglobulin Actual/Control; Thyroid Stimulating Immunoglobulin Actual/Normal; TSI Actual/Control</t>
  </si>
  <si>
    <t>A relative measurement (ratio or percentage) of the thyroid stimulating immunoglobulin in a subject's specimen when compared to a control specimen.</t>
  </si>
  <si>
    <t>Thyroid Stimulating Immunoglobulin Actual to Control Ratio Measurement</t>
  </si>
  <si>
    <t>C184511</t>
  </si>
  <si>
    <t>TSLP</t>
  </si>
  <si>
    <t>Thymic Stromal Lymphopoietin</t>
  </si>
  <si>
    <t>A measurement of the thymic stromal lymphopoietin in a biological specimen.</t>
  </si>
  <si>
    <t>Thymic Stromal Lymphopoietin Measurement</t>
  </si>
  <si>
    <t>C163495</t>
  </si>
  <si>
    <t>TSP1</t>
  </si>
  <si>
    <t>Thrombospondin 1</t>
  </si>
  <si>
    <t>THBS1; Thrombospondin 1</t>
  </si>
  <si>
    <t>A measurement of the thrombospondin 1 in a biological specimen.</t>
  </si>
  <si>
    <t>Thrombospondin 1 Measurement</t>
  </si>
  <si>
    <t>C209622</t>
  </si>
  <si>
    <t>TSPAN29</t>
  </si>
  <si>
    <t>Tetraspanin-29</t>
  </si>
  <si>
    <t>BA2; CD9; CD9 Antigen; CD9 Molecule; MIC3; MRP-1; P24; Soluble CD9; Tetraspanin-29; TSPAN-29</t>
  </si>
  <si>
    <t>A measurement of the tetraspanin-29 in a biological specimen.</t>
  </si>
  <si>
    <t>Tetraspanin-29 Measurement</t>
  </si>
  <si>
    <t>C156552</t>
  </si>
  <si>
    <t>TST</t>
  </si>
  <si>
    <t>Total Sleep Time</t>
  </si>
  <si>
    <t>The total amount of sleep time from sleep onset to sleep offset, determined by summing the N1 sleep, N2 sleep, N3 sleep, and REM sleep durations.</t>
  </si>
  <si>
    <t>C209623</t>
  </si>
  <si>
    <t>TST11KT</t>
  </si>
  <si>
    <t>11-Ketotestosterone</t>
  </si>
  <si>
    <t>A measurement of the 11-ketotestosterone in a biological specimen.</t>
  </si>
  <si>
    <t>11-Ketotestosterone Measurement</t>
  </si>
  <si>
    <t>C181429</t>
  </si>
  <si>
    <t>TST4OH</t>
  </si>
  <si>
    <t>4-Hydroxytestosterone</t>
  </si>
  <si>
    <t>A measurement of the 4-hydroxytestosterone in a biological specimen.</t>
  </si>
  <si>
    <t>4-Hydroxytestosterone Measurement</t>
  </si>
  <si>
    <t>C147439</t>
  </si>
  <si>
    <t>TSTFTSTT</t>
  </si>
  <si>
    <t>Testosterone, Free/Testosterone</t>
  </si>
  <si>
    <t>A relative measurement (ratio or percentage) of the amount of the bioavailable testosterone compared to total testosterone in a biological specimen.</t>
  </si>
  <si>
    <t>Free Testosterone to Testosterone Ratio Measurement</t>
  </si>
  <si>
    <t>C147440</t>
  </si>
  <si>
    <t>TSTFWTST</t>
  </si>
  <si>
    <t>Testosterone Free+Weakly Bound/Testost</t>
  </si>
  <si>
    <t>Testosterone Free+Weakly Bound/Testost; Testosterone, Free and Weakly Bound/Testosterone</t>
  </si>
  <si>
    <t>A relative measurement (ratio or percentage) of the free and weakly bound testosterone to total testosterone in a biological specimen.</t>
  </si>
  <si>
    <t>Free Testosterone and Weakly Bound to Total Testosterone Ratio Measurement</t>
  </si>
  <si>
    <t>C184601</t>
  </si>
  <si>
    <t>TSTLCTN</t>
  </si>
  <si>
    <t>Testolactone</t>
  </si>
  <si>
    <t>A measurement of the testolactone in a biological specimen.</t>
  </si>
  <si>
    <t>Testolactone Measurement</t>
  </si>
  <si>
    <t>C128980</t>
  </si>
  <si>
    <t>TSTSFRPT</t>
  </si>
  <si>
    <t>Testosterone, Free/Total Protein</t>
  </si>
  <si>
    <t>A relative measurement (ratio or percentage) of free testosterone to total proteins in a biological specimen.</t>
  </si>
  <si>
    <t>Free Testosterone to Total Protein Ratio Measurement</t>
  </si>
  <si>
    <t>C139260</t>
  </si>
  <si>
    <t>TSUELAS</t>
  </si>
  <si>
    <t>Tissue Elastance</t>
  </si>
  <si>
    <t>A measurement of the reflection of energy conservation within a given tissue.</t>
  </si>
  <si>
    <t>C139261</t>
  </si>
  <si>
    <t>TSUHYS</t>
  </si>
  <si>
    <t>Tissue Hysteresivity</t>
  </si>
  <si>
    <t>The energy dissipated relative to the elastic energy stored in the tissue in a P-V cycle. (Fredberg JJ, Stamenovic D. On the imperfect elasticity of lung tissue. J Appl Physiol (1985). 1989 Dec;67(6):2408-19).</t>
  </si>
  <si>
    <t>Tissue Hysteresivity Measurement</t>
  </si>
  <si>
    <t>C181525</t>
  </si>
  <si>
    <t>TSXPARTN</t>
  </si>
  <si>
    <t>Total Number of Sexual Partners</t>
  </si>
  <si>
    <t>The total number of individuals with whom one has engaged in sexual activity within a specified time interval.</t>
  </si>
  <si>
    <t>C80365</t>
  </si>
  <si>
    <t>TT</t>
  </si>
  <si>
    <t>Thrombin Time</t>
  </si>
  <si>
    <t>A measurement of the time it takes a plasma sample to clot after adding the active enzyme thrombin. (NCI)</t>
  </si>
  <si>
    <t>C161370</t>
  </si>
  <si>
    <t>TTAC</t>
  </si>
  <si>
    <t>Thrombin Time Actual/Control</t>
  </si>
  <si>
    <t>A relative measurement (ratio or percentage) of the thrombin time in a subject's specimen when compared to a control specimen.</t>
  </si>
  <si>
    <t>Thrombin Time Actual to Control Ratio Measurement</t>
  </si>
  <si>
    <t>C49660</t>
  </si>
  <si>
    <t>TTYPE</t>
  </si>
  <si>
    <t>Trial Type</t>
  </si>
  <si>
    <t>Trial Scope; Trial Type</t>
  </si>
  <si>
    <t>The nature of the interventional study for which information is being collected.</t>
  </si>
  <si>
    <t>C135474</t>
  </si>
  <si>
    <t>TUBATRO</t>
  </si>
  <si>
    <t>Tubular Atrophy</t>
  </si>
  <si>
    <t>An evaluation of tubular atrophy in a biological specimen.</t>
  </si>
  <si>
    <t>Tubular Atrophy Assessment</t>
  </si>
  <si>
    <t>C186217</t>
  </si>
  <si>
    <t>TUBNIND</t>
  </si>
  <si>
    <t>Bone Tumors Indicator</t>
  </si>
  <si>
    <t>An indication as to whether bone tumors are present.</t>
  </si>
  <si>
    <t>C135475</t>
  </si>
  <si>
    <t>TUBULTIS</t>
  </si>
  <si>
    <t>Tubulitis</t>
  </si>
  <si>
    <t>An evaluation of tubulitis in a biological specimen.</t>
  </si>
  <si>
    <t>Tubulitis Assessment</t>
  </si>
  <si>
    <t>C176303</t>
  </si>
  <si>
    <t>TUDCA</t>
  </si>
  <si>
    <t>Tauroursodeoxycholate</t>
  </si>
  <si>
    <t>Tauroursodeoxycholate; Tauroursodeoxycholic Acid</t>
  </si>
  <si>
    <t>A measurement of the tauroursodeoxycholate in a biological specimen.</t>
  </si>
  <si>
    <t>Tauroursodeoxycholate Measurement</t>
  </si>
  <si>
    <t>C186218</t>
  </si>
  <si>
    <t>TUEXMIND</t>
  </si>
  <si>
    <t>Extramedullary Disease Indicator</t>
  </si>
  <si>
    <t>An indication as to whether extramedullary disease is present.</t>
  </si>
  <si>
    <t>C94525</t>
  </si>
  <si>
    <t>TUMERGE</t>
  </si>
  <si>
    <t>Tumor Merged</t>
  </si>
  <si>
    <t>An indication that multiple tumors have coalesced into one tumor.</t>
  </si>
  <si>
    <t>Matted Tumor Mass Present</t>
  </si>
  <si>
    <t>C94523</t>
  </si>
  <si>
    <t>TUMIDENT</t>
  </si>
  <si>
    <t>Tumor Identification</t>
  </si>
  <si>
    <t>A classification of malignant disease manifestation as part of the response assessment.</t>
  </si>
  <si>
    <t>C178046</t>
  </si>
  <si>
    <t>TUMRGR</t>
  </si>
  <si>
    <t>Tumor Regression</t>
  </si>
  <si>
    <t>An evaluation of tumor regression in a biological specimen.</t>
  </si>
  <si>
    <t>Tumor Regression Assessment</t>
  </si>
  <si>
    <t>C96643</t>
  </si>
  <si>
    <t>TUMSTATE</t>
  </si>
  <si>
    <t>Tumor State</t>
  </si>
  <si>
    <t>A condition or state of a tumor at a particular time.</t>
  </si>
  <si>
    <t>Tumor Status</t>
  </si>
  <si>
    <t>C221573</t>
  </si>
  <si>
    <t>TUMSTATN</t>
  </si>
  <si>
    <t>Tumstatin</t>
  </si>
  <si>
    <t>TUM; Tumstatin</t>
  </si>
  <si>
    <t>A measurement of the tumstatin in a biological specimen.</t>
  </si>
  <si>
    <t>Tumstatin Measurement</t>
  </si>
  <si>
    <t>C74723</t>
  </si>
  <si>
    <t>TURB</t>
  </si>
  <si>
    <t>Turbidity</t>
  </si>
  <si>
    <t>A measurement of the opacity of a biological specimen.</t>
  </si>
  <si>
    <t>Turbidity Measurement</t>
  </si>
  <si>
    <t>C96642</t>
  </si>
  <si>
    <t>TUSPLIT</t>
  </si>
  <si>
    <t>Tumor Split</t>
  </si>
  <si>
    <t>An indication that a single tumor has divided into two or more tumors.</t>
  </si>
  <si>
    <t>Tumor Fragmentation</t>
  </si>
  <si>
    <t>C111324</t>
  </si>
  <si>
    <t>TV</t>
  </si>
  <si>
    <t>Tidal Volume</t>
  </si>
  <si>
    <t>The volume of air moved into and out of the lungs during breathing at rest.</t>
  </si>
  <si>
    <t>C161403</t>
  </si>
  <si>
    <t>TVA</t>
  </si>
  <si>
    <t>Trichomonas vaginalis</t>
  </si>
  <si>
    <t>A measurement of the Trichomonas vaginalis in a biological specimen.</t>
  </si>
  <si>
    <t>Trichomonas vaginalis Measurement</t>
  </si>
  <si>
    <t>C186190</t>
  </si>
  <si>
    <t>TVADNA</t>
  </si>
  <si>
    <t>Trichomonas vaginalis DNA</t>
  </si>
  <si>
    <t>A measurement of the Trichomonas vaginalis DNA in a biological specimen.</t>
  </si>
  <si>
    <t>Trichomonas vaginalis DNA Measurement</t>
  </si>
  <si>
    <t>C112387</t>
  </si>
  <si>
    <t>TVPP</t>
  </si>
  <si>
    <t>Percent Predicted Tidal Volume</t>
  </si>
  <si>
    <t>The volume of air moved into and out of the lungs during breathing at rest as a proportion of the predicted normal value.</t>
  </si>
  <si>
    <t>C127598</t>
  </si>
  <si>
    <t>TVRGF</t>
  </si>
  <si>
    <t>Tricuspid Valve Regurgitant Fraction</t>
  </si>
  <si>
    <t>A measurement of the volume of retrograde blood flow across the orifice of the tricuspid valve expressed as a percentage of the anterograde flow volume.</t>
  </si>
  <si>
    <t>C127599</t>
  </si>
  <si>
    <t>TVRGJA</t>
  </si>
  <si>
    <t>Tricuspid Valve Regurgitant Jet Area</t>
  </si>
  <si>
    <t>The measured area of the regurgitant jet of blood into the right atrium.</t>
  </si>
  <si>
    <t>C127600</t>
  </si>
  <si>
    <t>TVRGVOL</t>
  </si>
  <si>
    <t>Tricuspid Valve Regurgitant Volume</t>
  </si>
  <si>
    <t>A measurement of the volume of retrograde blood flow across the orifice of the tricuspid valve.</t>
  </si>
  <si>
    <t>C127601</t>
  </si>
  <si>
    <t>TVVCA</t>
  </si>
  <si>
    <t>Tricuspid Valve Vena Contracta Area</t>
  </si>
  <si>
    <t>The area of the vena contracta of the tricuspid valve.</t>
  </si>
  <si>
    <t>C127602</t>
  </si>
  <si>
    <t>TVVCW</t>
  </si>
  <si>
    <t>Tricuspid Valve Vena Contracta Width</t>
  </si>
  <si>
    <t>The width of the vena contracta of the tricuspid valve.</t>
  </si>
  <si>
    <t>C117810</t>
  </si>
  <si>
    <t>TWARAG</t>
  </si>
  <si>
    <t>T Wave Area, Aggregate</t>
  </si>
  <si>
    <t>An aggregate T wave area value based on the measurement of T wave areas from multiple beats within a single ECG. The method of aggregation, which can vary, is typically a measure of central tendency such as the mean.</t>
  </si>
  <si>
    <t>T Wave Area Aggregate</t>
  </si>
  <si>
    <t>C117811</t>
  </si>
  <si>
    <t>TWARSB</t>
  </si>
  <si>
    <t>T Wave Area, Single Beat</t>
  </si>
  <si>
    <t>An electrocardiographic measurement of the area of the T wave of a single beat utilizing one or more leads.</t>
  </si>
  <si>
    <t>T Wave Area Single Beat</t>
  </si>
  <si>
    <t>C117812</t>
  </si>
  <si>
    <t>TWDURAG</t>
  </si>
  <si>
    <t>T Wave Duration, Aggregate</t>
  </si>
  <si>
    <t>An aggregate T wave duration value based on the measurement of T wave duration intervals from multiple beats within a single ECG. The method of aggregation, which can vary, is typically a measure of central tendency such as the mean.</t>
  </si>
  <si>
    <t>T Wave Duration Aggregate</t>
  </si>
  <si>
    <t>C117813</t>
  </si>
  <si>
    <t>TWDURSB</t>
  </si>
  <si>
    <t>T Wave Duration, Single Beat</t>
  </si>
  <si>
    <t>An electrocardiographic interval measured from the onset of the T wave to the offset of the T wave of a single beat utilizing one or more leads.</t>
  </si>
  <si>
    <t>T Wave Duration Single Beat</t>
  </si>
  <si>
    <t>C117814</t>
  </si>
  <si>
    <t>TWHAG</t>
  </si>
  <si>
    <t>T Wave Amplitude, Aggregate</t>
  </si>
  <si>
    <t>An aggregate T wave amplitude value based on the measurement of T wave amplitudes from multiple beats within a single ECG. The method of aggregation, which can vary, is typically a measure of central tendency such as the mean.</t>
  </si>
  <si>
    <t>T Wave Amplitude Aggregate</t>
  </si>
  <si>
    <t>C117815</t>
  </si>
  <si>
    <t>TWHSB</t>
  </si>
  <si>
    <t>T Wave Amplitude, Single Beat</t>
  </si>
  <si>
    <t>An electrocardiographic measurement of the mean amplitude (usually measured in mV) of the T wave measured from the isoelectric baseline to the peak of the T wave of a single beat utilizing one or more leads. Based on the recording gain, this measurement m</t>
  </si>
  <si>
    <t>T Wave Amplitude Single Beat</t>
  </si>
  <si>
    <t>C112424</t>
  </si>
  <si>
    <t>TWINTYP</t>
  </si>
  <si>
    <t>Twin Type</t>
  </si>
  <si>
    <t>The classification of the two offspring born from the same pregnancy.</t>
  </si>
  <si>
    <t>C103445</t>
  </si>
  <si>
    <t>TXB2</t>
  </si>
  <si>
    <t>Thromboxane B2</t>
  </si>
  <si>
    <t>A measurement of the thromboxane B2 in a biological specimen.</t>
  </si>
  <si>
    <t>Thromboxane B2 Measurement</t>
  </si>
  <si>
    <t>C103344</t>
  </si>
  <si>
    <t>TXB2_D11</t>
  </si>
  <si>
    <t>11-Dehydro-Thromboxane B2</t>
  </si>
  <si>
    <t>A measurement of the 11-dehydro-thromboxane B2 in a biological specimen.</t>
  </si>
  <si>
    <t>11-Dehydro-Thromboxane B2 Measurement</t>
  </si>
  <si>
    <t>C163497</t>
  </si>
  <si>
    <t>TXB2D11R</t>
  </si>
  <si>
    <t>11-Dehydro-Thromboxane B2 Excretion Rate</t>
  </si>
  <si>
    <t>A measurement of the amount of 11-dehydro-thromboxane B2 being excreted in a biological specimen over a defined amount of time (e.g. one hour).</t>
  </si>
  <si>
    <t>C102723</t>
  </si>
  <si>
    <t>TYPCON</t>
  </si>
  <si>
    <t>Type of Contact</t>
  </si>
  <si>
    <t>Identification and clinical investigation of disease contacts.</t>
  </si>
  <si>
    <t>Type of Contagion Contact</t>
  </si>
  <si>
    <t>C122159</t>
  </si>
  <si>
    <t>TYR</t>
  </si>
  <si>
    <t>Tyrosine</t>
  </si>
  <si>
    <t>A measurement of the tyrosine in a biological specimen.</t>
  </si>
  <si>
    <t>Tyrosine Measurement</t>
  </si>
  <si>
    <t>C184564</t>
  </si>
  <si>
    <t>U47700</t>
  </si>
  <si>
    <t>U-47700</t>
  </si>
  <si>
    <t>Pink; Pinky; U-47700; U4; U47700</t>
  </si>
  <si>
    <t>A measurement of the synthetic cannabinoid U-47700 in a biological specimen.</t>
  </si>
  <si>
    <t>U-47700 Measurement</t>
  </si>
  <si>
    <t>C147443</t>
  </si>
  <si>
    <t>UBQN</t>
  </si>
  <si>
    <t>Ubiquitin Protein</t>
  </si>
  <si>
    <t>A measurement of the total ubiquitin protein in a biological specimen.</t>
  </si>
  <si>
    <t>Ubiquitin Protein Measurement</t>
  </si>
  <si>
    <t>C189529</t>
  </si>
  <si>
    <t>UCHL1</t>
  </si>
  <si>
    <t>Ubiquitin C-Terminal Hydrolase L1</t>
  </si>
  <si>
    <t>Ubiquitin C-Terminal Hydrolase L1; Ubiquitin Carboxy-Terminal Hydrolase L1; UCH-L1</t>
  </si>
  <si>
    <t>A measurement of the ubiquitin C-terminal hydrolase L1 in a biological specimen.</t>
  </si>
  <si>
    <t>Ubiquitin C-Terminal Hydrolase L1 Measurement</t>
  </si>
  <si>
    <t>C176298</t>
  </si>
  <si>
    <t>UDCA</t>
  </si>
  <si>
    <t>Ursodeoxycholate</t>
  </si>
  <si>
    <t>Ursodeoxycholate; Ursodeoxycholic Acid; Ursodiol</t>
  </si>
  <si>
    <t>A measurement of the ursodeoxycholate in a biological specimen.</t>
  </si>
  <si>
    <t>Ursodeoxycholate Measurement</t>
  </si>
  <si>
    <t>C176238</t>
  </si>
  <si>
    <t>UDCACM</t>
  </si>
  <si>
    <t>Ursodeoxycholate Compounds</t>
  </si>
  <si>
    <t>Ursodeoxycholate Compounds; Ursodeoxycholic Acid Compounds</t>
  </si>
  <si>
    <t>A measurement of the ursodeoxycholic acid, glycoursodeoxycholic acid, tauroursodeoxycholic acid, and epimerized ursodeoxycholic acid in a biological specimen.</t>
  </si>
  <si>
    <t>Ursodeoxycholate Compounds Measurement</t>
  </si>
  <si>
    <t>C209694</t>
  </si>
  <si>
    <t>UHOUSIND</t>
  </si>
  <si>
    <t>Unhoused Indicator</t>
  </si>
  <si>
    <t>Homeless Indicator; Unhoused Indicator</t>
  </si>
  <si>
    <t>An indication as to whether the subject is unhoused.</t>
  </si>
  <si>
    <t>C176333</t>
  </si>
  <si>
    <t>ULCER</t>
  </si>
  <si>
    <t>Ulceration</t>
  </si>
  <si>
    <t>An evaluation of ulceration in a biological specimen.</t>
  </si>
  <si>
    <t>Ulceration Assessment</t>
  </si>
  <si>
    <t>C154881</t>
  </si>
  <si>
    <t>ULCERIND</t>
  </si>
  <si>
    <t>Ulcer Indicator</t>
  </si>
  <si>
    <t>An indication as to whether an ulcer is present.</t>
  </si>
  <si>
    <t>C174376</t>
  </si>
  <si>
    <t>ULNARL</t>
  </si>
  <si>
    <t>Ulnar Length</t>
  </si>
  <si>
    <t>A measurement of the length of the ulna.</t>
  </si>
  <si>
    <t>C199895</t>
  </si>
  <si>
    <t>UMOD</t>
  </si>
  <si>
    <t>Uromodulin</t>
  </si>
  <si>
    <t>Tamm-Horsfall Urinary Glycoprotein; THP; UROM; Uromodulin</t>
  </si>
  <si>
    <t>A measurement of the uromodulin in a biological specimen.</t>
  </si>
  <si>
    <t>Uromodulin Measurement</t>
  </si>
  <si>
    <t>C112241</t>
  </si>
  <si>
    <t>UNSPCE</t>
  </si>
  <si>
    <t>Unspecified Cells</t>
  </si>
  <si>
    <t>A measurement of the cells not otherwise identified or specified in a biological specimen.</t>
  </si>
  <si>
    <t>Count of Unspecified Cells</t>
  </si>
  <si>
    <t>C114225</t>
  </si>
  <si>
    <t>UNSPCECE</t>
  </si>
  <si>
    <t>Unspecified Cells/Total Cells</t>
  </si>
  <si>
    <t>A relative measurement (ratio or percentage) of the cells not otherwise identified or specified to total cells in a biological specimen.</t>
  </si>
  <si>
    <t>Unspecified Cells to Total Cell Ratio Measurement</t>
  </si>
  <si>
    <t>C161364</t>
  </si>
  <si>
    <t>UNSPCELE</t>
  </si>
  <si>
    <t>Unspecified Cells/Leukocytes</t>
  </si>
  <si>
    <t>A relative measurement (ratio or percentage) of the cells not otherwise identified or specified to leukocytes in a biological specimen.</t>
  </si>
  <si>
    <t>Unspecified Cells to Leukocytes Ratio Measurement</t>
  </si>
  <si>
    <t>C198342</t>
  </si>
  <si>
    <t>UPA</t>
  </si>
  <si>
    <t>Ureaplasma parvum</t>
  </si>
  <si>
    <t>A measurement of the Ureaplasma parvum in a biological specimen.</t>
  </si>
  <si>
    <t>Ureaplasma parvum Measurement</t>
  </si>
  <si>
    <t>C181447</t>
  </si>
  <si>
    <t>Urokinase Plasminogen Activator</t>
  </si>
  <si>
    <t>uPA; Urokinase Plasminogen Activator</t>
  </si>
  <si>
    <t>A measurement of the urokinase plasminogen activator in a biological specimen.</t>
  </si>
  <si>
    <t>Urokinase Plasminogen Activator Measurement</t>
  </si>
  <si>
    <t>C198343</t>
  </si>
  <si>
    <t>UPADNA</t>
  </si>
  <si>
    <t>Ureaplasma parvum DNA</t>
  </si>
  <si>
    <t>A measurement of the Ureaplasma parvum DNA in a biological specimen.</t>
  </si>
  <si>
    <t>Ureaplasma parvum DNA Measurement</t>
  </si>
  <si>
    <t>C184565</t>
  </si>
  <si>
    <t>UR144</t>
  </si>
  <si>
    <t>UR-144</t>
  </si>
  <si>
    <t>UR-144; UR144</t>
  </si>
  <si>
    <t>A measurement of the synthetic cannabinoid UR-144 in a biological specimen.</t>
  </si>
  <si>
    <t>UR-144 Measurement</t>
  </si>
  <si>
    <t>C64814</t>
  </si>
  <si>
    <t>URATE</t>
  </si>
  <si>
    <t>Urate</t>
  </si>
  <si>
    <t>Urate; Uric Acid</t>
  </si>
  <si>
    <t>A measurement of the urate in a biological specimen.</t>
  </si>
  <si>
    <t>Urate Measurement</t>
  </si>
  <si>
    <t>C117866</t>
  </si>
  <si>
    <t>URATECRT</t>
  </si>
  <si>
    <t>Urate/Creatinine</t>
  </si>
  <si>
    <t>A relative measurement (ratio or percentage) of the urate to creatinine in a biological specimen.</t>
  </si>
  <si>
    <t>Urate to Creatinine Ratio Measurement</t>
  </si>
  <si>
    <t>C163498</t>
  </si>
  <si>
    <t>URATEEXR</t>
  </si>
  <si>
    <t>Urate Excretion Rate</t>
  </si>
  <si>
    <t>A measurement of the amount of urate being excreted in a biological specimen over a defined amount of time (e.g. one hour).</t>
  </si>
  <si>
    <t>C64815</t>
  </si>
  <si>
    <t>UREA</t>
  </si>
  <si>
    <t>Urea</t>
  </si>
  <si>
    <t>A measurement of the urea in a biological specimen.</t>
  </si>
  <si>
    <t>Urea Measurement</t>
  </si>
  <si>
    <t>C96645</t>
  </si>
  <si>
    <t>UREACRT</t>
  </si>
  <si>
    <t>Urea/Creatinine</t>
  </si>
  <si>
    <t>A relative measurement (ratio or percentage) of the urea to creatinine in a biological specimen.</t>
  </si>
  <si>
    <t>Urea to Creatinine Ratio Measurement</t>
  </si>
  <si>
    <t>C202380</t>
  </si>
  <si>
    <t>UREAEXR</t>
  </si>
  <si>
    <t>Urea Excretion Rate</t>
  </si>
  <si>
    <t>A measurement of the amount of urea excreted in a biological specimen over a defined period of time (e.g. one hour).</t>
  </si>
  <si>
    <t>C191294</t>
  </si>
  <si>
    <t>UREAKTV</t>
  </si>
  <si>
    <t>Urea Distribution Volume Ratio</t>
  </si>
  <si>
    <t>Urea Distribution Volume Ratio; Urea Kt/V</t>
  </si>
  <si>
    <t>A calculated measurement of the urea distribution volume (ratio) in a biological specimen used to quantify adequacy of dialysis treatment.</t>
  </si>
  <si>
    <t>C125949</t>
  </si>
  <si>
    <t>UREAN</t>
  </si>
  <si>
    <t>Urea Nitrogen</t>
  </si>
  <si>
    <t>A measurement of the urea nitrogen in a biological specimen.</t>
  </si>
  <si>
    <t>Urea Nitrogen Measurement</t>
  </si>
  <si>
    <t>C125950</t>
  </si>
  <si>
    <t>UREANCRT</t>
  </si>
  <si>
    <t>Urea Nitrogen/Creatinine</t>
  </si>
  <si>
    <t>A relative measurement (ratio or percentage) of the urea nitrogen to creatinine in a biological specimen.</t>
  </si>
  <si>
    <t>Urea Nitrogen to Creatinine Ratio Measurement</t>
  </si>
  <si>
    <t>C163499</t>
  </si>
  <si>
    <t>UREANEXR</t>
  </si>
  <si>
    <t>Urea Nitrogen Excretion Rate</t>
  </si>
  <si>
    <t>A measurement of the amount of urea nitrogen being excreted in a biological specimen over a defined amount of time (e.g. one hour).</t>
  </si>
  <si>
    <t>C154825</t>
  </si>
  <si>
    <t>UREASE</t>
  </si>
  <si>
    <t>Urease</t>
  </si>
  <si>
    <t>A measurement of the microbial urease enzyme in a biological specimen.</t>
  </si>
  <si>
    <t>Urease Measurement</t>
  </si>
  <si>
    <t>C198401</t>
  </si>
  <si>
    <t>UREXAM</t>
  </si>
  <si>
    <t>Urinary System Examination</t>
  </si>
  <si>
    <t>An observation, assessment or examination of the urinary system.</t>
  </si>
  <si>
    <t>C221690</t>
  </si>
  <si>
    <t>URFLRT</t>
  </si>
  <si>
    <t>Urine Flow Rate</t>
  </si>
  <si>
    <t>Urinary Flow Rate; Urine Flow Rate</t>
  </si>
  <si>
    <t>The volume of urine voided per unit of time.</t>
  </si>
  <si>
    <t>C221691</t>
  </si>
  <si>
    <t>URFLTM</t>
  </si>
  <si>
    <t>Urine Flow Time</t>
  </si>
  <si>
    <t>Urinary Flow Time; Urine Flow Time</t>
  </si>
  <si>
    <t>The amount of time over which a urinary voiding event occurs.</t>
  </si>
  <si>
    <t>C127801</t>
  </si>
  <si>
    <t>URLSTDY</t>
  </si>
  <si>
    <t>URL Related to Study</t>
  </si>
  <si>
    <t>The uniform resource locator (URL) related to a particular study.</t>
  </si>
  <si>
    <t>Study Protocol Uniform Resource Locator</t>
  </si>
  <si>
    <t>C127802</t>
  </si>
  <si>
    <t>URLSTDYD</t>
  </si>
  <si>
    <t>URL Related to Study Description</t>
  </si>
  <si>
    <t>A textual description of the uniform resource locator (URL) related to a particular study.</t>
  </si>
  <si>
    <t>Study Protocol Uniform Resource Locator Description</t>
  </si>
  <si>
    <t>C209624</t>
  </si>
  <si>
    <t>URNPINTP</t>
  </si>
  <si>
    <t>Urinalysis Panel Interpretation</t>
  </si>
  <si>
    <t>Urinalysis Panel Interpretation; Urine Panel Analysis; Urine Panel Examination; Urine Panel Interpretation</t>
  </si>
  <si>
    <t>An interpretation of the results of a panel of urinalysis tests.</t>
  </si>
  <si>
    <t>C64816</t>
  </si>
  <si>
    <t>UROBIL</t>
  </si>
  <si>
    <t>Urobilinogen</t>
  </si>
  <si>
    <t>A measurement of the urobilinogen in a biological specimen.</t>
  </si>
  <si>
    <t>Urobilinogen Measurement</t>
  </si>
  <si>
    <t>C163500</t>
  </si>
  <si>
    <t>UROTHCE</t>
  </si>
  <si>
    <t>Urothelial Cells</t>
  </si>
  <si>
    <t>A measurement of urothelial cells in a biological specimen.</t>
  </si>
  <si>
    <t>Urothelial Cell Count</t>
  </si>
  <si>
    <t>C191296</t>
  </si>
  <si>
    <t>URR</t>
  </si>
  <si>
    <t>Urea Reduction Ratio</t>
  </si>
  <si>
    <t>A calculated measurement (ratio or percentage) of the proportionate reduction in urea nitrogen over the course of dialysis in a biological specimen.</t>
  </si>
  <si>
    <t>C189537</t>
  </si>
  <si>
    <t>UUR</t>
  </si>
  <si>
    <t>Ureaplasma urealyticum</t>
  </si>
  <si>
    <t>A measurement of the Ureaplasma urealyticum in a biological specimen.</t>
  </si>
  <si>
    <t>Ureaplasma urealyticum Measurement</t>
  </si>
  <si>
    <t>C198344</t>
  </si>
  <si>
    <t>UURDNA</t>
  </si>
  <si>
    <t>Ureaplasma urealyticum DNA</t>
  </si>
  <si>
    <t>A measurement of the Ureaplasma urealyticum DNA in a biological specimen.</t>
  </si>
  <si>
    <t>Ureaplasma urealyticum DNA Measurement</t>
  </si>
  <si>
    <t>C102371</t>
  </si>
  <si>
    <t>V0</t>
  </si>
  <si>
    <t>Vol Dist Initial</t>
  </si>
  <si>
    <t>The initial volume of distribution for a substance administered by bolus intravascular dosing.</t>
  </si>
  <si>
    <t>Initial Volume of Distribution</t>
  </si>
  <si>
    <t>C102372</t>
  </si>
  <si>
    <t>V0B</t>
  </si>
  <si>
    <t>Vol Dist Initial Norm by BMI</t>
  </si>
  <si>
    <t>The initial volume of distribution for a substance administered by bolus intravascular dosing divided by the body mass index.</t>
  </si>
  <si>
    <t>Initial Volume of Distribution Normalized by Body Mass Index</t>
  </si>
  <si>
    <t>C102373</t>
  </si>
  <si>
    <t>V0D</t>
  </si>
  <si>
    <t>Vol Dist Initial Norm by Dose</t>
  </si>
  <si>
    <t>The initial volume of distribution for a substance administered by bolus intravascular dosing divided by the dose.</t>
  </si>
  <si>
    <t>Initial Volume of Distribution Normalized by Dose</t>
  </si>
  <si>
    <t>C102374</t>
  </si>
  <si>
    <t>V0S</t>
  </si>
  <si>
    <t>Vol Dist Initial Norm by SA</t>
  </si>
  <si>
    <t>The initial volume of distribution for a substance administered by bolus intravascular dosing divided by the surface area.</t>
  </si>
  <si>
    <t>Initial Volume of Distribution Normalized by Surface Area</t>
  </si>
  <si>
    <t>C102375</t>
  </si>
  <si>
    <t>V0W</t>
  </si>
  <si>
    <t>Vol Dist Initial Norm by WT</t>
  </si>
  <si>
    <t>The initial volume of distribution for a substance administered by bolus intravascular dosing divided by the weight.</t>
  </si>
  <si>
    <t>Initial Volume of Distribution Normalized by Weight</t>
  </si>
  <si>
    <t>C156528</t>
  </si>
  <si>
    <t>V25HD2</t>
  </si>
  <si>
    <t>25-Hydroxyvitamin D2</t>
  </si>
  <si>
    <t>25-Hydroxycalciferol; 25-Hydroxyergocalciferol; 25-Hydroxyvitamin D2; Ercalcidiol</t>
  </si>
  <si>
    <t>A measurement of the 25-Hydroxyvitamin D2 in a biological specimen.</t>
  </si>
  <si>
    <t>25-Hydroxyvitamin D2 Measurement</t>
  </si>
  <si>
    <t>C156529</t>
  </si>
  <si>
    <t>V25HD3</t>
  </si>
  <si>
    <t>25-Hydroxyvitamin D3</t>
  </si>
  <si>
    <t>25-Hydroxycholecalciferol; 25-Hydroxyvitamin D; 25-Hydroxyvitamin D3; Calcidiol; Calcifediol; Inactive Vitamin D</t>
  </si>
  <si>
    <t>A measurement of the 25-Hydroxyvitamin D3 in a biological specimen.</t>
  </si>
  <si>
    <t>25-Hydroxyvitamin D3 Measurement</t>
  </si>
  <si>
    <t>C181458</t>
  </si>
  <si>
    <t>VACCINIA</t>
  </si>
  <si>
    <t>Vaccinia Virus</t>
  </si>
  <si>
    <t>A measurement of the Vaccinia virus in a biological specimen.</t>
  </si>
  <si>
    <t>Vaccinia Virus Measurement</t>
  </si>
  <si>
    <t>C147477</t>
  </si>
  <si>
    <t>VACGRFRQ</t>
  </si>
  <si>
    <t>Visual Acuity Card Grating Frequency</t>
  </si>
  <si>
    <t>A measurement of the number of horizontal or vertical lines within a pre-determined unit of length on a visual acuity card.</t>
  </si>
  <si>
    <t>Acuity Card Grating Frequency</t>
  </si>
  <si>
    <t>C189359</t>
  </si>
  <si>
    <t>VAGDLVN</t>
  </si>
  <si>
    <t>Number of Vaginal Deliveries</t>
  </si>
  <si>
    <t>A measurement of the total number of vaginal delivery events experienced by the individual.</t>
  </si>
  <si>
    <t>C122160</t>
  </si>
  <si>
    <t>VAL</t>
  </si>
  <si>
    <t>Valine</t>
  </si>
  <si>
    <t>A measurement of the valine in a biological specimen.</t>
  </si>
  <si>
    <t>Valine Measurement</t>
  </si>
  <si>
    <t>C181410</t>
  </si>
  <si>
    <t>VALPRATE</t>
  </si>
  <si>
    <t>Valproate</t>
  </si>
  <si>
    <t>Valproate; Valproic Acid</t>
  </si>
  <si>
    <t>A measurement of the valproate in a biological specimen.</t>
  </si>
  <si>
    <t>Valproate Measurement</t>
  </si>
  <si>
    <t>C184517</t>
  </si>
  <si>
    <t>VAPOB</t>
  </si>
  <si>
    <t>VLDL Apolipoprotein B</t>
  </si>
  <si>
    <t>A measurement of the apolipoprotein B in the very low density lipoprotein fraction of a biological specimen.</t>
  </si>
  <si>
    <t>VLDL Apolipoprotein B Measurement</t>
  </si>
  <si>
    <t>C147157</t>
  </si>
  <si>
    <t>VAREANDX</t>
  </si>
  <si>
    <t>Valve Area Index</t>
  </si>
  <si>
    <t>The ratio of the valve area to the body surface area.</t>
  </si>
  <si>
    <t>C127772</t>
  </si>
  <si>
    <t>VASINV</t>
  </si>
  <si>
    <t>Vascular Invasion</t>
  </si>
  <si>
    <t>An evaluation of vascular invasion in a biological specimen.</t>
  </si>
  <si>
    <t>Vascular Invasion Assessment</t>
  </si>
  <si>
    <t>C221664</t>
  </si>
  <si>
    <t>VATV</t>
  </si>
  <si>
    <t>Visceral Adipose Tissue Volume</t>
  </si>
  <si>
    <t>A measurement of the volume of adipose tissue around the internal organs of the body.</t>
  </si>
  <si>
    <t>Visceral Adipose Tissue Volume Measurement</t>
  </si>
  <si>
    <t>C130166</t>
  </si>
  <si>
    <t>VBCE</t>
  </si>
  <si>
    <t>Viable Cells</t>
  </si>
  <si>
    <t>Live Cells; Viable Cells</t>
  </si>
  <si>
    <t>A measurement of the viable cells in a biological specimen.</t>
  </si>
  <si>
    <t>Viable Cell Count</t>
  </si>
  <si>
    <t>C176359</t>
  </si>
  <si>
    <t>VBSFRQD</t>
  </si>
  <si>
    <t>Vaginal Bleeding/Spotting Freq Desc</t>
  </si>
  <si>
    <t>Vaginal Bleeding/Spotting Freq Desc; Vaginal Bleeding/Spotting Frequency Description</t>
  </si>
  <si>
    <t>A description of the frequency at which vaginal bleeding and/or spotting has occurred.</t>
  </si>
  <si>
    <t>Vaginal Bleeding and/or Spotting Frequency Description</t>
  </si>
  <si>
    <t>C82042</t>
  </si>
  <si>
    <t>VCAM1</t>
  </si>
  <si>
    <t>Vascular Cell Adhesion Molecule 1</t>
  </si>
  <si>
    <t>A measurement of the vascular cell adhesion molecule 1 in a biological specimen.</t>
  </si>
  <si>
    <t>Vascular Cell Adhesion Molecule 1 Measurement</t>
  </si>
  <si>
    <t>C166058</t>
  </si>
  <si>
    <t>VCHDNA</t>
  </si>
  <si>
    <t>Vibrio cholerae DNA</t>
  </si>
  <si>
    <t>A measurement of the Vibrio cholerae DNA in a biological specimen.</t>
  </si>
  <si>
    <t>Vibrio cholerae DNA Measurement</t>
  </si>
  <si>
    <t>C96646</t>
  </si>
  <si>
    <t>VDIAM</t>
  </si>
  <si>
    <t>Viable Diameter</t>
  </si>
  <si>
    <t>The diameter of the portion of the tumor mass that is capable of growth, proliferation and metastasis.</t>
  </si>
  <si>
    <t>Viable Tumor Diameter</t>
  </si>
  <si>
    <t>C92514</t>
  </si>
  <si>
    <t>VEGF</t>
  </si>
  <si>
    <t>Vascular Endothelial Growth Factor</t>
  </si>
  <si>
    <t>A measurement of the vascular endothelial growth factor in a biological specimen.</t>
  </si>
  <si>
    <t>Vascular Endothelial Growth Factor Measurement</t>
  </si>
  <si>
    <t>C132389</t>
  </si>
  <si>
    <t>VEGFA</t>
  </si>
  <si>
    <t>Vascular Endothelial Growth Factor A</t>
  </si>
  <si>
    <t>A measurement of the vascular endothelial growth factor A in a biological specimen.</t>
  </si>
  <si>
    <t>Vascular Endothelial Growth Factor A Measurement</t>
  </si>
  <si>
    <t>C163501</t>
  </si>
  <si>
    <t>VEGFC</t>
  </si>
  <si>
    <t>Vascular Endothelial Growth Factor C</t>
  </si>
  <si>
    <t>A measurement of the vascular endothelial growth factor C in a biological specimen.</t>
  </si>
  <si>
    <t>Vascular Endothelial Growth Factor C Measurement</t>
  </si>
  <si>
    <t>C172496</t>
  </si>
  <si>
    <t>VEGFD</t>
  </si>
  <si>
    <t>Vascular Endothelial Growth Factor D</t>
  </si>
  <si>
    <t>FIGF; Vascular Endothelial Growth Factor D</t>
  </si>
  <si>
    <t>A measurement of the vascular endothelial growth factor D in a biological specimen.</t>
  </si>
  <si>
    <t>Vascular Endothelial Growth Factor D Measurement</t>
  </si>
  <si>
    <t>C165992</t>
  </si>
  <si>
    <t>VEGFR1S</t>
  </si>
  <si>
    <t>Soluble Vasc Endoth Growth Factor Rec1</t>
  </si>
  <si>
    <t>Soluble Vasc Endoth Growth Factor Rec1; Soluble Vascular Endothelial Growth Factor Receptor 1</t>
  </si>
  <si>
    <t>A measurement of the soluble vascular endothelial growth factor receptor 1 in a biological specimen.</t>
  </si>
  <si>
    <t>Soluble Vascular Endothelial Growth Factor Receptor Type 1 Measurement</t>
  </si>
  <si>
    <t>C156527</t>
  </si>
  <si>
    <t>VEGFR2</t>
  </si>
  <si>
    <t>Vasc Endothelial Growth Factor Rec 2</t>
  </si>
  <si>
    <t>Vasc Endothelial Growth Factor Rec 2; Vascular Endothelial Growth Factor Receptor 2</t>
  </si>
  <si>
    <t>A measurement of the vascular endothelial growth factor receptor 2 in a biological specimen.</t>
  </si>
  <si>
    <t>Vascular Endothelial Growth Factor Receptor 2 Measurement</t>
  </si>
  <si>
    <t>C165993</t>
  </si>
  <si>
    <t>VEGFR2S</t>
  </si>
  <si>
    <t>Soluble Vasc Endoth Growth Factor Rec2</t>
  </si>
  <si>
    <t>Soluble Vasc Endoth Growth Factor Rec2; Soluble Vascular Endothelial Growth Factor Receptor 2</t>
  </si>
  <si>
    <t>A measurement of the soluble vascular endothelial growth factor receptor 2 in a biological specimen.</t>
  </si>
  <si>
    <t>Soluble Vascular Endothelial Growth Factor Receptor Type 2 Measurement</t>
  </si>
  <si>
    <t>C165994</t>
  </si>
  <si>
    <t>VEGFR3S</t>
  </si>
  <si>
    <t>Soluble Vasc Endoth Growth Factor Rec3</t>
  </si>
  <si>
    <t>Soluble Vasc Endoth Growth Factor Rec3; Soluble Vascular Endothelial Growth Factor Receptor 3</t>
  </si>
  <si>
    <t>A measurement of the soluble vascular endothelial growth factor receptor 3 in a biological specimen.</t>
  </si>
  <si>
    <t>Soluble Vascular Endothelial Growth Factor Receptor Type 3 Measurement</t>
  </si>
  <si>
    <t>C127603</t>
  </si>
  <si>
    <t>VELTI</t>
  </si>
  <si>
    <t>Velocity Time Integral, Blood Flow</t>
  </si>
  <si>
    <t>The integral of all of the forward flow velocities during the time of blood flow across or within a specified area.</t>
  </si>
  <si>
    <t>Blood Flow Velocity Time Integral</t>
  </si>
  <si>
    <t>C147444</t>
  </si>
  <si>
    <t>VENLAFAX</t>
  </si>
  <si>
    <t>Venlafaxine</t>
  </si>
  <si>
    <t>A measurement of the venlafaxine present in a biological specimen.</t>
  </si>
  <si>
    <t>Venlafaxine Measurement</t>
  </si>
  <si>
    <t>C135476</t>
  </si>
  <si>
    <t>VFBINTMT</t>
  </si>
  <si>
    <t>Vascular Fibrous Intimal Thickening</t>
  </si>
  <si>
    <t>An evaluation of the fibrointimal thickening of vessels in a biological specimen.</t>
  </si>
  <si>
    <t>Vascular Fibrous Intimal Thickening Assessment</t>
  </si>
  <si>
    <t>C221569</t>
  </si>
  <si>
    <t>VICM</t>
  </si>
  <si>
    <t>Citrullinated and MMP-Degraded Vimentin VICM; VICM</t>
  </si>
  <si>
    <t>A measurement of the citrullinated and MMP-degraded vimentin fragment VICM in a biological specimen.</t>
  </si>
  <si>
    <t>Citrullinated and MMP-Degraded Vimentin Measurement</t>
  </si>
  <si>
    <t>C176364</t>
  </si>
  <si>
    <t>VILLPAD</t>
  </si>
  <si>
    <t>Village of Permanent Address</t>
  </si>
  <si>
    <t>The village identified as the individual's permanent residence.</t>
  </si>
  <si>
    <t>C184606</t>
  </si>
  <si>
    <t>VINBRBTL</t>
  </si>
  <si>
    <t>Vinbarbital</t>
  </si>
  <si>
    <t>A measurement of the vinbarbital in a biological specimen.</t>
  </si>
  <si>
    <t>Vinbarbital Measurement</t>
  </si>
  <si>
    <t>C163502</t>
  </si>
  <si>
    <t>VIP</t>
  </si>
  <si>
    <t>Vasoactive Intestinal Polypeptide</t>
  </si>
  <si>
    <t>Vasoactive Intestinal Polypeptide; VIP</t>
  </si>
  <si>
    <t>A measurement of vasoactive intestinal polypeptide in a biological specimen.</t>
  </si>
  <si>
    <t>Vasoactive Intestinal Polypeptide Measurement</t>
  </si>
  <si>
    <t>C75912</t>
  </si>
  <si>
    <t>VISC</t>
  </si>
  <si>
    <t>Viscosity</t>
  </si>
  <si>
    <t>Visc; Viscosity</t>
  </si>
  <si>
    <t>The resistance of a liquid to sheer forces and flow. (NCI)</t>
  </si>
  <si>
    <t>C74895</t>
  </si>
  <si>
    <t>VITA</t>
  </si>
  <si>
    <t>Vitamin A</t>
  </si>
  <si>
    <t>Retinol; Vitamin A</t>
  </si>
  <si>
    <t>A measurement of the Vitamin A in a biological specimen.</t>
  </si>
  <si>
    <t>Vitamin A Measurement</t>
  </si>
  <si>
    <t>C74896</t>
  </si>
  <si>
    <t>VITB1</t>
  </si>
  <si>
    <t>Thiamine</t>
  </si>
  <si>
    <t>Thiamine; Vitamin B1</t>
  </si>
  <si>
    <t>A measurement of the thiamine in a biological specimen.</t>
  </si>
  <si>
    <t>Vitamin B1 Measurement</t>
  </si>
  <si>
    <t>C64817</t>
  </si>
  <si>
    <t>VITB12</t>
  </si>
  <si>
    <t>Vitamin B12</t>
  </si>
  <si>
    <t>Cobalamin; Vitamin B12</t>
  </si>
  <si>
    <t>A measurement of the Vitamin B12 in a biological specimen.</t>
  </si>
  <si>
    <t>Vitamin B12 Measurement</t>
  </si>
  <si>
    <t>C74897</t>
  </si>
  <si>
    <t>VITB17</t>
  </si>
  <si>
    <t>Vitamin B17</t>
  </si>
  <si>
    <t>Amygdalin; Vitamin B17</t>
  </si>
  <si>
    <t>A measurement of the Vitamin B17 in a biological specimen.</t>
  </si>
  <si>
    <t>Vitamin B17 Measurement</t>
  </si>
  <si>
    <t>C74898</t>
  </si>
  <si>
    <t>VITB2</t>
  </si>
  <si>
    <t>Riboflavin</t>
  </si>
  <si>
    <t>Riboflavin; Vitamin B2</t>
  </si>
  <si>
    <t>A measurement of the riboflavin in a biological specimen.</t>
  </si>
  <si>
    <t>Vitamin B2 Measurement</t>
  </si>
  <si>
    <t>C74899</t>
  </si>
  <si>
    <t>VITB3</t>
  </si>
  <si>
    <t>Niacin</t>
  </si>
  <si>
    <t>Niacin; Vitamin B3</t>
  </si>
  <si>
    <t>A measurement of the niacin in a biological specimen.</t>
  </si>
  <si>
    <t>Vitamin B3 Measurement</t>
  </si>
  <si>
    <t>C74900</t>
  </si>
  <si>
    <t>VITB5</t>
  </si>
  <si>
    <t>Vitamin B5</t>
  </si>
  <si>
    <t>Pantothenic Acid; Vitamin B5</t>
  </si>
  <si>
    <t>A measurement of the Vitamin B5 in a biological specimen.</t>
  </si>
  <si>
    <t>Vitamin B5 Measurement</t>
  </si>
  <si>
    <t>C74901</t>
  </si>
  <si>
    <t>VITB6</t>
  </si>
  <si>
    <t>Vitamin B6</t>
  </si>
  <si>
    <t>Pyridoxine; Vitamin B6</t>
  </si>
  <si>
    <t>A measurement of the Vitamin B6 in a biological specimen.</t>
  </si>
  <si>
    <t>Vitamin B6 Measurement</t>
  </si>
  <si>
    <t>C74902</t>
  </si>
  <si>
    <t>VITB7</t>
  </si>
  <si>
    <t>Vitamin B7</t>
  </si>
  <si>
    <t>Biotin; Vitamin B7</t>
  </si>
  <si>
    <t>A measurement of the Vitamin B7 in a biological specimen.</t>
  </si>
  <si>
    <t>Vitamin B7 Measurement</t>
  </si>
  <si>
    <t>C74676</t>
  </si>
  <si>
    <t>VITB9</t>
  </si>
  <si>
    <t>Vitamin B9</t>
  </si>
  <si>
    <t>Folate; Folic Acid; Vitamin B9</t>
  </si>
  <si>
    <t>A measurement of the folic acid in a biological specimen.</t>
  </si>
  <si>
    <t>Folic Acid Measurement</t>
  </si>
  <si>
    <t>C74903</t>
  </si>
  <si>
    <t>VITC</t>
  </si>
  <si>
    <t>Vitamin C</t>
  </si>
  <si>
    <t>Ascorbate; Ascorbic Acid; Vitamin C</t>
  </si>
  <si>
    <t>A measurement of the Vitamin C in a biological specimen.</t>
  </si>
  <si>
    <t>Vitamin C Measurement</t>
  </si>
  <si>
    <t>C74904</t>
  </si>
  <si>
    <t>VITD2</t>
  </si>
  <si>
    <t>Vitamin D2</t>
  </si>
  <si>
    <t>Calciferol; Ergocalciferol; Viosterol; Vitamin D2</t>
  </si>
  <si>
    <t>A measurement of the Vitamin D2 in a biological specimen.</t>
  </si>
  <si>
    <t>Vitamin D2 Measurement</t>
  </si>
  <si>
    <t>C179751</t>
  </si>
  <si>
    <t>VITD23</t>
  </si>
  <si>
    <t>Vitamin D2 + Vitamin D3</t>
  </si>
  <si>
    <t>Calciferol + Cholecalciferol; Vitamin D2 + Vitamin D3</t>
  </si>
  <si>
    <t>A measurement of the vitamin D2 and vitamin D3 in a biological specimen.</t>
  </si>
  <si>
    <t>Vitamin D2 and Vitamin D3 Measurement</t>
  </si>
  <si>
    <t>C147445</t>
  </si>
  <si>
    <t>VITD23OH</t>
  </si>
  <si>
    <t>Vitamin D2 D3 25-OH</t>
  </si>
  <si>
    <t>Vitamin D + Metabolites; Vitamin D2 + Vitamin D3 + 25-Hydroxy Vitamin D2 + 25-Hydroxy Vitamin D3; Vitamin D2 D3 25-OH</t>
  </si>
  <si>
    <t>A measurement of the vitamin D2, vitamin D3 and their metabolites in a biological specimen.</t>
  </si>
  <si>
    <t>Vitamin D2 and Vitamin D3 and 25-Hydroxy Vitamin D2 and 25-Hydroxy Vitamin D3 Measurement</t>
  </si>
  <si>
    <t>C74905</t>
  </si>
  <si>
    <t>VITD3</t>
  </si>
  <si>
    <t>Vitamin D3</t>
  </si>
  <si>
    <t>Calciol; Cholecalciferol; Colecalciferol; Vitamin D; Vitamin D3</t>
  </si>
  <si>
    <t>A measurement of the Vitamin D3 in a biological specimen.</t>
  </si>
  <si>
    <t>Vitamin D3 Measurement</t>
  </si>
  <si>
    <t>C172506</t>
  </si>
  <si>
    <t>VITDBP</t>
  </si>
  <si>
    <t>Vitamin D Binding Protein</t>
  </si>
  <si>
    <t>DBP; GC Vitamin D Binding Protein; VDBP; Vitamin D Binding Protein</t>
  </si>
  <si>
    <t>A measurement of the vitamin D binding protein in a biological specimen.</t>
  </si>
  <si>
    <t>Vitamin D Binding Protein Measurement</t>
  </si>
  <si>
    <t>C74906</t>
  </si>
  <si>
    <t>VITE</t>
  </si>
  <si>
    <t>Vitamin E</t>
  </si>
  <si>
    <t>A measurement of the Vitamin E in a biological specimen.</t>
  </si>
  <si>
    <t>Vitamin E Measurement</t>
  </si>
  <si>
    <t>C103448</t>
  </si>
  <si>
    <t>VITECHOL</t>
  </si>
  <si>
    <t>Vitamin E/Cholesterol</t>
  </si>
  <si>
    <t>A relative measurement (ratio or percentage) of vitamin E to total cholesterol in a biological specimen.</t>
  </si>
  <si>
    <t>Vitamin E to Cholesterol Ratio Measurement</t>
  </si>
  <si>
    <t>C74907</t>
  </si>
  <si>
    <t>VITK</t>
  </si>
  <si>
    <t>Vitamin K</t>
  </si>
  <si>
    <t>Naphthoquinone; Vitamin K</t>
  </si>
  <si>
    <t>A measurement of the total Vitamin K in a biological specimen.</t>
  </si>
  <si>
    <t>Vitamin K Measurement</t>
  </si>
  <si>
    <t>C103449</t>
  </si>
  <si>
    <t>VITK1</t>
  </si>
  <si>
    <t>Vitamin K1</t>
  </si>
  <si>
    <t>Phylloquinone; Phytomenadione; Vitamin K1</t>
  </si>
  <si>
    <t>A measurement of the Vitamin K1 in a biological specimen.</t>
  </si>
  <si>
    <t>Vitamin K1 Measurement</t>
  </si>
  <si>
    <t>C105589</t>
  </si>
  <si>
    <t>VLDL</t>
  </si>
  <si>
    <t>VLDL Cholesterol</t>
  </si>
  <si>
    <t>A measurement of the very low density lipoprotein cholesterol in a biological specimen.</t>
  </si>
  <si>
    <t>Very Low Density Lipoprotein Cholesterol Measurement</t>
  </si>
  <si>
    <t>C120667</t>
  </si>
  <si>
    <t>VLDL1</t>
  </si>
  <si>
    <t>VLDL Cholesterol Subtype 1</t>
  </si>
  <si>
    <t>A measurement of the very low density lipoprotein cholesterol subtype 1 in a biological specimen.</t>
  </si>
  <si>
    <t>VLDL Cholesterol Subtype 1 Measurement</t>
  </si>
  <si>
    <t>C120668</t>
  </si>
  <si>
    <t>VLDL2</t>
  </si>
  <si>
    <t>VLDL Cholesterol Subtype 2</t>
  </si>
  <si>
    <t>A measurement of the very low density lipoprotein cholesterol subtype 2 in a biological specimen.</t>
  </si>
  <si>
    <t>VLDL Cholesterol Subtype 2 Measurement</t>
  </si>
  <si>
    <t>C120669</t>
  </si>
  <si>
    <t>VLDL3</t>
  </si>
  <si>
    <t>VLDL Cholesterol Subtype 3</t>
  </si>
  <si>
    <t>A measurement of the very low density lipoprotein cholesterol subtype 3 in a biological specimen.</t>
  </si>
  <si>
    <t>VLDL Cholesterol Subtype 3 Measurement</t>
  </si>
  <si>
    <t>C103450</t>
  </si>
  <si>
    <t>VLDLPSZ</t>
  </si>
  <si>
    <t>VLDL Particle Size</t>
  </si>
  <si>
    <t>A measurement of the average particle size of very-low-density lipoprotein in a biological specimen.</t>
  </si>
  <si>
    <t>VLDL Particle Size Measurement</t>
  </si>
  <si>
    <t>C174303</t>
  </si>
  <si>
    <t>VLDLT</t>
  </si>
  <si>
    <t>VLDL Triglyceride</t>
  </si>
  <si>
    <t>A measurement of the very low density lipoprotein triglyceride in a biological specimen.</t>
  </si>
  <si>
    <t>VLDL Triglyceride Measurement</t>
  </si>
  <si>
    <t>C174301</t>
  </si>
  <si>
    <t>VLDLTCT</t>
  </si>
  <si>
    <t>VLDL Trig + Chylomicron Trig</t>
  </si>
  <si>
    <t>VLDL Trig + Chylomicron Trig; VLDL Triglyceride + Chylomicron Triglyceride</t>
  </si>
  <si>
    <t>A measurement of the very low density lipoprotein triglyceride and chylomicron triglyceride in a biological specimen.</t>
  </si>
  <si>
    <t>VLDL Triglyceride and Chylomicron Triglyceride Measurement</t>
  </si>
  <si>
    <t>C142244</t>
  </si>
  <si>
    <t>VLSTNIND</t>
  </si>
  <si>
    <t>Cardiac Valvular Stenosis Indicator</t>
  </si>
  <si>
    <t>An indication as to whether the cardiac valve in question has stenosis.</t>
  </si>
  <si>
    <t>C142245</t>
  </si>
  <si>
    <t>VLSTNSLE</t>
  </si>
  <si>
    <t>Cardiac Valve Stenosis Likely Etiology</t>
  </si>
  <si>
    <t>A description of the likely cause of the pathology responsible for the cardiac valve stenosis.</t>
  </si>
  <si>
    <t>C147158</t>
  </si>
  <si>
    <t>VLVAREA</t>
  </si>
  <si>
    <t>Valve Area</t>
  </si>
  <si>
    <t>The quantitative measurement estimating the surface area of a valve.</t>
  </si>
  <si>
    <t>C187829</t>
  </si>
  <si>
    <t>VLZDN</t>
  </si>
  <si>
    <t>Vilazodone</t>
  </si>
  <si>
    <t>A measurement of the vilazodone in a biological specimen.</t>
  </si>
  <si>
    <t>Vilazodone Measurement</t>
  </si>
  <si>
    <t>C74875</t>
  </si>
  <si>
    <t>VMA</t>
  </si>
  <si>
    <t>Vanillyl Mandelic Acid</t>
  </si>
  <si>
    <t>Vanillyl Mandelic Acid; Vanillylmandelate; Vanilmandelic Acid</t>
  </si>
  <si>
    <t>A measurement of the vanillyl mandelic acid metabolite in a biological specimen.</t>
  </si>
  <si>
    <t>Vanillyl Mandelic Acid Measurement</t>
  </si>
  <si>
    <t>C163503</t>
  </si>
  <si>
    <t>VMAEXR</t>
  </si>
  <si>
    <t>Vanillyl Mandelic Acid Excretion Rate</t>
  </si>
  <si>
    <t>A measurement of the amount of vanillyl mandelic acid being excreted in a biological specimen over a defined amount of time (e.g. one hour).</t>
  </si>
  <si>
    <t>C123570</t>
  </si>
  <si>
    <t>VO2</t>
  </si>
  <si>
    <t>Oxygen Consumption</t>
  </si>
  <si>
    <t>The rate at which oxygen is absorbed and utilized by any given tissue in the body.</t>
  </si>
  <si>
    <t>C178242</t>
  </si>
  <si>
    <t>VO2MAX</t>
  </si>
  <si>
    <t>Maximal Oxygen Consumption</t>
  </si>
  <si>
    <t>The maximum rate of oxygen utilization at which oxygen uptake no longer increases and beyond which no level of effort can raise it.</t>
  </si>
  <si>
    <t>Maximal Oxygen Uptake</t>
  </si>
  <si>
    <t>C174363</t>
  </si>
  <si>
    <t>VO2MAXE</t>
  </si>
  <si>
    <t>Maximal Oxygen Consumption, Estimated</t>
  </si>
  <si>
    <t>Estimated Maximal Aerobic Capacity; Maximal Oxygen Consumption, Estimated</t>
  </si>
  <si>
    <t>The predicted maximum rate of oxygen uptake that is derived from physiological responses to submaximal exercise performance and is used as a measure of cardiorespiratory fitness.</t>
  </si>
  <si>
    <t>C221692</t>
  </si>
  <si>
    <t>VOIDVOL</t>
  </si>
  <si>
    <t>Voided Volume</t>
  </si>
  <si>
    <t>Voided Urine Volume; Voided Volume</t>
  </si>
  <si>
    <t>A measurement of the volume of urine excreted during a urinary voiding event.</t>
  </si>
  <si>
    <t>Voided Urine Volume</t>
  </si>
  <si>
    <t>C85817</t>
  </si>
  <si>
    <t>VOLPK</t>
  </si>
  <si>
    <t>Sum of Urine Vol</t>
  </si>
  <si>
    <t>The sum of urine volumes that are used for PK parameters.</t>
  </si>
  <si>
    <t>Sum Urine Volume</t>
  </si>
  <si>
    <t>C74720</t>
  </si>
  <si>
    <t>VOLUME</t>
  </si>
  <si>
    <t>Volume</t>
  </si>
  <si>
    <t>A measurement of the amount of three dimensional space occupied by an object or the capacity of a space or container.</t>
  </si>
  <si>
    <t>Volume Measurement</t>
  </si>
  <si>
    <t>C187874</t>
  </si>
  <si>
    <t>VPADNA</t>
  </si>
  <si>
    <t>Vibrio parahaemolyticus DNA</t>
  </si>
  <si>
    <t>A measurement of the Vibrio parahaemolyticus DNA in a biological specimen.</t>
  </si>
  <si>
    <t>Vibrio parahaemolyticus DNA Measurement</t>
  </si>
  <si>
    <t>C186191</t>
  </si>
  <si>
    <t>VRE</t>
  </si>
  <si>
    <t>Enterococcus, Vancomycin-resistant</t>
  </si>
  <si>
    <t>A measurement of the organisms that are vancomycin-resistant, and are not assigned to the species level but are assigned to the Enterococcus genus level in a biological specimen.</t>
  </si>
  <si>
    <t>Vancomycin-resistant Enterococcus Measurement</t>
  </si>
  <si>
    <t>C187832</t>
  </si>
  <si>
    <t>VRTOXTN</t>
  </si>
  <si>
    <t>Vortioxetine</t>
  </si>
  <si>
    <t>A measurement of the vortioxetine in a biological specimen.</t>
  </si>
  <si>
    <t>Vortioxetine Measurement</t>
  </si>
  <si>
    <t>C119557</t>
  </si>
  <si>
    <t>VSLFLIND</t>
  </si>
  <si>
    <t>Vessel Failure Indicator</t>
  </si>
  <si>
    <t>An indication as to whether vessel failure occurred.</t>
  </si>
  <si>
    <t>C119569</t>
  </si>
  <si>
    <t>VSLIDENT</t>
  </si>
  <si>
    <t>Vessel Lesion Identification</t>
  </si>
  <si>
    <t>An indication that a vessel with a lesion has been located and characterized.</t>
  </si>
  <si>
    <t>C119558</t>
  </si>
  <si>
    <t>VSLPIND</t>
  </si>
  <si>
    <t>Vessel Patency Indicator</t>
  </si>
  <si>
    <t>An indication as to whether an artery is patent (free of TLR or restenosis) following intervention.</t>
  </si>
  <si>
    <t>C119559</t>
  </si>
  <si>
    <t>VSLRVIND</t>
  </si>
  <si>
    <t>Vessel Revascularization Indicator</t>
  </si>
  <si>
    <t>An indication as to whether repeat revascularization of an artery containing a lesion occurred.</t>
  </si>
  <si>
    <t>C85770</t>
  </si>
  <si>
    <t>VSSO</t>
  </si>
  <si>
    <t>Vol Dist Steady State Obs</t>
  </si>
  <si>
    <t>The volume of distribution at steady state based on the observed CLST for a substance administered by intravascular dosing.</t>
  </si>
  <si>
    <t>Observed Steady State Volume of Distribution</t>
  </si>
  <si>
    <t>C102377</t>
  </si>
  <si>
    <t>VSSOB</t>
  </si>
  <si>
    <t>Vol Dist Steady State Obs Norm by BMI</t>
  </si>
  <si>
    <t>The volume of distribution at steady state based on the observed CLST for a substance administered by intravascular dosing divided by the body mass index.</t>
  </si>
  <si>
    <t>Observed Steady State Volume of Distribution Normalized by Body Mass Index</t>
  </si>
  <si>
    <t>C156574</t>
  </si>
  <si>
    <t>VSSOBD</t>
  </si>
  <si>
    <t>Vol Dist Steady State Obs by B</t>
  </si>
  <si>
    <t>The volume of distribution at steady state based on the observed CLST for a substance administered, divided by the fraction of bound drug.</t>
  </si>
  <si>
    <t>Volume of Distribution Steady State Observed by Bound Drug</t>
  </si>
  <si>
    <t>C102378</t>
  </si>
  <si>
    <t>VSSOD</t>
  </si>
  <si>
    <t>Vol Dist Steady State Obs Norm by Dose</t>
  </si>
  <si>
    <t>The volume of distribution at steady state based on the observed CLST for a substance administered by intravascular dosing divided by the dose.</t>
  </si>
  <si>
    <t>Observed Steady State Volume of Distribution Normalized by Dose</t>
  </si>
  <si>
    <t>C156570</t>
  </si>
  <si>
    <t>VSSOF</t>
  </si>
  <si>
    <t>Vol Dist Steady State Obs by F</t>
  </si>
  <si>
    <t>The volume of distribution at steady state based on the observed CLST for a substance administered by extravascular dosing, divided by the fraction of dose absorbed.</t>
  </si>
  <si>
    <t>Volume of Distribution Steady State Observed by Fraction of Dose Absorbed</t>
  </si>
  <si>
    <t>C102379</t>
  </si>
  <si>
    <t>VSSOS</t>
  </si>
  <si>
    <t>Vol Dist Steady State Obs Norm by SA</t>
  </si>
  <si>
    <t>The volume of distribution at steady state based on the observed CLST for a substance administered by intravascular dosing divided by the surface area.</t>
  </si>
  <si>
    <t>Observed Steady State Volume of Distribution Normalized by Surface Area</t>
  </si>
  <si>
    <t>C156572</t>
  </si>
  <si>
    <t>VSSOUB</t>
  </si>
  <si>
    <t>Vol Dist Steady State Obs by UB</t>
  </si>
  <si>
    <t>The volume of distribution at steady state based on the observed CLST for a substance administered, divided by the fraction of unbound drug.</t>
  </si>
  <si>
    <t>Volume of Distribution Steady State Observed by Unbound Drug</t>
  </si>
  <si>
    <t>C102380</t>
  </si>
  <si>
    <t>VSSOW</t>
  </si>
  <si>
    <t>Vol Dist Steady State Obs Norm by WT</t>
  </si>
  <si>
    <t>The volume of distribution at steady state based on the observed CLST for a substance administered by intravascular dosing divided by the weight.</t>
  </si>
  <si>
    <t>Observed Steady State Volume of Distribution Normalized by Weight</t>
  </si>
  <si>
    <t>C85794</t>
  </si>
  <si>
    <t>VSSP</t>
  </si>
  <si>
    <t>Vol Dist Steady State Pred</t>
  </si>
  <si>
    <t>The volume of distribution at steady state based on the predicted CLST for a substance administered by intravascular dosing.</t>
  </si>
  <si>
    <t>Predicted Steady State Volume of Distribution</t>
  </si>
  <si>
    <t>C102390</t>
  </si>
  <si>
    <t>VSSPB</t>
  </si>
  <si>
    <t>Vol Dist Steady State Pred Norm by BMI</t>
  </si>
  <si>
    <t>The volume of distribution at steady state based on the predicted CLST for a substance administered by intravascular dosing divided by the body mass index.</t>
  </si>
  <si>
    <t>Predicted Steady State Volume of Distribution Normalized by Body Mass Index</t>
  </si>
  <si>
    <t>C156575</t>
  </si>
  <si>
    <t>VSSPBD</t>
  </si>
  <si>
    <t>Vol Dist Steady State Pred by B</t>
  </si>
  <si>
    <t>The volume of distribution at steady state based on the predicted CLST for a substance administered, divided by the fraction of bound drug.</t>
  </si>
  <si>
    <t>Volume of Distribution Steady State Predicted by Bound Drug</t>
  </si>
  <si>
    <t>C102391</t>
  </si>
  <si>
    <t>VSSPD</t>
  </si>
  <si>
    <t>Vol Dist Steady State Pred Norm by Dose</t>
  </si>
  <si>
    <t>The volume of distribution at steady state based on the predicted CLST for a substance administered by intravascular dosing divided by the dose.</t>
  </si>
  <si>
    <t>Predicted Steady State Volume of Distribution Normalized by Dose</t>
  </si>
  <si>
    <t>C156571</t>
  </si>
  <si>
    <t>VSSPF</t>
  </si>
  <si>
    <t>Vol Dist Steady State Pred by F</t>
  </si>
  <si>
    <t>The volume of distribution at steady state based on the predicted CLST for a substance administered by extravascular dosing, divided by the fraction of dose absorbed.</t>
  </si>
  <si>
    <t>Volume of Distribution Steady State Predicted by Fraction of Dose Absorbed</t>
  </si>
  <si>
    <t>C102392</t>
  </si>
  <si>
    <t>VSSPS</t>
  </si>
  <si>
    <t>Vol Dist Steady State Pred Norm by SA</t>
  </si>
  <si>
    <t>The volume of distribution at steady state based on the predicted CLST for a substance administered by intravascular dosing divided by the surface area.</t>
  </si>
  <si>
    <t>Predicted Steady State Volume of Distribution Normalized by Surface Area</t>
  </si>
  <si>
    <t>C156573</t>
  </si>
  <si>
    <t>VSSPUB</t>
  </si>
  <si>
    <t>Vol Dist Steady State Pred by UB</t>
  </si>
  <si>
    <t>The volume of distribution at steady state based on the predicted CLST for a substance administered, divided by the fraction of unbound drug.</t>
  </si>
  <si>
    <t>Volume of Distribution Steady State Predicted by Unbound Drug</t>
  </si>
  <si>
    <t>C102393</t>
  </si>
  <si>
    <t>VSSPW</t>
  </si>
  <si>
    <t>Vol Dist Steady State Pred Norm by WT</t>
  </si>
  <si>
    <t>The volume of distribution at steady state based on the predicted CLST for a substance administered by intravascular dosing divided by the weight.</t>
  </si>
  <si>
    <t>Predicted Steady State Volume of Distribution Normalized by Weight</t>
  </si>
  <si>
    <t>C202446</t>
  </si>
  <si>
    <t>VT1</t>
  </si>
  <si>
    <t>Ventilatory Threshold 1</t>
  </si>
  <si>
    <t>First Ventilatory Threshold; Ventilatory Threshold 1</t>
  </si>
  <si>
    <t>The point during activity or exercise at which ventilation begins to increase at a faster rate than oxygen consumption. This threshold is characterized by aerobic metabolism.</t>
  </si>
  <si>
    <t>First Ventilatory Threshold</t>
  </si>
  <si>
    <t>C204693</t>
  </si>
  <si>
    <t>VT2</t>
  </si>
  <si>
    <t>Ventilatory Threshold 2</t>
  </si>
  <si>
    <t>Anaerobic Threshold; Lactate Threshold; Respiratory Compensation Threshold; Second Ventilatory Threshold; Ventilatory Threshold 2</t>
  </si>
  <si>
    <t>The point during activity or exercise at which the effort to ventilate increases such that the exerciser experiences duress and can no longer speak. This threshold is characterized by anaerobic metabolism and lactate buildup.</t>
  </si>
  <si>
    <t>Second Ventilatory Threshold</t>
  </si>
  <si>
    <t>C111330</t>
  </si>
  <si>
    <t>VTARRY</t>
  </si>
  <si>
    <t>Ventricular Arrhythmias</t>
  </si>
  <si>
    <t>An electrocardiographic assessment of ventricular arrhythmias excluding tachycardias.</t>
  </si>
  <si>
    <t>Ventricular Arrhythmia ECG Assessment</t>
  </si>
  <si>
    <t>C179752</t>
  </si>
  <si>
    <t>VTD2125</t>
  </si>
  <si>
    <t>1,25-Dihydroxyvitamin D2</t>
  </si>
  <si>
    <t>1,25-Dihydroxycalciferol; 1,25-Dihydroxyergocalciferol; 1,25-Dihydroxyvitamin D2; Ercalcitriol</t>
  </si>
  <si>
    <t>A measurement of the 1,25-dihydroxyvitamin D2 in a biological specimen.</t>
  </si>
  <si>
    <t>1,25-Dihydroxyvitamin D2 Measurement</t>
  </si>
  <si>
    <t>C179753</t>
  </si>
  <si>
    <t>VTD23125</t>
  </si>
  <si>
    <t>1,25-DihydroxyvitD2+1,25-DihydroxyvitD3</t>
  </si>
  <si>
    <t>1,25-Di(OH)vitamin D2 + 1,25-Di(OH)vitamin D3; 1,25-Dihydroxyvitamin D2 + 1,25-Dihydroxyvitamin D3; 1,25-DihydroxyvitD2+1,25-DihydroxyvitD3</t>
  </si>
  <si>
    <t>A measurement of the 1,25-dihydroxyvitamin D2 and 1,25-dihydroxyvitamin D3 in a biological specimen.</t>
  </si>
  <si>
    <t>1,25-Dihydroxyvitamin D2 and 1,25-Dihydroxyvitamin D3 Measurement</t>
  </si>
  <si>
    <t>C147446</t>
  </si>
  <si>
    <t>VTD2D3IT</t>
  </si>
  <si>
    <t>25-Hydroxyvit D2 + 25-Hydroxyvit D3</t>
  </si>
  <si>
    <t>A measurement of the total inactive vitamin D2 and vitamin D3 in a biological specimen.</t>
  </si>
  <si>
    <t>25-Hydroxyvitamin D2 and 25-Hydroxyvitamin D3 Measurement</t>
  </si>
  <si>
    <t>C179754</t>
  </si>
  <si>
    <t>VTD3125</t>
  </si>
  <si>
    <t>1,25-Dihydroxyvitamin D3</t>
  </si>
  <si>
    <t>1,25-Dihydroxycholecalciferol; 1,25-Dihydroxyvitamin D; 1,25-Dihydroxyvitamin D3; Calcitriol</t>
  </si>
  <si>
    <t>A measurement of the 1,25-dihydroxyvitamin D3 in a biological specimen.</t>
  </si>
  <si>
    <t>1,25-Dihydroxyvitamin D3 Measurement</t>
  </si>
  <si>
    <t>C156511</t>
  </si>
  <si>
    <t>VTD32425</t>
  </si>
  <si>
    <t>24,25-Dihydroxyvitamin D3</t>
  </si>
  <si>
    <t>24,25-Dihydroxycholecalciferol; 24,25-Dihydroxyvitamin D; 24,25-Dihydroxyvitamin D3</t>
  </si>
  <si>
    <t>A measurement of the 24,25-dihydroxyvitamin D3 in a biological specimen.</t>
  </si>
  <si>
    <t>24,25-Dihydroxyvitamin D3 Measurement</t>
  </si>
  <si>
    <t>C165995</t>
  </si>
  <si>
    <t>VTRNCTN</t>
  </si>
  <si>
    <t>Vitronectin</t>
  </si>
  <si>
    <t>V75; Vitronectin; VN; VNT; VTN</t>
  </si>
  <si>
    <t>A measurement of the vitronectin in a biological specimen.</t>
  </si>
  <si>
    <t>Vitronectin Measurement</t>
  </si>
  <si>
    <t>C111331</t>
  </si>
  <si>
    <t>VTTARRY</t>
  </si>
  <si>
    <t>Ventricular Tachyarrhythmias</t>
  </si>
  <si>
    <t>An electrocardiographic assessment of ventricular tachyarrhythmias.</t>
  </si>
  <si>
    <t>Ventricular Tachyarrhythmia ECG Assessment</t>
  </si>
  <si>
    <t>C147447</t>
  </si>
  <si>
    <t>VWFAAC</t>
  </si>
  <si>
    <t>von Will Factor Act Actual/Control</t>
  </si>
  <si>
    <t>von Will Factor Act Actual/Control; von Willebrand Factor Activity Actual/Normal; von Willebrand Factor Activity Actual/von Willebrand Factor Activity Control</t>
  </si>
  <si>
    <t>A relative measurement (ratio or percentage) of the biological activity of the von Willebrand factor dependent coagulation in a subject's specimen when compared to the same activity in a control specimen.</t>
  </si>
  <si>
    <t>von Willebrand Factor Activity Actual to Control Ratio Measurement</t>
  </si>
  <si>
    <t>C170597</t>
  </si>
  <si>
    <t>VWFAC</t>
  </si>
  <si>
    <t>von Will Factor Actual/Control</t>
  </si>
  <si>
    <t>von Will Factor Actual/Control; von Willebrand Factor Actual/Control; von Willebrand Factor Actual/Normal; von Willebrand Factor Actual/von Willebrand Factor Control</t>
  </si>
  <si>
    <t>A relative measurement (ratio or percentage) of the von Willebrand factor in a subject's specimen when compared to a control specimen.</t>
  </si>
  <si>
    <t>von Willebrand Factor Actual to Control Ratio Measurement</t>
  </si>
  <si>
    <t>C85775</t>
  </si>
  <si>
    <t>VZFO</t>
  </si>
  <si>
    <t>Vz Obs by F</t>
  </si>
  <si>
    <t>The volume of distribution associated with the terminal slope following extravascular administration divided by the fraction of dose absorbed, calculated using the observed value of the last non-zero concentration.</t>
  </si>
  <si>
    <t>Observed Volume of Distribution of Absorbed Fraction</t>
  </si>
  <si>
    <t>C92410</t>
  </si>
  <si>
    <t>VZFOB</t>
  </si>
  <si>
    <t>Vz Obs by F Norm by BMI</t>
  </si>
  <si>
    <t>The volume of distribution associated with the terminal slope following extravascular administration divided by the fraction of dose absorbed, calculated using the observed value of the last non-zero concentration, divided by the body mass index.</t>
  </si>
  <si>
    <t>Volume of Distribution of Fraction Dose Observed Normalized by Body Mass Index</t>
  </si>
  <si>
    <t>C102729</t>
  </si>
  <si>
    <t>VZFOD</t>
  </si>
  <si>
    <t>Vz Obs by F Norm by Dose</t>
  </si>
  <si>
    <t>The volume of distribution associated with the terminal slope following extravascular administration divided by the fraction of dose absorbed, calculated using the observed value of the last non-zero concentration, divided by the dose.</t>
  </si>
  <si>
    <t>Volume of Distribution of Fraction Dose Observed Normalized by Dose</t>
  </si>
  <si>
    <t>C92411</t>
  </si>
  <si>
    <t>VZFOS</t>
  </si>
  <si>
    <t>Vz Obs by F Norm by SA</t>
  </si>
  <si>
    <t>The volume of distribution associated with the terminal slope following extravascular administration divided by the fraction of dose absorbed, calculated using the observed value of the last non-zero concentration, divided by the surface area.</t>
  </si>
  <si>
    <t>Volume of Distribution of Fraction Dose Observed Normalized by Surface Area</t>
  </si>
  <si>
    <t>C156581</t>
  </si>
  <si>
    <t>VZFOUB</t>
  </si>
  <si>
    <t>Vz Obs by F for UB</t>
  </si>
  <si>
    <t>The volume of distribution associated with the terminal slope following extravascular administration divided by the fraction of dose absorbed, calculated using the observed value of the last non-zero concentration and corrected for unbound drug.</t>
  </si>
  <si>
    <t>Observed Volume of Distribution of Absorbed Fraction for Unbound Drug</t>
  </si>
  <si>
    <t>C92412</t>
  </si>
  <si>
    <t>VZFOW</t>
  </si>
  <si>
    <t>Vz Obs by F Norm by WT</t>
  </si>
  <si>
    <t>The volume of distribution associated with the terminal slope following extravascular administration divided by the fraction of dose absorbed, calculated using the observed value of the last non-zero concentration, divided by the weight.</t>
  </si>
  <si>
    <t>Volume of Distribution of Fraction Dose Observed Normalized by Weight</t>
  </si>
  <si>
    <t>C85799</t>
  </si>
  <si>
    <t>VZFP</t>
  </si>
  <si>
    <t>Vz Pred by F</t>
  </si>
  <si>
    <t>The volume of distribution associated with the terminal slope following extravascular administration divided by the fraction of dose absorbed, calculated using the predicted value of the last non-zero concentration.</t>
  </si>
  <si>
    <t>Predicted Volume of Distribution of Absorbed Fraction</t>
  </si>
  <si>
    <t>C92428</t>
  </si>
  <si>
    <t>VZFPB</t>
  </si>
  <si>
    <t>Vz Pred by F Norm by BMI</t>
  </si>
  <si>
    <t>The volume of distribution associated with the terminal slope following extravascular administration divided by the fraction of dose absorbed, calculated using the predicted value of the last non-zero concentration, divided by the body mass index.</t>
  </si>
  <si>
    <t>Volume of Distribution of Fraction Dose Predicted Normalized by Body Mass Index</t>
  </si>
  <si>
    <t>C102730</t>
  </si>
  <si>
    <t>VZFPD</t>
  </si>
  <si>
    <t>Vz Pred by F Norm by Dose</t>
  </si>
  <si>
    <t>The volume of distribution associated with the terminal slope following extravascular administration divided by the fraction of dose absorbed, calculated using the predicted value of the last non-zero concentration, divided by the dose.</t>
  </si>
  <si>
    <t>Volume of Distribution of Fraction Dose Predicted Normalized by Dose</t>
  </si>
  <si>
    <t>C92429</t>
  </si>
  <si>
    <t>VZFPS</t>
  </si>
  <si>
    <t>Vz Pred by F Norm by SA</t>
  </si>
  <si>
    <t>The volume of distribution associated with the terminal slope following extravascular administration divided by the fraction of dose absorbed, calculated using the predicted value of the last non-zero concentration, divided by the surface area.</t>
  </si>
  <si>
    <t>Volume of Distribution of Fraction Dose Predicted Normalized by Surface Area</t>
  </si>
  <si>
    <t>C158267</t>
  </si>
  <si>
    <t>VZFPUB</t>
  </si>
  <si>
    <t>Vz Pred by F for UB</t>
  </si>
  <si>
    <t>The volume of distribution associated with the terminal slope following extravascular administration divided by the fraction of dose absorbed, calculated using the predicted value at the time of the last non-zero concentration and corrected for unbound dr</t>
  </si>
  <si>
    <t>Volume of Distribution of Fraction Dose Predicted Corrected for Unbound Drug</t>
  </si>
  <si>
    <t>C92430</t>
  </si>
  <si>
    <t>VZFPW</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</si>
  <si>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</si>
  <si>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</si>
  <si>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Volume of Distribution of Fraction Dose Predicted Normalized by Weight</t>
  </si>
  <si>
    <t>C111364</t>
  </si>
  <si>
    <t>VZFTAU</t>
  </si>
  <si>
    <t>Vz for Dose Int by F</t>
  </si>
  <si>
    <t>The volume of distribution associated with the terminal slope following extravascular administration divided by the fraction of dose absorbed, calculated using AUCTAU.</t>
  </si>
  <si>
    <t>Volume of Distribution for Dosing Interval by Fraction</t>
  </si>
  <si>
    <t>C111365</t>
  </si>
  <si>
    <t>VZFTAUB</t>
  </si>
  <si>
    <t>Vz for Dose Int by F Norm by BMI</t>
  </si>
  <si>
    <t>The volume of distribution associated with the terminal slope following extravascular administration divided by the fraction of dose absorbed, calculated using AUCTAU, divided by the body mass index.</t>
  </si>
  <si>
    <t>Volume of Distribution for Dosing Interval by Fraction Normalized by Body Mass Index</t>
  </si>
  <si>
    <t>C111366</t>
  </si>
  <si>
    <t>VZFTAUD</t>
  </si>
  <si>
    <t>Vz for Dose Int by F Norm by Dose</t>
  </si>
  <si>
    <t>The volume of distribution associated with the terminal slope following extravascular administration divided by the fraction of dose absorbed, calculated using AUCTAU, divided by the dose.</t>
  </si>
  <si>
    <t>Volume of Distribution for Dosing Interval by Fraction Normalized by Dose</t>
  </si>
  <si>
    <t>C111367</t>
  </si>
  <si>
    <t>VZFTAUS</t>
  </si>
  <si>
    <t>Vz for Dose Int by F Norm by SA</t>
  </si>
  <si>
    <t>The volume of distribution associated with the terminal slope following extravascular administration divided by the fraction of dose absorbed, calculated using AUCTAU, divided by the surface area.</t>
  </si>
  <si>
    <t>Volume of Distribution for Dosing Interval by Fraction Normalized by Surface Area</t>
  </si>
  <si>
    <t>C111368</t>
  </si>
  <si>
    <t>VZFTAUW</t>
  </si>
  <si>
    <t>Vz for Dose Int by F Norm by WT</t>
  </si>
  <si>
    <t>The volume of distribution associated with the terminal slope following extravascular administration divided by the fraction of dose absorbed, calculated using AUCTAU, divided by the weight.</t>
  </si>
  <si>
    <t>Volume of Distribution for Dosing Interval by Fraction Normalized by Weight</t>
  </si>
  <si>
    <t>C85774</t>
  </si>
  <si>
    <t>VZO</t>
  </si>
  <si>
    <t>Vz Obs</t>
  </si>
  <si>
    <t>The volume of distribution associated with the terminal slope following intravascular administration, calculated using the observed value of the last non-zero concentration.</t>
  </si>
  <si>
    <t>Observed Volume of Distribution</t>
  </si>
  <si>
    <t>C92407</t>
  </si>
  <si>
    <t>VZOB</t>
  </si>
  <si>
    <t>Vz Obs Norm by BMI</t>
  </si>
  <si>
    <t>The volume of distribution associated with the terminal slope following intravascular administration, calculated using the observed value of the last non-zero concentration, divided by the body mass index.</t>
  </si>
  <si>
    <t>Volume of Distribution Observed Normalized by Body Mass Index</t>
  </si>
  <si>
    <t>C102683</t>
  </si>
  <si>
    <t>VZOD</t>
  </si>
  <si>
    <t>Vz Obs Norm by Dose</t>
  </si>
  <si>
    <t>The volume of distribution associated with the terminal slope following intravascular administration, calculated using the observed value of the last non-zero concentration, divided by the dose.</t>
  </si>
  <si>
    <t>Observed Volume of Distribution Normalized by Dose</t>
  </si>
  <si>
    <t>C92408</t>
  </si>
  <si>
    <t>VZOS</t>
  </si>
  <si>
    <t>Vz Obs Norm by SA</t>
  </si>
  <si>
    <t>The volume of distribution associated with the terminal slope following intravascular administration, calculated using the observed value of the last non-zero concentration, divided by the surface area.</t>
  </si>
  <si>
    <t>Volume of Distribution Observed Normalized by Surface Area</t>
  </si>
  <si>
    <t>C158265</t>
  </si>
  <si>
    <t>VZOUB</t>
  </si>
  <si>
    <t>Vz Obs for UB</t>
  </si>
  <si>
    <t>The volume of distribution associated with the terminal slope following administration, calculated using the observed value of the last non-zero concentration and corrected for unbound drug.</t>
  </si>
  <si>
    <t>Volume of Distribution Observed for Unbound Drug</t>
  </si>
  <si>
    <t>C92409</t>
  </si>
  <si>
    <t>VZOW</t>
  </si>
  <si>
    <t>Vz Obs Norm by WT</t>
  </si>
  <si>
    <t>The volume of distribution associated with the terminal slope following intravascular administration, calculated using the observed value of the last non-zero concentration, divided by the weight.</t>
  </si>
  <si>
    <t>Volume of Distribution Observed Normalized by Weight</t>
  </si>
  <si>
    <t>C85798</t>
  </si>
  <si>
    <t>VZP</t>
  </si>
  <si>
    <t>Vz Pred</t>
  </si>
  <si>
    <t>The volume of distribution associated with the terminal slope following intravascular administration, calculated using the predicted value of the last non-zero concentration.</t>
  </si>
  <si>
    <t>Predicted Volume of Distribution</t>
  </si>
  <si>
    <t>C92425</t>
  </si>
  <si>
    <t>VZPB</t>
  </si>
  <si>
    <t>Vz Pred Norm by BMI</t>
  </si>
  <si>
    <t>The volume of distribution associated with the terminal slope following intravascular administration, calculated using the predicted value of the last non-zero concentration, divided by the body mass index.</t>
  </si>
  <si>
    <t>Volume of Distribution Predicted Normalized by Body Mass Index</t>
  </si>
  <si>
    <t>C102696</t>
  </si>
  <si>
    <t>VZPD</t>
  </si>
  <si>
    <t>Vz Pred Norm by Dose</t>
  </si>
  <si>
    <t>The volume of distribution associated with the terminal slope following intravascular administration, calculated using the predicted value of the last non-zero concentration, divided by the dose.</t>
  </si>
  <si>
    <t>Predicted Volume of Distribution Normalized by Dose</t>
  </si>
  <si>
    <t>C92426</t>
  </si>
  <si>
    <t>VZPS</t>
  </si>
  <si>
    <t>Vz Pred Norm by SA</t>
  </si>
  <si>
    <t>The volume of distribution associated with the terminal slope following intravascular administration, calculated using the predicted value of the last non-zero concentration, divided by the surface area.</t>
  </si>
  <si>
    <t>Volume of Distribution Predicted Normalized by Surface Area</t>
  </si>
  <si>
    <t>C158266</t>
  </si>
  <si>
    <t>VZPUB</t>
  </si>
  <si>
    <t>Vz Pred for UB</t>
  </si>
  <si>
    <t>The volume of distribution associated with the terminal slope following administration, calculated using the predicted value at the time of the last non-zero concentration and corrected for unbound drug.</t>
  </si>
  <si>
    <t>Volume of Distribution Predicted for Unbound Drug</t>
  </si>
  <si>
    <t>C92427</t>
  </si>
  <si>
    <t>VZPW</t>
  </si>
  <si>
    <t>Vz Pred Norm by WT</t>
  </si>
  <si>
    <t>The volume of distribution associated with the terminal slope following intravascular administration, calculated using the predicted value of the last non-zero concentration, divided by the weight.</t>
  </si>
  <si>
    <t>Volume of Distribution Predicted Normalized by Weight</t>
  </si>
  <si>
    <t>C111333</t>
  </si>
  <si>
    <t>VZTAU</t>
  </si>
  <si>
    <t>Vz for Dose Int</t>
  </si>
  <si>
    <t>The volume of distribution associated with the terminal slope following intravascular administration, calculated using AUCTAU.</t>
  </si>
  <si>
    <t>Volume of Distribution for Dosing Interval</t>
  </si>
  <si>
    <t>C111369</t>
  </si>
  <si>
    <t>VZTAUB</t>
  </si>
  <si>
    <t>Vz for Dose Int Norm by BMI</t>
  </si>
  <si>
    <t>The volume of distribution associated with the terminal slope following intravascular administration, calculated using AUCTAU, divided by the body mass index.</t>
  </si>
  <si>
    <t>Volume of Distribution for Dosing Interval Normalized by Body Mass Index</t>
  </si>
  <si>
    <t>C111370</t>
  </si>
  <si>
    <t>VZTAUD</t>
  </si>
  <si>
    <t>Vz for Dose Int Norm by Dose</t>
  </si>
  <si>
    <t>The volume of distribution associated with the terminal slope following intravascular administration, calculated using AUCTAU, divided by the dose.</t>
  </si>
  <si>
    <t>Volume of Distribution for Dosing Interval Normalized by Dose</t>
  </si>
  <si>
    <t>C111371</t>
  </si>
  <si>
    <t>VZTAUS</t>
  </si>
  <si>
    <t>Vz for Dose Int Norm by SA</t>
  </si>
  <si>
    <t>The volume of distribution associated with the terminal slope following intravascular administration, calculated using AUCTAU, divided by the surface area.</t>
  </si>
  <si>
    <t>Volume of Distribution for Dosing Interval Normalized by Surface Area</t>
  </si>
  <si>
    <t>C111372</t>
  </si>
  <si>
    <t>VZTAUW</t>
  </si>
  <si>
    <t>Vz for Dose Int Norm by WT</t>
  </si>
  <si>
    <t>The volume of distribution associated with the terminal slope following intravascular administration, calculated using AUCTAU, divided by the weight.</t>
  </si>
  <si>
    <t>Volume of Distribution for Dosing Interval Normalized by Weight</t>
  </si>
  <si>
    <t>C189555</t>
  </si>
  <si>
    <t>VZV</t>
  </si>
  <si>
    <t>Varicella Zoster Virus</t>
  </si>
  <si>
    <t>A measurement of the varicella zoster virus in a biological specimen.</t>
  </si>
  <si>
    <t>Varicella Zoster Virus Measurement</t>
  </si>
  <si>
    <t>C186192</t>
  </si>
  <si>
    <t>VZVDNA</t>
  </si>
  <si>
    <t>Varicella Zoster Virus DNA</t>
  </si>
  <si>
    <t>A measurement of the Varicella Zoster virus DNA in a biological specimen.</t>
  </si>
  <si>
    <t>Varicella Zoster Virus DNA Measurement</t>
  </si>
  <si>
    <t>C17651</t>
  </si>
  <si>
    <t>WAISTHIP</t>
  </si>
  <si>
    <t>Waist to Hip Ratio</t>
  </si>
  <si>
    <t>A relative measurement (ratio) of the waist circumference to the hip circumference.</t>
  </si>
  <si>
    <t>Waist-Hip Ratio</t>
  </si>
  <si>
    <t>C221676</t>
  </si>
  <si>
    <t>WALKABL</t>
  </si>
  <si>
    <t>Walking Ability</t>
  </si>
  <si>
    <t>An evaluation of an individual's ability to walk.</t>
  </si>
  <si>
    <t>Walking Ability Evaluation</t>
  </si>
  <si>
    <t>C156554</t>
  </si>
  <si>
    <t>WASO</t>
  </si>
  <si>
    <t>Wake After Sleep Onset</t>
  </si>
  <si>
    <t>Awake After Sleep Onset; Wake After Sleep Onset; Wake Time After Sleep Onset</t>
  </si>
  <si>
    <t>A measurement of the sum of durations of wakefulness episodes throughout the night, not including the wakefulness before sleep onset.</t>
  </si>
  <si>
    <t>C181552</t>
  </si>
  <si>
    <t>WASTHEEL</t>
  </si>
  <si>
    <t>Waist to Heel Length</t>
  </si>
  <si>
    <t>A measurement from the top of the waist to the bottom of the heel.</t>
  </si>
  <si>
    <t>C51948</t>
  </si>
  <si>
    <t>WBC</t>
  </si>
  <si>
    <t>Leukocytes</t>
  </si>
  <si>
    <t>Leukocytes; White Blood Cells</t>
  </si>
  <si>
    <t>A measurement of the leukocytes in a biological specimen.</t>
  </si>
  <si>
    <t>Leukocyte Count</t>
  </si>
  <si>
    <t>C135451</t>
  </si>
  <si>
    <t>WBCCE</t>
  </si>
  <si>
    <t>Leukocytes/Total Cells</t>
  </si>
  <si>
    <t>Leukocytes/Total Cells; WBC/Total Cells</t>
  </si>
  <si>
    <t>A relative measurement (ratio or percentage) of the leukocytes to total cells in a biological specimen.</t>
  </si>
  <si>
    <t>Leukocytes to Total Cells Ratio Measurement</t>
  </si>
  <si>
    <t>C92246</t>
  </si>
  <si>
    <t>WBCCLMP</t>
  </si>
  <si>
    <t>Leukocyte Cell Clumps</t>
  </si>
  <si>
    <t>Leukocyte Cell Clumps; WBC Clumps; White Blood Cell Clumps</t>
  </si>
  <si>
    <t>A measurement of white blood cell clumps in a biological specimen.</t>
  </si>
  <si>
    <t>Leukocyte Cell Clumps Measurement</t>
  </si>
  <si>
    <t>C98493</t>
  </si>
  <si>
    <t>WBCDIFF</t>
  </si>
  <si>
    <t>Leukocyte Cell Differential</t>
  </si>
  <si>
    <t>Leukocyte Cell Differential; Leukocyte Cell Fraction; Leukocyte Diff</t>
  </si>
  <si>
    <t>An overall assessment of the leukocyte subtype distribution in a biological specimen.</t>
  </si>
  <si>
    <t>Differential Leukocyte Count</t>
  </si>
  <si>
    <t>C92297</t>
  </si>
  <si>
    <t>WBCMORPH</t>
  </si>
  <si>
    <t>Leukocyte Cell Morphology</t>
  </si>
  <si>
    <t>Leukocyte Cell Morphology; WBC Morphology; White Blood Cell Morphology</t>
  </si>
  <si>
    <t>An examination or assessment of the form and structure of white blood cells.</t>
  </si>
  <si>
    <t>C127637</t>
  </si>
  <si>
    <t>WDR26</t>
  </si>
  <si>
    <t>WD Repeat-Containing Protein 26</t>
  </si>
  <si>
    <t>CDW2; Macrophage Inflammatory Protein-2; MIP2; WD Repeat-Containing Protein 26</t>
  </si>
  <si>
    <t>A measurement of the WD repeat-containing protein 26 in a biological specimen.</t>
  </si>
  <si>
    <t>WD Repeat-Containing Protein 26 Measurement</t>
  </si>
  <si>
    <t>C25208</t>
  </si>
  <si>
    <t>WEIGHT</t>
  </si>
  <si>
    <t>Weight</t>
  </si>
  <si>
    <t>The vertical force exerted by a mass as a result of gravity. (NCI)</t>
  </si>
  <si>
    <t>C112429</t>
  </si>
  <si>
    <t>WHEALSZ</t>
  </si>
  <si>
    <t>Wheal Size</t>
  </si>
  <si>
    <t>A semi-quantitative size assessment of the flat, circular, slightly raised area that forms around the site of an antigenic challenge to the skin.</t>
  </si>
  <si>
    <t>Wheal Size Measurement</t>
  </si>
  <si>
    <t>C130186</t>
  </si>
  <si>
    <t>WHLINT</t>
  </si>
  <si>
    <t>Wheal Diameter Interpretation</t>
  </si>
  <si>
    <t>The process of evaluating the wheal diameter in response to an allergen, based on a threshold size.</t>
  </si>
  <si>
    <t>C112427</t>
  </si>
  <si>
    <t>WHLLDIAM</t>
  </si>
  <si>
    <t>Wheal Longest Diameter</t>
  </si>
  <si>
    <t>The longest diameter of the flat, circular, slightly raised area that forms around the site of an antigenic challenge to the skin.</t>
  </si>
  <si>
    <t>C112428</t>
  </si>
  <si>
    <t>WHLMDIAM</t>
  </si>
  <si>
    <t>Wheal Mean Diameter</t>
  </si>
  <si>
    <t>The mean diameter of the flat, circular, slightly raised area that forms around the site of an antigenic challenge to the skin.</t>
  </si>
  <si>
    <t>C25345</t>
  </si>
  <si>
    <t>WIDTH</t>
  </si>
  <si>
    <t>Width</t>
  </si>
  <si>
    <t>The extent or measurement of something from side to side. (NCI)</t>
  </si>
  <si>
    <t>C209695</t>
  </si>
  <si>
    <t>WRKDYWKN</t>
  </si>
  <si>
    <t>Number of Work Days Per Week</t>
  </si>
  <si>
    <t>The number of days per week the subject works.</t>
  </si>
  <si>
    <t>Number of Work Days Per Week Question</t>
  </si>
  <si>
    <t>C100948</t>
  </si>
  <si>
    <t>WSTCIR</t>
  </si>
  <si>
    <t>Waist Circumference</t>
  </si>
  <si>
    <t>The distance around an individual's midsection or waist.</t>
  </si>
  <si>
    <t>C163569</t>
  </si>
  <si>
    <t>WTAPCTL</t>
  </si>
  <si>
    <t>Weight-for-Age Percentile</t>
  </si>
  <si>
    <t>An assessed relationship of an individual's weight and age to that of a reference population, expressed as a percentile.</t>
  </si>
  <si>
    <t>C163570</t>
  </si>
  <si>
    <t>WTHTPCTL</t>
  </si>
  <si>
    <t>Weight-for-Height Percentile</t>
  </si>
  <si>
    <t>An assessed relationship of an individual's weight and height to that of a reference population, expressed as a percentile.</t>
  </si>
  <si>
    <t>C186098</t>
  </si>
  <si>
    <t>XLSXLSD</t>
  </si>
  <si>
    <t>Xylose/Xylose Dose</t>
  </si>
  <si>
    <t>A relative measurement (percentage) of the xylose in a biological specimen to an administered dose of xylose.</t>
  </si>
  <si>
    <t>Xylose to Xylose Dose Ratio Measurement</t>
  </si>
  <si>
    <t>C147449</t>
  </si>
  <si>
    <t>XNTHCHR</t>
  </si>
  <si>
    <t>Xanthochromia</t>
  </si>
  <si>
    <t>A measurement of the yellowish appearance of a biological specimen due to the presence of bilirubin produced by the degradation of heme from erythrocytes that have entered the biological specimen.</t>
  </si>
  <si>
    <t>Xanthochromia Measurement</t>
  </si>
  <si>
    <t>C186099</t>
  </si>
  <si>
    <t>XYLOSE</t>
  </si>
  <si>
    <t>Xylose</t>
  </si>
  <si>
    <t>A measurement of the xylose in a biological specimen.</t>
  </si>
  <si>
    <t>Xylose Measurement</t>
  </si>
  <si>
    <t>C74664</t>
  </si>
  <si>
    <t>YEAST</t>
  </si>
  <si>
    <t>Yeast Cells</t>
  </si>
  <si>
    <t>A measurement of the yeast cells present in a biological specimen.</t>
  </si>
  <si>
    <t>Yeast Cell Measurement</t>
  </si>
  <si>
    <t>C106504</t>
  </si>
  <si>
    <t>YEASTBUD</t>
  </si>
  <si>
    <t>Yeast Budding</t>
  </si>
  <si>
    <t>Budding Yeast; Yeast Budding</t>
  </si>
  <si>
    <t>A measurement of the budding yeast present in a biological specimen.</t>
  </si>
  <si>
    <t>Budding Yeast Measurement</t>
  </si>
  <si>
    <t>C92239</t>
  </si>
  <si>
    <t>YEASTHYP</t>
  </si>
  <si>
    <t>Yeast Hyphae</t>
  </si>
  <si>
    <t>A measurement of the yeast hyphae present in a biological specimen.</t>
  </si>
  <si>
    <t>Yeast Hyphae Screening</t>
  </si>
  <si>
    <t>C166059</t>
  </si>
  <si>
    <t>YENDNA</t>
  </si>
  <si>
    <t>Yersinia enterocolitica DNA</t>
  </si>
  <si>
    <t>A measurement of the Yersinia enterocolitica DNA in a biological specimen.</t>
  </si>
  <si>
    <t>Yersinia enterocolitica DNA Measurement</t>
  </si>
  <si>
    <t>C187875</t>
  </si>
  <si>
    <t>YERSINIA</t>
  </si>
  <si>
    <t>Yersinia</t>
  </si>
  <si>
    <t>A measurement of the organisms that are not assigned to the species level but are assigned to the Yersinia genus level in a biological specimen.</t>
  </si>
  <si>
    <t>Yersinia Measurement</t>
  </si>
  <si>
    <t>C142294</t>
  </si>
  <si>
    <t>YKL40P</t>
  </si>
  <si>
    <t>YKL-40 Protein</t>
  </si>
  <si>
    <t>Chitinase-3-Like Protein 1; YKL-40 Protein</t>
  </si>
  <si>
    <t>A measurement of the YKL-40 protein in a biological specimen.</t>
  </si>
  <si>
    <t>YKL-40 Protein Measurement</t>
  </si>
  <si>
    <t>C184636</t>
  </si>
  <si>
    <t>ZALEPLON</t>
  </si>
  <si>
    <t>Zaleplon</t>
  </si>
  <si>
    <t>A measurement of the zaleplon in a biological specimen.</t>
  </si>
  <si>
    <t>Zaleplon Measurement</t>
  </si>
  <si>
    <t>C132420</t>
  </si>
  <si>
    <t>ZEBOV</t>
  </si>
  <si>
    <t>Zaire Ebolavirus</t>
  </si>
  <si>
    <t>A measurement of the Zaire ebolavirus present in a biological specimen.</t>
  </si>
  <si>
    <t>Zaire Ebolavirus Measurement</t>
  </si>
  <si>
    <t>C80210</t>
  </si>
  <si>
    <t>ZINC</t>
  </si>
  <si>
    <t>Zinc</t>
  </si>
  <si>
    <t>A measurement of the zinc in a biological specimen.</t>
  </si>
  <si>
    <t>Zinc Measurement</t>
  </si>
  <si>
    <t>C177986</t>
  </si>
  <si>
    <t>ZIPRASDN</t>
  </si>
  <si>
    <t>Ziprasidone</t>
  </si>
  <si>
    <t>A measurement of the ziprasidone in a biological specimen.</t>
  </si>
  <si>
    <t>Ziprasidone Measurement</t>
  </si>
  <si>
    <t>C201440</t>
  </si>
  <si>
    <t>ZKVRNA</t>
  </si>
  <si>
    <t>Zika Virus RNA</t>
  </si>
  <si>
    <t>A measurement of the Zika virus RNA in a biological specimen.</t>
  </si>
  <si>
    <t>Zika Virus RNA Measurement</t>
  </si>
  <si>
    <t>C184637</t>
  </si>
  <si>
    <t>ZOLPIDEM</t>
  </si>
  <si>
    <t>Zolpidem</t>
  </si>
  <si>
    <t>A measurement of the zolpidem in a biological specimen.</t>
  </si>
  <si>
    <t>Zolpidem Measurement</t>
  </si>
  <si>
    <t>C184638</t>
  </si>
  <si>
    <t>ZOPCLN</t>
  </si>
  <si>
    <t>Zopiclone</t>
  </si>
  <si>
    <t>A measurement of the zopiclone in a biological specimen.</t>
  </si>
  <si>
    <t>Zopiclone Measurement</t>
  </si>
  <si>
    <t>C147452</t>
  </si>
  <si>
    <t>ZPP</t>
  </si>
  <si>
    <t>Zinc Protoporphyrin</t>
  </si>
  <si>
    <t>A measurement of the zinc protoporphyrin (zinc bound protoporphyrin) in a biological specimen.</t>
  </si>
  <si>
    <t>Zinc Protoporphyrin Measurement</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</si>
</sst>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43"/>
    <col customWidth="1" min="2" max="2" width="8.71"/>
    <col customWidth="1" min="3" max="3" width="11.71"/>
    <col customWidth="1" min="4" max="4" width="38.43"/>
    <col customWidth="1" min="5" max="7" width="16.71"/>
    <col customWidth="1" min="8" max="11" width="20.29"/>
  </cols>
  <sheetData>
    <row r="1" ht="13.5" customHeight="1">
      <c r="A1" s="1" t="s">
        <v>0</v>
      </c>
      <c r="B1" s="1" t="s">
        <v>1</v>
      </c>
      <c r="C1" s="1" t="s">
        <v>2</v>
      </c>
      <c r="D1" s="1" t="s">
        <v>3</v>
      </c>
      <c r="E1" s="1" t="s">
        <v>4</v>
      </c>
      <c r="F1" s="1" t="s">
        <v>5</v>
      </c>
      <c r="G1" s="1" t="s">
        <v>6</v>
      </c>
      <c r="H1" s="2" t="s">
        <v>7</v>
      </c>
      <c r="I1" s="2" t="s">
        <v>8</v>
      </c>
      <c r="J1" s="2" t="s">
        <v>9</v>
      </c>
      <c r="K1" s="2" t="s">
        <v>10</v>
      </c>
    </row>
    <row r="2" ht="13.5" customHeight="1">
      <c r="A2" s="1" t="s">
        <v>11</v>
      </c>
      <c r="B2" s="1" t="s">
        <v>12</v>
      </c>
      <c r="C2" s="1" t="s">
        <v>13</v>
      </c>
      <c r="D2" s="1" t="s">
        <v>14</v>
      </c>
      <c r="E2" s="1" t="s">
        <v>14</v>
      </c>
      <c r="F2" s="1" t="s">
        <v>15</v>
      </c>
      <c r="G2" s="1" t="s">
        <v>16</v>
      </c>
      <c r="H2" s="1" t="str">
        <f>IFERROR(__xludf.DUMMYFUNCTION("GOOGLETRANSLATE(D2,""EN"",""JA"")"),"アルファ1酸性糖タンパク質")</f>
        <v>アルファ1酸性糖タンパク質</v>
      </c>
      <c r="I2" s="1" t="str">
        <f>IFERROR(__xludf.DUMMYFUNCTION("GOOGLETRANSLATE(E2,""EN"",""JA"")"),"アルファ1酸性糖タンパク質")</f>
        <v>アルファ1酸性糖タンパク質</v>
      </c>
      <c r="J2" s="1" t="str">
        <f>IFERROR(__xludf.DUMMYFUNCTION("GOOGLETRANSLATE(F2,""EN"",""JA"")"),"生物標本中のアルファ 1 酸性糖タンパク質の測定。")</f>
        <v>生物標本中のアルファ 1 酸性糖タンパク質の測定。</v>
      </c>
      <c r="K2" s="1" t="str">
        <f>IFERROR(__xludf.DUMMYFUNCTION("GOOGLETRANSLATE(G2,""EN"",""JA"")"),"アルファ1酸性糖タンパク質測定")</f>
        <v>アルファ1酸性糖タンパク質測定</v>
      </c>
    </row>
    <row r="3" ht="13.5" customHeight="1">
      <c r="A3" s="1" t="s">
        <v>11</v>
      </c>
      <c r="B3" s="1" t="s">
        <v>17</v>
      </c>
      <c r="C3" s="1" t="s">
        <v>18</v>
      </c>
      <c r="D3" s="1" t="s">
        <v>19</v>
      </c>
      <c r="E3" s="1" t="s">
        <v>19</v>
      </c>
      <c r="F3" s="1" t="s">
        <v>20</v>
      </c>
      <c r="G3" s="1" t="s">
        <v>21</v>
      </c>
      <c r="H3" s="1" t="str">
        <f>IFERROR(__xludf.DUMMYFUNCTION("GOOGLETRANSLATE(D3,""EN"",""JA"")"),"アルファ1アンチトリプシン、機能性")</f>
        <v>アルファ1アンチトリプシン、機能性</v>
      </c>
      <c r="I3" s="1" t="str">
        <f>IFERROR(__xludf.DUMMYFUNCTION("GOOGLETRANSLATE(E3,""EN"",""JA"")"),"アルファ1アンチトリプシン、機能性")</f>
        <v>アルファ1アンチトリプシン、機能性</v>
      </c>
      <c r="J3" s="1" t="str">
        <f>IFERROR(__xludf.DUMMYFUNCTION("GOOGLETRANSLATE(F3,""EN"",""JA"")"),"生物学的標本中の機能的アルファ-1 アンチトリプシンの測定。")</f>
        <v>生物学的標本中の機能的アルファ-1 アンチトリプシンの測定。</v>
      </c>
      <c r="K3" s="1" t="str">
        <f>IFERROR(__xludf.DUMMYFUNCTION("GOOGLETRANSLATE(G3,""EN"",""JA"")"),"機能的α-1アンチトリプシン測定")</f>
        <v>機能的α-1アンチトリプシン測定</v>
      </c>
    </row>
    <row r="4" ht="13.5" customHeight="1">
      <c r="A4" s="1" t="s">
        <v>11</v>
      </c>
      <c r="B4" s="1" t="s">
        <v>22</v>
      </c>
      <c r="C4" s="1" t="s">
        <v>23</v>
      </c>
      <c r="D4" s="1" t="s">
        <v>24</v>
      </c>
      <c r="E4" s="1" t="s">
        <v>25</v>
      </c>
      <c r="F4" s="1" t="s">
        <v>26</v>
      </c>
      <c r="G4" s="1" t="s">
        <v>27</v>
      </c>
      <c r="H4" s="1" t="str">
        <f>IFERROR(__xludf.DUMMYFUNCTION("GOOGLETRANSLATE(D4,""EN"",""JA"")"),"アルファ1アンチトリプシン")</f>
        <v>アルファ1アンチトリプシン</v>
      </c>
      <c r="I4" s="1" t="str">
        <f>IFERROR(__xludf.DUMMYFUNCTION("GOOGLETRANSLATE(E4,""EN"",""JA"")"),"α-1アンチトリプシン；血清トリプシンインヒビター")</f>
        <v>α-1アンチトリプシン；血清トリプシンインヒビター</v>
      </c>
      <c r="J4" s="1" t="str">
        <f>IFERROR(__xludf.DUMMYFUNCTION("GOOGLETRANSLATE(F4,""EN"",""JA"")"),"生物標本中のアルファ 1 アンチトリプシンの測定。")</f>
        <v>生物標本中のアルファ 1 アンチトリプシンの測定。</v>
      </c>
      <c r="K4" s="1" t="str">
        <f>IFERROR(__xludf.DUMMYFUNCTION("GOOGLETRANSLATE(G4,""EN"",""JA"")"),"アルファ1アンチトリプシン測定")</f>
        <v>アルファ1アンチトリプシン測定</v>
      </c>
    </row>
    <row r="5" ht="13.5" customHeight="1">
      <c r="A5" s="1" t="s">
        <v>11</v>
      </c>
      <c r="B5" s="1" t="s">
        <v>28</v>
      </c>
      <c r="C5" s="1" t="s">
        <v>29</v>
      </c>
      <c r="D5" s="1" t="s">
        <v>30</v>
      </c>
      <c r="E5" s="1" t="s">
        <v>30</v>
      </c>
      <c r="F5" s="1" t="s">
        <v>31</v>
      </c>
      <c r="G5" s="1" t="s">
        <v>32</v>
      </c>
      <c r="H5" s="1" t="str">
        <f>IFERROR(__xludf.DUMMYFUNCTION("GOOGLETRANSLATE(D5,""EN"",""JA"")"),"アルファ1ミクログロブリン排泄率")</f>
        <v>アルファ1ミクログロブリン排泄率</v>
      </c>
      <c r="I5" s="1" t="str">
        <f>IFERROR(__xludf.DUMMYFUNCTION("GOOGLETRANSLATE(E5,""EN"",""JA"")"),"アルファ1ミクログロブリン排泄率")</f>
        <v>アルファ1ミクログロブリン排泄率</v>
      </c>
      <c r="J5" s="1" t="str">
        <f>IFERROR(__xludf.DUMMYFUNCTION("GOOGLETRANSLATE(F5,""EN"",""JA"")"),"定義された時間（例：1 時間）にわたって生物学的標本中に排出されるアルファ 1 ミクログロブリンの量を測定します。")</f>
        <v>定義された時間（例：1 時間）にわたって生物学的標本中に排出されるアルファ 1 ミクログロブリンの量を測定します。</v>
      </c>
      <c r="K5" s="1" t="str">
        <f>IFERROR(__xludf.DUMMYFUNCTION("GOOGLETRANSLATE(G5,""EN"",""JA"")"),"アルファ1ミクログロブリン排泄率測定")</f>
        <v>アルファ1ミクログロブリン排泄率測定</v>
      </c>
    </row>
    <row r="6" ht="13.5" customHeight="1">
      <c r="A6" s="1" t="s">
        <v>11</v>
      </c>
      <c r="B6" s="1" t="s">
        <v>33</v>
      </c>
      <c r="C6" s="1" t="s">
        <v>34</v>
      </c>
      <c r="D6" s="1" t="s">
        <v>35</v>
      </c>
      <c r="E6" s="1" t="s">
        <v>35</v>
      </c>
      <c r="F6" s="1" t="s">
        <v>36</v>
      </c>
      <c r="G6" s="1" t="s">
        <v>37</v>
      </c>
      <c r="H6" s="1" t="str">
        <f>IFERROR(__xludf.DUMMYFUNCTION("GOOGLETRANSLATE(D6,""EN"",""JA"")"),"アルファ1ミクログロブリン/クレアチニン")</f>
        <v>アルファ1ミクログロブリン/クレアチニン</v>
      </c>
      <c r="I6" s="1" t="str">
        <f>IFERROR(__xludf.DUMMYFUNCTION("GOOGLETRANSLATE(E6,""EN"",""JA"")"),"アルファ1ミクログロブリン/クレアチニン")</f>
        <v>アルファ1ミクログロブリン/クレアチニン</v>
      </c>
      <c r="J6" s="1" t="str">
        <f>IFERROR(__xludf.DUMMYFUNCTION("GOOGLETRANSLATE(F6,""EN"",""JA"")"),"生物学的標本中のクレアチニンに対するアルファ 1 ミクログロブリンの相対的な測定値 (比率またはパーセンテージ)。")</f>
        <v>生物学的標本中のクレアチニンに対するアルファ 1 ミクログロブリンの相対的な測定値 (比率またはパーセンテージ)。</v>
      </c>
      <c r="K6" s="1" t="str">
        <f>IFERROR(__xludf.DUMMYFUNCTION("GOOGLETRANSLATE(G6,""EN"",""JA"")"),"アルファ1ミクログロブリン対クレアチニン比測定")</f>
        <v>アルファ1ミクログロブリン対クレアチニン比測定</v>
      </c>
    </row>
    <row r="7" ht="13.5" customHeight="1">
      <c r="A7" s="1" t="s">
        <v>11</v>
      </c>
      <c r="B7" s="1" t="s">
        <v>38</v>
      </c>
      <c r="C7" s="1" t="s">
        <v>39</v>
      </c>
      <c r="D7" s="1" t="s">
        <v>40</v>
      </c>
      <c r="E7" s="1" t="s">
        <v>41</v>
      </c>
      <c r="F7" s="1" t="s">
        <v>42</v>
      </c>
      <c r="G7" s="1" t="s">
        <v>43</v>
      </c>
      <c r="H7" s="1" t="str">
        <f>IFERROR(__xludf.DUMMYFUNCTION("GOOGLETRANSLATE(D7,""EN"",""JA"")"),"アルファ1ミクログロブリン")</f>
        <v>アルファ1ミクログロブリン</v>
      </c>
      <c r="I7" s="1" t="str">
        <f>IFERROR(__xludf.DUMMYFUNCTION("GOOGLETRANSLATE(E7,""EN"",""JA"")"),"アルファ1ミクログロブリン; タンパク質HC")</f>
        <v>アルファ1ミクログロブリン; タンパク質HC</v>
      </c>
      <c r="J7" s="1" t="str">
        <f>IFERROR(__xludf.DUMMYFUNCTION("GOOGLETRANSLATE(F7,""EN"",""JA"")"),"生物標本中のアルファ 1 ミクログロブリンの測定。")</f>
        <v>生物標本中のアルファ 1 ミクログロブリンの測定。</v>
      </c>
      <c r="K7" s="1" t="str">
        <f>IFERROR(__xludf.DUMMYFUNCTION("GOOGLETRANSLATE(G7,""EN"",""JA"")"),"アルファ1ミクログロブリン測定")</f>
        <v>アルファ1ミクログロブリン測定</v>
      </c>
    </row>
    <row r="8" ht="13.5" customHeight="1">
      <c r="A8" s="1" t="s">
        <v>11</v>
      </c>
      <c r="B8" s="1" t="s">
        <v>44</v>
      </c>
      <c r="C8" s="1" t="s">
        <v>45</v>
      </c>
      <c r="D8" s="1" t="s">
        <v>46</v>
      </c>
      <c r="E8" s="1" t="s">
        <v>46</v>
      </c>
      <c r="F8" s="1" t="s">
        <v>47</v>
      </c>
      <c r="G8" s="1" t="s">
        <v>48</v>
      </c>
      <c r="H8" s="1" t="str">
        <f>IFERROR(__xludf.DUMMYFUNCTION("GOOGLETRANSLATE(D8,""EN"",""JA"")"),"アルファ2マクログロブリン")</f>
        <v>アルファ2マクログロブリン</v>
      </c>
      <c r="I8" s="1" t="str">
        <f>IFERROR(__xludf.DUMMYFUNCTION("GOOGLETRANSLATE(E8,""EN"",""JA"")"),"アルファ2マクログロブリン")</f>
        <v>アルファ2マクログロブリン</v>
      </c>
      <c r="J8" s="1" t="str">
        <f>IFERROR(__xludf.DUMMYFUNCTION("GOOGLETRANSLATE(F8,""EN"",""JA"")"),"生物標本中のアルファ 2 マクログロブリンの測定。")</f>
        <v>生物標本中のアルファ 2 マクログロブリンの測定。</v>
      </c>
      <c r="K8" s="1" t="str">
        <f>IFERROR(__xludf.DUMMYFUNCTION("GOOGLETRANSLATE(G8,""EN"",""JA"")"),"アルファ2マクログロブリン測定")</f>
        <v>アルファ2マクログロブリン測定</v>
      </c>
    </row>
    <row r="9" ht="13.5" customHeight="1">
      <c r="A9" s="1" t="s">
        <v>11</v>
      </c>
      <c r="B9" s="1" t="s">
        <v>49</v>
      </c>
      <c r="C9" s="1" t="s">
        <v>50</v>
      </c>
      <c r="D9" s="1" t="s">
        <v>51</v>
      </c>
      <c r="E9" s="1" t="s">
        <v>52</v>
      </c>
      <c r="F9" s="1" t="s">
        <v>53</v>
      </c>
      <c r="G9" s="1" t="s">
        <v>54</v>
      </c>
      <c r="H9" s="1" t="str">
        <f>IFERROR(__xludf.DUMMYFUNCTION("GOOGLETRANSLATE(D9,""EN"",""JA"")"),"7-アルファ-ヒドロキシ-4-コレステン-3-オン")</f>
        <v>7-アルファ-ヒドロキシ-4-コレステン-3-オン</v>
      </c>
      <c r="I9" s="1" t="str">
        <f>IFERROR(__xludf.DUMMYFUNCTION("GOOGLETRANSLATE(E9,""EN"",""JA"")"),"7-アルファヒドロキシ-4-コレステン-3-オン; 7-アルファ-ヒドロキシ-4-コレステン-3-オン")</f>
        <v>7-アルファヒドロキシ-4-コレステン-3-オン; 7-アルファ-ヒドロキシ-4-コレステン-3-オン</v>
      </c>
      <c r="J9" s="1" t="str">
        <f>IFERROR(__xludf.DUMMYFUNCTION("GOOGLETRANSLATE(F9,""EN"",""JA"")"),"生物標本中の 7-アルファ-ヒドロキシ-4-コレステン-3-オンの測定。")</f>
        <v>生物標本中の 7-アルファ-ヒドロキシ-4-コレステン-3-オンの測定。</v>
      </c>
      <c r="K9" s="1" t="str">
        <f>IFERROR(__xludf.DUMMYFUNCTION("GOOGLETRANSLATE(G9,""EN"",""JA"")"),"7-α-ヒドロキシ-4-コレステン-3-オン測定")</f>
        <v>7-α-ヒドロキシ-4-コレステン-3-オン測定</v>
      </c>
    </row>
    <row r="10" ht="13.5" customHeight="1">
      <c r="A10" s="1" t="s">
        <v>11</v>
      </c>
      <c r="B10" s="1" t="s">
        <v>55</v>
      </c>
      <c r="C10" s="1" t="s">
        <v>56</v>
      </c>
      <c r="D10" s="1" t="s">
        <v>57</v>
      </c>
      <c r="E10" s="1" t="s">
        <v>58</v>
      </c>
      <c r="F10" s="1" t="s">
        <v>59</v>
      </c>
      <c r="G10" s="1" t="s">
        <v>60</v>
      </c>
      <c r="H10" s="1" t="str">
        <f>IFERROR(__xludf.DUMMYFUNCTION("GOOGLETRANSLATE(D10,""EN"",""JA"")"),"α-アミノアジピン酸")</f>
        <v>α-アミノアジピン酸</v>
      </c>
      <c r="I10" s="1" t="str">
        <f>IFERROR(__xludf.DUMMYFUNCTION("GOOGLETRANSLATE(E10,""EN"",""JA"")"),"α-アミノアジピン酸; α-アミノアジピン酸")</f>
        <v>α-アミノアジピン酸; α-アミノアジピン酸</v>
      </c>
      <c r="J10" s="1" t="str">
        <f>IFERROR(__xludf.DUMMYFUNCTION("GOOGLETRANSLATE(F10,""EN"",""JA"")"),"生物標本中のα-アミノアジピン酸の測定。")</f>
        <v>生物標本中のα-アミノアジピン酸の測定。</v>
      </c>
      <c r="K10" s="1" t="str">
        <f>IFERROR(__xludf.DUMMYFUNCTION("GOOGLETRANSLATE(G10,""EN"",""JA"")"),"α-アミノアジピン酸測定")</f>
        <v>α-アミノアジピン酸測定</v>
      </c>
    </row>
    <row r="11" ht="13.5" customHeight="1">
      <c r="A11" s="1" t="s">
        <v>11</v>
      </c>
      <c r="B11" s="1" t="s">
        <v>61</v>
      </c>
      <c r="C11" s="1" t="s">
        <v>62</v>
      </c>
      <c r="D11" s="1" t="s">
        <v>63</v>
      </c>
      <c r="E11" s="1" t="s">
        <v>64</v>
      </c>
      <c r="F11" s="1" t="s">
        <v>65</v>
      </c>
      <c r="G11" s="1" t="s">
        <v>66</v>
      </c>
      <c r="H11" s="1" t="str">
        <f>IFERROR(__xludf.DUMMYFUNCTION("GOOGLETRANSLATE(D11,""EN"",""JA"")"),"α-アミノ酪酸")</f>
        <v>α-アミノ酪酸</v>
      </c>
      <c r="I11" s="1" t="str">
        <f>IFERROR(__xludf.DUMMYFUNCTION("GOOGLETRANSLATE(E11,""EN"",""JA"")"),"α-アミノ酪酸; α-アミノ酪酸; ホモアラニン")</f>
        <v>α-アミノ酪酸; α-アミノ酪酸; ホモアラニン</v>
      </c>
      <c r="J11" s="1" t="str">
        <f>IFERROR(__xludf.DUMMYFUNCTION("GOOGLETRANSLATE(F11,""EN"",""JA"")"),"生物標本中のα-アミノ酪酸の測定。")</f>
        <v>生物標本中のα-アミノ酪酸の測定。</v>
      </c>
      <c r="K11" s="1" t="str">
        <f>IFERROR(__xludf.DUMMYFUNCTION("GOOGLETRANSLATE(G11,""EN"",""JA"")"),"α-アミノ酪酸測定")</f>
        <v>α-アミノ酪酸測定</v>
      </c>
    </row>
    <row r="12" ht="13.5" customHeight="1">
      <c r="A12" s="1" t="s">
        <v>67</v>
      </c>
      <c r="B12" s="1" t="s">
        <v>68</v>
      </c>
      <c r="C12" s="1" t="s">
        <v>69</v>
      </c>
      <c r="D12" s="1" t="s">
        <v>70</v>
      </c>
      <c r="E12" s="1" t="s">
        <v>70</v>
      </c>
      <c r="F12" s="1" t="s">
        <v>71</v>
      </c>
      <c r="G12" s="1" t="s">
        <v>72</v>
      </c>
      <c r="H12" s="1" t="str">
        <f>IFERROR(__xludf.DUMMYFUNCTION("GOOGLETRANSLATE(D12,""EN"",""JA"")"),"アシネトバクター・アニトラトゥス")</f>
        <v>アシネトバクター・アニトラトゥス</v>
      </c>
      <c r="I12" s="1" t="str">
        <f>IFERROR(__xludf.DUMMYFUNCTION("GOOGLETRANSLATE(E12,""EN"",""JA"")"),"アシネトバクター・アニトラトゥス")</f>
        <v>アシネトバクター・アニトラトゥス</v>
      </c>
      <c r="J12" s="1" t="str">
        <f>IFERROR(__xludf.DUMMYFUNCTION("GOOGLETRANSLATE(F12,""EN"",""JA"")"),"生物標本中の Acinetobacter anitratus の測定。")</f>
        <v>生物標本中の Acinetobacter anitratus の測定。</v>
      </c>
      <c r="K12" s="1" t="str">
        <f>IFERROR(__xludf.DUMMYFUNCTION("GOOGLETRANSLATE(G12,""EN"",""JA"")"),"アシネトバクター・アニトラタス測定")</f>
        <v>アシネトバクター・アニトラタス測定</v>
      </c>
    </row>
    <row r="13" ht="13.5" customHeight="1">
      <c r="A13" s="1" t="s">
        <v>11</v>
      </c>
      <c r="B13" s="1" t="s">
        <v>73</v>
      </c>
      <c r="C13" s="1" t="s">
        <v>74</v>
      </c>
      <c r="D13" s="1" t="s">
        <v>75</v>
      </c>
      <c r="E13" s="1" t="s">
        <v>75</v>
      </c>
      <c r="F13" s="1" t="s">
        <v>76</v>
      </c>
      <c r="G13" s="1" t="s">
        <v>77</v>
      </c>
      <c r="H13" s="1" t="str">
        <f>IFERROR(__xludf.DUMMYFUNCTION("GOOGLETRANSLATE(D13,""EN"",""JA"")"),"アラニンアミノペプチダーゼ")</f>
        <v>アラニンアミノペプチダーゼ</v>
      </c>
      <c r="I13" s="1" t="str">
        <f>IFERROR(__xludf.DUMMYFUNCTION("GOOGLETRANSLATE(E13,""EN"",""JA"")"),"アラニンアミノペプチダーゼ")</f>
        <v>アラニンアミノペプチダーゼ</v>
      </c>
      <c r="J13" s="1" t="str">
        <f>IFERROR(__xludf.DUMMYFUNCTION("GOOGLETRANSLATE(F13,""EN"",""JA"")"),"生物標本中のアラニンアミノペプチダーゼの測定。")</f>
        <v>生物標本中のアラニンアミノペプチダーゼの測定。</v>
      </c>
      <c r="K13" s="1" t="str">
        <f>IFERROR(__xludf.DUMMYFUNCTION("GOOGLETRANSLATE(G13,""EN"",""JA"")"),"アラニンアミノペプチダーゼ測定")</f>
        <v>アラニンアミノペプチダーゼ測定</v>
      </c>
    </row>
    <row r="14" ht="13.5" customHeight="1">
      <c r="A14" s="1" t="s">
        <v>11</v>
      </c>
      <c r="B14" s="1" t="s">
        <v>78</v>
      </c>
      <c r="C14" s="1" t="s">
        <v>79</v>
      </c>
      <c r="D14" s="1" t="s">
        <v>80</v>
      </c>
      <c r="E14" s="1" t="s">
        <v>81</v>
      </c>
      <c r="F14" s="1" t="s">
        <v>82</v>
      </c>
      <c r="G14" s="1" t="s">
        <v>83</v>
      </c>
      <c r="H14" s="1" t="str">
        <f>IFERROR(__xludf.DUMMYFUNCTION("GOOGLETRANSLATE(D14,""EN"",""JA"")"),"アグリカン Ala-Arg-Gly-Ser ネオエピトープ")</f>
        <v>アグリカン Ala-Arg-Gly-Ser ネオエピトープ</v>
      </c>
      <c r="I14" s="1" t="str">
        <f>IFERROR(__xludf.DUMMYFUNCTION("GOOGLETRANSLATE(E14,""EN"",""JA"")"),"アグリカン Ala-Arg-Gly-Ser ネオエピトープ; アグリカン アラニン-アルギニン-グリシン-セリン ネオエピトープ; ARGS; ARGS-アグリカン")</f>
        <v>アグリカン Ala-Arg-Gly-Ser ネオエピトープ; アグリカン アラニン-アルギニン-グリシン-セリン ネオエピトープ; ARGS; ARGS-アグリカン</v>
      </c>
      <c r="J14" s="1" t="str">
        <f>IFERROR(__xludf.DUMMYFUNCTION("GOOGLETRANSLATE(F14,""EN"",""JA"")"),"生物標本中のアグリカン アラニン-アルギニン-グリシン-セリン ネオエピトープ (ARGS) の測定。")</f>
        <v>生物標本中のアグリカン アラニン-アルギニン-グリシン-セリン ネオエピトープ (ARGS) の測定。</v>
      </c>
      <c r="K14" s="1" t="str">
        <f>IFERROR(__xludf.DUMMYFUNCTION("GOOGLETRANSLATE(G14,""EN"",""JA"")"),"アグリカンアラニン-アルギニン-グリシン-セリンネオエピトープ測定")</f>
        <v>アグリカンアラニン-アルギニン-グリシン-セリンネオエピトープ測定</v>
      </c>
    </row>
    <row r="15" ht="13.5" customHeight="1">
      <c r="A15" s="1" t="s">
        <v>11</v>
      </c>
      <c r="B15" s="1" t="s">
        <v>84</v>
      </c>
      <c r="C15" s="1" t="s">
        <v>85</v>
      </c>
      <c r="D15" s="1" t="s">
        <v>86</v>
      </c>
      <c r="E15" s="1" t="s">
        <v>87</v>
      </c>
      <c r="F15" s="1" t="s">
        <v>88</v>
      </c>
      <c r="G15" s="1" t="s">
        <v>89</v>
      </c>
      <c r="H15" s="1" t="str">
        <f>IFERROR(__xludf.DUMMYFUNCTION("GOOGLETRANSLATE(D15,""EN"",""JA"")"),"アルファ-1アンチトリプシンZポリマー")</f>
        <v>アルファ-1アンチトリプシンZポリマー</v>
      </c>
      <c r="I15" s="1" t="str">
        <f>IFERROR(__xludf.DUMMYFUNCTION("GOOGLETRANSLATE(E15,""EN"",""JA"")"),"AAT Zポリマー; アルファ1アンチトリプシンZポリマー")</f>
        <v>AAT Zポリマー; アルファ1アンチトリプシンZポリマー</v>
      </c>
      <c r="J15" s="1" t="str">
        <f>IFERROR(__xludf.DUMMYFUNCTION("GOOGLETRANSLATE(F15,""EN"",""JA"")"),"生物標本中の Z 変異体アルファ 1 アンチトリプシンのポリマーの測定。")</f>
        <v>生物標本中の Z 変異体アルファ 1 アンチトリプシンのポリマーの測定。</v>
      </c>
      <c r="K15" s="1" t="str">
        <f>IFERROR(__xludf.DUMMYFUNCTION("GOOGLETRANSLATE(G15,""EN"",""JA"")"),"アルファ1アンチトリプシンZポリマー測定")</f>
        <v>アルファ1アンチトリプシンZポリマー測定</v>
      </c>
    </row>
    <row r="16" ht="13.5" customHeight="1">
      <c r="A16" s="1" t="s">
        <v>90</v>
      </c>
      <c r="B16" s="1" t="s">
        <v>91</v>
      </c>
      <c r="C16" s="1" t="s">
        <v>92</v>
      </c>
      <c r="D16" s="1" t="s">
        <v>93</v>
      </c>
      <c r="E16" s="1" t="s">
        <v>93</v>
      </c>
      <c r="F16" s="1" t="s">
        <v>94</v>
      </c>
      <c r="G16" s="1" t="s">
        <v>95</v>
      </c>
      <c r="H16" s="1" t="str">
        <f>IFERROR(__xludf.DUMMYFUNCTION("GOOGLETRANSLATE(D16,""EN"",""JA"")"),"大動脈増大指数")</f>
        <v>大動脈増大指数</v>
      </c>
      <c r="I16" s="1" t="str">
        <f>IFERROR(__xludf.DUMMYFUNCTION("GOOGLETRANSLATE(E16,""EN"",""JA"")"),"大動脈増大指数")</f>
        <v>大動脈増大指数</v>
      </c>
      <c r="J16" s="1" t="str">
        <f>IFERROR(__xludf.DUMMYFUNCTION("GOOGLETRANSLATE(F16,""EN"",""JA"")"),"増大圧力を大動脈脈圧（大動脈収縮期圧から大動脈拡張期圧を引いた値）で割り、100 を掛けてパーセントで表します。")</f>
        <v>増大圧力を大動脈脈圧（大動脈収縮期圧から大動脈拡張期圧を引いた値）で割り、100 を掛けてパーセントで表します。</v>
      </c>
      <c r="K16" s="1" t="str">
        <f>IFERROR(__xludf.DUMMYFUNCTION("GOOGLETRANSLATE(G16,""EN"",""JA"")"),"大動脈増大係数測定")</f>
        <v>大動脈増大係数測定</v>
      </c>
    </row>
    <row r="17" ht="13.5" customHeight="1">
      <c r="A17" s="1" t="s">
        <v>90</v>
      </c>
      <c r="B17" s="1" t="s">
        <v>96</v>
      </c>
      <c r="C17" s="1" t="s">
        <v>97</v>
      </c>
      <c r="D17" s="1" t="s">
        <v>98</v>
      </c>
      <c r="E17" s="1" t="s">
        <v>98</v>
      </c>
      <c r="F17" s="1" t="s">
        <v>99</v>
      </c>
      <c r="G17" s="1" t="s">
        <v>98</v>
      </c>
      <c r="H17" s="1" t="str">
        <f>IFERROR(__xludf.DUMMYFUNCTION("GOOGLETRANSLATE(D17,""EN"",""JA"")"),"大動脈増大係数（75bpm）")</f>
        <v>大動脈増大係数（75bpm）</v>
      </c>
      <c r="I17" s="1" t="str">
        <f>IFERROR(__xludf.DUMMYFUNCTION("GOOGLETRANSLATE(E17,""EN"",""JA"")"),"大動脈増大係数（75bpm）")</f>
        <v>大動脈増大係数（75bpm）</v>
      </c>
      <c r="J17" s="1" t="str">
        <f>IFERROR(__xludf.DUMMYFUNCTION("GOOGLETRANSLATE(F17,""EN"",""JA"")"),"大動脈増大係数は、心拍数 75 回/分に正規化されます。")</f>
        <v>大動脈増大係数は、心拍数 75 回/分に正規化されます。</v>
      </c>
      <c r="K17" s="1" t="str">
        <f>IFERROR(__xludf.DUMMYFUNCTION("GOOGLETRANSLATE(G17,""EN"",""JA"")"),"大動脈増大係数（75bpm）")</f>
        <v>大動脈増大係数（75bpm）</v>
      </c>
    </row>
    <row r="18" ht="13.5" customHeight="1">
      <c r="A18" s="1" t="s">
        <v>90</v>
      </c>
      <c r="B18" s="1" t="s">
        <v>100</v>
      </c>
      <c r="C18" s="1" t="s">
        <v>101</v>
      </c>
      <c r="D18" s="1" t="s">
        <v>102</v>
      </c>
      <c r="E18" s="1" t="s">
        <v>102</v>
      </c>
      <c r="F18" s="1" t="s">
        <v>103</v>
      </c>
      <c r="G18" s="1" t="s">
        <v>102</v>
      </c>
      <c r="H18" s="1" t="str">
        <f>IFERROR(__xludf.DUMMYFUNCTION("GOOGLETRANSLATE(D18,""EN"",""JA"")"),"大動脈増大圧")</f>
        <v>大動脈増大圧</v>
      </c>
      <c r="I18" s="1" t="str">
        <f>IFERROR(__xludf.DUMMYFUNCTION("GOOGLETRANSLATE(E18,""EN"",""JA"")"),"大動脈増大圧")</f>
        <v>大動脈増大圧</v>
      </c>
      <c r="J18" s="1" t="str">
        <f>IFERROR(__xludf.DUMMYFUNCTION("GOOGLETRANSLATE(F18,""EN"",""JA"")"),"末梢動脈インピーダンス不整合部位からの圧力波反射による大動脈波の2番目の圧力ピーク（P2）と心室駆出による大動脈波の最初の圧力ピークとの差")</f>
        <v>末梢動脈インピーダンス不整合部位からの圧力波反射による大動脈波の2番目の圧力ピーク（P2）と心室駆出による大動脈波の最初の圧力ピークとの差</v>
      </c>
      <c r="K18" s="1" t="str">
        <f>IFERROR(__xludf.DUMMYFUNCTION("GOOGLETRANSLATE(G18,""EN"",""JA"")"),"大動脈増大圧")</f>
        <v>大動脈増大圧</v>
      </c>
    </row>
    <row r="19" ht="13.5" customHeight="1">
      <c r="A19" s="1" t="s">
        <v>90</v>
      </c>
      <c r="B19" s="1" t="s">
        <v>104</v>
      </c>
      <c r="C19" s="1" t="s">
        <v>105</v>
      </c>
      <c r="D19" s="1" t="s">
        <v>106</v>
      </c>
      <c r="E19" s="1" t="s">
        <v>106</v>
      </c>
      <c r="F19" s="1" t="s">
        <v>107</v>
      </c>
      <c r="G19" s="1" t="s">
        <v>108</v>
      </c>
      <c r="H19" s="1" t="str">
        <f>IFERROR(__xludf.DUMMYFUNCTION("GOOGLETRANSLATE(D19,""EN"",""JA"")"),"大動脈増大圧ピークP1")</f>
        <v>大動脈増大圧ピークP1</v>
      </c>
      <c r="I19" s="1" t="str">
        <f>IFERROR(__xludf.DUMMYFUNCTION("GOOGLETRANSLATE(E19,""EN"",""JA"")"),"大動脈増大圧ピークP1")</f>
        <v>大動脈増大圧ピークP1</v>
      </c>
      <c r="J19" s="1" t="str">
        <f>IFERROR(__xludf.DUMMYFUNCTION("GOOGLETRANSLATE(F19,""EN"",""JA"")"),"大動脈波形の最初の圧力ピークは、心室駆出によって生じます。")</f>
        <v>大動脈波形の最初の圧力ピークは、心室駆出によって生じます。</v>
      </c>
      <c r="K19" s="1" t="str">
        <f>IFERROR(__xludf.DUMMYFUNCTION("GOOGLETRANSLATE(G19,""EN"",""JA"")"),"増強圧力ポイントP1")</f>
        <v>増強圧力ポイントP1</v>
      </c>
    </row>
    <row r="20" ht="13.5" customHeight="1">
      <c r="A20" s="1" t="s">
        <v>90</v>
      </c>
      <c r="B20" s="1" t="s">
        <v>109</v>
      </c>
      <c r="C20" s="1" t="s">
        <v>110</v>
      </c>
      <c r="D20" s="1" t="s">
        <v>111</v>
      </c>
      <c r="E20" s="1" t="s">
        <v>111</v>
      </c>
      <c r="F20" s="1" t="s">
        <v>112</v>
      </c>
      <c r="G20" s="1" t="s">
        <v>113</v>
      </c>
      <c r="H20" s="1" t="str">
        <f>IFERROR(__xludf.DUMMYFUNCTION("GOOGLETRANSLATE(D20,""EN"",""JA"")"),"大動脈増大圧ピークP2")</f>
        <v>大動脈増大圧ピークP2</v>
      </c>
      <c r="I20" s="1" t="str">
        <f>IFERROR(__xludf.DUMMYFUNCTION("GOOGLETRANSLATE(E20,""EN"",""JA"")"),"大動脈増大圧ピークP2")</f>
        <v>大動脈増大圧ピークP2</v>
      </c>
      <c r="J20" s="1" t="str">
        <f>IFERROR(__xludf.DUMMYFUNCTION("GOOGLETRANSLATE(F20,""EN"",""JA"")"),"末梢からの圧力波反射によって生じる大動脈波形の 2 番目の圧力ピーク。")</f>
        <v>末梢からの圧力波反射によって生じる大動脈波形の 2 番目の圧力ピーク。</v>
      </c>
      <c r="K20" s="1" t="str">
        <f>IFERROR(__xludf.DUMMYFUNCTION("GOOGLETRANSLATE(G20,""EN"",""JA"")"),"増強圧力ポイントP2")</f>
        <v>増強圧力ポイントP2</v>
      </c>
    </row>
    <row r="21" ht="13.5" customHeight="1">
      <c r="A21" s="1" t="s">
        <v>11</v>
      </c>
      <c r="B21" s="1" t="s">
        <v>114</v>
      </c>
      <c r="C21" s="1" t="s">
        <v>115</v>
      </c>
      <c r="D21" s="1" t="s">
        <v>116</v>
      </c>
      <c r="E21" s="1" t="s">
        <v>116</v>
      </c>
      <c r="F21" s="1" t="s">
        <v>117</v>
      </c>
      <c r="G21" s="1" t="s">
        <v>118</v>
      </c>
      <c r="H21" s="1" t="str">
        <f>IFERROR(__xludf.DUMMYFUNCTION("GOOGLETRANSLATE(D21,""EN"",""JA"")"),"アミロイドβ1-42/アミロイドβ1-40")</f>
        <v>アミロイドβ1-42/アミロイドβ1-40</v>
      </c>
      <c r="I21" s="1" t="str">
        <f>IFERROR(__xludf.DUMMYFUNCTION("GOOGLETRANSLATE(E21,""EN"",""JA"")"),"アミロイドβ1-42/アミロイドβ1-40")</f>
        <v>アミロイドβ1-42/アミロイドβ1-40</v>
      </c>
      <c r="J21" s="1" t="str">
        <f>IFERROR(__xludf.DUMMYFUNCTION("GOOGLETRANSLATE(F21,""EN"",""JA"")"),"生物標本中のアミロイドβ1-42とアミロイドβ1-40の相対測定値（比率）。")</f>
        <v>生物標本中のアミロイドβ1-42とアミロイドβ1-40の相対測定値（比率）。</v>
      </c>
      <c r="K21" s="1" t="str">
        <f>IFERROR(__xludf.DUMMYFUNCTION("GOOGLETRANSLATE(G21,""EN"",""JA"")"),"アミロイドβ1-42とアミロイドβ1-40の比測定")</f>
        <v>アミロイドβ1-42とアミロイドβ1-40の比測定</v>
      </c>
    </row>
    <row r="22" ht="13.5" customHeight="1">
      <c r="A22" s="1" t="s">
        <v>67</v>
      </c>
      <c r="B22" s="1" t="s">
        <v>119</v>
      </c>
      <c r="C22" s="1" t="s">
        <v>120</v>
      </c>
      <c r="D22" s="1" t="s">
        <v>121</v>
      </c>
      <c r="E22" s="1" t="s">
        <v>121</v>
      </c>
      <c r="F22" s="1" t="s">
        <v>122</v>
      </c>
      <c r="G22" s="1" t="s">
        <v>123</v>
      </c>
      <c r="H22" s="1" t="str">
        <f>IFERROR(__xludf.DUMMYFUNCTION("GOOGLETRANSLATE(D22,""EN"",""JA"")"),"アシネトバクター・バウマニ")</f>
        <v>アシネトバクター・バウマニ</v>
      </c>
      <c r="I22" s="1" t="str">
        <f>IFERROR(__xludf.DUMMYFUNCTION("GOOGLETRANSLATE(E22,""EN"",""JA"")"),"アシネトバクター・バウマニ")</f>
        <v>アシネトバクター・バウマニ</v>
      </c>
      <c r="J22" s="1" t="str">
        <f>IFERROR(__xludf.DUMMYFUNCTION("GOOGLETRANSLATE(F22,""EN"",""JA"")"),"生物標本中の Acinetobacter baumannii の測定。")</f>
        <v>生物標本中の Acinetobacter baumannii の測定。</v>
      </c>
      <c r="K22" s="1" t="str">
        <f>IFERROR(__xludf.DUMMYFUNCTION("GOOGLETRANSLATE(G22,""EN"",""JA"")"),"アシネトバクター・バウマニ測定")</f>
        <v>アシネトバクター・バウマニ測定</v>
      </c>
    </row>
    <row r="23" ht="13.5" customHeight="1">
      <c r="A23" s="1" t="s">
        <v>11</v>
      </c>
      <c r="B23" s="1" t="s">
        <v>124</v>
      </c>
      <c r="C23" s="1" t="s">
        <v>125</v>
      </c>
      <c r="D23" s="1" t="s">
        <v>126</v>
      </c>
      <c r="E23" s="1" t="s">
        <v>126</v>
      </c>
      <c r="F23" s="1" t="s">
        <v>127</v>
      </c>
      <c r="G23" s="1" t="s">
        <v>128</v>
      </c>
      <c r="H23" s="1" t="str">
        <f>IFERROR(__xludf.DUMMYFUNCTION("GOOGLETRANSLATE(D23,""EN"",""JA"")"),"AB-フビナカ")</f>
        <v>AB-フビナカ</v>
      </c>
      <c r="I23" s="1" t="str">
        <f>IFERROR(__xludf.DUMMYFUNCTION("GOOGLETRANSLATE(E23,""EN"",""JA"")"),"AB-フビナカ")</f>
        <v>AB-フビナカ</v>
      </c>
      <c r="J23" s="1" t="str">
        <f>IFERROR(__xludf.DUMMYFUNCTION("GOOGLETRANSLATE(F23,""EN"",""JA"")"),"生物標本中の合成カンナビノイド AB-FUBINACA の測定。")</f>
        <v>生物標本中の合成カンナビノイド AB-FUBINACA の測定。</v>
      </c>
      <c r="K23" s="1" t="str">
        <f>IFERROR(__xludf.DUMMYFUNCTION("GOOGLETRANSLATE(G23,""EN"",""JA"")"),"AB-FUBINACA測定")</f>
        <v>AB-FUBINACA測定</v>
      </c>
    </row>
    <row r="24" ht="13.5" customHeight="1">
      <c r="A24" s="1" t="s">
        <v>129</v>
      </c>
      <c r="B24" s="1" t="s">
        <v>130</v>
      </c>
      <c r="C24" s="1" t="s">
        <v>131</v>
      </c>
      <c r="D24" s="1" t="s">
        <v>132</v>
      </c>
      <c r="E24" s="1" t="s">
        <v>132</v>
      </c>
      <c r="F24" s="1" t="s">
        <v>133</v>
      </c>
      <c r="G24" s="1" t="s">
        <v>132</v>
      </c>
      <c r="H24" s="1" t="str">
        <f>IFERROR(__xludf.DUMMYFUNCTION("GOOGLETRANSLATE(D24,""EN"",""JA"")"),"足首上腕血圧比")</f>
        <v>足首上腕血圧比</v>
      </c>
      <c r="I24" s="1" t="str">
        <f>IFERROR(__xludf.DUMMYFUNCTION("GOOGLETRANSLATE(E24,""EN"",""JA"")"),"足首上腕血圧比")</f>
        <v>足首上腕血圧比</v>
      </c>
      <c r="J24" s="1" t="str">
        <f>IFERROR(__xludf.DUMMYFUNCTION("GOOGLETRANSLATE(F24,""EN"",""JA"")"),"下肢の動脈不全を評価するために使用される、足首収縮期血圧と上腕収縮期血圧の比率。")</f>
        <v>下肢の動脈不全を評価するために使用される、足首収縮期血圧と上腕収縮期血圧の比率。</v>
      </c>
      <c r="K24" s="1" t="str">
        <f>IFERROR(__xludf.DUMMYFUNCTION("GOOGLETRANSLATE(G24,""EN"",""JA"")"),"足首上腕血圧比")</f>
        <v>足首上腕血圧比</v>
      </c>
    </row>
    <row r="25" ht="13.5" customHeight="1">
      <c r="A25" s="1" t="s">
        <v>134</v>
      </c>
      <c r="B25" s="1" t="s">
        <v>135</v>
      </c>
      <c r="C25" s="1" t="s">
        <v>136</v>
      </c>
      <c r="D25" s="1" t="s">
        <v>137</v>
      </c>
      <c r="E25" s="1" t="s">
        <v>137</v>
      </c>
      <c r="F25" s="1" t="s">
        <v>138</v>
      </c>
      <c r="G25" s="1" t="s">
        <v>139</v>
      </c>
      <c r="H25" s="1" t="str">
        <f>IFERROR(__xludf.DUMMYFUNCTION("GOOGLETRANSLATE(D25,""EN"",""JA"")"),"異常細胞")</f>
        <v>異常細胞</v>
      </c>
      <c r="I25" s="1" t="str">
        <f>IFERROR(__xludf.DUMMYFUNCTION("GOOGLETRANSLATE(E25,""EN"",""JA"")"),"異常細胞")</f>
        <v>異常細胞</v>
      </c>
      <c r="J25" s="1" t="str">
        <f>IFERROR(__xludf.DUMMYFUNCTION("GOOGLETRANSLATE(F25,""EN"",""JA"")"),"生物標本内の異常細胞の測定。")</f>
        <v>生物標本内の異常細胞の測定。</v>
      </c>
      <c r="K25" s="1" t="str">
        <f>IFERROR(__xludf.DUMMYFUNCTION("GOOGLETRANSLATE(G25,""EN"",""JA"")"),"異常細胞数")</f>
        <v>異常細胞数</v>
      </c>
    </row>
    <row r="26" ht="13.5" customHeight="1">
      <c r="A26" s="1" t="s">
        <v>11</v>
      </c>
      <c r="B26" s="1" t="s">
        <v>135</v>
      </c>
      <c r="C26" s="1" t="s">
        <v>136</v>
      </c>
      <c r="D26" s="1" t="s">
        <v>137</v>
      </c>
      <c r="E26" s="1" t="s">
        <v>137</v>
      </c>
      <c r="F26" s="1" t="s">
        <v>138</v>
      </c>
      <c r="G26" s="1" t="s">
        <v>139</v>
      </c>
      <c r="H26" s="1" t="str">
        <f>IFERROR(__xludf.DUMMYFUNCTION("GOOGLETRANSLATE(D26,""EN"",""JA"")"),"異常細胞")</f>
        <v>異常細胞</v>
      </c>
      <c r="I26" s="1" t="str">
        <f>IFERROR(__xludf.DUMMYFUNCTION("GOOGLETRANSLATE(E26,""EN"",""JA"")"),"異常細胞")</f>
        <v>異常細胞</v>
      </c>
      <c r="J26" s="1" t="str">
        <f>IFERROR(__xludf.DUMMYFUNCTION("GOOGLETRANSLATE(F26,""EN"",""JA"")"),"生物標本内の異常細胞の測定。")</f>
        <v>生物標本内の異常細胞の測定。</v>
      </c>
      <c r="K26" s="1" t="str">
        <f>IFERROR(__xludf.DUMMYFUNCTION("GOOGLETRANSLATE(G26,""EN"",""JA"")"),"異常細胞数")</f>
        <v>異常細胞数</v>
      </c>
    </row>
    <row r="27" ht="13.5" customHeight="1">
      <c r="A27" s="1" t="s">
        <v>11</v>
      </c>
      <c r="B27" s="1" t="s">
        <v>140</v>
      </c>
      <c r="C27" s="1" t="s">
        <v>141</v>
      </c>
      <c r="D27" s="1" t="s">
        <v>142</v>
      </c>
      <c r="E27" s="1" t="s">
        <v>142</v>
      </c>
      <c r="F27" s="1" t="s">
        <v>143</v>
      </c>
      <c r="G27" s="1" t="s">
        <v>144</v>
      </c>
      <c r="H27" s="1" t="str">
        <f>IFERROR(__xludf.DUMMYFUNCTION("GOOGLETRANSLATE(D27,""EN"",""JA"")"),"異常細胞数／総細胞数")</f>
        <v>異常細胞数／総細胞数</v>
      </c>
      <c r="I27" s="1" t="str">
        <f>IFERROR(__xludf.DUMMYFUNCTION("GOOGLETRANSLATE(E27,""EN"",""JA"")"),"異常細胞数／総細胞数")</f>
        <v>異常細胞数／総細胞数</v>
      </c>
      <c r="J27" s="1" t="str">
        <f>IFERROR(__xludf.DUMMYFUNCTION("GOOGLETRANSLATE(F27,""EN"",""JA"")"),"生物標本内の総細胞数に対する異常細胞の相対的な測定値（比率またはパーセンテージ）。")</f>
        <v>生物標本内の総細胞数に対する異常細胞の相対的な測定値（比率またはパーセンテージ）。</v>
      </c>
      <c r="K27" s="1" t="str">
        <f>IFERROR(__xludf.DUMMYFUNCTION("GOOGLETRANSLATE(G27,""EN"",""JA"")"),"異常細胞と全細胞との比率測定")</f>
        <v>異常細胞と全細胞との比率測定</v>
      </c>
    </row>
    <row r="28" ht="13.5" customHeight="1">
      <c r="A28" s="1" t="s">
        <v>11</v>
      </c>
      <c r="B28" s="1" t="s">
        <v>145</v>
      </c>
      <c r="C28" s="1" t="s">
        <v>146</v>
      </c>
      <c r="D28" s="1" t="s">
        <v>147</v>
      </c>
      <c r="E28" s="1" t="s">
        <v>147</v>
      </c>
      <c r="F28" s="1" t="s">
        <v>148</v>
      </c>
      <c r="G28" s="1" t="s">
        <v>149</v>
      </c>
      <c r="H28" s="1" t="str">
        <f>IFERROR(__xludf.DUMMYFUNCTION("GOOGLETRANSLATE(D28,""EN"",""JA"")"),"異常細胞/白血球")</f>
        <v>異常細胞/白血球</v>
      </c>
      <c r="I28" s="1" t="str">
        <f>IFERROR(__xludf.DUMMYFUNCTION("GOOGLETRANSLATE(E28,""EN"",""JA"")"),"異常細胞/白血球")</f>
        <v>異常細胞/白血球</v>
      </c>
      <c r="J28" s="1" t="str">
        <f>IFERROR(__xludf.DUMMYFUNCTION("GOOGLETRANSLATE(F28,""EN"",""JA"")"),"生物標本中の白血球に対する異常細胞の相対的な測定値（比率またはパーセンテージ）。")</f>
        <v>生物標本中の白血球に対する異常細胞の相対的な測定値（比率またはパーセンテージ）。</v>
      </c>
      <c r="K28" s="1" t="str">
        <f>IFERROR(__xludf.DUMMYFUNCTION("GOOGLETRANSLATE(G28,""EN"",""JA"")"),"異常細胞と白血球の比率測定")</f>
        <v>異常細胞と白血球の比率測定</v>
      </c>
    </row>
    <row r="29" ht="13.5" customHeight="1">
      <c r="A29" s="1" t="s">
        <v>11</v>
      </c>
      <c r="B29" s="1" t="s">
        <v>150</v>
      </c>
      <c r="C29" s="1" t="s">
        <v>151</v>
      </c>
      <c r="D29" s="1" t="s">
        <v>152</v>
      </c>
      <c r="E29" s="1" t="s">
        <v>152</v>
      </c>
      <c r="F29" s="1" t="s">
        <v>153</v>
      </c>
      <c r="G29" s="1" t="s">
        <v>154</v>
      </c>
      <c r="H29" s="1" t="str">
        <f>IFERROR(__xludf.DUMMYFUNCTION("GOOGLETRANSLATE(D29,""EN"",""JA"")"),"ABO式血液型")</f>
        <v>ABO式血液型</v>
      </c>
      <c r="I29" s="1" t="str">
        <f>IFERROR(__xludf.DUMMYFUNCTION("GOOGLETRANSLATE(E29,""EN"",""JA"")"),"ABO式血液型")</f>
        <v>ABO式血液型</v>
      </c>
      <c r="J29" s="1" t="str">
        <f>IFERROR(__xludf.DUMMYFUNCTION("GOOGLETRANSLATE(F29,""EN"",""JA"")"),"赤血球の表面にある A 抗原と B 抗原の存在を検査することで個人の血液型を特徴付けます。")</f>
        <v>赤血球の表面にある A 抗原と B 抗原の存在を検査することで個人の血液型を特徴付けます。</v>
      </c>
      <c r="K29" s="1" t="str">
        <f>IFERROR(__xludf.DUMMYFUNCTION("GOOGLETRANSLATE(G29,""EN"",""JA"")"),"ABO式血液型判定")</f>
        <v>ABO式血液型判定</v>
      </c>
    </row>
    <row r="30" ht="13.5" customHeight="1">
      <c r="A30" s="1" t="s">
        <v>11</v>
      </c>
      <c r="B30" s="1" t="s">
        <v>155</v>
      </c>
      <c r="C30" s="1" t="s">
        <v>156</v>
      </c>
      <c r="D30" s="1" t="s">
        <v>157</v>
      </c>
      <c r="E30" s="1" t="s">
        <v>157</v>
      </c>
      <c r="F30" s="1" t="s">
        <v>158</v>
      </c>
      <c r="G30" s="1" t="s">
        <v>159</v>
      </c>
      <c r="H30" s="1" t="str">
        <f>IFERROR(__xludf.DUMMYFUNCTION("GOOGLETRANSLATE(D30,""EN"",""JA"")"),"ABO A1サブタイプ")</f>
        <v>ABO A1サブタイプ</v>
      </c>
      <c r="I30" s="1" t="str">
        <f>IFERROR(__xludf.DUMMYFUNCTION("GOOGLETRANSLATE(E30,""EN"",""JA"")"),"ABO A1サブタイプ")</f>
        <v>ABO A1サブタイプ</v>
      </c>
      <c r="J30" s="1" t="str">
        <f>IFERROR(__xludf.DUMMYFUNCTION("GOOGLETRANSLATE(F30,""EN"",""JA"")"),"個人の ABO 血液型 A1 サブタイプの特徴。(NCI)")</f>
        <v>個人の ABO 血液型 A1 サブタイプの特徴。(NCI)</v>
      </c>
      <c r="K30" s="1" t="str">
        <f>IFERROR(__xludf.DUMMYFUNCTION("GOOGLETRANSLATE(G30,""EN"",""JA"")"),"ABO A1サブタイプの判定")</f>
        <v>ABO A1サブタイプの判定</v>
      </c>
    </row>
    <row r="31" ht="13.5" customHeight="1">
      <c r="A31" s="1" t="s">
        <v>160</v>
      </c>
      <c r="B31" s="1" t="s">
        <v>161</v>
      </c>
      <c r="C31" s="1" t="s">
        <v>162</v>
      </c>
      <c r="D31" s="1" t="s">
        <v>163</v>
      </c>
      <c r="E31" s="1" t="s">
        <v>163</v>
      </c>
      <c r="F31" s="1" t="s">
        <v>164</v>
      </c>
      <c r="G31" s="1" t="s">
        <v>163</v>
      </c>
      <c r="H31" s="1" t="str">
        <f>IFERROR(__xludf.DUMMYFUNCTION("GOOGLETRANSLATE(D31,""EN"",""JA"")"),"中絶件数")</f>
        <v>中絶件数</v>
      </c>
      <c r="I31" s="1" t="str">
        <f>IFERROR(__xludf.DUMMYFUNCTION("GOOGLETRANSLATE(E31,""EN"",""JA"")"),"中絶件数")</f>
        <v>中絶件数</v>
      </c>
      <c r="J31" s="1" t="str">
        <f>IFERROR(__xludf.DUMMYFUNCTION("GOOGLETRANSLATE(F31,""EN"",""JA"")"),"妊娠の自然な中絶（流産）または妊娠の希望的な中絶があった事例の総数を測定した値。")</f>
        <v>妊娠の自然な中絶（流産）または妊娠の希望的な中絶があった事例の総数を測定した値。</v>
      </c>
      <c r="K31" s="1" t="str">
        <f>IFERROR(__xludf.DUMMYFUNCTION("GOOGLETRANSLATE(G31,""EN"",""JA"")"),"中絶件数")</f>
        <v>中絶件数</v>
      </c>
    </row>
    <row r="32" ht="13.5" customHeight="1">
      <c r="A32" s="1" t="s">
        <v>11</v>
      </c>
      <c r="B32" s="1" t="s">
        <v>165</v>
      </c>
      <c r="C32" s="1" t="s">
        <v>166</v>
      </c>
      <c r="D32" s="1" t="s">
        <v>167</v>
      </c>
      <c r="E32" s="1" t="s">
        <v>168</v>
      </c>
      <c r="F32" s="1" t="s">
        <v>169</v>
      </c>
      <c r="G32" s="1" t="s">
        <v>170</v>
      </c>
      <c r="H32" s="1" t="str">
        <f>IFERROR(__xludf.DUMMYFUNCTION("GOOGLETRANSLATE(D32,""EN"",""JA"")"),"4-アミノビフェニル")</f>
        <v>4-アミノビフェニル</v>
      </c>
      <c r="I32" s="1" t="str">
        <f>IFERROR(__xludf.DUMMYFUNCTION("GOOGLETRANSLATE(E32,""EN"",""JA"")"),"4-ABP; 4-アミノビフェニル")</f>
        <v>4-ABP; 4-アミノビフェニル</v>
      </c>
      <c r="J32" s="1" t="str">
        <f>IFERROR(__xludf.DUMMYFUNCTION("GOOGLETRANSLATE(F32,""EN"",""JA"")"),"検体中の4-アミノビフェニルの測定。")</f>
        <v>検体中の4-アミノビフェニルの測定。</v>
      </c>
      <c r="K32" s="1" t="str">
        <f>IFERROR(__xludf.DUMMYFUNCTION("GOOGLETRANSLATE(G32,""EN"",""JA"")"),"4-アミノビフェニル測定")</f>
        <v>4-アミノビフェニル測定</v>
      </c>
    </row>
    <row r="33" ht="13.5" customHeight="1">
      <c r="A33" s="1" t="s">
        <v>11</v>
      </c>
      <c r="B33" s="1" t="s">
        <v>171</v>
      </c>
      <c r="C33" s="1" t="s">
        <v>172</v>
      </c>
      <c r="D33" s="1" t="s">
        <v>173</v>
      </c>
      <c r="E33" s="1" t="s">
        <v>173</v>
      </c>
      <c r="F33" s="1" t="s">
        <v>174</v>
      </c>
      <c r="G33" s="1" t="s">
        <v>175</v>
      </c>
      <c r="H33" s="1" t="str">
        <f>IFERROR(__xludf.DUMMYFUNCTION("GOOGLETRANSLATE(D33,""EN"",""JA"")"),"AB-PINACA")</f>
        <v>AB-PINACA</v>
      </c>
      <c r="I33" s="1" t="str">
        <f>IFERROR(__xludf.DUMMYFUNCTION("GOOGLETRANSLATE(E33,""EN"",""JA"")"),"AB-PINACA")</f>
        <v>AB-PINACA</v>
      </c>
      <c r="J33" s="1" t="str">
        <f>IFERROR(__xludf.DUMMYFUNCTION("GOOGLETRANSLATE(F33,""EN"",""JA"")"),"生物標本中の合成カンナビノイド AB-PINACA の測定。")</f>
        <v>生物標本中の合成カンナビノイド AB-PINACA の測定。</v>
      </c>
      <c r="K33" s="1" t="str">
        <f>IFERROR(__xludf.DUMMYFUNCTION("GOOGLETRANSLATE(G33,""EN"",""JA"")"),"AB-PINACA測定")</f>
        <v>AB-PINACA測定</v>
      </c>
    </row>
    <row r="34" ht="13.5" customHeight="1">
      <c r="A34" s="1" t="s">
        <v>176</v>
      </c>
      <c r="B34" s="1" t="s">
        <v>177</v>
      </c>
      <c r="C34" s="1" t="s">
        <v>178</v>
      </c>
      <c r="D34" s="1" t="s">
        <v>179</v>
      </c>
      <c r="E34" s="1" t="s">
        <v>180</v>
      </c>
      <c r="F34" s="1" t="s">
        <v>181</v>
      </c>
      <c r="G34" s="1" t="s">
        <v>182</v>
      </c>
      <c r="H34" s="1" t="str">
        <f>IFERROR(__xludf.DUMMYFUNCTION("GOOGLETRANSLATE(D34,""EN"",""JA"")"),"ABR第1波、絶対潜時")</f>
        <v>ABR第1波、絶対潜時</v>
      </c>
      <c r="I34" s="1" t="str">
        <f>IFERROR(__xludf.DUMMYFUNCTION("GOOGLETRANSLATE(E34,""EN"",""JA"")"),"ABR第1波、絶対潜時；聴性脳幹反応第1波、絶対潜時")</f>
        <v>ABR第1波、絶対潜時；聴性脳幹反応第1波、絶対潜時</v>
      </c>
      <c r="J34" s="1" t="str">
        <f>IFERROR(__xludf.DUMMYFUNCTION("GOOGLETRANSLATE(F34,""EN"",""JA"")"),"聴覚誘発電位波形の聴性脳幹反応波 I の絶対潜時の測定。")</f>
        <v>聴覚誘発電位波形の聴性脳幹反応波 I の絶対潜時の測定。</v>
      </c>
      <c r="K34" s="1" t="str">
        <f>IFERROR(__xludf.DUMMYFUNCTION("GOOGLETRANSLATE(G34,""EN"",""JA"")"),"聴性脳幹反応第1波、絶対潜時")</f>
        <v>聴性脳幹反応第1波、絶対潜時</v>
      </c>
    </row>
    <row r="35" ht="13.5" customHeight="1">
      <c r="A35" s="1" t="s">
        <v>176</v>
      </c>
      <c r="B35" s="1" t="s">
        <v>183</v>
      </c>
      <c r="C35" s="1" t="s">
        <v>184</v>
      </c>
      <c r="D35" s="1" t="s">
        <v>185</v>
      </c>
      <c r="E35" s="1" t="s">
        <v>186</v>
      </c>
      <c r="F35" s="1" t="s">
        <v>187</v>
      </c>
      <c r="G35" s="1" t="s">
        <v>188</v>
      </c>
      <c r="H35" s="1" t="str">
        <f>IFERROR(__xludf.DUMMYFUNCTION("GOOGLETRANSLATE(D35,""EN"",""JA"")"),"ABR波V、振幅")</f>
        <v>ABR波V、振幅</v>
      </c>
      <c r="I35" s="1" t="str">
        <f>IFERROR(__xludf.DUMMYFUNCTION("GOOGLETRANSLATE(E35,""EN"",""JA"")"),"ABR第V波、振幅；聴性脳幹反応第V波、振幅")</f>
        <v>ABR第V波、振幅；聴性脳幹反応第V波、振幅</v>
      </c>
      <c r="J35" s="1" t="str">
        <f>IFERROR(__xludf.DUMMYFUNCTION("GOOGLETRANSLATE(F35,""EN"",""JA"")"),"聴覚誘発電位波形の聴性脳幹反応波 V の大きさ、または高さの測定値。")</f>
        <v>聴覚誘発電位波形の聴性脳幹反応波 V の大きさ、または高さの測定値。</v>
      </c>
      <c r="K35" s="1" t="str">
        <f>IFERROR(__xludf.DUMMYFUNCTION("GOOGLETRANSLATE(G35,""EN"",""JA"")"),"聴性脳幹反応第V波、振幅")</f>
        <v>聴性脳幹反応第V波、振幅</v>
      </c>
    </row>
    <row r="36" ht="13.5" customHeight="1">
      <c r="A36" s="1" t="s">
        <v>176</v>
      </c>
      <c r="B36" s="1" t="s">
        <v>189</v>
      </c>
      <c r="C36" s="1" t="s">
        <v>190</v>
      </c>
      <c r="D36" s="1" t="s">
        <v>191</v>
      </c>
      <c r="E36" s="1" t="s">
        <v>192</v>
      </c>
      <c r="F36" s="1" t="s">
        <v>193</v>
      </c>
      <c r="G36" s="1" t="s">
        <v>194</v>
      </c>
      <c r="H36" s="1" t="str">
        <f>IFERROR(__xludf.DUMMYFUNCTION("GOOGLETRANSLATE(D36,""EN"",""JA"")"),"ABR Wave V、絶対潜時")</f>
        <v>ABR Wave V、絶対潜時</v>
      </c>
      <c r="I36" s="1" t="str">
        <f>IFERROR(__xludf.DUMMYFUNCTION("GOOGLETRANSLATE(E36,""EN"",""JA"")"),"ABR第V波、絶対潜時；聴性脳幹反応第V波、絶対潜時")</f>
        <v>ABR第V波、絶対潜時；聴性脳幹反応第V波、絶対潜時</v>
      </c>
      <c r="J36" s="1" t="str">
        <f>IFERROR(__xludf.DUMMYFUNCTION("GOOGLETRANSLATE(F36,""EN"",""JA"")"),"聴覚誘発電位波形の聴性脳幹反応波 V の絶対潜時の測定。")</f>
        <v>聴覚誘発電位波形の聴性脳幹反応波 V の絶対潜時の測定。</v>
      </c>
      <c r="K36" s="1" t="str">
        <f>IFERROR(__xludf.DUMMYFUNCTION("GOOGLETRANSLATE(G36,""EN"",""JA"")"),"聴性脳幹反応第V波、絶対潜時")</f>
        <v>聴性脳幹反応第V波、絶対潜時</v>
      </c>
    </row>
    <row r="37" ht="13.5" customHeight="1">
      <c r="A37" s="1" t="s">
        <v>176</v>
      </c>
      <c r="B37" s="1" t="s">
        <v>195</v>
      </c>
      <c r="C37" s="1" t="s">
        <v>196</v>
      </c>
      <c r="D37" s="1" t="s">
        <v>197</v>
      </c>
      <c r="E37" s="1" t="s">
        <v>198</v>
      </c>
      <c r="F37" s="1" t="s">
        <v>199</v>
      </c>
      <c r="G37" s="1" t="s">
        <v>200</v>
      </c>
      <c r="H37" s="1" t="str">
        <f>IFERROR(__xludf.DUMMYFUNCTION("GOOGLETRANSLATE(D37,""EN"",""JA"")"),"ABR波V、プレゼンス")</f>
        <v>ABR波V、プレゼンス</v>
      </c>
      <c r="I37" s="1" t="str">
        <f>IFERROR(__xludf.DUMMYFUNCTION("GOOGLETRANSLATE(E37,""EN"",""JA"")"),"ABR第V波、存在; 聴性脳幹反応第V波、存在")</f>
        <v>ABR第V波、存在; 聴性脳幹反応第V波、存在</v>
      </c>
      <c r="J37" s="1" t="str">
        <f>IFERROR(__xludf.DUMMYFUNCTION("GOOGLETRANSLATE(F37,""EN"",""JA"")"),"聴覚誘発電位波形の聴性脳幹反応波 V の存在の評価。")</f>
        <v>聴覚誘発電位波形の聴性脳幹反応波 V の存在の評価。</v>
      </c>
      <c r="K37" s="1" t="str">
        <f>IFERROR(__xludf.DUMMYFUNCTION("GOOGLETRANSLATE(G37,""EN"",""JA"")"),"聴性脳幹反応第V波、プレゼンス")</f>
        <v>聴性脳幹反応第V波、プレゼンス</v>
      </c>
    </row>
    <row r="38" ht="13.5" customHeight="1">
      <c r="A38" s="1" t="s">
        <v>201</v>
      </c>
      <c r="B38" s="1" t="s">
        <v>202</v>
      </c>
      <c r="C38" s="1" t="s">
        <v>203</v>
      </c>
      <c r="D38" s="1" t="s">
        <v>204</v>
      </c>
      <c r="E38" s="1" t="s">
        <v>204</v>
      </c>
      <c r="F38" s="1" t="s">
        <v>205</v>
      </c>
      <c r="G38" s="1" t="s">
        <v>206</v>
      </c>
      <c r="H38" s="1" t="str">
        <f>IFERROR(__xludf.DUMMYFUNCTION("GOOGLETRANSLATE(D38,""EN"",""JA"")"),"抗体分泌細胞")</f>
        <v>抗体分泌細胞</v>
      </c>
      <c r="I38" s="1" t="str">
        <f>IFERROR(__xludf.DUMMYFUNCTION("GOOGLETRANSLATE(E38,""EN"",""JA"")"),"抗体分泌細胞")</f>
        <v>抗体分泌細胞</v>
      </c>
      <c r="J38" s="1" t="str">
        <f>IFERROR(__xludf.DUMMYFUNCTION("GOOGLETRANSLATE(F38,""EN"",""JA"")"),"生物標本中の抗体分泌細胞の測定。")</f>
        <v>生物標本中の抗体分泌細胞の測定。</v>
      </c>
      <c r="K38" s="1" t="str">
        <f>IFERROR(__xludf.DUMMYFUNCTION("GOOGLETRANSLATE(G38,""EN"",""JA"")"),"抗体分泌細胞の測定")</f>
        <v>抗体分泌細胞の測定</v>
      </c>
    </row>
    <row r="39" ht="13.5" customHeight="1">
      <c r="A39" s="1" t="s">
        <v>129</v>
      </c>
      <c r="B39" s="1" t="s">
        <v>207</v>
      </c>
      <c r="C39" s="1" t="s">
        <v>208</v>
      </c>
      <c r="D39" s="1" t="s">
        <v>209</v>
      </c>
      <c r="E39" s="1" t="s">
        <v>209</v>
      </c>
      <c r="F39" s="1" t="s">
        <v>210</v>
      </c>
      <c r="G39" s="1" t="s">
        <v>209</v>
      </c>
      <c r="H39" s="1" t="str">
        <f>IFERROR(__xludf.DUMMYFUNCTION("GOOGLETRANSLATE(D39,""EN"",""JA"")"),"腹部皮下脂肪の厚さ")</f>
        <v>腹部皮下脂肪の厚さ</v>
      </c>
      <c r="I39" s="1" t="str">
        <f>IFERROR(__xludf.DUMMYFUNCTION("GOOGLETRANSLATE(E39,""EN"",""JA"")"),"腹部皮下脂肪の厚さ")</f>
        <v>腹部皮下脂肪の厚さ</v>
      </c>
      <c r="J39" s="1" t="str">
        <f>IFERROR(__xludf.DUMMYFUNCTION("GOOGLETRANSLATE(F39,""EN"",""JA"")"),"皮下脂肪層の厚さを測定するための測定法。臍の右側約 5 センチメートルの皮膚をつまんで、ノギスを使用して測定します。(NCI)")</f>
        <v>皮下脂肪層の厚さを測定するための測定法。臍の右側約 5 センチメートルの皮膚をつまんで、ノギスを使用して測定します。(NCI)</v>
      </c>
      <c r="K39" s="1" t="str">
        <f>IFERROR(__xludf.DUMMYFUNCTION("GOOGLETRANSLATE(G39,""EN"",""JA"")"),"腹部皮下脂肪の厚さ")</f>
        <v>腹部皮下脂肪の厚さ</v>
      </c>
    </row>
    <row r="40" ht="13.5" customHeight="1">
      <c r="A40" s="1" t="s">
        <v>11</v>
      </c>
      <c r="B40" s="1" t="s">
        <v>211</v>
      </c>
      <c r="C40" s="1" t="s">
        <v>212</v>
      </c>
      <c r="D40" s="1" t="s">
        <v>213</v>
      </c>
      <c r="E40" s="1" t="s">
        <v>213</v>
      </c>
      <c r="F40" s="1" t="s">
        <v>214</v>
      </c>
      <c r="G40" s="1" t="s">
        <v>215</v>
      </c>
      <c r="H40" s="1" t="str">
        <f>IFERROR(__xludf.DUMMYFUNCTION("GOOGLETRANSLATE(D40,""EN"",""JA"")"),"有棘細胞")</f>
        <v>有棘細胞</v>
      </c>
      <c r="I40" s="1" t="str">
        <f>IFERROR(__xludf.DUMMYFUNCTION("GOOGLETRANSLATE(E40,""EN"",""JA"")"),"有棘細胞")</f>
        <v>有棘細胞</v>
      </c>
      <c r="J40" s="1" t="str">
        <f>IFERROR(__xludf.DUMMYFUNCTION("GOOGLETRANSLATE(F40,""EN"",""JA"")"),"生物標本中の有棘細胞数の測定。")</f>
        <v>生物標本中の有棘細胞数の測定。</v>
      </c>
      <c r="K40" s="1" t="str">
        <f>IFERROR(__xludf.DUMMYFUNCTION("GOOGLETRANSLATE(G40,""EN"",""JA"")"),"有棘赤血球数")</f>
        <v>有棘赤血球数</v>
      </c>
    </row>
    <row r="41" ht="13.5" customHeight="1">
      <c r="A41" s="1" t="s">
        <v>11</v>
      </c>
      <c r="B41" s="1" t="s">
        <v>216</v>
      </c>
      <c r="C41" s="1" t="s">
        <v>217</v>
      </c>
      <c r="D41" s="1" t="s">
        <v>218</v>
      </c>
      <c r="E41" s="1" t="s">
        <v>218</v>
      </c>
      <c r="F41" s="1" t="s">
        <v>219</v>
      </c>
      <c r="G41" s="1" t="s">
        <v>220</v>
      </c>
      <c r="H41" s="1" t="str">
        <f>IFERROR(__xludf.DUMMYFUNCTION("GOOGLETRANSLATE(D41,""EN"",""JA"")"),"有棘赤血球")</f>
        <v>有棘赤血球</v>
      </c>
      <c r="I41" s="1" t="str">
        <f>IFERROR(__xludf.DUMMYFUNCTION("GOOGLETRANSLATE(E41,""EN"",""JA"")"),"有棘赤血球")</f>
        <v>有棘赤血球</v>
      </c>
      <c r="J41" s="1" t="str">
        <f>IFERROR(__xludf.DUMMYFUNCTION("GOOGLETRANSLATE(F41,""EN"",""JA"")"),"生物標本中のすべての赤血球に対する有棘赤血球の相対的な測定値（比率またはパーセンテージ）。")</f>
        <v>生物標本中のすべての赤血球に対する有棘赤血球の相対的な測定値（比率またはパーセンテージ）。</v>
      </c>
      <c r="K41" s="1" t="str">
        <f>IFERROR(__xludf.DUMMYFUNCTION("GOOGLETRANSLATE(G41,""EN"",""JA"")"),"有棘赤血球比測定")</f>
        <v>有棘赤血球比測定</v>
      </c>
    </row>
    <row r="42" ht="13.5" customHeight="1">
      <c r="A42" s="1" t="s">
        <v>67</v>
      </c>
      <c r="B42" s="1" t="s">
        <v>221</v>
      </c>
      <c r="C42" s="1" t="s">
        <v>222</v>
      </c>
      <c r="D42" s="1" t="s">
        <v>223</v>
      </c>
      <c r="E42" s="1" t="s">
        <v>224</v>
      </c>
      <c r="F42" s="1" t="s">
        <v>225</v>
      </c>
      <c r="G42" s="1" t="s">
        <v>226</v>
      </c>
      <c r="H42" s="1" t="str">
        <f>IFERROR(__xludf.DUMMYFUNCTION("GOOGLETRANSLATE(D42,""EN"",""JA"")"),"A. calcoaceticus-baumannii複合体")</f>
        <v>A. calcoaceticus-baumannii複合体</v>
      </c>
      <c r="I42" s="1" t="str">
        <f>IFERROR(__xludf.DUMMYFUNCTION("GOOGLETRANSLATE(E42,""EN"",""JA"")"),"A. calcoaceticus-baumannii 複合体; Acinetobacter calcoaceticus-baumannii 複合体")</f>
        <v>A. calcoaceticus-baumannii 複合体; Acinetobacter calcoaceticus-baumannii 複合体</v>
      </c>
      <c r="J42" s="1" t="str">
        <f>IFERROR(__xludf.DUMMYFUNCTION("GOOGLETRANSLATE(F42,""EN"",""JA"")"),"生物標本中の Acinetobacter calcoaceticus-baumannii 複合体の測定。")</f>
        <v>生物標本中の Acinetobacter calcoaceticus-baumannii 複合体の測定。</v>
      </c>
      <c r="K42" s="1" t="str">
        <f>IFERROR(__xludf.DUMMYFUNCTION("GOOGLETRANSLATE(G42,""EN"",""JA"")"),"アシネトバクター・カルコアセティカス/バウマニ複合体測定")</f>
        <v>アシネトバクター・カルコアセティカス/バウマニ複合体測定</v>
      </c>
    </row>
    <row r="43" ht="13.5" customHeight="1">
      <c r="A43" s="1" t="s">
        <v>67</v>
      </c>
      <c r="B43" s="1" t="s">
        <v>227</v>
      </c>
      <c r="C43" s="1" t="s">
        <v>228</v>
      </c>
      <c r="D43" s="1" t="s">
        <v>229</v>
      </c>
      <c r="E43" s="1" t="s">
        <v>230</v>
      </c>
      <c r="F43" s="1" t="s">
        <v>231</v>
      </c>
      <c r="G43" s="1" t="s">
        <v>232</v>
      </c>
      <c r="H43" s="1" t="str">
        <f>IFERROR(__xludf.DUMMYFUNCTION("GOOGLETRANSLATE(D43,""EN"",""JA"")"),"A. calcoaceticus-baumannii複合体DNA")</f>
        <v>A. calcoaceticus-baumannii複合体DNA</v>
      </c>
      <c r="I43" s="1" t="str">
        <f>IFERROR(__xludf.DUMMYFUNCTION("GOOGLETRANSLATE(E43,""EN"",""JA"")"),"A. calcoaceticus-baumannii 複合体 DNA; Acinetobacter calcoaceticus-baumannii 複合体 DNA")</f>
        <v>A. calcoaceticus-baumannii 複合体 DNA; Acinetobacter calcoaceticus-baumannii 複合体 DNA</v>
      </c>
      <c r="J43" s="1" t="str">
        <f>IFERROR(__xludf.DUMMYFUNCTION("GOOGLETRANSLATE(F43,""EN"",""JA"")"),"生物標本中の Acinetobacter Calcoaceticus-Baumannii 複合体 DNA の測定。")</f>
        <v>生物標本中の Acinetobacter Calcoaceticus-Baumannii 複合体 DNA の測定。</v>
      </c>
      <c r="K43" s="1" t="str">
        <f>IFERROR(__xludf.DUMMYFUNCTION("GOOGLETRANSLATE(G43,""EN"",""JA"")"),"アシネトバクター・カルコアセティカス/バウマニ複合体DNA測定")</f>
        <v>アシネトバクター・カルコアセティカス/バウマニ複合体DNA測定</v>
      </c>
    </row>
    <row r="44" ht="13.5" customHeight="1">
      <c r="A44" s="1" t="s">
        <v>233</v>
      </c>
      <c r="B44" s="1" t="s">
        <v>234</v>
      </c>
      <c r="C44" s="1" t="s">
        <v>235</v>
      </c>
      <c r="D44" s="1" t="s">
        <v>236</v>
      </c>
      <c r="E44" s="1" t="s">
        <v>236</v>
      </c>
      <c r="F44" s="1" t="s">
        <v>237</v>
      </c>
      <c r="G44" s="1" t="s">
        <v>238</v>
      </c>
      <c r="H44" s="1" t="str">
        <f>IFERROR(__xludf.DUMMYFUNCTION("GOOGLETRANSLATE(D44,""EN"",""JA"")"),"PPDの合計における絶対変化ベースライン")</f>
        <v>PPDの合計における絶対変化ベースライン</v>
      </c>
      <c r="I44" s="1" t="str">
        <f>IFERROR(__xludf.DUMMYFUNCTION("GOOGLETRANSLATE(E44,""EN"",""JA"")"),"PPDの合計における絶対変化ベースライン")</f>
        <v>PPDの合計における絶対変化ベースライン</v>
      </c>
      <c r="J44" s="1" t="str">
        <f>IFERROR(__xludf.DUMMYFUNCTION("GOOGLETRANSLATE(F44,""EN"",""JA"")"),"現在の垂直直径の積の合計から、垂直直径の積のベースラインの合計を引いたもの。")</f>
        <v>現在の垂直直径の積の合計から、垂直直径の積のベースラインの合計を引いたもの。</v>
      </c>
      <c r="K44" s="1" t="str">
        <f>IFERROR(__xludf.DUMMYFUNCTION("GOOGLETRANSLATE(G44,""EN"",""JA"")"),"垂直直径の積の合計のベースラインからの絶対変化")</f>
        <v>垂直直径の積の合計のベースラインからの絶対変化</v>
      </c>
    </row>
    <row r="45" ht="13.5" customHeight="1">
      <c r="A45" s="1" t="s">
        <v>11</v>
      </c>
      <c r="B45" s="1" t="s">
        <v>239</v>
      </c>
      <c r="C45" s="1" t="s">
        <v>240</v>
      </c>
      <c r="D45" s="1" t="s">
        <v>241</v>
      </c>
      <c r="E45" s="1" t="s">
        <v>242</v>
      </c>
      <c r="F45" s="1" t="s">
        <v>243</v>
      </c>
      <c r="G45" s="1" t="s">
        <v>244</v>
      </c>
      <c r="H45" s="1" t="str">
        <f>IFERROR(__xludf.DUMMYFUNCTION("GOOGLETRANSLATE(D45,""EN"",""JA"")"),"アセチルCoAカルボキシラーゼ")</f>
        <v>アセチルCoAカルボキシラーゼ</v>
      </c>
      <c r="I45" s="1" t="str">
        <f>IFERROR(__xludf.DUMMYFUNCTION("GOOGLETRANSLATE(E45,""EN"",""JA"")"),"ACC; アセチルCoAカルボキシラーゼ")</f>
        <v>ACC; アセチルCoAカルボキシラーゼ</v>
      </c>
      <c r="J45" s="1" t="str">
        <f>IFERROR(__xludf.DUMMYFUNCTION("GOOGLETRANSLATE(F45,""EN"",""JA"")"),"生物標本中の総アセチルCoAカルボキシラーゼの測定。")</f>
        <v>生物標本中の総アセチルCoAカルボキシラーゼの測定。</v>
      </c>
      <c r="K45" s="1" t="str">
        <f>IFERROR(__xludf.DUMMYFUNCTION("GOOGLETRANSLATE(G45,""EN"",""JA"")"),"アセチルCoAカルボキシラーゼ測定")</f>
        <v>アセチルCoAカルボキシラーゼ測定</v>
      </c>
    </row>
    <row r="46" ht="13.5" customHeight="1">
      <c r="A46" s="1" t="s">
        <v>11</v>
      </c>
      <c r="B46" s="1" t="s">
        <v>245</v>
      </c>
      <c r="C46" s="1" t="s">
        <v>246</v>
      </c>
      <c r="D46" s="1" t="s">
        <v>247</v>
      </c>
      <c r="E46" s="1" t="s">
        <v>248</v>
      </c>
      <c r="F46" s="1" t="s">
        <v>249</v>
      </c>
      <c r="G46" s="1" t="s">
        <v>250</v>
      </c>
      <c r="H46" s="1" t="str">
        <f>IFERROR(__xludf.DUMMYFUNCTION("GOOGLETRANSLATE(D46,""EN"",""JA"")"),"リン酸アセチルCoAカルボキシラーゼ")</f>
        <v>リン酸アセチルCoAカルボキシラーゼ</v>
      </c>
      <c r="I46" s="1" t="str">
        <f>IFERROR(__xludf.DUMMYFUNCTION("GOOGLETRANSLATE(E46,""EN"",""JA"")"),"pACC; pアセチルCoAカルボキシラーゼ; リン酸化アセチルCoAカルボキシラーゼ")</f>
        <v>pACC; pアセチルCoAカルボキシラーゼ; リン酸化アセチルCoAカルボキシラーゼ</v>
      </c>
      <c r="J46" s="1" t="str">
        <f>IFERROR(__xludf.DUMMYFUNCTION("GOOGLETRANSLATE(F46,""EN"",""JA"")"),"生物標本中のリン酸化アセチルCoAカルボキシラーゼの測定。")</f>
        <v>生物標本中のリン酸化アセチルCoAカルボキシラーゼの測定。</v>
      </c>
      <c r="K46" s="1" t="str">
        <f>IFERROR(__xludf.DUMMYFUNCTION("GOOGLETRANSLATE(G46,""EN"",""JA"")"),"リン酸アセチルCoAカルボキシラーゼ測定")</f>
        <v>リン酸アセチルCoAカルボキシラーゼ測定</v>
      </c>
    </row>
    <row r="47" ht="13.5" customHeight="1">
      <c r="A47" s="1" t="s">
        <v>11</v>
      </c>
      <c r="B47" s="1" t="s">
        <v>251</v>
      </c>
      <c r="C47" s="1" t="s">
        <v>252</v>
      </c>
      <c r="D47" s="1" t="s">
        <v>253</v>
      </c>
      <c r="E47" s="1" t="s">
        <v>254</v>
      </c>
      <c r="F47" s="1" t="s">
        <v>255</v>
      </c>
      <c r="G47" s="1" t="s">
        <v>256</v>
      </c>
      <c r="H47" s="1" t="str">
        <f>IFERROR(__xludf.DUMMYFUNCTION("GOOGLETRANSLATE(D47,""EN"",""JA"")"),"pアセチルCoAカルボキシラーゼ/ACC")</f>
        <v>pアセチルCoAカルボキシラーゼ/ACC</v>
      </c>
      <c r="I47" s="1" t="str">
        <f>IFERROR(__xludf.DUMMYFUNCTION("GOOGLETRANSLATE(E47,""EN"",""JA"")"),"pACC/ACC; pアセチルCoAカルボキシラーゼ/ACC; リン酸化アセチルCoAカルボキシラーゼ/アセチルCoAカルボキシラーゼ")</f>
        <v>pACC/ACC; pアセチルCoAカルボキシラーゼ/ACC; リン酸化アセチルCoAカルボキシラーゼ/アセチルCoAカルボキシラーゼ</v>
      </c>
      <c r="J47" s="1" t="str">
        <f>IFERROR(__xludf.DUMMYFUNCTION("GOOGLETRANSLATE(F47,""EN"",""JA"")"),"生物標本中の総アセチルCoAカルボキシラーゼに対するリン酸化アセチルCoAカルボキシラーゼの相対測定値（比率またはパーセンテージ）。")</f>
        <v>生物標本中の総アセチルCoAカルボキシラーゼに対するリン酸化アセチルCoAカルボキシラーゼの相対測定値（比率またはパーセンテージ）。</v>
      </c>
      <c r="K47" s="1" t="str">
        <f>IFERROR(__xludf.DUMMYFUNCTION("GOOGLETRANSLATE(G47,""EN"",""JA"")"),"リン酸化されたアセチルCoAカルボキシラーゼとアセチルCoAカルボキシラーゼの比率測定")</f>
        <v>リン酸化されたアセチルCoAカルボキシラーゼとアセチルCoAカルボキシラーゼの比率測定</v>
      </c>
    </row>
    <row r="48" ht="13.5" customHeight="1">
      <c r="A48" s="1" t="s">
        <v>134</v>
      </c>
      <c r="B48" s="1" t="s">
        <v>257</v>
      </c>
      <c r="C48" s="1" t="s">
        <v>258</v>
      </c>
      <c r="D48" s="1" t="s">
        <v>259</v>
      </c>
      <c r="E48" s="1" t="s">
        <v>260</v>
      </c>
      <c r="F48" s="1" t="s">
        <v>261</v>
      </c>
      <c r="G48" s="1" t="s">
        <v>262</v>
      </c>
      <c r="H48" s="1" t="str">
        <f>IFERROR(__xludf.DUMMYFUNCTION("GOOGLETRANSLATE(D48,""EN"",""JA"")"),"好酸性体")</f>
        <v>好酸性体</v>
      </c>
      <c r="I48" s="1" t="str">
        <f>IFERROR(__xludf.DUMMYFUNCTION("GOOGLETRANSLATE(E48,""EN"",""JA"")"),"好酸性小体; 好酸性小体")</f>
        <v>好酸性小体; 好酸性小体</v>
      </c>
      <c r="J48" s="1" t="str">
        <f>IFERROR(__xludf.DUMMYFUNCTION("GOOGLETRANSLATE(F48,""EN"",""JA"")"),"生物標本中の好酸球体の評価。")</f>
        <v>生物標本中の好酸球体の評価。</v>
      </c>
      <c r="K48" s="1" t="str">
        <f>IFERROR(__xludf.DUMMYFUNCTION("GOOGLETRANSLATE(G48,""EN"",""JA"")"),"好酸性体評価")</f>
        <v>好酸性体評価</v>
      </c>
    </row>
    <row r="49" ht="13.5" customHeight="1">
      <c r="A49" s="1" t="s">
        <v>11</v>
      </c>
      <c r="B49" s="1" t="s">
        <v>263</v>
      </c>
      <c r="C49" s="1" t="s">
        <v>264</v>
      </c>
      <c r="D49" s="1" t="s">
        <v>265</v>
      </c>
      <c r="E49" s="1" t="s">
        <v>265</v>
      </c>
      <c r="F49" s="1" t="s">
        <v>266</v>
      </c>
      <c r="G49" s="1" t="s">
        <v>267</v>
      </c>
      <c r="H49" s="1" t="str">
        <f>IFERROR(__xludf.DUMMYFUNCTION("GOOGLETRANSLATE(D49,""EN"",""JA"")"),"アンジオテンシン変換酵素")</f>
        <v>アンジオテンシン変換酵素</v>
      </c>
      <c r="I49" s="1" t="str">
        <f>IFERROR(__xludf.DUMMYFUNCTION("GOOGLETRANSLATE(E49,""EN"",""JA"")"),"アンジオテンシン変換酵素")</f>
        <v>アンジオテンシン変換酵素</v>
      </c>
      <c r="J49" s="1" t="str">
        <f>IFERROR(__xludf.DUMMYFUNCTION("GOOGLETRANSLATE(F49,""EN"",""JA"")"),"生物標本中のアンジオテンシン変換酵素の測定。")</f>
        <v>生物標本中のアンジオテンシン変換酵素の測定。</v>
      </c>
      <c r="K49" s="1" t="str">
        <f>IFERROR(__xludf.DUMMYFUNCTION("GOOGLETRANSLATE(G49,""EN"",""JA"")"),"アンジオテンシン変換酵素測定")</f>
        <v>アンジオテンシン変換酵素測定</v>
      </c>
    </row>
    <row r="50" ht="13.5" customHeight="1">
      <c r="A50" s="1" t="s">
        <v>11</v>
      </c>
      <c r="B50" s="1" t="s">
        <v>268</v>
      </c>
      <c r="C50" s="1" t="s">
        <v>269</v>
      </c>
      <c r="D50" s="1" t="s">
        <v>270</v>
      </c>
      <c r="E50" s="1" t="s">
        <v>271</v>
      </c>
      <c r="F50" s="1" t="s">
        <v>272</v>
      </c>
      <c r="G50" s="1" t="s">
        <v>273</v>
      </c>
      <c r="H50" s="1" t="str">
        <f>IFERROR(__xludf.DUMMYFUNCTION("GOOGLETRANSLATE(D50,""EN"",""JA"")"),"アセトアミノフェン")</f>
        <v>アセトアミノフェン</v>
      </c>
      <c r="I50" s="1" t="str">
        <f>IFERROR(__xludf.DUMMYFUNCTION("GOOGLETRANSLATE(E50,""EN"",""JA"")"),"アセトアミノフェン、パラセタモール")</f>
        <v>アセトアミノフェン、パラセタモール</v>
      </c>
      <c r="J50" s="1" t="str">
        <f>IFERROR(__xludf.DUMMYFUNCTION("GOOGLETRANSLATE(F50,""EN"",""JA"")"),"生物標本中のアセトアミノフェンの測定。")</f>
        <v>生物標本中のアセトアミノフェンの測定。</v>
      </c>
      <c r="K50" s="1" t="str">
        <f>IFERROR(__xludf.DUMMYFUNCTION("GOOGLETRANSLATE(G50,""EN"",""JA"")"),"アセトアミノフェン測定")</f>
        <v>アセトアミノフェン測定</v>
      </c>
    </row>
    <row r="51" ht="13.5" customHeight="1">
      <c r="A51" s="1" t="s">
        <v>11</v>
      </c>
      <c r="B51" s="1" t="s">
        <v>274</v>
      </c>
      <c r="C51" s="1" t="s">
        <v>275</v>
      </c>
      <c r="D51" s="1" t="s">
        <v>276</v>
      </c>
      <c r="E51" s="1" t="s">
        <v>277</v>
      </c>
      <c r="F51" s="1" t="s">
        <v>278</v>
      </c>
      <c r="G51" s="1" t="s">
        <v>279</v>
      </c>
      <c r="H51" s="1" t="str">
        <f>IFERROR(__xludf.DUMMYFUNCTION("GOOGLETRANSLATE(D51,""EN"",""JA"")"),"アセト酢酸")</f>
        <v>アセト酢酸</v>
      </c>
      <c r="I51" s="1" t="str">
        <f>IFERROR(__xludf.DUMMYFUNCTION("GOOGLETRANSLATE(E51,""EN"",""JA"")"),"アセト酢酸")</f>
        <v>アセト酢酸</v>
      </c>
      <c r="J51" s="1" t="str">
        <f>IFERROR(__xludf.DUMMYFUNCTION("GOOGLETRANSLATE(F51,""EN"",""JA"")"),"生物標本中のアセト酢酸の測定。")</f>
        <v>生物標本中のアセト酢酸の測定。</v>
      </c>
      <c r="K51" s="1" t="str">
        <f>IFERROR(__xludf.DUMMYFUNCTION("GOOGLETRANSLATE(G51,""EN"",""JA"")"),"アセト酢酸測定")</f>
        <v>アセト酢酸測定</v>
      </c>
    </row>
    <row r="52" ht="13.5" customHeight="1">
      <c r="A52" s="1" t="s">
        <v>11</v>
      </c>
      <c r="B52" s="1" t="s">
        <v>280</v>
      </c>
      <c r="C52" s="1" t="s">
        <v>281</v>
      </c>
      <c r="D52" s="1" t="s">
        <v>282</v>
      </c>
      <c r="E52" s="1" t="s">
        <v>282</v>
      </c>
      <c r="F52" s="1" t="s">
        <v>283</v>
      </c>
      <c r="G52" s="1" t="s">
        <v>284</v>
      </c>
      <c r="H52" s="1" t="str">
        <f>IFERROR(__xludf.DUMMYFUNCTION("GOOGLETRANSLATE(D52,""EN"",""JA"")"),"アセトン")</f>
        <v>アセトン</v>
      </c>
      <c r="I52" s="1" t="str">
        <f>IFERROR(__xludf.DUMMYFUNCTION("GOOGLETRANSLATE(E52,""EN"",""JA"")"),"アセトン")</f>
        <v>アセトン</v>
      </c>
      <c r="J52" s="1" t="str">
        <f>IFERROR(__xludf.DUMMYFUNCTION("GOOGLETRANSLATE(F52,""EN"",""JA"")"),"標本中のアセトンの測定。")</f>
        <v>標本中のアセトンの測定。</v>
      </c>
      <c r="K52" s="1" t="str">
        <f>IFERROR(__xludf.DUMMYFUNCTION("GOOGLETRANSLATE(G52,""EN"",""JA"")"),"アセトン測定")</f>
        <v>アセトン測定</v>
      </c>
    </row>
    <row r="53" ht="13.5" customHeight="1">
      <c r="A53" s="1" t="s">
        <v>11</v>
      </c>
      <c r="B53" s="1" t="s">
        <v>285</v>
      </c>
      <c r="C53" s="1" t="s">
        <v>286</v>
      </c>
      <c r="D53" s="1" t="s">
        <v>287</v>
      </c>
      <c r="E53" s="1" t="s">
        <v>287</v>
      </c>
      <c r="F53" s="1" t="s">
        <v>288</v>
      </c>
      <c r="G53" s="1" t="s">
        <v>289</v>
      </c>
      <c r="H53" s="1" t="str">
        <f>IFERROR(__xludf.DUMMYFUNCTION("GOOGLETRANSLATE(D53,""EN"",""JA"")"),"アセチルコリン")</f>
        <v>アセチルコリン</v>
      </c>
      <c r="I53" s="1" t="str">
        <f>IFERROR(__xludf.DUMMYFUNCTION("GOOGLETRANSLATE(E53,""EN"",""JA"")"),"アセチルコリン")</f>
        <v>アセチルコリン</v>
      </c>
      <c r="J53" s="1" t="str">
        <f>IFERROR(__xludf.DUMMYFUNCTION("GOOGLETRANSLATE(F53,""EN"",""JA"")"),"生物標本中のアセチルコリンホルモンの測定。")</f>
        <v>生物標本中のアセチルコリンホルモンの測定。</v>
      </c>
      <c r="K53" s="1" t="str">
        <f>IFERROR(__xludf.DUMMYFUNCTION("GOOGLETRANSLATE(G53,""EN"",""JA"")"),"アセチルコリン測定")</f>
        <v>アセチルコリン測定</v>
      </c>
    </row>
    <row r="54" ht="13.5" customHeight="1">
      <c r="A54" s="1" t="s">
        <v>11</v>
      </c>
      <c r="B54" s="1" t="s">
        <v>290</v>
      </c>
      <c r="C54" s="1" t="s">
        <v>291</v>
      </c>
      <c r="D54" s="1" t="s">
        <v>292</v>
      </c>
      <c r="E54" s="1" t="s">
        <v>292</v>
      </c>
      <c r="F54" s="1" t="s">
        <v>293</v>
      </c>
      <c r="G54" s="1" t="s">
        <v>294</v>
      </c>
      <c r="H54" s="1" t="str">
        <f>IFERROR(__xludf.DUMMYFUNCTION("GOOGLETRANSLATE(D54,""EN"",""JA"")"),"アセチルコリンエステラーゼ")</f>
        <v>アセチルコリンエステラーゼ</v>
      </c>
      <c r="I54" s="1" t="str">
        <f>IFERROR(__xludf.DUMMYFUNCTION("GOOGLETRANSLATE(E54,""EN"",""JA"")"),"アセチルコリンエステラーゼ")</f>
        <v>アセチルコリンエステラーゼ</v>
      </c>
      <c r="J54" s="1" t="str">
        <f>IFERROR(__xludf.DUMMYFUNCTION("GOOGLETRANSLATE(F54,""EN"",""JA"")"),"生物標本中のアセチルコリンエステラーゼの測定。")</f>
        <v>生物標本中のアセチルコリンエステラーゼの測定。</v>
      </c>
      <c r="K54" s="1" t="str">
        <f>IFERROR(__xludf.DUMMYFUNCTION("GOOGLETRANSLATE(G54,""EN"",""JA"")"),"アセチルコリンエステラーゼ測定")</f>
        <v>アセチルコリンエステラーゼ測定</v>
      </c>
    </row>
    <row r="55" ht="13.5" customHeight="1">
      <c r="A55" s="1" t="s">
        <v>233</v>
      </c>
      <c r="B55" s="1" t="s">
        <v>295</v>
      </c>
      <c r="C55" s="1" t="s">
        <v>296</v>
      </c>
      <c r="D55" s="1" t="s">
        <v>297</v>
      </c>
      <c r="E55" s="1" t="s">
        <v>297</v>
      </c>
      <c r="F55" s="1" t="s">
        <v>298</v>
      </c>
      <c r="G55" s="1" t="s">
        <v>297</v>
      </c>
      <c r="H55" s="1" t="str">
        <f>IFERROR(__xludf.DUMMYFUNCTION("GOOGLETRANSLATE(D55,""EN"",""JA"")"),"最低点からの絶対的な変化")</f>
        <v>最低点からの絶対的な変化</v>
      </c>
      <c r="I55" s="1" t="str">
        <f>IFERROR(__xludf.DUMMYFUNCTION("GOOGLETRANSLATE(E55,""EN"",""JA"")"),"最低点からの絶対的な変化")</f>
        <v>最低点からの絶対的な変化</v>
      </c>
      <c r="J55" s="1" t="str">
        <f>IFERROR(__xludf.DUMMYFUNCTION("GOOGLETRANSLATE(F55,""EN"",""JA"")"),"現在の値から、以前に記録された最低値を引いた値。")</f>
        <v>現在の値から、以前に記録された最低値を引いた値。</v>
      </c>
      <c r="K55" s="1" t="str">
        <f>IFERROR(__xludf.DUMMYFUNCTION("GOOGLETRANSLATE(G55,""EN"",""JA"")"),"最低点からの絶対的な変化")</f>
        <v>最低点からの絶対的な変化</v>
      </c>
    </row>
    <row r="56" ht="13.5" customHeight="1">
      <c r="A56" s="1" t="s">
        <v>67</v>
      </c>
      <c r="B56" s="1" t="s">
        <v>299</v>
      </c>
      <c r="C56" s="1" t="s">
        <v>300</v>
      </c>
      <c r="D56" s="1" t="s">
        <v>301</v>
      </c>
      <c r="E56" s="1" t="s">
        <v>301</v>
      </c>
      <c r="F56" s="1" t="s">
        <v>302</v>
      </c>
      <c r="G56" s="1" t="s">
        <v>303</v>
      </c>
      <c r="H56" s="1" t="str">
        <f>IFERROR(__xludf.DUMMYFUNCTION("GOOGLETRANSLATE(D56,""EN"",""JA"")"),"アシネトバクター")</f>
        <v>アシネトバクター</v>
      </c>
      <c r="I56" s="1" t="str">
        <f>IFERROR(__xludf.DUMMYFUNCTION("GOOGLETRANSLATE(E56,""EN"",""JA"")"),"アシネトバクター")</f>
        <v>アシネトバクター</v>
      </c>
      <c r="J56" s="1" t="str">
        <f>IFERROR(__xludf.DUMMYFUNCTION("GOOGLETRANSLATE(F56,""EN"",""JA"")"),"生物標本において、種レベルには割り当てられていないが、アシネトバクター属レベルに割り当てられている生物の測定値。")</f>
        <v>生物標本において、種レベルには割り当てられていないが、アシネトバクター属レベルに割り当てられている生物の測定値。</v>
      </c>
      <c r="K56" s="1" t="str">
        <f>IFERROR(__xludf.DUMMYFUNCTION("GOOGLETRANSLATE(G56,""EN"",""JA"")"),"アシネトバクター測定")</f>
        <v>アシネトバクター測定</v>
      </c>
    </row>
    <row r="57" ht="13.5" customHeight="1">
      <c r="A57" s="1" t="s">
        <v>233</v>
      </c>
      <c r="B57" s="1" t="s">
        <v>304</v>
      </c>
      <c r="C57" s="1" t="s">
        <v>305</v>
      </c>
      <c r="D57" s="1" t="s">
        <v>306</v>
      </c>
      <c r="E57" s="1" t="s">
        <v>307</v>
      </c>
      <c r="F57" s="1" t="s">
        <v>308</v>
      </c>
      <c r="G57" s="1" t="s">
        <v>309</v>
      </c>
      <c r="H57" s="1" t="str">
        <f>IFERROR(__xludf.DUMMYFUNCTION("GOOGLETRANSLATE(D57,""EN"",""JA"")"),"臓器拡大における絶対変化最低点")</f>
        <v>臓器拡大における絶対変化最低点</v>
      </c>
      <c r="I57" s="1" t="str">
        <f>IFERROR(__xludf.DUMMYFUNCTION("GOOGLETRANSLATE(E57,""EN"",""JA"")"),"臓器肥大の絶対変化最低点; 臓器肥大の絶対変化最低点")</f>
        <v>臓器肥大の絶対変化最低点; 臓器肥大の絶対変化最低点</v>
      </c>
      <c r="J57" s="1" t="str">
        <f>IFERROR(__xludf.DUMMYFUNCTION("GOOGLETRANSLATE(F57,""EN"",""JA"")"),"現在の臓器肥大から、これまでに記録された臓器肥大の最小値を差し引いた値。(NCI)")</f>
        <v>現在の臓器肥大から、これまでに記録された臓器肥大の最小値を差し引いた値。(NCI)</v>
      </c>
      <c r="K57" s="1" t="str">
        <f>IFERROR(__xludf.DUMMYFUNCTION("GOOGLETRANSLATE(G57,""EN"",""JA"")"),"臓器肥大の最低値からの絶対変化")</f>
        <v>臓器肥大の最低値からの絶対変化</v>
      </c>
    </row>
    <row r="58" ht="13.5" customHeight="1">
      <c r="A58" s="1" t="s">
        <v>233</v>
      </c>
      <c r="B58" s="1" t="s">
        <v>310</v>
      </c>
      <c r="C58" s="1" t="s">
        <v>311</v>
      </c>
      <c r="D58" s="1" t="s">
        <v>312</v>
      </c>
      <c r="E58" s="1" t="s">
        <v>312</v>
      </c>
      <c r="F58" s="1" t="s">
        <v>313</v>
      </c>
      <c r="G58" s="1" t="s">
        <v>314</v>
      </c>
      <c r="H58" s="1" t="str">
        <f>IFERROR(__xludf.DUMMYFUNCTION("GOOGLETRANSLATE(D58,""EN"",""JA"")"),"直径の合計における絶対変化の最低値")</f>
        <v>直径の合計における絶対変化の最低値</v>
      </c>
      <c r="I58" s="1" t="str">
        <f>IFERROR(__xludf.DUMMYFUNCTION("GOOGLETRANSLATE(E58,""EN"",""JA"")"),"直径の合計における絶対変化の最低値")</f>
        <v>直径の合計における絶対変化の最低値</v>
      </c>
      <c r="J58" s="1" t="str">
        <f>IFERROR(__xludf.DUMMYFUNCTION("GOOGLETRANSLATE(F58,""EN"",""JA"")"),"現在の直径の合計から、以前に記録された最小の直径の合計を引いたもの。")</f>
        <v>現在の直径の合計から、以前に記録された最小の直径の合計を引いたもの。</v>
      </c>
      <c r="K58" s="1" t="str">
        <f>IFERROR(__xludf.DUMMYFUNCTION("GOOGLETRANSLATE(G58,""EN"",""JA"")"),"直径の合計における底からの絶対変化")</f>
        <v>直径の合計における底からの絶対変化</v>
      </c>
    </row>
    <row r="59" ht="13.5" customHeight="1">
      <c r="A59" s="1" t="s">
        <v>233</v>
      </c>
      <c r="B59" s="1" t="s">
        <v>315</v>
      </c>
      <c r="C59" s="1" t="s">
        <v>316</v>
      </c>
      <c r="D59" s="1" t="s">
        <v>317</v>
      </c>
      <c r="E59" s="1" t="s">
        <v>317</v>
      </c>
      <c r="F59" s="1" t="s">
        <v>318</v>
      </c>
      <c r="G59" s="1" t="s">
        <v>319</v>
      </c>
      <c r="H59" s="1" t="str">
        <f>IFERROR(__xludf.DUMMYFUNCTION("GOOGLETRANSLATE(D59,""EN"",""JA"")"),"PPDの合計における絶対変化の最低値")</f>
        <v>PPDの合計における絶対変化の最低値</v>
      </c>
      <c r="I59" s="1" t="str">
        <f>IFERROR(__xludf.DUMMYFUNCTION("GOOGLETRANSLATE(E59,""EN"",""JA"")"),"PPDの合計における絶対変化の最低値")</f>
        <v>PPDの合計における絶対変化の最低値</v>
      </c>
      <c r="J59" s="1" t="str">
        <f>IFERROR(__xludf.DUMMYFUNCTION("GOOGLETRANSLATE(F59,""EN"",""JA"")"),"現在の垂直直径の積の合計から、以前に記録された垂直直径の積の最小の合計を引いたもの。")</f>
        <v>現在の垂直直径の積の合計から、以前に記録された垂直直径の積の最小の合計を引いたもの。</v>
      </c>
      <c r="K59" s="1" t="str">
        <f>IFERROR(__xludf.DUMMYFUNCTION("GOOGLETRANSLATE(G59,""EN"",""JA"")"),"垂直直径の積の和における底点からの絶対変化")</f>
        <v>垂直直径の積の和における底点からの絶対変化</v>
      </c>
    </row>
    <row r="60" ht="13.5" customHeight="1">
      <c r="A60" s="1" t="s">
        <v>11</v>
      </c>
      <c r="B60" s="1" t="s">
        <v>320</v>
      </c>
      <c r="C60" s="1" t="s">
        <v>321</v>
      </c>
      <c r="D60" s="1" t="s">
        <v>322</v>
      </c>
      <c r="E60" s="1" t="s">
        <v>322</v>
      </c>
      <c r="F60" s="1" t="s">
        <v>323</v>
      </c>
      <c r="G60" s="1" t="s">
        <v>324</v>
      </c>
      <c r="H60" s="1" t="str">
        <f>IFERROR(__xludf.DUMMYFUNCTION("GOOGLETRANSLATE(D60,""EN"",""JA"")"),"酸性ホスファターゼ")</f>
        <v>酸性ホスファターゼ</v>
      </c>
      <c r="I60" s="1" t="str">
        <f>IFERROR(__xludf.DUMMYFUNCTION("GOOGLETRANSLATE(E60,""EN"",""JA"")"),"酸性ホスファターゼ")</f>
        <v>酸性ホスファターゼ</v>
      </c>
      <c r="J60" s="1" t="str">
        <f>IFERROR(__xludf.DUMMYFUNCTION("GOOGLETRANSLATE(F60,""EN"",""JA"")"),"生物標本中の酸性ホスファターゼの測定。")</f>
        <v>生物標本中の酸性ホスファターゼの測定。</v>
      </c>
      <c r="K60" s="1" t="str">
        <f>IFERROR(__xludf.DUMMYFUNCTION("GOOGLETRANSLATE(G60,""EN"",""JA"")"),"酸性ホスファターゼ測定")</f>
        <v>酸性ホスファターゼ測定</v>
      </c>
    </row>
    <row r="61" ht="13.5" customHeight="1">
      <c r="A61" s="1" t="s">
        <v>233</v>
      </c>
      <c r="B61" s="1" t="s">
        <v>325</v>
      </c>
      <c r="C61" s="1" t="s">
        <v>326</v>
      </c>
      <c r="D61" s="1" t="s">
        <v>327</v>
      </c>
      <c r="E61" s="1" t="s">
        <v>327</v>
      </c>
      <c r="F61" s="1" t="s">
        <v>328</v>
      </c>
      <c r="G61" s="1" t="s">
        <v>329</v>
      </c>
      <c r="H61" s="1" t="str">
        <f>IFERROR(__xludf.DUMMYFUNCTION("GOOGLETRANSLATE(D61,""EN"",""JA"")"),"LDIAMにおけるPPD最低値からの絶対変化")</f>
        <v>LDIAMにおけるPPD最低値からの絶対変化</v>
      </c>
      <c r="I61" s="1" t="str">
        <f>IFERROR(__xludf.DUMMYFUNCTION("GOOGLETRANSLATE(E61,""EN"",""JA"")"),"LDIAMにおけるPPD最低値からの絶対変化")</f>
        <v>LDIAMにおけるPPD最低値からの絶対変化</v>
      </c>
      <c r="J61" s="1" t="str">
        <f>IFERROR(__xludf.DUMMYFUNCTION("GOOGLETRANSLATE(F61,""EN"",""JA"")"),"病変の垂直直径の積が最小となる時点からの病変の最長直径の絶対変化（正または負）。")</f>
        <v>病変の垂直直径の積が最小となる時点からの病変の最長直径の絶対変化（正または負）。</v>
      </c>
      <c r="K61" s="1" t="str">
        <f>IFERROR(__xludf.DUMMYFUNCTION("GOOGLETRANSLATE(G61,""EN"",""JA"")"),"最長径の絶対変化（垂直直径の底積時点から）")</f>
        <v>最長径の絶対変化（垂直直径の底積時点から）</v>
      </c>
    </row>
    <row r="62" ht="13.5" customHeight="1">
      <c r="A62" s="1" t="s">
        <v>233</v>
      </c>
      <c r="B62" s="1" t="s">
        <v>330</v>
      </c>
      <c r="C62" s="1" t="s">
        <v>331</v>
      </c>
      <c r="D62" s="1" t="s">
        <v>332</v>
      </c>
      <c r="E62" s="1" t="s">
        <v>332</v>
      </c>
      <c r="F62" s="1" t="s">
        <v>333</v>
      </c>
      <c r="G62" s="1" t="s">
        <v>334</v>
      </c>
      <c r="H62" s="1" t="str">
        <f>IFERROR(__xludf.DUMMYFUNCTION("GOOGLETRANSLATE(D62,""EN"",""JA"")"),"LPERPにおけるPPD最低値からの絶対変化")</f>
        <v>LPERPにおけるPPD最低値からの絶対変化</v>
      </c>
      <c r="I62" s="1" t="str">
        <f>IFERROR(__xludf.DUMMYFUNCTION("GOOGLETRANSLATE(E62,""EN"",""JA"")"),"LPERPにおけるPPD最低値からの絶対変化")</f>
        <v>LPERPにおけるPPD最低値からの絶対変化</v>
      </c>
      <c r="J62" s="1" t="str">
        <f>IFERROR(__xludf.DUMMYFUNCTION("GOOGLETRANSLATE(F62,""EN"",""JA"")"),"病変の垂線直径の積が最小となる時点からの、病変の最長垂線における絶対変化（正または負）。")</f>
        <v>病変の垂線直径の積が最小となる時点からの、病変の最長垂線における絶対変化（正または負）。</v>
      </c>
      <c r="K62" s="1" t="str">
        <f>IFERROR(__xludf.DUMMYFUNCTION("GOOGLETRANSLATE(G62,""EN"",""JA"")"),"最長垂線の絶対変化（垂線直径の天底積から時点）")</f>
        <v>最長垂線の絶対変化（垂線直径の天底積から時点）</v>
      </c>
    </row>
    <row r="63" ht="13.5" customHeight="1">
      <c r="A63" s="1" t="s">
        <v>90</v>
      </c>
      <c r="B63" s="1" t="s">
        <v>335</v>
      </c>
      <c r="C63" s="1" t="s">
        <v>336</v>
      </c>
      <c r="D63" s="1" t="s">
        <v>337</v>
      </c>
      <c r="E63" s="1" t="s">
        <v>337</v>
      </c>
      <c r="F63" s="1" t="s">
        <v>338</v>
      </c>
      <c r="G63" s="1" t="s">
        <v>337</v>
      </c>
      <c r="H63" s="1" t="str">
        <f>IFERROR(__xludf.DUMMYFUNCTION("GOOGLETRANSLATE(D63,""EN"",""JA"")"),"大動脈縮窄症指標")</f>
        <v>大動脈縮窄症指標</v>
      </c>
      <c r="I63" s="1" t="str">
        <f>IFERROR(__xludf.DUMMYFUNCTION("GOOGLETRANSLATE(E63,""EN"",""JA"")"),"大動脈縮窄症指標")</f>
        <v>大動脈縮窄症指標</v>
      </c>
      <c r="J63" s="1" t="str">
        <f>IFERROR(__xludf.DUMMYFUNCTION("GOOGLETRANSLATE(F63,""EN"",""JA"")"),"大動脈縮窄があるかどうかを示します。")</f>
        <v>大動脈縮窄があるかどうかを示します。</v>
      </c>
      <c r="K63" s="1" t="str">
        <f>IFERROR(__xludf.DUMMYFUNCTION("GOOGLETRANSLATE(G63,""EN"",""JA"")"),"大動脈縮窄症指標")</f>
        <v>大動脈縮窄症指標</v>
      </c>
    </row>
    <row r="64" ht="13.5" customHeight="1">
      <c r="A64" s="1" t="s">
        <v>90</v>
      </c>
      <c r="B64" s="1" t="s">
        <v>339</v>
      </c>
      <c r="C64" s="1" t="s">
        <v>340</v>
      </c>
      <c r="D64" s="1" t="s">
        <v>341</v>
      </c>
      <c r="E64" s="1" t="s">
        <v>341</v>
      </c>
      <c r="F64" s="1" t="s">
        <v>342</v>
      </c>
      <c r="G64" s="1" t="s">
        <v>341</v>
      </c>
      <c r="H64" s="1" t="str">
        <f>IFERROR(__xludf.DUMMYFUNCTION("GOOGLETRANSLATE(D64,""EN"",""JA"")"),"大動脈狭窄症の重症度")</f>
        <v>大動脈狭窄症の重症度</v>
      </c>
      <c r="I64" s="1" t="str">
        <f>IFERROR(__xludf.DUMMYFUNCTION("GOOGLETRANSLATE(E64,""EN"",""JA"")"),"大動脈狭窄症の重症度")</f>
        <v>大動脈狭窄症の重症度</v>
      </c>
      <c r="J64" s="1" t="str">
        <f>IFERROR(__xludf.DUMMYFUNCTION("GOOGLETRANSLATE(F64,""EN"",""JA"")"),"大動脈縮窄症の重症度の評価。")</f>
        <v>大動脈縮窄症の重症度の評価。</v>
      </c>
      <c r="K64" s="1" t="str">
        <f>IFERROR(__xludf.DUMMYFUNCTION("GOOGLETRANSLATE(G64,""EN"",""JA"")"),"大動脈狭窄症の重症度")</f>
        <v>大動脈狭窄症の重症度</v>
      </c>
    </row>
    <row r="65" ht="13.5" customHeight="1">
      <c r="A65" s="1" t="s">
        <v>11</v>
      </c>
      <c r="B65" s="1" t="s">
        <v>343</v>
      </c>
      <c r="C65" s="1" t="s">
        <v>344</v>
      </c>
      <c r="D65" s="1" t="s">
        <v>345</v>
      </c>
      <c r="E65" s="1" t="s">
        <v>345</v>
      </c>
      <c r="F65" s="1" t="s">
        <v>346</v>
      </c>
      <c r="G65" s="1" t="s">
        <v>347</v>
      </c>
      <c r="H65" s="1" t="str">
        <f>IFERROR(__xludf.DUMMYFUNCTION("GOOGLETRANSLATE(D65,""EN"",""JA"")"),"アシルカルニチン/カルニチン、遊離")</f>
        <v>アシルカルニチン/カルニチン、遊離</v>
      </c>
      <c r="I65" s="1" t="str">
        <f>IFERROR(__xludf.DUMMYFUNCTION("GOOGLETRANSLATE(E65,""EN"",""JA"")"),"アシルカルニチン/カルニチン、遊離")</f>
        <v>アシルカルニチン/カルニチン、遊離</v>
      </c>
      <c r="J65" s="1" t="str">
        <f>IFERROR(__xludf.DUMMYFUNCTION("GOOGLETRANSLATE(F65,""EN"",""JA"")"),"生物標本中のアシルカルニチンと遊離カルニチンの相対的な測定値（比率またはパーセンテージ）。")</f>
        <v>生物標本中のアシルカルニチンと遊離カルニチンの相対的な測定値（比率またはパーセンテージ）。</v>
      </c>
      <c r="K65" s="1" t="str">
        <f>IFERROR(__xludf.DUMMYFUNCTION("GOOGLETRANSLATE(G65,""EN"",""JA"")"),"アシルカルニチンと遊離カルニチンの比率測定")</f>
        <v>アシルカルニチンと遊離カルニチンの比率測定</v>
      </c>
    </row>
    <row r="66" ht="13.5" customHeight="1">
      <c r="A66" s="1" t="s">
        <v>11</v>
      </c>
      <c r="B66" s="1" t="s">
        <v>348</v>
      </c>
      <c r="C66" s="1" t="s">
        <v>349</v>
      </c>
      <c r="D66" s="1" t="s">
        <v>350</v>
      </c>
      <c r="E66" s="1" t="s">
        <v>350</v>
      </c>
      <c r="F66" s="1" t="s">
        <v>351</v>
      </c>
      <c r="G66" s="1" t="s">
        <v>352</v>
      </c>
      <c r="H66" s="1" t="str">
        <f>IFERROR(__xludf.DUMMYFUNCTION("GOOGLETRANSLATE(D66,""EN"",""JA"")"),"アクロレイン")</f>
        <v>アクロレイン</v>
      </c>
      <c r="I66" s="1" t="str">
        <f>IFERROR(__xludf.DUMMYFUNCTION("GOOGLETRANSLATE(E66,""EN"",""JA"")"),"アクロレイン")</f>
        <v>アクロレイン</v>
      </c>
      <c r="J66" s="1" t="str">
        <f>IFERROR(__xludf.DUMMYFUNCTION("GOOGLETRANSLATE(F66,""EN"",""JA"")"),"標本中のアクロレインの測定。")</f>
        <v>標本中のアクロレインの測定。</v>
      </c>
      <c r="K66" s="1" t="str">
        <f>IFERROR(__xludf.DUMMYFUNCTION("GOOGLETRANSLATE(G66,""EN"",""JA"")"),"アクロレイン測定")</f>
        <v>アクロレイン測定</v>
      </c>
    </row>
    <row r="67" ht="13.5" customHeight="1">
      <c r="A67" s="1" t="s">
        <v>11</v>
      </c>
      <c r="B67" s="1" t="s">
        <v>353</v>
      </c>
      <c r="C67" s="1" t="s">
        <v>354</v>
      </c>
      <c r="D67" s="1" t="s">
        <v>355</v>
      </c>
      <c r="E67" s="1" t="s">
        <v>355</v>
      </c>
      <c r="F67" s="1" t="s">
        <v>356</v>
      </c>
      <c r="G67" s="1" t="s">
        <v>357</v>
      </c>
      <c r="H67" s="1" t="str">
        <f>IFERROR(__xludf.DUMMYFUNCTION("GOOGLETRANSLATE(D67,""EN"",""JA"")"),"アクリロニトリル")</f>
        <v>アクリロニトリル</v>
      </c>
      <c r="I67" s="1" t="str">
        <f>IFERROR(__xludf.DUMMYFUNCTION("GOOGLETRANSLATE(E67,""EN"",""JA"")"),"アクリロニトリル")</f>
        <v>アクリロニトリル</v>
      </c>
      <c r="J67" s="1" t="str">
        <f>IFERROR(__xludf.DUMMYFUNCTION("GOOGLETRANSLATE(F67,""EN"",""JA"")"),"試料中のアクリロニトリルの測定。")</f>
        <v>試料中のアクリロニトリルの測定。</v>
      </c>
      <c r="K67" s="1" t="str">
        <f>IFERROR(__xludf.DUMMYFUNCTION("GOOGLETRANSLATE(G67,""EN"",""JA"")"),"アクリロニトリル測定")</f>
        <v>アクリロニトリル測定</v>
      </c>
    </row>
    <row r="68" ht="13.5" customHeight="1">
      <c r="A68" s="1" t="s">
        <v>11</v>
      </c>
      <c r="B68" s="1" t="s">
        <v>358</v>
      </c>
      <c r="C68" s="1" t="s">
        <v>359</v>
      </c>
      <c r="D68" s="1" t="s">
        <v>360</v>
      </c>
      <c r="E68" s="1" t="s">
        <v>360</v>
      </c>
      <c r="F68" s="1" t="s">
        <v>361</v>
      </c>
      <c r="G68" s="1" t="s">
        <v>362</v>
      </c>
      <c r="H68" s="1" t="str">
        <f>IFERROR(__xludf.DUMMYFUNCTION("GOOGLETRANSLATE(D68,""EN"",""JA"")"),"酸性スフィンゴミエリナーゼ")</f>
        <v>酸性スフィンゴミエリナーゼ</v>
      </c>
      <c r="I68" s="1" t="str">
        <f>IFERROR(__xludf.DUMMYFUNCTION("GOOGLETRANSLATE(E68,""EN"",""JA"")"),"酸性スフィンゴミエリナーゼ")</f>
        <v>酸性スフィンゴミエリナーゼ</v>
      </c>
      <c r="J68" s="1" t="str">
        <f>IFERROR(__xludf.DUMMYFUNCTION("GOOGLETRANSLATE(F68,""EN"",""JA"")"),"生物標本中の酸性スフィンゴミエリナーゼの測定。")</f>
        <v>生物標本中の酸性スフィンゴミエリナーゼの測定。</v>
      </c>
      <c r="K68" s="1" t="str">
        <f>IFERROR(__xludf.DUMMYFUNCTION("GOOGLETRANSLATE(G68,""EN"",""JA"")"),"スフィンゴミエリンホスホジエステラーゼ測定")</f>
        <v>スフィンゴミエリンホスホジエステラーゼ測定</v>
      </c>
    </row>
    <row r="69" ht="13.5" customHeight="1">
      <c r="A69" s="1" t="s">
        <v>90</v>
      </c>
      <c r="B69" s="1" t="s">
        <v>363</v>
      </c>
      <c r="C69" s="1" t="s">
        <v>364</v>
      </c>
      <c r="D69" s="1" t="s">
        <v>365</v>
      </c>
      <c r="E69" s="1" t="s">
        <v>366</v>
      </c>
      <c r="F69" s="1" t="s">
        <v>367</v>
      </c>
      <c r="G69" s="1" t="s">
        <v>368</v>
      </c>
      <c r="H69" s="1" t="str">
        <f>IFERROR(__xludf.DUMMYFUNCTION("GOOGLETRANSLATE(D69,""EN"",""JA"")"),"急性冠症候群の症状を示す猫")</f>
        <v>急性冠症候群の症状を示す猫</v>
      </c>
      <c r="I69" s="1" t="str">
        <f>IFERROR(__xludf.DUMMYFUNCTION("GOOGLETRANSLATE(E69,""EN"",""JA"")"),"急性冠症候群の症状カテゴリー; 急性冠症候群の症状カテゴリー")</f>
        <v>急性冠症候群の症状カテゴリー; 急性冠症候群の症状カテゴリー</v>
      </c>
      <c r="J69" s="1" t="str">
        <f>IFERROR(__xludf.DUMMYFUNCTION("GOOGLETRANSLATE(F69,""EN"",""JA"")"),"急性冠症候群の症状および/または臨床症状をまとめた分類。")</f>
        <v>急性冠症候群の症状および/または臨床症状をまとめた分類。</v>
      </c>
      <c r="K69" s="1" t="str">
        <f>IFERROR(__xludf.DUMMYFUNCTION("GOOGLETRANSLATE(G69,""EN"",""JA"")"),"急性冠症候群のプレゼンテーションカテゴリー")</f>
        <v>急性冠症候群のプレゼンテーションカテゴリー</v>
      </c>
    </row>
    <row r="70" ht="13.5" customHeight="1">
      <c r="A70" s="1" t="s">
        <v>11</v>
      </c>
      <c r="B70" s="1" t="s">
        <v>369</v>
      </c>
      <c r="C70" s="1" t="s">
        <v>370</v>
      </c>
      <c r="D70" s="1" t="s">
        <v>371</v>
      </c>
      <c r="E70" s="1" t="s">
        <v>372</v>
      </c>
      <c r="F70" s="1" t="s">
        <v>373</v>
      </c>
      <c r="G70" s="1" t="s">
        <v>371</v>
      </c>
      <c r="H70" s="1" t="str">
        <f>IFERROR(__xludf.DUMMYFUNCTION("GOOGLETRANSLATE(D70,""EN"",""JA"")"),"活性化凝固時間")</f>
        <v>活性化凝固時間</v>
      </c>
      <c r="I70" s="1" t="str">
        <f>IFERROR(__xludf.DUMMYFUNCTION("GOOGLETRANSLATE(E70,""EN"",""JA"")"),"活性化凝固時間; 活性化凝固時間")</f>
        <v>活性化凝固時間; 活性化凝固時間</v>
      </c>
      <c r="J70" s="1" t="str">
        <f>IFERROR(__xludf.DUMMYFUNCTION("GOOGLETRANSLATE(F70,""EN"",""JA"")"),"抗凝固療法に対する血液凝固の阻害の測定。")</f>
        <v>抗凝固療法に対する血液凝固の阻害の測定。</v>
      </c>
      <c r="K70" s="1" t="str">
        <f>IFERROR(__xludf.DUMMYFUNCTION("GOOGLETRANSLATE(G70,""EN"",""JA"")"),"活性化凝固時間")</f>
        <v>活性化凝固時間</v>
      </c>
    </row>
    <row r="71" ht="13.5" customHeight="1">
      <c r="A71" s="1" t="s">
        <v>11</v>
      </c>
      <c r="B71" s="1" t="s">
        <v>374</v>
      </c>
      <c r="C71" s="1" t="s">
        <v>375</v>
      </c>
      <c r="D71" s="1" t="s">
        <v>376</v>
      </c>
      <c r="E71" s="1" t="s">
        <v>377</v>
      </c>
      <c r="F71" s="1" t="s">
        <v>378</v>
      </c>
      <c r="G71" s="1" t="s">
        <v>379</v>
      </c>
      <c r="H71" s="1" t="str">
        <f>IFERROR(__xludf.DUMMYFUNCTION("GOOGLETRANSLATE(D71,""EN"",""JA"")"),"アセト酢酸排泄率")</f>
        <v>アセト酢酸排泄率</v>
      </c>
      <c r="I71" s="1" t="str">
        <f>IFERROR(__xludf.DUMMYFUNCTION("GOOGLETRANSLATE(E71,""EN"",""JA"")"),"アセト酢酸排泄率; アセト酢酸排泄率")</f>
        <v>アセト酢酸排泄率; アセト酢酸排泄率</v>
      </c>
      <c r="J71" s="1" t="str">
        <f>IFERROR(__xludf.DUMMYFUNCTION("GOOGLETRANSLATE(F71,""EN"",""JA"")"),"定義された期間（例：1 時間）にわたって生物学的標本中に排出されるアセト酢酸の量を測定します。")</f>
        <v>定義された期間（例：1 時間）にわたって生物学的標本中に排出されるアセト酢酸の量を測定します。</v>
      </c>
      <c r="K71" s="1" t="str">
        <f>IFERROR(__xludf.DUMMYFUNCTION("GOOGLETRANSLATE(G71,""EN"",""JA"")"),"アセト酢酸排泄率測定")</f>
        <v>アセト酢酸排泄率測定</v>
      </c>
    </row>
    <row r="72" ht="13.5" customHeight="1">
      <c r="A72" s="1" t="s">
        <v>11</v>
      </c>
      <c r="B72" s="1" t="s">
        <v>380</v>
      </c>
      <c r="C72" s="1" t="s">
        <v>381</v>
      </c>
      <c r="D72" s="1" t="s">
        <v>382</v>
      </c>
      <c r="E72" s="1" t="s">
        <v>382</v>
      </c>
      <c r="F72" s="1" t="s">
        <v>383</v>
      </c>
      <c r="G72" s="1" t="s">
        <v>384</v>
      </c>
      <c r="H72" s="1" t="str">
        <f>IFERROR(__xludf.DUMMYFUNCTION("GOOGLETRANSLATE(D72,""EN"",""JA"")"),"アセトアルデヒド")</f>
        <v>アセトアルデヒド</v>
      </c>
      <c r="I72" s="1" t="str">
        <f>IFERROR(__xludf.DUMMYFUNCTION("GOOGLETRANSLATE(E72,""EN"",""JA"")"),"アセトアルデヒド")</f>
        <v>アセトアルデヒド</v>
      </c>
      <c r="J72" s="1" t="str">
        <f>IFERROR(__xludf.DUMMYFUNCTION("GOOGLETRANSLATE(F72,""EN"",""JA"")"),"検体中のアセトアルデヒドの測定。")</f>
        <v>検体中のアセトアルデヒドの測定。</v>
      </c>
      <c r="K72" s="1" t="str">
        <f>IFERROR(__xludf.DUMMYFUNCTION("GOOGLETRANSLATE(G72,""EN"",""JA"")"),"アセトアルデヒド測定")</f>
        <v>アセトアルデヒド測定</v>
      </c>
    </row>
    <row r="73" ht="13.5" customHeight="1">
      <c r="A73" s="1" t="s">
        <v>11</v>
      </c>
      <c r="B73" s="1" t="s">
        <v>385</v>
      </c>
      <c r="C73" s="1" t="s">
        <v>386</v>
      </c>
      <c r="D73" s="1" t="s">
        <v>387</v>
      </c>
      <c r="E73" s="1" t="s">
        <v>388</v>
      </c>
      <c r="F73" s="1" t="s">
        <v>389</v>
      </c>
      <c r="G73" s="1" t="s">
        <v>390</v>
      </c>
      <c r="H73" s="1" t="str">
        <f>IFERROR(__xludf.DUMMYFUNCTION("GOOGLETRANSLATE(D73,""EN"",""JA"")"),"ベータアクチン")</f>
        <v>ベータアクチン</v>
      </c>
      <c r="I73" s="1" t="str">
        <f>IFERROR(__xludf.DUMMYFUNCTION("GOOGLETRANSLATE(E73,""EN"",""JA"")"),"アクチンベータ; B-アクチン; ベータアクチン")</f>
        <v>アクチンベータ; B-アクチン; ベータアクチン</v>
      </c>
      <c r="J73" s="1" t="str">
        <f>IFERROR(__xludf.DUMMYFUNCTION("GOOGLETRANSLATE(F73,""EN"",""JA"")"),"生物標本中のベータアクチンの測定。")</f>
        <v>生物標本中のベータアクチンの測定。</v>
      </c>
      <c r="K73" s="1" t="str">
        <f>IFERROR(__xludf.DUMMYFUNCTION("GOOGLETRANSLATE(G73,""EN"",""JA"")"),"ベータアクチン測定")</f>
        <v>ベータアクチン測定</v>
      </c>
    </row>
    <row r="74" ht="13.5" customHeight="1">
      <c r="A74" s="1" t="s">
        <v>11</v>
      </c>
      <c r="B74" s="1" t="s">
        <v>391</v>
      </c>
      <c r="C74" s="1" t="s">
        <v>392</v>
      </c>
      <c r="D74" s="1" t="s">
        <v>393</v>
      </c>
      <c r="E74" s="1" t="s">
        <v>394</v>
      </c>
      <c r="F74" s="1" t="s">
        <v>395</v>
      </c>
      <c r="G74" s="1" t="s">
        <v>396</v>
      </c>
      <c r="H74" s="1" t="str">
        <f>IFERROR(__xludf.DUMMYFUNCTION("GOOGLETRANSLATE(D74,""EN"",""JA"")"),"副腎皮質刺激ホルモン")</f>
        <v>副腎皮質刺激ホルモン</v>
      </c>
      <c r="I74" s="1" t="str">
        <f>IFERROR(__xludf.DUMMYFUNCTION("GOOGLETRANSLATE(E74,""EN"",""JA"")"),"副腎皮質刺激ホルモン; コルチコトロピン")</f>
        <v>副腎皮質刺激ホルモン; コルチコトロピン</v>
      </c>
      <c r="J74" s="1" t="str">
        <f>IFERROR(__xludf.DUMMYFUNCTION("GOOGLETRANSLATE(F74,""EN"",""JA"")"),"生物学的標本中の副腎皮質刺激ホルモンの測定。")</f>
        <v>生物学的標本中の副腎皮質刺激ホルモンの測定。</v>
      </c>
      <c r="K74" s="1" t="str">
        <f>IFERROR(__xludf.DUMMYFUNCTION("GOOGLETRANSLATE(G74,""EN"",""JA"")"),"副腎皮質刺激ホルモン測定")</f>
        <v>副腎皮質刺激ホルモン測定</v>
      </c>
    </row>
    <row r="75" ht="13.5" customHeight="1">
      <c r="A75" s="1" t="s">
        <v>397</v>
      </c>
      <c r="B75" s="1" t="s">
        <v>398</v>
      </c>
      <c r="C75" s="1" t="s">
        <v>399</v>
      </c>
      <c r="D75" s="1" t="s">
        <v>400</v>
      </c>
      <c r="E75" s="1" t="s">
        <v>400</v>
      </c>
      <c r="F75" s="1" t="s">
        <v>401</v>
      </c>
      <c r="G75" s="1" t="s">
        <v>402</v>
      </c>
      <c r="H75" s="1" t="str">
        <f>IFERROR(__xludf.DUMMYFUNCTION("GOOGLETRANSLATE(D75,""EN"",""JA"")"),"実際の被験者数")</f>
        <v>実際の被験者数</v>
      </c>
      <c r="I75" s="1" t="str">
        <f>IFERROR(__xludf.DUMMYFUNCTION("GOOGLETRANSLATE(E75,""EN"",""JA"")"),"実際の被験者数")</f>
        <v>実際の被験者数</v>
      </c>
      <c r="J75" s="1" t="str">
        <f>IFERROR(__xludf.DUMMYFUNCTION("GOOGLETRANSLATE(F75,""EN"",""JA"")"),"登録された被験者の実際の数。ランダム化されなかった被験者が含まれる場合があります。")</f>
        <v>登録された被験者の実際の数。ランダム化されなかった被験者が含まれる場合があります。</v>
      </c>
      <c r="K75" s="1" t="str">
        <f>IFERROR(__xludf.DUMMYFUNCTION("GOOGLETRANSLATE(G75,""EN"",""JA"")"),"実際の被験者数")</f>
        <v>実際の被験者数</v>
      </c>
    </row>
    <row r="76" ht="13.5" customHeight="1">
      <c r="A76" s="1" t="s">
        <v>11</v>
      </c>
      <c r="B76" s="1" t="s">
        <v>403</v>
      </c>
      <c r="C76" s="1" t="s">
        <v>404</v>
      </c>
      <c r="D76" s="1" t="s">
        <v>405</v>
      </c>
      <c r="E76" s="1" t="s">
        <v>405</v>
      </c>
      <c r="F76" s="1" t="s">
        <v>406</v>
      </c>
      <c r="G76" s="1" t="s">
        <v>407</v>
      </c>
      <c r="H76" s="1" t="str">
        <f>IFERROR(__xludf.DUMMYFUNCTION("GOOGLETRANSLATE(D76,""EN"",""JA"")"),"アクチビンA")</f>
        <v>アクチビンA</v>
      </c>
      <c r="I76" s="1" t="str">
        <f>IFERROR(__xludf.DUMMYFUNCTION("GOOGLETRANSLATE(E76,""EN"",""JA"")"),"アクチビンA")</f>
        <v>アクチビンA</v>
      </c>
      <c r="J76" s="1" t="str">
        <f>IFERROR(__xludf.DUMMYFUNCTION("GOOGLETRANSLATE(F76,""EN"",""JA"")"),"生物標本中のアクチビン A (インヒビンサブユニットベータ A からなるホモ二量体) の測定。")</f>
        <v>生物標本中のアクチビン A (インヒビンサブユニットベータ A からなるホモ二量体) の測定。</v>
      </c>
      <c r="K76" s="1" t="str">
        <f>IFERROR(__xludf.DUMMYFUNCTION("GOOGLETRANSLATE(G76,""EN"",""JA"")"),"アクチビンA測定")</f>
        <v>アクチビンA測定</v>
      </c>
    </row>
    <row r="77" ht="13.5" customHeight="1">
      <c r="A77" s="1" t="s">
        <v>11</v>
      </c>
      <c r="B77" s="1" t="s">
        <v>408</v>
      </c>
      <c r="C77" s="1" t="s">
        <v>409</v>
      </c>
      <c r="D77" s="1" t="s">
        <v>410</v>
      </c>
      <c r="E77" s="1" t="s">
        <v>410</v>
      </c>
      <c r="F77" s="1" t="s">
        <v>411</v>
      </c>
      <c r="G77" s="1" t="s">
        <v>412</v>
      </c>
      <c r="H77" s="1" t="str">
        <f>IFERROR(__xludf.DUMMYFUNCTION("GOOGLETRANSLATE(D77,""EN"",""JA"")"),"アクチビンAB")</f>
        <v>アクチビンAB</v>
      </c>
      <c r="I77" s="1" t="str">
        <f>IFERROR(__xludf.DUMMYFUNCTION("GOOGLETRANSLATE(E77,""EN"",""JA"")"),"アクチビンAB")</f>
        <v>アクチビンAB</v>
      </c>
      <c r="J77" s="1" t="str">
        <f>IFERROR(__xludf.DUMMYFUNCTION("GOOGLETRANSLATE(F77,""EN"",""JA"")"),"生物標本中のアクチビン AB (インヒビン サブユニット ベータ A とインヒビン サブユニット ベータ B からなるヘテロダイマー) の測定。")</f>
        <v>生物標本中のアクチビン AB (インヒビン サブユニット ベータ A とインヒビン サブユニット ベータ B からなるヘテロダイマー) の測定。</v>
      </c>
      <c r="K77" s="1" t="str">
        <f>IFERROR(__xludf.DUMMYFUNCTION("GOOGLETRANSLATE(G77,""EN"",""JA"")"),"アクチビンAB測定")</f>
        <v>アクチビンAB測定</v>
      </c>
    </row>
    <row r="78" ht="13.5" customHeight="1">
      <c r="A78" s="1" t="s">
        <v>11</v>
      </c>
      <c r="B78" s="1" t="s">
        <v>413</v>
      </c>
      <c r="C78" s="1" t="s">
        <v>414</v>
      </c>
      <c r="D78" s="1" t="s">
        <v>415</v>
      </c>
      <c r="E78" s="1" t="s">
        <v>415</v>
      </c>
      <c r="F78" s="1" t="s">
        <v>416</v>
      </c>
      <c r="G78" s="1" t="s">
        <v>417</v>
      </c>
      <c r="H78" s="1" t="str">
        <f>IFERROR(__xludf.DUMMYFUNCTION("GOOGLETRANSLATE(D78,""EN"",""JA"")"),"アクチビンB")</f>
        <v>アクチビンB</v>
      </c>
      <c r="I78" s="1" t="str">
        <f>IFERROR(__xludf.DUMMYFUNCTION("GOOGLETRANSLATE(E78,""EN"",""JA"")"),"アクチビンB")</f>
        <v>アクチビンB</v>
      </c>
      <c r="J78" s="1" t="str">
        <f>IFERROR(__xludf.DUMMYFUNCTION("GOOGLETRANSLATE(F78,""EN"",""JA"")"),"生物標本中のアクチビン B (インヒビンサブユニットベータ B からなるホモ二量体) の測定。")</f>
        <v>生物標本中のアクチビン B (インヒビンサブユニットベータ B からなるホモ二量体) の測定。</v>
      </c>
      <c r="K78" s="1" t="str">
        <f>IFERROR(__xludf.DUMMYFUNCTION("GOOGLETRANSLATE(G78,""EN"",""JA"")"),"アクチビンB測定")</f>
        <v>アクチビンB測定</v>
      </c>
    </row>
    <row r="79" ht="13.5" customHeight="1">
      <c r="A79" s="1" t="s">
        <v>11</v>
      </c>
      <c r="B79" s="1" t="s">
        <v>418</v>
      </c>
      <c r="C79" s="1" t="s">
        <v>419</v>
      </c>
      <c r="D79" s="1" t="s">
        <v>420</v>
      </c>
      <c r="E79" s="1" t="s">
        <v>420</v>
      </c>
      <c r="F79" s="1" t="s">
        <v>421</v>
      </c>
      <c r="G79" s="1" t="s">
        <v>422</v>
      </c>
      <c r="H79" s="1" t="str">
        <f>IFERROR(__xludf.DUMMYFUNCTION("GOOGLETRANSLATE(D79,""EN"",""JA"")"),"アシルカルニチン")</f>
        <v>アシルカルニチン</v>
      </c>
      <c r="I79" s="1" t="str">
        <f>IFERROR(__xludf.DUMMYFUNCTION("GOOGLETRANSLATE(E79,""EN"",""JA"")"),"アシルカルニチン")</f>
        <v>アシルカルニチン</v>
      </c>
      <c r="J79" s="1" t="str">
        <f>IFERROR(__xludf.DUMMYFUNCTION("GOOGLETRANSLATE(F79,""EN"",""JA"")"),"生物標本中のアシルカルニチンの測定。")</f>
        <v>生物標本中のアシルカルニチンの測定。</v>
      </c>
      <c r="K79" s="1" t="str">
        <f>IFERROR(__xludf.DUMMYFUNCTION("GOOGLETRANSLATE(G79,""EN"",""JA"")"),"アシルカルニチン測定")</f>
        <v>アシルカルニチン測定</v>
      </c>
    </row>
    <row r="80" ht="13.5" customHeight="1">
      <c r="A80" s="1" t="s">
        <v>11</v>
      </c>
      <c r="B80" s="1" t="s">
        <v>423</v>
      </c>
      <c r="C80" s="1" t="s">
        <v>424</v>
      </c>
      <c r="D80" s="1" t="s">
        <v>425</v>
      </c>
      <c r="E80" s="1" t="s">
        <v>425</v>
      </c>
      <c r="F80" s="1" t="s">
        <v>426</v>
      </c>
      <c r="G80" s="1" t="s">
        <v>427</v>
      </c>
      <c r="H80" s="1" t="str">
        <f>IFERROR(__xludf.DUMMYFUNCTION("GOOGLETRANSLATE(D80,""EN"",""JA"")"),"アシルグリシン")</f>
        <v>アシルグリシン</v>
      </c>
      <c r="I80" s="1" t="str">
        <f>IFERROR(__xludf.DUMMYFUNCTION("GOOGLETRANSLATE(E80,""EN"",""JA"")"),"アシルグリシン")</f>
        <v>アシルグリシン</v>
      </c>
      <c r="J80" s="1" t="str">
        <f>IFERROR(__xludf.DUMMYFUNCTION("GOOGLETRANSLATE(F80,""EN"",""JA"")"),"生物標本中のアシルグリシンの測定。")</f>
        <v>生物標本中のアシルグリシンの測定。</v>
      </c>
      <c r="K80" s="1" t="str">
        <f>IFERROR(__xludf.DUMMYFUNCTION("GOOGLETRANSLATE(G80,""EN"",""JA"")"),"アシルグリシン測定")</f>
        <v>アシルグリシン測定</v>
      </c>
    </row>
    <row r="81" ht="13.5" customHeight="1">
      <c r="A81" s="1" t="s">
        <v>11</v>
      </c>
      <c r="B81" s="1" t="s">
        <v>428</v>
      </c>
      <c r="C81" s="1" t="s">
        <v>429</v>
      </c>
      <c r="D81" s="1" t="s">
        <v>430</v>
      </c>
      <c r="E81" s="1" t="s">
        <v>431</v>
      </c>
      <c r="F81" s="1" t="s">
        <v>432</v>
      </c>
      <c r="G81" s="1" t="s">
        <v>433</v>
      </c>
      <c r="H81" s="1" t="str">
        <f>IFERROR(__xludf.DUMMYFUNCTION("GOOGLETRANSLATE(D81,""EN"",""JA"")"),"アシルコエンザイムAオキシダーゼ")</f>
        <v>アシルコエンザイムAオキシダーゼ</v>
      </c>
      <c r="I81" s="1" t="str">
        <f>IFERROR(__xludf.DUMMYFUNCTION("GOOGLETRANSLATE(E81,""EN"",""JA"")"),"アシルCoAオキシダーゼ; アシルコエンザイムAオキシダーゼ; 脂肪酸アシルコエンザイムAオキシダーゼ")</f>
        <v>アシルCoAオキシダーゼ; アシルコエンザイムAオキシダーゼ; 脂肪酸アシルコエンザイムAオキシダーゼ</v>
      </c>
      <c r="J81" s="1" t="str">
        <f>IFERROR(__xludf.DUMMYFUNCTION("GOOGLETRANSLATE(F81,""EN"",""JA"")"),"生物標本中のアシルコエンザイムAオキシダーゼの測定。")</f>
        <v>生物標本中のアシルコエンザイムAオキシダーゼの測定。</v>
      </c>
      <c r="K81" s="1" t="str">
        <f>IFERROR(__xludf.DUMMYFUNCTION("GOOGLETRANSLATE(G81,""EN"",""JA"")"),"アシルコエンザイムAオキシダーゼ測定")</f>
        <v>アシルコエンザイムAオキシダーゼ測定</v>
      </c>
    </row>
    <row r="82" ht="13.5" customHeight="1">
      <c r="A82" s="1" t="s">
        <v>201</v>
      </c>
      <c r="B82" s="1" t="s">
        <v>434</v>
      </c>
      <c r="C82" s="1" t="s">
        <v>435</v>
      </c>
      <c r="D82" s="1" t="s">
        <v>436</v>
      </c>
      <c r="E82" s="1" t="s">
        <v>436</v>
      </c>
      <c r="F82" s="1" t="s">
        <v>437</v>
      </c>
      <c r="G82" s="1" t="s">
        <v>438</v>
      </c>
      <c r="H82" s="1" t="str">
        <f>IFERROR(__xludf.DUMMYFUNCTION("GOOGLETRANSLATE(D82,""EN"",""JA"")"),"結合抗薬物抗体")</f>
        <v>結合抗薬物抗体</v>
      </c>
      <c r="I82" s="1" t="str">
        <f>IFERROR(__xludf.DUMMYFUNCTION("GOOGLETRANSLATE(E82,""EN"",""JA"")"),"結合抗薬物抗体")</f>
        <v>結合抗薬物抗体</v>
      </c>
      <c r="J82" s="1" t="str">
        <f>IFERROR(__xludf.DUMMYFUNCTION("GOOGLETRANSLATE(F82,""EN"",""JA"")"),"生物学的検体中の結合抗薬物抗体の測定。結合抗薬物抗体とは、試験物質、および／または試験物質の一部に結合する抗体のことです。")</f>
        <v>生物学的検体中の結合抗薬物抗体の測定。結合抗薬物抗体とは、試験物質、および／または試験物質の一部に結合する抗体のことです。</v>
      </c>
      <c r="K82" s="1" t="str">
        <f>IFERROR(__xludf.DUMMYFUNCTION("GOOGLETRANSLATE(G82,""EN"",""JA"")"),"結合抗薬物抗体測定")</f>
        <v>結合抗薬物抗体測定</v>
      </c>
    </row>
    <row r="83" ht="13.5" customHeight="1">
      <c r="A83" s="1" t="s">
        <v>201</v>
      </c>
      <c r="B83" s="1" t="s">
        <v>439</v>
      </c>
      <c r="C83" s="1" t="s">
        <v>440</v>
      </c>
      <c r="D83" s="1" t="s">
        <v>441</v>
      </c>
      <c r="E83" s="1" t="s">
        <v>441</v>
      </c>
      <c r="F83" s="1" t="s">
        <v>442</v>
      </c>
      <c r="G83" s="1" t="s">
        <v>443</v>
      </c>
      <c r="H83" s="1" t="str">
        <f>IFERROR(__xludf.DUMMYFUNCTION("GOOGLETRANSLATE(D83,""EN"",""JA"")"),"中和結合抗薬物抗体")</f>
        <v>中和結合抗薬物抗体</v>
      </c>
      <c r="I83" s="1" t="str">
        <f>IFERROR(__xludf.DUMMYFUNCTION("GOOGLETRANSLATE(E83,""EN"",""JA"")"),"中和結合抗薬物抗体")</f>
        <v>中和結合抗薬物抗体</v>
      </c>
      <c r="J83" s="1" t="str">
        <f>IFERROR(__xludf.DUMMYFUNCTION("GOOGLETRANSLATE(F83,""EN"",""JA"")"),"生物学的標本中の中和結合抗薬物抗体の測定。中和結合抗薬物抗体はADAの一種で、試験物質の機能部位に結合し、薬理活性を減弱または無効化する。")</f>
        <v>生物学的標本中の中和結合抗薬物抗体の測定。中和結合抗薬物抗体はADAの一種で、試験物質の機能部位に結合し、薬理活性を減弱または無効化する。</v>
      </c>
      <c r="K83" s="1" t="str">
        <f>IFERROR(__xludf.DUMMYFUNCTION("GOOGLETRANSLATE(G83,""EN"",""JA"")"),"中和結合抗薬物抗体測定")</f>
        <v>中和結合抗薬物抗体測定</v>
      </c>
    </row>
    <row r="84" ht="13.5" customHeight="1">
      <c r="A84" s="1" t="s">
        <v>201</v>
      </c>
      <c r="B84" s="1" t="s">
        <v>444</v>
      </c>
      <c r="C84" s="1" t="s">
        <v>445</v>
      </c>
      <c r="D84" s="1" t="s">
        <v>446</v>
      </c>
      <c r="E84" s="1" t="s">
        <v>447</v>
      </c>
      <c r="F84" s="1" t="s">
        <v>448</v>
      </c>
      <c r="G84" s="1" t="s">
        <v>449</v>
      </c>
      <c r="H84" s="1" t="str">
        <f>IFERROR(__xludf.DUMMYFUNCTION("GOOGLETRANSLATE(D84,""EN"",""JA"")"),"中和交差反応結合抗薬物AB")</f>
        <v>中和交差反応結合抗薬物AB</v>
      </c>
      <c r="I84" s="1" t="str">
        <f>IFERROR(__xludf.DUMMYFUNCTION("GOOGLETRANSLATE(E84,""EN"",""JA"")"),"中和交差反応結合抗薬物AB; 中和交差反応結合抗薬物抗体")</f>
        <v>中和交差反応結合抗薬物AB; 中和交差反応結合抗薬物抗体</v>
      </c>
      <c r="J84" s="1" t="str">
        <f>IFERROR(__xludf.DUMMYFUNCTION("GOOGLETRANSLATE(F84,""EN"",""JA"")"),"生物学的検体中の中和交差反応性結合抗薬物抗体の測定。中和交差反応性結合抗薬物抗体は、類似体と構造的に類似した内因性分子に結合するADAの一種である。")</f>
        <v>生物学的検体中の中和交差反応性結合抗薬物抗体の測定。中和交差反応性結合抗薬物抗体は、類似体と構造的に類似した内因性分子に結合するADAの一種である。</v>
      </c>
      <c r="K84" s="1" t="str">
        <f>IFERROR(__xludf.DUMMYFUNCTION("GOOGLETRANSLATE(G84,""EN"",""JA"")"),"中和交差反応結合抗薬物抗体測定")</f>
        <v>中和交差反応結合抗薬物抗体測定</v>
      </c>
    </row>
    <row r="85" ht="13.5" customHeight="1">
      <c r="A85" s="1" t="s">
        <v>201</v>
      </c>
      <c r="B85" s="1" t="s">
        <v>450</v>
      </c>
      <c r="C85" s="1" t="s">
        <v>451</v>
      </c>
      <c r="D85" s="1" t="s">
        <v>452</v>
      </c>
      <c r="E85" s="1" t="s">
        <v>452</v>
      </c>
      <c r="F85" s="1" t="s">
        <v>453</v>
      </c>
      <c r="G85" s="1" t="s">
        <v>454</v>
      </c>
      <c r="H85" s="1" t="str">
        <f>IFERROR(__xludf.DUMMYFUNCTION("GOOGLETRANSLATE(D85,""EN"",""JA"")"),"交差反応性結合抗薬物抗体")</f>
        <v>交差反応性結合抗薬物抗体</v>
      </c>
      <c r="I85" s="1" t="str">
        <f>IFERROR(__xludf.DUMMYFUNCTION("GOOGLETRANSLATE(E85,""EN"",""JA"")"),"交差反応性結合抗薬物抗体")</f>
        <v>交差反応性結合抗薬物抗体</v>
      </c>
      <c r="J85" s="1" t="str">
        <f>IFERROR(__xludf.DUMMYFUNCTION("GOOGLETRANSLATE(F85,""EN"",""JA"")"),"生物学的検体中の交差反応性結合抗薬物抗体の測定。交差反応性結合抗薬物抗体は、類似試験物質と構造的に類似した内因性分子に結合するADAの一種です。")</f>
        <v>生物学的検体中の交差反応性結合抗薬物抗体の測定。交差反応性結合抗薬物抗体は、類似試験物質と構造的に類似した内因性分子に結合するADAの一種です。</v>
      </c>
      <c r="K85" s="1" t="str">
        <f>IFERROR(__xludf.DUMMYFUNCTION("GOOGLETRANSLATE(G85,""EN"",""JA"")"),"交差反応性結合抗薬物抗体測定")</f>
        <v>交差反応性結合抗薬物抗体測定</v>
      </c>
    </row>
    <row r="86" ht="13.5" customHeight="1">
      <c r="A86" s="1" t="s">
        <v>11</v>
      </c>
      <c r="B86" s="1" t="s">
        <v>455</v>
      </c>
      <c r="C86" s="1" t="s">
        <v>456</v>
      </c>
      <c r="D86" s="1" t="s">
        <v>457</v>
      </c>
      <c r="E86" s="1" t="s">
        <v>458</v>
      </c>
      <c r="F86" s="1" t="s">
        <v>459</v>
      </c>
      <c r="G86" s="1" t="s">
        <v>460</v>
      </c>
      <c r="H86" s="1" t="str">
        <f>IFERROR(__xludf.DUMMYFUNCTION("GOOGLETRANSLATE(D86,""EN"",""JA"")"),"ADAMメタロペプチダーゼドメイン8")</f>
        <v>ADAMメタロペプチダーゼドメイン8</v>
      </c>
      <c r="I86" s="1" t="str">
        <f>IFERROR(__xludf.DUMMYFUNCTION("GOOGLETRANSLATE(E86,""EN"",""JA"")"),"ディスインテグリンおよびメタロプロテアーゼドメイン8; ADAMメタロペプチダーゼドメイン8; 可溶性CD156a")</f>
        <v>ディスインテグリンおよびメタロプロテアーゼドメイン8; ADAMメタロペプチダーゼドメイン8; 可溶性CD156a</v>
      </c>
      <c r="J86" s="1" t="str">
        <f>IFERROR(__xludf.DUMMYFUNCTION("GOOGLETRANSLATE(F86,""EN"",""JA"")"),"生物標本中の ADAM メタロペプチダーゼ ドメイン 8 タンパク質の測定。")</f>
        <v>生物標本中の ADAM メタロペプチダーゼ ドメイン 8 タンパク質の測定。</v>
      </c>
      <c r="K86" s="1" t="str">
        <f>IFERROR(__xludf.DUMMYFUNCTION("GOOGLETRANSLATE(G86,""EN"",""JA"")"),"ADAMメタロペプチダーゼドメイン8の測定")</f>
        <v>ADAMメタロペプチダーゼドメイン8の測定</v>
      </c>
    </row>
    <row r="87" ht="13.5" customHeight="1">
      <c r="A87" s="1" t="s">
        <v>11</v>
      </c>
      <c r="B87" s="1" t="s">
        <v>461</v>
      </c>
      <c r="C87" s="1" t="s">
        <v>462</v>
      </c>
      <c r="D87" s="1" t="s">
        <v>462</v>
      </c>
      <c r="E87" s="1" t="s">
        <v>463</v>
      </c>
      <c r="F87" s="1" t="s">
        <v>464</v>
      </c>
      <c r="G87" s="1" t="s">
        <v>465</v>
      </c>
      <c r="H87" s="1" t="str">
        <f>IFERROR(__xludf.DUMMYFUNCTION("GOOGLETRANSLATE(D87,""EN"",""JA"")"),"ADAMTS13")</f>
        <v>ADAMTS13</v>
      </c>
      <c r="I87" s="1" t="str">
        <f>IFERROR(__xludf.DUMMYFUNCTION("GOOGLETRANSLATE(E87,""EN"",""JA"")"),"トロンボスポンジン1型モチーフ13を有するディスインテグリン様メタロプロテアーゼ（リプロリジン型）；トロンボスポンジン1型モチーフ13を有するADAMメタロペプチダーゼ；フォン・ヴィレブランド凝固因子切断プロテアーゼADAMTS13")</f>
        <v>トロンボスポンジン1型モチーフ13を有するディスインテグリン様メタロプロテアーゼ（リプロリジン型）；トロンボスポンジン1型モチーフ13を有するADAMメタロペプチダーゼ；フォン・ヴィレブランド凝固因子切断プロテアーゼADAMTS13</v>
      </c>
      <c r="J87" s="1" t="str">
        <f>IFERROR(__xludf.DUMMYFUNCTION("GOOGLETRANSLATE(F87,""EN"",""JA"")"),"生物標本中のフォン・ヴィレブランド凝固因子切断プロテアーゼ ADAMTS13 の測定。")</f>
        <v>生物標本中のフォン・ヴィレブランド凝固因子切断プロテアーゼ ADAMTS13 の測定。</v>
      </c>
      <c r="K87" s="1" t="str">
        <f>IFERROR(__xludf.DUMMYFUNCTION("GOOGLETRANSLATE(G87,""EN"",""JA"")"),"フォン・ヴィレブランド凝固因子切断プロテアーゼ測定")</f>
        <v>フォン・ヴィレブランド凝固因子切断プロテアーゼ測定</v>
      </c>
    </row>
    <row r="88" ht="13.5" customHeight="1">
      <c r="A88" s="1" t="s">
        <v>397</v>
      </c>
      <c r="B88" s="1" t="s">
        <v>466</v>
      </c>
      <c r="C88" s="1" t="s">
        <v>467</v>
      </c>
      <c r="D88" s="1" t="s">
        <v>468</v>
      </c>
      <c r="E88" s="1" t="s">
        <v>468</v>
      </c>
      <c r="F88" s="1" t="s">
        <v>469</v>
      </c>
      <c r="G88" s="1" t="s">
        <v>470</v>
      </c>
      <c r="H88" s="1" t="str">
        <f>IFERROR(__xludf.DUMMYFUNCTION("GOOGLETRANSLATE(D88,""EN"",""JA"")"),"適応型デザイン")</f>
        <v>適応型デザイン</v>
      </c>
      <c r="I88" s="1" t="str">
        <f>IFERROR(__xludf.DUMMYFUNCTION("GOOGLETRANSLATE(E88,""EN"",""JA"")"),"適応型デザイン")</f>
        <v>適応型デザイン</v>
      </c>
      <c r="J88" s="1" t="str">
        <f>IFERROR(__xludf.DUMMYFUNCTION("GOOGLETRANSLATE(F88,""EN"",""JA"")"),"研究に、研究対象者からのデータ（通常は中間データ）の分析に基づいて、研究設計および仮説の 1 つ以上の特定の側面を修正するための前向きに計画された機会が含まれているかどうかを示してください。")</f>
        <v>研究に、研究対象者からのデータ（通常は中間データ）の分析に基づいて、研究設計および仮説の 1 つ以上の特定の側面を修正するための前向きに計画された機会が含まれているかどうかを示してください。</v>
      </c>
      <c r="K88" s="1" t="str">
        <f>IFERROR(__xludf.DUMMYFUNCTION("GOOGLETRANSLATE(G88,""EN"",""JA"")"),"適応型研究デザイン指標")</f>
        <v>適応型研究デザイン指標</v>
      </c>
    </row>
    <row r="89" ht="13.5" customHeight="1">
      <c r="A89" s="1" t="s">
        <v>201</v>
      </c>
      <c r="B89" s="1" t="s">
        <v>471</v>
      </c>
      <c r="C89" s="1" t="s">
        <v>472</v>
      </c>
      <c r="D89" s="1" t="s">
        <v>473</v>
      </c>
      <c r="E89" s="1" t="s">
        <v>473</v>
      </c>
      <c r="F89" s="1" t="s">
        <v>474</v>
      </c>
      <c r="G89" s="1" t="s">
        <v>475</v>
      </c>
      <c r="H89" s="1" t="str">
        <f>IFERROR(__xludf.DUMMYFUNCTION("GOOGLETRANSLATE(D89,""EN"",""JA"")"),"結合抗薬物IgA抗体")</f>
        <v>結合抗薬物IgA抗体</v>
      </c>
      <c r="I89" s="1" t="str">
        <f>IFERROR(__xludf.DUMMYFUNCTION("GOOGLETRANSLATE(E89,""EN"",""JA"")"),"結合抗薬物IgA抗体")</f>
        <v>結合抗薬物IgA抗体</v>
      </c>
      <c r="J89" s="1" t="str">
        <f>IFERROR(__xludf.DUMMYFUNCTION("GOOGLETRANSLATE(F89,""EN"",""JA"")"),"生物学的標本中の結合抗薬物 IgA 抗体の測定。")</f>
        <v>生物学的標本中の結合抗薬物 IgA 抗体の測定。</v>
      </c>
      <c r="K89" s="1" t="str">
        <f>IFERROR(__xludf.DUMMYFUNCTION("GOOGLETRANSLATE(G89,""EN"",""JA"")"),"結合抗薬物IgA抗体測定")</f>
        <v>結合抗薬物IgA抗体測定</v>
      </c>
    </row>
    <row r="90" ht="13.5" customHeight="1">
      <c r="A90" s="1" t="s">
        <v>201</v>
      </c>
      <c r="B90" s="1" t="s">
        <v>476</v>
      </c>
      <c r="C90" s="1" t="s">
        <v>477</v>
      </c>
      <c r="D90" s="1" t="s">
        <v>478</v>
      </c>
      <c r="E90" s="1" t="s">
        <v>478</v>
      </c>
      <c r="F90" s="1" t="s">
        <v>479</v>
      </c>
      <c r="G90" s="1" t="s">
        <v>480</v>
      </c>
      <c r="H90" s="1" t="str">
        <f>IFERROR(__xludf.DUMMYFUNCTION("GOOGLETRANSLATE(D90,""EN"",""JA"")"),"結合抗薬物IgE抗体")</f>
        <v>結合抗薬物IgE抗体</v>
      </c>
      <c r="I90" s="1" t="str">
        <f>IFERROR(__xludf.DUMMYFUNCTION("GOOGLETRANSLATE(E90,""EN"",""JA"")"),"結合抗薬物IgE抗体")</f>
        <v>結合抗薬物IgE抗体</v>
      </c>
      <c r="J90" s="1" t="str">
        <f>IFERROR(__xludf.DUMMYFUNCTION("GOOGLETRANSLATE(F90,""EN"",""JA"")"),"生物学的標本中の結合抗薬物 IgE 抗体の測定。")</f>
        <v>生物学的標本中の結合抗薬物 IgE 抗体の測定。</v>
      </c>
      <c r="K90" s="1" t="str">
        <f>IFERROR(__xludf.DUMMYFUNCTION("GOOGLETRANSLATE(G90,""EN"",""JA"")"),"結合抗薬物IgE抗体測定")</f>
        <v>結合抗薬物IgE抗体測定</v>
      </c>
    </row>
    <row r="91" ht="13.5" customHeight="1">
      <c r="A91" s="1" t="s">
        <v>201</v>
      </c>
      <c r="B91" s="1" t="s">
        <v>481</v>
      </c>
      <c r="C91" s="1" t="s">
        <v>482</v>
      </c>
      <c r="D91" s="1" t="s">
        <v>483</v>
      </c>
      <c r="E91" s="1" t="s">
        <v>483</v>
      </c>
      <c r="F91" s="1" t="s">
        <v>484</v>
      </c>
      <c r="G91" s="1" t="s">
        <v>485</v>
      </c>
      <c r="H91" s="1" t="str">
        <f>IFERROR(__xludf.DUMMYFUNCTION("GOOGLETRANSLATE(D91,""EN"",""JA"")"),"結合抗薬物IgG抗体")</f>
        <v>結合抗薬物IgG抗体</v>
      </c>
      <c r="I91" s="1" t="str">
        <f>IFERROR(__xludf.DUMMYFUNCTION("GOOGLETRANSLATE(E91,""EN"",""JA"")"),"結合抗薬物IgG抗体")</f>
        <v>結合抗薬物IgG抗体</v>
      </c>
      <c r="J91" s="1" t="str">
        <f>IFERROR(__xludf.DUMMYFUNCTION("GOOGLETRANSLATE(F91,""EN"",""JA"")"),"生物学的標本中の結合抗薬物 IgG 抗体の測定。")</f>
        <v>生物学的標本中の結合抗薬物 IgG 抗体の測定。</v>
      </c>
      <c r="K91" s="1" t="str">
        <f>IFERROR(__xludf.DUMMYFUNCTION("GOOGLETRANSLATE(G91,""EN"",""JA"")"),"結合抗薬物IgG抗体測定")</f>
        <v>結合抗薬物IgG抗体測定</v>
      </c>
    </row>
    <row r="92" ht="13.5" customHeight="1">
      <c r="A92" s="1" t="s">
        <v>201</v>
      </c>
      <c r="B92" s="1" t="s">
        <v>486</v>
      </c>
      <c r="C92" s="1" t="s">
        <v>487</v>
      </c>
      <c r="D92" s="1" t="s">
        <v>488</v>
      </c>
      <c r="E92" s="1" t="s">
        <v>488</v>
      </c>
      <c r="F92" s="1" t="s">
        <v>489</v>
      </c>
      <c r="G92" s="1" t="s">
        <v>490</v>
      </c>
      <c r="H92" s="1" t="str">
        <f>IFERROR(__xludf.DUMMYFUNCTION("GOOGLETRANSLATE(D92,""EN"",""JA"")"),"結合抗薬物IgG1抗体")</f>
        <v>結合抗薬物IgG1抗体</v>
      </c>
      <c r="I92" s="1" t="str">
        <f>IFERROR(__xludf.DUMMYFUNCTION("GOOGLETRANSLATE(E92,""EN"",""JA"")"),"結合抗薬物IgG1抗体")</f>
        <v>結合抗薬物IgG1抗体</v>
      </c>
      <c r="J92" s="1" t="str">
        <f>IFERROR(__xludf.DUMMYFUNCTION("GOOGLETRANSLATE(F92,""EN"",""JA"")"),"生物学的標本中の結合抗薬物 IgG1 抗体の測定。")</f>
        <v>生物学的標本中の結合抗薬物 IgG1 抗体の測定。</v>
      </c>
      <c r="K92" s="1" t="str">
        <f>IFERROR(__xludf.DUMMYFUNCTION("GOOGLETRANSLATE(G92,""EN"",""JA"")"),"結合抗薬物IgG1抗体測定")</f>
        <v>結合抗薬物IgG1抗体測定</v>
      </c>
    </row>
    <row r="93" ht="13.5" customHeight="1">
      <c r="A93" s="1" t="s">
        <v>201</v>
      </c>
      <c r="B93" s="1" t="s">
        <v>491</v>
      </c>
      <c r="C93" s="1" t="s">
        <v>492</v>
      </c>
      <c r="D93" s="1" t="s">
        <v>493</v>
      </c>
      <c r="E93" s="1" t="s">
        <v>493</v>
      </c>
      <c r="F93" s="1" t="s">
        <v>494</v>
      </c>
      <c r="G93" s="1" t="s">
        <v>495</v>
      </c>
      <c r="H93" s="1" t="str">
        <f>IFERROR(__xludf.DUMMYFUNCTION("GOOGLETRANSLATE(D93,""EN"",""JA"")"),"結合抗薬物IgG2抗体")</f>
        <v>結合抗薬物IgG2抗体</v>
      </c>
      <c r="I93" s="1" t="str">
        <f>IFERROR(__xludf.DUMMYFUNCTION("GOOGLETRANSLATE(E93,""EN"",""JA"")"),"結合抗薬物IgG2抗体")</f>
        <v>結合抗薬物IgG2抗体</v>
      </c>
      <c r="J93" s="1" t="str">
        <f>IFERROR(__xludf.DUMMYFUNCTION("GOOGLETRANSLATE(F93,""EN"",""JA"")"),"生物学的標本中の結合抗薬物 IgG2 抗体の測定。")</f>
        <v>生物学的標本中の結合抗薬物 IgG2 抗体の測定。</v>
      </c>
      <c r="K93" s="1" t="str">
        <f>IFERROR(__xludf.DUMMYFUNCTION("GOOGLETRANSLATE(G93,""EN"",""JA"")"),"結合抗薬物IgG2抗体測定")</f>
        <v>結合抗薬物IgG2抗体測定</v>
      </c>
    </row>
    <row r="94" ht="13.5" customHeight="1">
      <c r="A94" s="1" t="s">
        <v>201</v>
      </c>
      <c r="B94" s="1" t="s">
        <v>496</v>
      </c>
      <c r="C94" s="1" t="s">
        <v>497</v>
      </c>
      <c r="D94" s="1" t="s">
        <v>498</v>
      </c>
      <c r="E94" s="1" t="s">
        <v>498</v>
      </c>
      <c r="F94" s="1" t="s">
        <v>499</v>
      </c>
      <c r="G94" s="1" t="s">
        <v>500</v>
      </c>
      <c r="H94" s="1" t="str">
        <f>IFERROR(__xludf.DUMMYFUNCTION("GOOGLETRANSLATE(D94,""EN"",""JA"")"),"結合抗薬物IgG3抗体")</f>
        <v>結合抗薬物IgG3抗体</v>
      </c>
      <c r="I94" s="1" t="str">
        <f>IFERROR(__xludf.DUMMYFUNCTION("GOOGLETRANSLATE(E94,""EN"",""JA"")"),"結合抗薬物IgG3抗体")</f>
        <v>結合抗薬物IgG3抗体</v>
      </c>
      <c r="J94" s="1" t="str">
        <f>IFERROR(__xludf.DUMMYFUNCTION("GOOGLETRANSLATE(F94,""EN"",""JA"")"),"生物学的標本中の結合抗薬物 IgG3 抗体の測定。")</f>
        <v>生物学的標本中の結合抗薬物 IgG3 抗体の測定。</v>
      </c>
      <c r="K94" s="1" t="str">
        <f>IFERROR(__xludf.DUMMYFUNCTION("GOOGLETRANSLATE(G94,""EN"",""JA"")"),"結合抗薬物IgG3抗体測定")</f>
        <v>結合抗薬物IgG3抗体測定</v>
      </c>
    </row>
    <row r="95" ht="13.5" customHeight="1">
      <c r="A95" s="1" t="s">
        <v>201</v>
      </c>
      <c r="B95" s="1" t="s">
        <v>501</v>
      </c>
      <c r="C95" s="1" t="s">
        <v>502</v>
      </c>
      <c r="D95" s="1" t="s">
        <v>503</v>
      </c>
      <c r="E95" s="1" t="s">
        <v>503</v>
      </c>
      <c r="F95" s="1" t="s">
        <v>504</v>
      </c>
      <c r="G95" s="1" t="s">
        <v>505</v>
      </c>
      <c r="H95" s="1" t="str">
        <f>IFERROR(__xludf.DUMMYFUNCTION("GOOGLETRANSLATE(D95,""EN"",""JA"")"),"結合抗薬物IgG4抗体")</f>
        <v>結合抗薬物IgG4抗体</v>
      </c>
      <c r="I95" s="1" t="str">
        <f>IFERROR(__xludf.DUMMYFUNCTION("GOOGLETRANSLATE(E95,""EN"",""JA"")"),"結合抗薬物IgG4抗体")</f>
        <v>結合抗薬物IgG4抗体</v>
      </c>
      <c r="J95" s="1" t="str">
        <f>IFERROR(__xludf.DUMMYFUNCTION("GOOGLETRANSLATE(F95,""EN"",""JA"")"),"生物学的標本中の結合抗薬物 IgG4 抗体の測定。")</f>
        <v>生物学的標本中の結合抗薬物 IgG4 抗体の測定。</v>
      </c>
      <c r="K95" s="1" t="str">
        <f>IFERROR(__xludf.DUMMYFUNCTION("GOOGLETRANSLATE(G95,""EN"",""JA"")"),"結合抗薬物IgG4抗体測定")</f>
        <v>結合抗薬物IgG4抗体測定</v>
      </c>
    </row>
    <row r="96" ht="13.5" customHeight="1">
      <c r="A96" s="1" t="s">
        <v>201</v>
      </c>
      <c r="B96" s="1" t="s">
        <v>506</v>
      </c>
      <c r="C96" s="1" t="s">
        <v>507</v>
      </c>
      <c r="D96" s="1" t="s">
        <v>508</v>
      </c>
      <c r="E96" s="1" t="s">
        <v>508</v>
      </c>
      <c r="F96" s="1" t="s">
        <v>509</v>
      </c>
      <c r="G96" s="1" t="s">
        <v>510</v>
      </c>
      <c r="H96" s="1" t="str">
        <f>IFERROR(__xludf.DUMMYFUNCTION("GOOGLETRANSLATE(D96,""EN"",""JA"")"),"結合抗薬物IgG/IgM抗体")</f>
        <v>結合抗薬物IgG/IgM抗体</v>
      </c>
      <c r="I96" s="1" t="str">
        <f>IFERROR(__xludf.DUMMYFUNCTION("GOOGLETRANSLATE(E96,""EN"",""JA"")"),"結合抗薬物IgG/IgM抗体")</f>
        <v>結合抗薬物IgG/IgM抗体</v>
      </c>
      <c r="J96" s="1" t="str">
        <f>IFERROR(__xludf.DUMMYFUNCTION("GOOGLETRANSLATE(F96,""EN"",""JA"")"),"生物学的標本中の結合抗薬物 IgG および/または IgM 抗体の測定。")</f>
        <v>生物学的標本中の結合抗薬物 IgG および/または IgM 抗体の測定。</v>
      </c>
      <c r="K96" s="1" t="str">
        <f>IFERROR(__xludf.DUMMYFUNCTION("GOOGLETRANSLATE(G96,""EN"",""JA"")"),"結合抗薬物IgG/IgM抗体測定")</f>
        <v>結合抗薬物IgG/IgM抗体測定</v>
      </c>
    </row>
    <row r="97" ht="13.5" customHeight="1">
      <c r="A97" s="1" t="s">
        <v>201</v>
      </c>
      <c r="B97" s="1" t="s">
        <v>511</v>
      </c>
      <c r="C97" s="1" t="s">
        <v>512</v>
      </c>
      <c r="D97" s="1" t="s">
        <v>513</v>
      </c>
      <c r="E97" s="1" t="s">
        <v>513</v>
      </c>
      <c r="F97" s="1" t="s">
        <v>514</v>
      </c>
      <c r="G97" s="1" t="s">
        <v>515</v>
      </c>
      <c r="H97" s="1" t="str">
        <f>IFERROR(__xludf.DUMMYFUNCTION("GOOGLETRANSLATE(D97,""EN"",""JA"")"),"結合抗薬物IgM抗体")</f>
        <v>結合抗薬物IgM抗体</v>
      </c>
      <c r="I97" s="1" t="str">
        <f>IFERROR(__xludf.DUMMYFUNCTION("GOOGLETRANSLATE(E97,""EN"",""JA"")"),"結合抗薬物IgM抗体")</f>
        <v>結合抗薬物IgM抗体</v>
      </c>
      <c r="J97" s="1" t="str">
        <f>IFERROR(__xludf.DUMMYFUNCTION("GOOGLETRANSLATE(F97,""EN"",""JA"")"),"生物学的標本中の結合抗薬物 IgM 抗体の測定。")</f>
        <v>生物学的標本中の結合抗薬物 IgM 抗体の測定。</v>
      </c>
      <c r="K97" s="1" t="str">
        <f>IFERROR(__xludf.DUMMYFUNCTION("GOOGLETRANSLATE(G97,""EN"",""JA"")"),"結合抗薬物IgM抗体測定")</f>
        <v>結合抗薬物IgM抗体測定</v>
      </c>
    </row>
    <row r="98" ht="13.5" customHeight="1">
      <c r="A98" s="1" t="s">
        <v>11</v>
      </c>
      <c r="B98" s="1" t="s">
        <v>516</v>
      </c>
      <c r="C98" s="1" t="s">
        <v>517</v>
      </c>
      <c r="D98" s="1" t="s">
        <v>518</v>
      </c>
      <c r="E98" s="1" t="s">
        <v>518</v>
      </c>
      <c r="F98" s="1" t="s">
        <v>519</v>
      </c>
      <c r="G98" s="1" t="s">
        <v>520</v>
      </c>
      <c r="H98" s="1" t="str">
        <f>IFERROR(__xludf.DUMMYFUNCTION("GOOGLETRANSLATE(D98,""EN"",""JA"")"),"ADB-PINACA")</f>
        <v>ADB-PINACA</v>
      </c>
      <c r="I98" s="1" t="str">
        <f>IFERROR(__xludf.DUMMYFUNCTION("GOOGLETRANSLATE(E98,""EN"",""JA"")"),"ADB-PINACA")</f>
        <v>ADB-PINACA</v>
      </c>
      <c r="J98" s="1" t="str">
        <f>IFERROR(__xludf.DUMMYFUNCTION("GOOGLETRANSLATE(F98,""EN"",""JA"")"),"生物標本中の合成カンナビノイド ADB-PINACA の測定。")</f>
        <v>生物標本中の合成カンナビノイド ADB-PINACA の測定。</v>
      </c>
      <c r="K98" s="1" t="str">
        <f>IFERROR(__xludf.DUMMYFUNCTION("GOOGLETRANSLATE(G98,""EN"",""JA"")"),"ADB-PINACA測定")</f>
        <v>ADB-PINACA測定</v>
      </c>
    </row>
    <row r="99" ht="13.5" customHeight="1">
      <c r="A99" s="1" t="s">
        <v>201</v>
      </c>
      <c r="B99" s="1" t="s">
        <v>521</v>
      </c>
      <c r="C99" s="1" t="s">
        <v>522</v>
      </c>
      <c r="D99" s="1" t="s">
        <v>523</v>
      </c>
      <c r="E99" s="1" t="s">
        <v>524</v>
      </c>
      <c r="F99" s="1" t="s">
        <v>525</v>
      </c>
      <c r="G99" s="1" t="s">
        <v>526</v>
      </c>
      <c r="H99" s="1" t="str">
        <f>IFERROR(__xludf.DUMMYFUNCTION("GOOGLETRANSLATE(D99,""EN"",""JA"")"),"交差反応性結合抗薬物IgA AB")</f>
        <v>交差反応性結合抗薬物IgA AB</v>
      </c>
      <c r="I99" s="1" t="str">
        <f>IFERROR(__xludf.DUMMYFUNCTION("GOOGLETRANSLATE(E99,""EN"",""JA"")"),"交差反応性結合抗薬物IgA AB; 交差反応性結合抗薬物IgA抗体")</f>
        <v>交差反応性結合抗薬物IgA AB; 交差反応性結合抗薬物IgA抗体</v>
      </c>
      <c r="J99" s="1" t="str">
        <f>IFERROR(__xludf.DUMMYFUNCTION("GOOGLETRANSLATE(F99,""EN"",""JA"")"),"生物学的標本中の交差反応性結合抗薬物 IgA 抗体の測定。")</f>
        <v>生物学的標本中の交差反応性結合抗薬物 IgA 抗体の測定。</v>
      </c>
      <c r="K99" s="1" t="str">
        <f>IFERROR(__xludf.DUMMYFUNCTION("GOOGLETRANSLATE(G99,""EN"",""JA"")"),"交差反応性結合抗薬物IgA抗体測定")</f>
        <v>交差反応性結合抗薬物IgA抗体測定</v>
      </c>
    </row>
    <row r="100" ht="13.5" customHeight="1">
      <c r="A100" s="1" t="s">
        <v>201</v>
      </c>
      <c r="B100" s="1" t="s">
        <v>527</v>
      </c>
      <c r="C100" s="1" t="s">
        <v>528</v>
      </c>
      <c r="D100" s="1" t="s">
        <v>529</v>
      </c>
      <c r="E100" s="1" t="s">
        <v>530</v>
      </c>
      <c r="F100" s="1" t="s">
        <v>531</v>
      </c>
      <c r="G100" s="1" t="s">
        <v>532</v>
      </c>
      <c r="H100" s="1" t="str">
        <f>IFERROR(__xludf.DUMMYFUNCTION("GOOGLETRANSLATE(D100,""EN"",""JA"")"),"交差反応性結合抗薬物IgE AB")</f>
        <v>交差反応性結合抗薬物IgE AB</v>
      </c>
      <c r="I100" s="1" t="str">
        <f>IFERROR(__xludf.DUMMYFUNCTION("GOOGLETRANSLATE(E100,""EN"",""JA"")"),"交差反応性結合抗薬物IgE AB; 交差反応性結合抗薬物IgE抗体")</f>
        <v>交差反応性結合抗薬物IgE AB; 交差反応性結合抗薬物IgE抗体</v>
      </c>
      <c r="J100" s="1" t="str">
        <f>IFERROR(__xludf.DUMMYFUNCTION("GOOGLETRANSLATE(F100,""EN"",""JA"")"),"生物学的標本中の交差反応性結合抗薬物 IgE 抗体の測定。")</f>
        <v>生物学的標本中の交差反応性結合抗薬物 IgE 抗体の測定。</v>
      </c>
      <c r="K100" s="1" t="str">
        <f>IFERROR(__xludf.DUMMYFUNCTION("GOOGLETRANSLATE(G100,""EN"",""JA"")"),"交差反応性結合抗薬物IgE抗体測定")</f>
        <v>交差反応性結合抗薬物IgE抗体測定</v>
      </c>
    </row>
    <row r="101" ht="13.5" customHeight="1">
      <c r="A101" s="1" t="s">
        <v>201</v>
      </c>
      <c r="B101" s="1" t="s">
        <v>533</v>
      </c>
      <c r="C101" s="1" t="s">
        <v>534</v>
      </c>
      <c r="D101" s="1" t="s">
        <v>535</v>
      </c>
      <c r="E101" s="1" t="s">
        <v>536</v>
      </c>
      <c r="F101" s="1" t="s">
        <v>537</v>
      </c>
      <c r="G101" s="1" t="s">
        <v>538</v>
      </c>
      <c r="H101" s="1" t="str">
        <f>IFERROR(__xludf.DUMMYFUNCTION("GOOGLETRANSLATE(D101,""EN"",""JA"")"),"交差反応性結合抗薬物IgG AB")</f>
        <v>交差反応性結合抗薬物IgG AB</v>
      </c>
      <c r="I101" s="1" t="str">
        <f>IFERROR(__xludf.DUMMYFUNCTION("GOOGLETRANSLATE(E101,""EN"",""JA"")"),"交差反応性結合抗薬物IgG AB; 交差反応性結合抗薬物IgG抗体")</f>
        <v>交差反応性結合抗薬物IgG AB; 交差反応性結合抗薬物IgG抗体</v>
      </c>
      <c r="J101" s="1" t="str">
        <f>IFERROR(__xludf.DUMMYFUNCTION("GOOGLETRANSLATE(F101,""EN"",""JA"")"),"生物学的標本中の交差反応性結合抗薬物 IgG 抗体の測定。")</f>
        <v>生物学的標本中の交差反応性結合抗薬物 IgG 抗体の測定。</v>
      </c>
      <c r="K101" s="1" t="str">
        <f>IFERROR(__xludf.DUMMYFUNCTION("GOOGLETRANSLATE(G101,""EN"",""JA"")"),"交差反応性結合抗薬物IgG抗体測定")</f>
        <v>交差反応性結合抗薬物IgG抗体測定</v>
      </c>
    </row>
    <row r="102" ht="13.5" customHeight="1">
      <c r="A102" s="1" t="s">
        <v>201</v>
      </c>
      <c r="B102" s="1" t="s">
        <v>539</v>
      </c>
      <c r="C102" s="1" t="s">
        <v>540</v>
      </c>
      <c r="D102" s="1" t="s">
        <v>541</v>
      </c>
      <c r="E102" s="1" t="s">
        <v>542</v>
      </c>
      <c r="F102" s="1" t="s">
        <v>543</v>
      </c>
      <c r="G102" s="1" t="s">
        <v>544</v>
      </c>
      <c r="H102" s="1" t="str">
        <f>IFERROR(__xludf.DUMMYFUNCTION("GOOGLETRANSLATE(D102,""EN"",""JA"")"),"交差反応性結合抗薬物IgG1 AB")</f>
        <v>交差反応性結合抗薬物IgG1 AB</v>
      </c>
      <c r="I102" s="1" t="str">
        <f>IFERROR(__xludf.DUMMYFUNCTION("GOOGLETRANSLATE(E102,""EN"",""JA"")"),"交差反応性結合抗薬物IgG1 AB; 交差反応性結合抗薬物IgG1抗体")</f>
        <v>交差反応性結合抗薬物IgG1 AB; 交差反応性結合抗薬物IgG1抗体</v>
      </c>
      <c r="J102" s="1" t="str">
        <f>IFERROR(__xludf.DUMMYFUNCTION("GOOGLETRANSLATE(F102,""EN"",""JA"")"),"生物学的標本中の交差反応性結合抗薬物 IgG1 抗体の測定。")</f>
        <v>生物学的標本中の交差反応性結合抗薬物 IgG1 抗体の測定。</v>
      </c>
      <c r="K102" s="1" t="str">
        <f>IFERROR(__xludf.DUMMYFUNCTION("GOOGLETRANSLATE(G102,""EN"",""JA"")"),"交差反応性結合抗薬物IgG1抗体測定")</f>
        <v>交差反応性結合抗薬物IgG1抗体測定</v>
      </c>
    </row>
    <row r="103" ht="13.5" customHeight="1">
      <c r="A103" s="1" t="s">
        <v>201</v>
      </c>
      <c r="B103" s="1" t="s">
        <v>545</v>
      </c>
      <c r="C103" s="1" t="s">
        <v>546</v>
      </c>
      <c r="D103" s="1" t="s">
        <v>547</v>
      </c>
      <c r="E103" s="1" t="s">
        <v>548</v>
      </c>
      <c r="F103" s="1" t="s">
        <v>549</v>
      </c>
      <c r="G103" s="1" t="s">
        <v>550</v>
      </c>
      <c r="H103" s="1" t="str">
        <f>IFERROR(__xludf.DUMMYFUNCTION("GOOGLETRANSLATE(D103,""EN"",""JA"")"),"交差反応性結合抗薬物IgG2 AB")</f>
        <v>交差反応性結合抗薬物IgG2 AB</v>
      </c>
      <c r="I103" s="1" t="str">
        <f>IFERROR(__xludf.DUMMYFUNCTION("GOOGLETRANSLATE(E103,""EN"",""JA"")"),"交差反応性結合抗薬物IgG2 AB; 交差反応性結合抗薬物IgG2抗体")</f>
        <v>交差反応性結合抗薬物IgG2 AB; 交差反応性結合抗薬物IgG2抗体</v>
      </c>
      <c r="J103" s="1" t="str">
        <f>IFERROR(__xludf.DUMMYFUNCTION("GOOGLETRANSLATE(F103,""EN"",""JA"")"),"生物学的標本中の交差反応性結合抗薬物 IgG2 抗体の測定。")</f>
        <v>生物学的標本中の交差反応性結合抗薬物 IgG2 抗体の測定。</v>
      </c>
      <c r="K103" s="1" t="str">
        <f>IFERROR(__xludf.DUMMYFUNCTION("GOOGLETRANSLATE(G103,""EN"",""JA"")"),"交差反応性結合抗薬物IgG2抗体測定")</f>
        <v>交差反応性結合抗薬物IgG2抗体測定</v>
      </c>
    </row>
    <row r="104" ht="13.5" customHeight="1">
      <c r="A104" s="1" t="s">
        <v>201</v>
      </c>
      <c r="B104" s="1" t="s">
        <v>551</v>
      </c>
      <c r="C104" s="1" t="s">
        <v>552</v>
      </c>
      <c r="D104" s="1" t="s">
        <v>553</v>
      </c>
      <c r="E104" s="1" t="s">
        <v>554</v>
      </c>
      <c r="F104" s="1" t="s">
        <v>555</v>
      </c>
      <c r="G104" s="1" t="s">
        <v>556</v>
      </c>
      <c r="H104" s="1" t="str">
        <f>IFERROR(__xludf.DUMMYFUNCTION("GOOGLETRANSLATE(D104,""EN"",""JA"")"),"交差反応性結合抗薬物IgG3 AB")</f>
        <v>交差反応性結合抗薬物IgG3 AB</v>
      </c>
      <c r="I104" s="1" t="str">
        <f>IFERROR(__xludf.DUMMYFUNCTION("GOOGLETRANSLATE(E104,""EN"",""JA"")"),"交差反応性結合抗薬物IgG3 AB; 交差反応性結合抗薬物IgG3抗体")</f>
        <v>交差反応性結合抗薬物IgG3 AB; 交差反応性結合抗薬物IgG3抗体</v>
      </c>
      <c r="J104" s="1" t="str">
        <f>IFERROR(__xludf.DUMMYFUNCTION("GOOGLETRANSLATE(F104,""EN"",""JA"")"),"生物学的標本中の交差反応性結合抗薬物 IgG3 抗体の測定。")</f>
        <v>生物学的標本中の交差反応性結合抗薬物 IgG3 抗体の測定。</v>
      </c>
      <c r="K104" s="1" t="str">
        <f>IFERROR(__xludf.DUMMYFUNCTION("GOOGLETRANSLATE(G104,""EN"",""JA"")"),"交差反応性結合抗薬物IgG3抗体測定")</f>
        <v>交差反応性結合抗薬物IgG3抗体測定</v>
      </c>
    </row>
    <row r="105" ht="13.5" customHeight="1">
      <c r="A105" s="1" t="s">
        <v>201</v>
      </c>
      <c r="B105" s="1" t="s">
        <v>557</v>
      </c>
      <c r="C105" s="1" t="s">
        <v>558</v>
      </c>
      <c r="D105" s="1" t="s">
        <v>559</v>
      </c>
      <c r="E105" s="1" t="s">
        <v>560</v>
      </c>
      <c r="F105" s="1" t="s">
        <v>561</v>
      </c>
      <c r="G105" s="1" t="s">
        <v>562</v>
      </c>
      <c r="H105" s="1" t="str">
        <f>IFERROR(__xludf.DUMMYFUNCTION("GOOGLETRANSLATE(D105,""EN"",""JA"")"),"交差反応性結合抗薬物IgG4 AB")</f>
        <v>交差反応性結合抗薬物IgG4 AB</v>
      </c>
      <c r="I105" s="1" t="str">
        <f>IFERROR(__xludf.DUMMYFUNCTION("GOOGLETRANSLATE(E105,""EN"",""JA"")"),"交差反応性結合抗薬物IgG4 AB; 交差反応性結合抗薬物IgG4抗体")</f>
        <v>交差反応性結合抗薬物IgG4 AB; 交差反応性結合抗薬物IgG4抗体</v>
      </c>
      <c r="J105" s="1" t="str">
        <f>IFERROR(__xludf.DUMMYFUNCTION("GOOGLETRANSLATE(F105,""EN"",""JA"")"),"生物学的標本中の交差反応性結合抗薬物 IgG4 抗体の測定。")</f>
        <v>生物学的標本中の交差反応性結合抗薬物 IgG4 抗体の測定。</v>
      </c>
      <c r="K105" s="1" t="str">
        <f>IFERROR(__xludf.DUMMYFUNCTION("GOOGLETRANSLATE(G105,""EN"",""JA"")"),"交差反応性結合抗薬物IgG4抗体測定")</f>
        <v>交差反応性結合抗薬物IgG4抗体測定</v>
      </c>
    </row>
    <row r="106" ht="13.5" customHeight="1">
      <c r="A106" s="1" t="s">
        <v>201</v>
      </c>
      <c r="B106" s="1" t="s">
        <v>563</v>
      </c>
      <c r="C106" s="1" t="s">
        <v>564</v>
      </c>
      <c r="D106" s="1" t="s">
        <v>565</v>
      </c>
      <c r="E106" s="1" t="s">
        <v>566</v>
      </c>
      <c r="F106" s="1" t="s">
        <v>567</v>
      </c>
      <c r="G106" s="1" t="s">
        <v>568</v>
      </c>
      <c r="H106" s="1" t="str">
        <f>IFERROR(__xludf.DUMMYFUNCTION("GOOGLETRANSLATE(D106,""EN"",""JA"")"),"交差反応性結合ADA IgG/IgM")</f>
        <v>交差反応性結合ADA IgG/IgM</v>
      </c>
      <c r="I106" s="1" t="str">
        <f>IFERROR(__xludf.DUMMYFUNCTION("GOOGLETRANSLATE(E106,""EN"",""JA"")"),"交差反応性結合 ADA IgG/IgM; 交差反応性結合 抗薬物 IgG/IgM 抗体")</f>
        <v>交差反応性結合 ADA IgG/IgM; 交差反応性結合 抗薬物 IgG/IgM 抗体</v>
      </c>
      <c r="J106" s="1" t="str">
        <f>IFERROR(__xludf.DUMMYFUNCTION("GOOGLETRANSLATE(F106,""EN"",""JA"")"),"生物学的標本中の交差反応性結合抗薬物 IgG および/または IgM 抗体の測定。")</f>
        <v>生物学的標本中の交差反応性結合抗薬物 IgG および/または IgM 抗体の測定。</v>
      </c>
      <c r="K106" s="1" t="str">
        <f>IFERROR(__xludf.DUMMYFUNCTION("GOOGLETRANSLATE(G106,""EN"",""JA"")"),"交差反応性結合抗薬物抗体IgG/IgM測定")</f>
        <v>交差反応性結合抗薬物抗体IgG/IgM測定</v>
      </c>
    </row>
    <row r="107" ht="13.5" customHeight="1">
      <c r="A107" s="1" t="s">
        <v>201</v>
      </c>
      <c r="B107" s="1" t="s">
        <v>569</v>
      </c>
      <c r="C107" s="1" t="s">
        <v>570</v>
      </c>
      <c r="D107" s="1" t="s">
        <v>571</v>
      </c>
      <c r="E107" s="1" t="s">
        <v>572</v>
      </c>
      <c r="F107" s="1" t="s">
        <v>573</v>
      </c>
      <c r="G107" s="1" t="s">
        <v>574</v>
      </c>
      <c r="H107" s="1" t="str">
        <f>IFERROR(__xludf.DUMMYFUNCTION("GOOGLETRANSLATE(D107,""EN"",""JA"")"),"交差反応性結合抗薬物IgM AB")</f>
        <v>交差反応性結合抗薬物IgM AB</v>
      </c>
      <c r="I107" s="1" t="str">
        <f>IFERROR(__xludf.DUMMYFUNCTION("GOOGLETRANSLATE(E107,""EN"",""JA"")"),"交差反応性結合抗薬物IgM AB; 交差反応性結合抗薬物IgM抗体")</f>
        <v>交差反応性結合抗薬物IgM AB; 交差反応性結合抗薬物IgM抗体</v>
      </c>
      <c r="J107" s="1" t="str">
        <f>IFERROR(__xludf.DUMMYFUNCTION("GOOGLETRANSLATE(F107,""EN"",""JA"")"),"生物学的標本中の交差反応性結合抗薬物 IgM 抗体の測定。")</f>
        <v>生物学的標本中の交差反応性結合抗薬物 IgM 抗体の測定。</v>
      </c>
      <c r="K107" s="1" t="str">
        <f>IFERROR(__xludf.DUMMYFUNCTION("GOOGLETRANSLATE(G107,""EN"",""JA"")"),"交差反応性結合抗薬物IgM抗体測定")</f>
        <v>交差反応性結合抗薬物IgM抗体測定</v>
      </c>
    </row>
    <row r="108" ht="13.5" customHeight="1">
      <c r="A108" s="1" t="s">
        <v>397</v>
      </c>
      <c r="B108" s="1" t="s">
        <v>575</v>
      </c>
      <c r="C108" s="1" t="s">
        <v>576</v>
      </c>
      <c r="D108" s="1" t="s">
        <v>577</v>
      </c>
      <c r="E108" s="1" t="s">
        <v>577</v>
      </c>
      <c r="F108" s="1" t="s">
        <v>578</v>
      </c>
      <c r="G108" s="1" t="s">
        <v>579</v>
      </c>
      <c r="H108" s="1" t="str">
        <f>IFERROR(__xludf.DUMMYFUNCTION("GOOGLETRANSLATE(D108,""EN"",""JA"")"),"既存の治療法に追加")</f>
        <v>既存の治療法に追加</v>
      </c>
      <c r="I108" s="1" t="str">
        <f>IFERROR(__xludf.DUMMYFUNCTION("GOOGLETRANSLATE(E108,""EN"",""JA"")"),"既存の治療法に追加")</f>
        <v>既存の治療法に追加</v>
      </c>
      <c r="J108" s="1" t="str">
        <f>IFERROR(__xludf.DUMMYFUNCTION("GOOGLETRANSLATE(F108,""EN"",""JA"")"),"研究において、治療薬またはその他の研究製品を既存の治療法に追加するものであり、両者は別々の製品のままである。")</f>
        <v>研究において、治療薬またはその他の研究製品を既存の治療法に追加するものであり、両者は別々の製品のままである。</v>
      </c>
      <c r="K108" s="1" t="str">
        <f>IFERROR(__xludf.DUMMYFUNCTION("GOOGLETRANSLATE(G108,""EN"",""JA"")"),"既存の治療に試験製品を追加")</f>
        <v>既存の治療に試験製品を追加</v>
      </c>
    </row>
    <row r="109" ht="13.5" customHeight="1">
      <c r="A109" s="1" t="s">
        <v>580</v>
      </c>
      <c r="B109" s="1" t="s">
        <v>581</v>
      </c>
      <c r="C109" s="1" t="s">
        <v>582</v>
      </c>
      <c r="D109" s="1" t="s">
        <v>583</v>
      </c>
      <c r="E109" s="1" t="s">
        <v>583</v>
      </c>
      <c r="F109" s="1" t="s">
        <v>584</v>
      </c>
      <c r="G109" s="1" t="s">
        <v>583</v>
      </c>
      <c r="H109" s="1" t="str">
        <f>IFERROR(__xludf.DUMMYFUNCTION("GOOGLETRANSLATE(D109,""EN"",""JA"")"),"追加の疾患関連所見")</f>
        <v>追加の疾患関連所見</v>
      </c>
      <c r="I109" s="1" t="str">
        <f>IFERROR(__xludf.DUMMYFUNCTION("GOOGLETRANSLATE(E109,""EN"",""JA"")"),"追加の疾患関連所見")</f>
        <v>追加の疾患関連所見</v>
      </c>
      <c r="J109" s="1" t="str">
        <f>IFERROR(__xludf.DUMMYFUNCTION("GOOGLETRANSLATE(F109,""EN"",""JA"")"),"データ内で対象検査が特定されていない、対象疾患に関連する可能性がある追加の異常および/またはその他の観察事項の判定。")</f>
        <v>データ内で対象検査が特定されていない、対象疾患に関連する可能性がある追加の異常および/またはその他の観察事項の判定。</v>
      </c>
      <c r="K109" s="1" t="str">
        <f>IFERROR(__xludf.DUMMYFUNCTION("GOOGLETRANSLATE(G109,""EN"",""JA"")"),"追加の疾患関連所見")</f>
        <v>追加の疾患関連所見</v>
      </c>
    </row>
    <row r="110" ht="13.5" customHeight="1">
      <c r="A110" s="1" t="s">
        <v>67</v>
      </c>
      <c r="B110" s="1" t="s">
        <v>585</v>
      </c>
      <c r="C110" s="1" t="s">
        <v>586</v>
      </c>
      <c r="D110" s="1" t="s">
        <v>587</v>
      </c>
      <c r="E110" s="1" t="s">
        <v>587</v>
      </c>
      <c r="F110" s="1" t="s">
        <v>588</v>
      </c>
      <c r="G110" s="1" t="s">
        <v>589</v>
      </c>
      <c r="H110" s="1" t="str">
        <f>IFERROR(__xludf.DUMMYFUNCTION("GOOGLETRANSLATE(D110,""EN"",""JA"")"),"アクロモバクター・デニトリフィカンス")</f>
        <v>アクロモバクター・デニトリフィカンス</v>
      </c>
      <c r="I110" s="1" t="str">
        <f>IFERROR(__xludf.DUMMYFUNCTION("GOOGLETRANSLATE(E110,""EN"",""JA"")"),"アクロモバクター・デニトリフィカンス")</f>
        <v>アクロモバクター・デニトリフィカンス</v>
      </c>
      <c r="J110" s="1" t="str">
        <f>IFERROR(__xludf.DUMMYFUNCTION("GOOGLETRANSLATE(F110,""EN"",""JA"")"),"生物標本中の Achromobacter denitrificans の測定。")</f>
        <v>生物標本中の Achromobacter denitrificans の測定。</v>
      </c>
      <c r="K110" s="1" t="str">
        <f>IFERROR(__xludf.DUMMYFUNCTION("GOOGLETRANSLATE(G110,""EN"",""JA"")"),"アクロモバクター・デニトリフィカンス測定")</f>
        <v>アクロモバクター・デニトリフィカンス測定</v>
      </c>
    </row>
    <row r="111" ht="13.5" customHeight="1">
      <c r="A111" s="1" t="s">
        <v>67</v>
      </c>
      <c r="B111" s="1" t="s">
        <v>590</v>
      </c>
      <c r="C111" s="1" t="s">
        <v>591</v>
      </c>
      <c r="D111" s="1" t="s">
        <v>592</v>
      </c>
      <c r="E111" s="1" t="s">
        <v>592</v>
      </c>
      <c r="F111" s="1" t="s">
        <v>593</v>
      </c>
      <c r="G111" s="1" t="s">
        <v>594</v>
      </c>
      <c r="H111" s="1" t="str">
        <f>IFERROR(__xludf.DUMMYFUNCTION("GOOGLETRANSLATE(D111,""EN"",""JA"")"),"アデノウイルス抗原")</f>
        <v>アデノウイルス抗原</v>
      </c>
      <c r="I111" s="1" t="str">
        <f>IFERROR(__xludf.DUMMYFUNCTION("GOOGLETRANSLATE(E111,""EN"",""JA"")"),"アデノウイルス抗原")</f>
        <v>アデノウイルス抗原</v>
      </c>
      <c r="J111" s="1" t="str">
        <f>IFERROR(__xludf.DUMMYFUNCTION("GOOGLETRANSLATE(F111,""EN"",""JA"")"),"生物標本中のアデノウイルス抗原の測定。")</f>
        <v>生物標本中のアデノウイルス抗原の測定。</v>
      </c>
      <c r="K111" s="1" t="str">
        <f>IFERROR(__xludf.DUMMYFUNCTION("GOOGLETRANSLATE(G111,""EN"",""JA"")"),"アデノウイルス抗原測定")</f>
        <v>アデノウイルス抗原測定</v>
      </c>
    </row>
    <row r="112" ht="13.5" customHeight="1">
      <c r="A112" s="1" t="s">
        <v>67</v>
      </c>
      <c r="B112" s="1" t="s">
        <v>595</v>
      </c>
      <c r="C112" s="1" t="s">
        <v>596</v>
      </c>
      <c r="D112" s="1" t="s">
        <v>597</v>
      </c>
      <c r="E112" s="1" t="s">
        <v>598</v>
      </c>
      <c r="F112" s="1" t="s">
        <v>599</v>
      </c>
      <c r="G112" s="1" t="s">
        <v>600</v>
      </c>
      <c r="H112" s="1" t="str">
        <f>IFERROR(__xludf.DUMMYFUNCTION("GOOGLETRANSLATE(D112,""EN"",""JA"")"),"アデノウイルス科")</f>
        <v>アデノウイルス科</v>
      </c>
      <c r="I112" s="1" t="str">
        <f>IFERROR(__xludf.DUMMYFUNCTION("GOOGLETRANSLATE(E112,""EN"",""JA"")"),"アデノウイルス科; アデノウイルス")</f>
        <v>アデノウイルス科; アデノウイルス</v>
      </c>
      <c r="J112" s="1" t="str">
        <f>IFERROR(__xludf.DUMMYFUNCTION("GOOGLETRANSLATE(F112,""EN"",""JA"")"),"生物標本中のアデノウイルスの測定。")</f>
        <v>生物標本中のアデノウイルスの測定。</v>
      </c>
      <c r="K112" s="1" t="str">
        <f>IFERROR(__xludf.DUMMYFUNCTION("GOOGLETRANSLATE(G112,""EN"",""JA"")"),"アデノウイルス測定")</f>
        <v>アデノウイルス測定</v>
      </c>
    </row>
    <row r="113" ht="13.5" customHeight="1">
      <c r="A113" s="1" t="s">
        <v>601</v>
      </c>
      <c r="B113" s="1" t="s">
        <v>602</v>
      </c>
      <c r="C113" s="1" t="s">
        <v>603</v>
      </c>
      <c r="D113" s="1" t="s">
        <v>604</v>
      </c>
      <c r="E113" s="1" t="s">
        <v>605</v>
      </c>
      <c r="F113" s="1" t="s">
        <v>606</v>
      </c>
      <c r="G113" s="1" t="s">
        <v>604</v>
      </c>
      <c r="H113" s="1" t="str">
        <f>IFERROR(__xludf.DUMMYFUNCTION("GOOGLETRANSLATE(D113,""EN"",""JA"")"),"適切な発達年齢指標")</f>
        <v>適切な発達年齢指標</v>
      </c>
      <c r="I113" s="1" t="str">
        <f>IFERROR(__xludf.DUMMYFUNCTION("GOOGLETRANSLATE(E113,""EN"",""JA"")"),"年齢に応じた適切な発達指標; 適切な発達年齢指標")</f>
        <v>年齢に応じた適切な発達指標; 適切な発達年齢指標</v>
      </c>
      <c r="J113" s="1" t="str">
        <f>IFERROR(__xludf.DUMMYFUNCTION("GOOGLETRANSLATE(F113,""EN"",""JA"")"),"被験者の実年齢が身体的、感情的、社会的、認知的機能と一致しているかどうかを示します。")</f>
        <v>被験者の実年齢が身体的、感情的、社会的、認知的機能と一致しているかどうかを示します。</v>
      </c>
      <c r="K113" s="1" t="str">
        <f>IFERROR(__xludf.DUMMYFUNCTION("GOOGLETRANSLATE(G113,""EN"",""JA"")"),"適切な発達年齢指標")</f>
        <v>適切な発達年齢指標</v>
      </c>
    </row>
    <row r="114" ht="13.5" customHeight="1">
      <c r="A114" s="1" t="s">
        <v>11</v>
      </c>
      <c r="B114" s="1" t="s">
        <v>607</v>
      </c>
      <c r="C114" s="1" t="s">
        <v>608</v>
      </c>
      <c r="D114" s="1" t="s">
        <v>609</v>
      </c>
      <c r="E114" s="1" t="s">
        <v>610</v>
      </c>
      <c r="F114" s="1" t="s">
        <v>611</v>
      </c>
      <c r="G114" s="1" t="s">
        <v>612</v>
      </c>
      <c r="H114" s="1" t="str">
        <f>IFERROR(__xludf.DUMMYFUNCTION("GOOGLETRANSLATE(D114,""EN"",""JA"")"),"抗利尿ホルモン")</f>
        <v>抗利尿ホルモン</v>
      </c>
      <c r="I114" s="1" t="str">
        <f>IFERROR(__xludf.DUMMYFUNCTION("GOOGLETRANSLATE(E114,""EN"",""JA"")"),"抗利尿ホルモン；バソプレシン")</f>
        <v>抗利尿ホルモン；バソプレシン</v>
      </c>
      <c r="J114" s="1" t="str">
        <f>IFERROR(__xludf.DUMMYFUNCTION("GOOGLETRANSLATE(F114,""EN"",""JA"")"),"生物学的標本中の抗利尿ホルモンの測定。")</f>
        <v>生物学的標本中の抗利尿ホルモンの測定。</v>
      </c>
      <c r="K114" s="1" t="str">
        <f>IFERROR(__xludf.DUMMYFUNCTION("GOOGLETRANSLATE(G114,""EN"",""JA"")"),"抗利尿ホルモン測定")</f>
        <v>抗利尿ホルモン測定</v>
      </c>
    </row>
    <row r="115" ht="13.5" customHeight="1">
      <c r="A115" s="1" t="s">
        <v>160</v>
      </c>
      <c r="B115" s="1" t="s">
        <v>613</v>
      </c>
      <c r="C115" s="1" t="s">
        <v>614</v>
      </c>
      <c r="D115" s="1" t="s">
        <v>615</v>
      </c>
      <c r="E115" s="1" t="s">
        <v>615</v>
      </c>
      <c r="F115" s="1" t="s">
        <v>616</v>
      </c>
      <c r="G115" s="1" t="s">
        <v>615</v>
      </c>
      <c r="H115" s="1" t="str">
        <f>IFERROR(__xludf.DUMMYFUNCTION("GOOGLETRANSLATE(D115,""EN"",""JA"")"),"実際の配達日")</f>
        <v>実際の配達日</v>
      </c>
      <c r="I115" s="1" t="str">
        <f>IFERROR(__xludf.DUMMYFUNCTION("GOOGLETRANSLATE(E115,""EN"",""JA"")"),"実際の配達日")</f>
        <v>実際の配達日</v>
      </c>
      <c r="J115" s="1" t="str">
        <f>IFERROR(__xludf.DUMMYFUNCTION("GOOGLETRANSLATE(F115,""EN"",""JA"")"),"配信イベントが発生した日付。")</f>
        <v>配信イベントが発生した日付。</v>
      </c>
      <c r="K115" s="1" t="str">
        <f>IFERROR(__xludf.DUMMYFUNCTION("GOOGLETRANSLATE(G115,""EN"",""JA"")"),"実際の配達日")</f>
        <v>実際の配達日</v>
      </c>
    </row>
    <row r="116" ht="13.5" customHeight="1">
      <c r="A116" s="1" t="s">
        <v>11</v>
      </c>
      <c r="B116" s="1" t="s">
        <v>617</v>
      </c>
      <c r="C116" s="1" t="s">
        <v>618</v>
      </c>
      <c r="D116" s="1" t="s">
        <v>619</v>
      </c>
      <c r="E116" s="1" t="s">
        <v>619</v>
      </c>
      <c r="F116" s="1" t="s">
        <v>620</v>
      </c>
      <c r="G116" s="1" t="s">
        <v>621</v>
      </c>
      <c r="H116" s="1" t="str">
        <f>IFERROR(__xludf.DUMMYFUNCTION("GOOGLETRANSLATE(D116,""EN"",""JA"")"),"アドレノメデュリン")</f>
        <v>アドレノメデュリン</v>
      </c>
      <c r="I116" s="1" t="str">
        <f>IFERROR(__xludf.DUMMYFUNCTION("GOOGLETRANSLATE(E116,""EN"",""JA"")"),"アドレノメデュリン")</f>
        <v>アドレノメデュリン</v>
      </c>
      <c r="J116" s="1" t="str">
        <f>IFERROR(__xludf.DUMMYFUNCTION("GOOGLETRANSLATE(F116,""EN"",""JA"")"),"生物標本中の副腎皮質メデュリンの測定。")</f>
        <v>生物標本中の副腎皮質メデュリンの測定。</v>
      </c>
      <c r="K116" s="1" t="str">
        <f>IFERROR(__xludf.DUMMYFUNCTION("GOOGLETRANSLATE(G116,""EN"",""JA"")"),"副腎皮質メデュリン測定")</f>
        <v>副腎皮質メデュリン測定</v>
      </c>
    </row>
    <row r="117" ht="13.5" customHeight="1">
      <c r="A117" s="1" t="s">
        <v>11</v>
      </c>
      <c r="B117" s="1" t="s">
        <v>622</v>
      </c>
      <c r="C117" s="1" t="s">
        <v>623</v>
      </c>
      <c r="D117" s="1" t="s">
        <v>624</v>
      </c>
      <c r="E117" s="1" t="s">
        <v>625</v>
      </c>
      <c r="F117" s="1" t="s">
        <v>626</v>
      </c>
      <c r="G117" s="1" t="s">
        <v>627</v>
      </c>
      <c r="H117" s="1" t="str">
        <f>IFERROR(__xludf.DUMMYFUNCTION("GOOGLETRANSLATE(D117,""EN"",""JA"")"),"非対称ジメチルアルギニン")</f>
        <v>非対称ジメチルアルギニン</v>
      </c>
      <c r="I117" s="1" t="str">
        <f>IFERROR(__xludf.DUMMYFUNCTION("GOOGLETRANSLATE(E117,""EN"",""JA"")"),"非対称ジメチルアルギニン; N,N-ジメチルアルギニン")</f>
        <v>非対称ジメチルアルギニン; N,N-ジメチルアルギニン</v>
      </c>
      <c r="J117" s="1" t="str">
        <f>IFERROR(__xludf.DUMMYFUNCTION("GOOGLETRANSLATE(F117,""EN"",""JA"")"),"生物標本中の非対称ジメチルアルギニンの測定。")</f>
        <v>生物標本中の非対称ジメチルアルギニンの測定。</v>
      </c>
      <c r="K117" s="1" t="str">
        <f>IFERROR(__xludf.DUMMYFUNCTION("GOOGLETRANSLATE(G117,""EN"",""JA"")"),"非対称ジメチルアルギニン測定")</f>
        <v>非対称ジメチルアルギニン測定</v>
      </c>
    </row>
    <row r="118" ht="13.5" customHeight="1">
      <c r="A118" s="1" t="s">
        <v>11</v>
      </c>
      <c r="B118" s="1" t="s">
        <v>628</v>
      </c>
      <c r="C118" s="1" t="s">
        <v>629</v>
      </c>
      <c r="D118" s="1" t="s">
        <v>630</v>
      </c>
      <c r="E118" s="1" t="s">
        <v>631</v>
      </c>
      <c r="F118" s="1" t="s">
        <v>632</v>
      </c>
      <c r="G118" s="1" t="s">
        <v>633</v>
      </c>
      <c r="H118" s="1" t="str">
        <f>IFERROR(__xludf.DUMMYFUNCTION("GOOGLETRANSLATE(D118,""EN"",""JA"")"),"ADAMTS13活性")</f>
        <v>ADAMTS13活性</v>
      </c>
      <c r="I118" s="1" t="str">
        <f>IFERROR(__xludf.DUMMYFUNCTION("GOOGLETRANSLATE(E118,""EN"",""JA"")"),"トロンボスポンジン1型モチーフ13活性を有するディスインテグリン様メタロプロテアーゼ（リプロリジン型）；トロンボスポンジン1型モチーフ13活性を有するADAMメタロペプチダーゼ；ADAMTS13活性；フォン・ヴィレブランド凝固因子切断プロテアーゼADAMTS13活性")</f>
        <v>トロンボスポンジン1型モチーフ13活性を有するディスインテグリン様メタロプロテアーゼ（リプロリジン型）；トロンボスポンジン1型モチーフ13活性を有するADAMメタロペプチダーゼ；ADAMTS13活性；フォン・ヴィレブランド凝固因子切断プロテアーゼADAMTS13活性</v>
      </c>
      <c r="J118" s="1" t="str">
        <f>IFERROR(__xludf.DUMMYFUNCTION("GOOGLETRANSLATE(F118,""EN"",""JA"")"),"生物標本中のフォン・ヴィレブランド凝固因子切断プロテアーゼ、ADAMTS13 の生物活性の測定。")</f>
        <v>生物標本中のフォン・ヴィレブランド凝固因子切断プロテアーゼ、ADAMTS13 の生物活性の測定。</v>
      </c>
      <c r="K118" s="1" t="str">
        <f>IFERROR(__xludf.DUMMYFUNCTION("GOOGLETRANSLATE(G118,""EN"",""JA"")"),"フォン・ヴィレブランド凝固因子切断プロテアーゼ活性測定")</f>
        <v>フォン・ヴィレブランド凝固因子切断プロテアーゼ活性測定</v>
      </c>
    </row>
    <row r="119" ht="13.5" customHeight="1">
      <c r="A119" s="1" t="s">
        <v>201</v>
      </c>
      <c r="B119" s="1" t="s">
        <v>634</v>
      </c>
      <c r="C119" s="1" t="s">
        <v>635</v>
      </c>
      <c r="D119" s="1" t="s">
        <v>636</v>
      </c>
      <c r="E119" s="1" t="s">
        <v>637</v>
      </c>
      <c r="F119" s="1" t="s">
        <v>638</v>
      </c>
      <c r="G119" s="1" t="s">
        <v>639</v>
      </c>
      <c r="H119" s="1" t="str">
        <f>IFERROR(__xludf.DUMMYFUNCTION("GOOGLETRANSLATE(D119,""EN"",""JA"")"),"結合中和抗薬物 IgA AB")</f>
        <v>結合中和抗薬物 IgA AB</v>
      </c>
      <c r="I119" s="1" t="str">
        <f>IFERROR(__xludf.DUMMYFUNCTION("GOOGLETRANSLATE(E119,""EN"",""JA"")"),"中和結合抗薬物IgA AB; 中和結合抗薬物IgA抗体")</f>
        <v>中和結合抗薬物IgA AB; 中和結合抗薬物IgA抗体</v>
      </c>
      <c r="J119" s="1" t="str">
        <f>IFERROR(__xludf.DUMMYFUNCTION("GOOGLETRANSLATE(F119,""EN"",""JA"")"),"生物学的標本中の中和結合抗薬物 IgA 抗体の測定。")</f>
        <v>生物学的標本中の中和結合抗薬物 IgA 抗体の測定。</v>
      </c>
      <c r="K119" s="1" t="str">
        <f>IFERROR(__xludf.DUMMYFUNCTION("GOOGLETRANSLATE(G119,""EN"",""JA"")"),"中和結合抗薬物IgA抗体測定")</f>
        <v>中和結合抗薬物IgA抗体測定</v>
      </c>
    </row>
    <row r="120" ht="13.5" customHeight="1">
      <c r="A120" s="1" t="s">
        <v>201</v>
      </c>
      <c r="B120" s="1" t="s">
        <v>640</v>
      </c>
      <c r="C120" s="1" t="s">
        <v>641</v>
      </c>
      <c r="D120" s="1" t="s">
        <v>642</v>
      </c>
      <c r="E120" s="1" t="s">
        <v>643</v>
      </c>
      <c r="F120" s="1" t="s">
        <v>644</v>
      </c>
      <c r="G120" s="1" t="s">
        <v>645</v>
      </c>
      <c r="H120" s="1" t="str">
        <f>IFERROR(__xludf.DUMMYFUNCTION("GOOGLETRANSLATE(D120,""EN"",""JA"")"),"中和結合抗薬物IgE AB")</f>
        <v>中和結合抗薬物IgE AB</v>
      </c>
      <c r="I120" s="1" t="str">
        <f>IFERROR(__xludf.DUMMYFUNCTION("GOOGLETRANSLATE(E120,""EN"",""JA"")"),"中和結合抗薬物IgE AB; 中和結合抗薬物IgE抗体")</f>
        <v>中和結合抗薬物IgE AB; 中和結合抗薬物IgE抗体</v>
      </c>
      <c r="J120" s="1" t="str">
        <f>IFERROR(__xludf.DUMMYFUNCTION("GOOGLETRANSLATE(F120,""EN"",""JA"")"),"生物学的標本中の中和結合抗薬物 IgE 抗体の測定。")</f>
        <v>生物学的標本中の中和結合抗薬物 IgE 抗体の測定。</v>
      </c>
      <c r="K120" s="1" t="str">
        <f>IFERROR(__xludf.DUMMYFUNCTION("GOOGLETRANSLATE(G120,""EN"",""JA"")"),"中和結合抗薬物IgE抗体測定")</f>
        <v>中和結合抗薬物IgE抗体測定</v>
      </c>
    </row>
    <row r="121" ht="13.5" customHeight="1">
      <c r="A121" s="1" t="s">
        <v>201</v>
      </c>
      <c r="B121" s="1" t="s">
        <v>646</v>
      </c>
      <c r="C121" s="1" t="s">
        <v>647</v>
      </c>
      <c r="D121" s="1" t="s">
        <v>648</v>
      </c>
      <c r="E121" s="1" t="s">
        <v>649</v>
      </c>
      <c r="F121" s="1" t="s">
        <v>650</v>
      </c>
      <c r="G121" s="1" t="s">
        <v>651</v>
      </c>
      <c r="H121" s="1" t="str">
        <f>IFERROR(__xludf.DUMMYFUNCTION("GOOGLETRANSLATE(D121,""EN"",""JA"")"),"中和結合抗薬物IgG AB")</f>
        <v>中和結合抗薬物IgG AB</v>
      </c>
      <c r="I121" s="1" t="str">
        <f>IFERROR(__xludf.DUMMYFUNCTION("GOOGLETRANSLATE(E121,""EN"",""JA"")"),"中和結合抗薬物IgG AB; 中和結合抗薬物IgG抗体")</f>
        <v>中和結合抗薬物IgG AB; 中和結合抗薬物IgG抗体</v>
      </c>
      <c r="J121" s="1" t="str">
        <f>IFERROR(__xludf.DUMMYFUNCTION("GOOGLETRANSLATE(F121,""EN"",""JA"")"),"生物学的標本中の中和結合抗薬物 IgG 抗体の測定。")</f>
        <v>生物学的標本中の中和結合抗薬物 IgG 抗体の測定。</v>
      </c>
      <c r="K121" s="1" t="str">
        <f>IFERROR(__xludf.DUMMYFUNCTION("GOOGLETRANSLATE(G121,""EN"",""JA"")"),"中和結合抗薬物IgG抗体測定")</f>
        <v>中和結合抗薬物IgG抗体測定</v>
      </c>
    </row>
    <row r="122" ht="13.5" customHeight="1">
      <c r="A122" s="1" t="s">
        <v>201</v>
      </c>
      <c r="B122" s="1" t="s">
        <v>652</v>
      </c>
      <c r="C122" s="1" t="s">
        <v>653</v>
      </c>
      <c r="D122" s="1" t="s">
        <v>654</v>
      </c>
      <c r="E122" s="1" t="s">
        <v>655</v>
      </c>
      <c r="F122" s="1" t="s">
        <v>656</v>
      </c>
      <c r="G122" s="1" t="s">
        <v>657</v>
      </c>
      <c r="H122" s="1" t="str">
        <f>IFERROR(__xludf.DUMMYFUNCTION("GOOGLETRANSLATE(D122,""EN"",""JA"")"),"中和結合抗薬物IgG1 AB")</f>
        <v>中和結合抗薬物IgG1 AB</v>
      </c>
      <c r="I122" s="1" t="str">
        <f>IFERROR(__xludf.DUMMYFUNCTION("GOOGLETRANSLATE(E122,""EN"",""JA"")"),"中和結合抗薬物IgG1 AB; 中和結合抗薬物IgG1抗体")</f>
        <v>中和結合抗薬物IgG1 AB; 中和結合抗薬物IgG1抗体</v>
      </c>
      <c r="J122" s="1" t="str">
        <f>IFERROR(__xludf.DUMMYFUNCTION("GOOGLETRANSLATE(F122,""EN"",""JA"")"),"生物学的標本中の中和結合抗薬物 IgG1 抗体の測定。")</f>
        <v>生物学的標本中の中和結合抗薬物 IgG1 抗体の測定。</v>
      </c>
      <c r="K122" s="1" t="str">
        <f>IFERROR(__xludf.DUMMYFUNCTION("GOOGLETRANSLATE(G122,""EN"",""JA"")"),"中和結合抗薬物IgG1抗体測定")</f>
        <v>中和結合抗薬物IgG1抗体測定</v>
      </c>
    </row>
    <row r="123" ht="13.5" customHeight="1">
      <c r="A123" s="1" t="s">
        <v>201</v>
      </c>
      <c r="B123" s="1" t="s">
        <v>658</v>
      </c>
      <c r="C123" s="1" t="s">
        <v>659</v>
      </c>
      <c r="D123" s="1" t="s">
        <v>660</v>
      </c>
      <c r="E123" s="1" t="s">
        <v>661</v>
      </c>
      <c r="F123" s="1" t="s">
        <v>662</v>
      </c>
      <c r="G123" s="1" t="s">
        <v>663</v>
      </c>
      <c r="H123" s="1" t="str">
        <f>IFERROR(__xludf.DUMMYFUNCTION("GOOGLETRANSLATE(D123,""EN"",""JA"")"),"中和結合抗薬物IgG2 AB")</f>
        <v>中和結合抗薬物IgG2 AB</v>
      </c>
      <c r="I123" s="1" t="str">
        <f>IFERROR(__xludf.DUMMYFUNCTION("GOOGLETRANSLATE(E123,""EN"",""JA"")"),"中和結合抗薬物IgG2 AB; 中和結合抗薬物IgG2抗体")</f>
        <v>中和結合抗薬物IgG2 AB; 中和結合抗薬物IgG2抗体</v>
      </c>
      <c r="J123" s="1" t="str">
        <f>IFERROR(__xludf.DUMMYFUNCTION("GOOGLETRANSLATE(F123,""EN"",""JA"")"),"生物学的標本中の中和結合抗薬物 IgG2 抗体の測定。")</f>
        <v>生物学的標本中の中和結合抗薬物 IgG2 抗体の測定。</v>
      </c>
      <c r="K123" s="1" t="str">
        <f>IFERROR(__xludf.DUMMYFUNCTION("GOOGLETRANSLATE(G123,""EN"",""JA"")"),"中和結合抗薬物IgG2抗体測定")</f>
        <v>中和結合抗薬物IgG2抗体測定</v>
      </c>
    </row>
    <row r="124" ht="13.5" customHeight="1">
      <c r="A124" s="1" t="s">
        <v>201</v>
      </c>
      <c r="B124" s="1" t="s">
        <v>664</v>
      </c>
      <c r="C124" s="1" t="s">
        <v>665</v>
      </c>
      <c r="D124" s="1" t="s">
        <v>666</v>
      </c>
      <c r="E124" s="1" t="s">
        <v>667</v>
      </c>
      <c r="F124" s="1" t="s">
        <v>668</v>
      </c>
      <c r="G124" s="1" t="s">
        <v>669</v>
      </c>
      <c r="H124" s="1" t="str">
        <f>IFERROR(__xludf.DUMMYFUNCTION("GOOGLETRANSLATE(D124,""EN"",""JA"")"),"中和結合抗薬物IgG3 AB")</f>
        <v>中和結合抗薬物IgG3 AB</v>
      </c>
      <c r="I124" s="1" t="str">
        <f>IFERROR(__xludf.DUMMYFUNCTION("GOOGLETRANSLATE(E124,""EN"",""JA"")"),"中和結合抗薬物IgG3 AB; 中和結合抗薬物IgG3抗体")</f>
        <v>中和結合抗薬物IgG3 AB; 中和結合抗薬物IgG3抗体</v>
      </c>
      <c r="J124" s="1" t="str">
        <f>IFERROR(__xludf.DUMMYFUNCTION("GOOGLETRANSLATE(F124,""EN"",""JA"")"),"生物学的標本中の中和結合抗薬物 IgG3 抗体の測定。")</f>
        <v>生物学的標本中の中和結合抗薬物 IgG3 抗体の測定。</v>
      </c>
      <c r="K124" s="1" t="str">
        <f>IFERROR(__xludf.DUMMYFUNCTION("GOOGLETRANSLATE(G124,""EN"",""JA"")"),"中和結合抗薬物IgG3抗体測定")</f>
        <v>中和結合抗薬物IgG3抗体測定</v>
      </c>
    </row>
    <row r="125" ht="13.5" customHeight="1">
      <c r="A125" s="1" t="s">
        <v>201</v>
      </c>
      <c r="B125" s="1" t="s">
        <v>670</v>
      </c>
      <c r="C125" s="1" t="s">
        <v>671</v>
      </c>
      <c r="D125" s="1" t="s">
        <v>672</v>
      </c>
      <c r="E125" s="1" t="s">
        <v>673</v>
      </c>
      <c r="F125" s="1" t="s">
        <v>674</v>
      </c>
      <c r="G125" s="1" t="s">
        <v>675</v>
      </c>
      <c r="H125" s="1" t="str">
        <f>IFERROR(__xludf.DUMMYFUNCTION("GOOGLETRANSLATE(D125,""EN"",""JA"")"),"中和結合抗薬物IgG4 AB")</f>
        <v>中和結合抗薬物IgG4 AB</v>
      </c>
      <c r="I125" s="1" t="str">
        <f>IFERROR(__xludf.DUMMYFUNCTION("GOOGLETRANSLATE(E125,""EN"",""JA"")"),"中和結合抗薬物IgG4 AB; 中和結合抗薬物IgG4抗体")</f>
        <v>中和結合抗薬物IgG4 AB; 中和結合抗薬物IgG4抗体</v>
      </c>
      <c r="J125" s="1" t="str">
        <f>IFERROR(__xludf.DUMMYFUNCTION("GOOGLETRANSLATE(F125,""EN"",""JA"")"),"生物学的標本中の中和結合抗薬物 IgG4 抗体の測定。")</f>
        <v>生物学的標本中の中和結合抗薬物 IgG4 抗体の測定。</v>
      </c>
      <c r="K125" s="1" t="str">
        <f>IFERROR(__xludf.DUMMYFUNCTION("GOOGLETRANSLATE(G125,""EN"",""JA"")"),"中和結合抗薬物IgG4抗体測定")</f>
        <v>中和結合抗薬物IgG4抗体測定</v>
      </c>
    </row>
    <row r="126" ht="13.5" customHeight="1">
      <c r="A126" s="1" t="s">
        <v>201</v>
      </c>
      <c r="B126" s="1" t="s">
        <v>676</v>
      </c>
      <c r="C126" s="1" t="s">
        <v>677</v>
      </c>
      <c r="D126" s="1" t="s">
        <v>678</v>
      </c>
      <c r="E126" s="1" t="s">
        <v>678</v>
      </c>
      <c r="F126" s="1" t="s">
        <v>679</v>
      </c>
      <c r="G126" s="1" t="s">
        <v>680</v>
      </c>
      <c r="H126" s="1" t="str">
        <f>IFERROR(__xludf.DUMMYFUNCTION("GOOGLETRANSLATE(D126,""EN"",""JA"")"),"中和結合抗薬物IgG/IgM AB")</f>
        <v>中和結合抗薬物IgG/IgM AB</v>
      </c>
      <c r="I126" s="1" t="str">
        <f>IFERROR(__xludf.DUMMYFUNCTION("GOOGLETRANSLATE(E126,""EN"",""JA"")"),"中和結合抗薬物IgG/IgM AB")</f>
        <v>中和結合抗薬物IgG/IgM AB</v>
      </c>
      <c r="J126" s="1" t="str">
        <f>IFERROR(__xludf.DUMMYFUNCTION("GOOGLETRANSLATE(F126,""EN"",""JA"")"),"生物学的標本中の中和結合抗薬物 IgG および/または IgM 抗体の測定。")</f>
        <v>生物学的標本中の中和結合抗薬物 IgG および/または IgM 抗体の測定。</v>
      </c>
      <c r="K126" s="1" t="str">
        <f>IFERROR(__xludf.DUMMYFUNCTION("GOOGLETRANSLATE(G126,""EN"",""JA"")"),"中和結合抗薬物IgG/IgM抗体測定")</f>
        <v>中和結合抗薬物IgG/IgM抗体測定</v>
      </c>
    </row>
    <row r="127" ht="13.5" customHeight="1">
      <c r="A127" s="1" t="s">
        <v>201</v>
      </c>
      <c r="B127" s="1" t="s">
        <v>681</v>
      </c>
      <c r="C127" s="1" t="s">
        <v>682</v>
      </c>
      <c r="D127" s="1" t="s">
        <v>683</v>
      </c>
      <c r="E127" s="1" t="s">
        <v>684</v>
      </c>
      <c r="F127" s="1" t="s">
        <v>685</v>
      </c>
      <c r="G127" s="1" t="s">
        <v>686</v>
      </c>
      <c r="H127" s="1" t="str">
        <f>IFERROR(__xludf.DUMMYFUNCTION("GOOGLETRANSLATE(D127,""EN"",""JA"")"),"中和結合抗薬物IgM AB")</f>
        <v>中和結合抗薬物IgM AB</v>
      </c>
      <c r="I127" s="1" t="str">
        <f>IFERROR(__xludf.DUMMYFUNCTION("GOOGLETRANSLATE(E127,""EN"",""JA"")"),"中和結合抗薬物IgM AB; 中和結合抗薬物IgM抗体")</f>
        <v>中和結合抗薬物IgM AB; 中和結合抗薬物IgM抗体</v>
      </c>
      <c r="J127" s="1" t="str">
        <f>IFERROR(__xludf.DUMMYFUNCTION("GOOGLETRANSLATE(F127,""EN"",""JA"")"),"生物学的標本中の中和結合抗薬物 IgM 抗体の測定。")</f>
        <v>生物学的標本中の中和結合抗薬物 IgM 抗体の測定。</v>
      </c>
      <c r="K127" s="1" t="str">
        <f>IFERROR(__xludf.DUMMYFUNCTION("GOOGLETRANSLATE(G127,""EN"",""JA"")"),"中和結合抗薬物IgM抗体測定")</f>
        <v>中和結合抗薬物IgM抗体測定</v>
      </c>
    </row>
    <row r="128" ht="13.5" customHeight="1">
      <c r="A128" s="1" t="s">
        <v>201</v>
      </c>
      <c r="B128" s="1" t="s">
        <v>687</v>
      </c>
      <c r="C128" s="1" t="s">
        <v>688</v>
      </c>
      <c r="D128" s="1" t="s">
        <v>689</v>
      </c>
      <c r="E128" s="1" t="s">
        <v>690</v>
      </c>
      <c r="F128" s="1" t="s">
        <v>691</v>
      </c>
      <c r="G128" s="1" t="s">
        <v>692</v>
      </c>
      <c r="H128" s="1" t="str">
        <f>IFERROR(__xludf.DUMMYFUNCTION("GOOGLETRANSLATE(D128,""EN"",""JA"")"),"Neut交差反応性結合ADA IgA")</f>
        <v>Neut交差反応性結合ADA IgA</v>
      </c>
      <c r="I128" s="1" t="str">
        <f>IFERROR(__xludf.DUMMYFUNCTION("GOOGLETRANSLATE(E128,""EN"",""JA"")"),"中和交差反応性結合ADA IgA; 中和交差反応性結合抗薬物IgA抗体")</f>
        <v>中和交差反応性結合ADA IgA; 中和交差反応性結合抗薬物IgA抗体</v>
      </c>
      <c r="J128" s="1" t="str">
        <f>IFERROR(__xludf.DUMMYFUNCTION("GOOGLETRANSLATE(F128,""EN"",""JA"")"),"生物学的標本中の中和交差反応性結合抗薬物 IgA 抗体の測定。")</f>
        <v>生物学的標本中の中和交差反応性結合抗薬物 IgA 抗体の測定。</v>
      </c>
      <c r="K128" s="1" t="str">
        <f>IFERROR(__xludf.DUMMYFUNCTION("GOOGLETRANSLATE(G128,""EN"",""JA"")"),"中和交差反応性結合抗薬物抗体IgA測定")</f>
        <v>中和交差反応性結合抗薬物抗体IgA測定</v>
      </c>
    </row>
    <row r="129" ht="13.5" customHeight="1">
      <c r="A129" s="1" t="s">
        <v>201</v>
      </c>
      <c r="B129" s="1" t="s">
        <v>693</v>
      </c>
      <c r="C129" s="1" t="s">
        <v>694</v>
      </c>
      <c r="D129" s="1" t="s">
        <v>695</v>
      </c>
      <c r="E129" s="1" t="s">
        <v>696</v>
      </c>
      <c r="F129" s="1" t="s">
        <v>697</v>
      </c>
      <c r="G129" s="1" t="s">
        <v>698</v>
      </c>
      <c r="H129" s="1" t="str">
        <f>IFERROR(__xludf.DUMMYFUNCTION("GOOGLETRANSLATE(D129,""EN"",""JA"")"),"中性交差反応性結合ADA IgE")</f>
        <v>中性交差反応性結合ADA IgE</v>
      </c>
      <c r="I129" s="1" t="str">
        <f>IFERROR(__xludf.DUMMYFUNCTION("GOOGLETRANSLATE(E129,""EN"",""JA"")"),"中和交差反応性結合ADA IgE; 中和交差反応性結合抗薬物IgE抗体")</f>
        <v>中和交差反応性結合ADA IgE; 中和交差反応性結合抗薬物IgE抗体</v>
      </c>
      <c r="J129" s="1" t="str">
        <f>IFERROR(__xludf.DUMMYFUNCTION("GOOGLETRANSLATE(F129,""EN"",""JA"")"),"生物学的標本中の中和交差反応性結合抗薬物 IgE 抗体の測定。")</f>
        <v>生物学的標本中の中和交差反応性結合抗薬物 IgE 抗体の測定。</v>
      </c>
      <c r="K129" s="1" t="str">
        <f>IFERROR(__xludf.DUMMYFUNCTION("GOOGLETRANSLATE(G129,""EN"",""JA"")"),"中和交差反応性結合抗薬物抗体IgE測定")</f>
        <v>中和交差反応性結合抗薬物抗体IgE測定</v>
      </c>
    </row>
    <row r="130" ht="13.5" customHeight="1">
      <c r="A130" s="1" t="s">
        <v>201</v>
      </c>
      <c r="B130" s="1" t="s">
        <v>699</v>
      </c>
      <c r="C130" s="1" t="s">
        <v>700</v>
      </c>
      <c r="D130" s="1" t="s">
        <v>701</v>
      </c>
      <c r="E130" s="1" t="s">
        <v>702</v>
      </c>
      <c r="F130" s="1" t="s">
        <v>703</v>
      </c>
      <c r="G130" s="1" t="s">
        <v>704</v>
      </c>
      <c r="H130" s="1" t="str">
        <f>IFERROR(__xludf.DUMMYFUNCTION("GOOGLETRANSLATE(D130,""EN"",""JA"")"),"Neut交差反応性結合ADA IgG")</f>
        <v>Neut交差反応性結合ADA IgG</v>
      </c>
      <c r="I130" s="1" t="str">
        <f>IFERROR(__xludf.DUMMYFUNCTION("GOOGLETRANSLATE(E130,""EN"",""JA"")"),"中和交差反応性結合ADA IgG; 中和交差反応性結合抗薬物IgG抗体")</f>
        <v>中和交差反応性結合ADA IgG; 中和交差反応性結合抗薬物IgG抗体</v>
      </c>
      <c r="J130" s="1" t="str">
        <f>IFERROR(__xludf.DUMMYFUNCTION("GOOGLETRANSLATE(F130,""EN"",""JA"")"),"生物学的標本中の中和交差反応性結合抗薬物 IgG 抗体の測定。")</f>
        <v>生物学的標本中の中和交差反応性結合抗薬物 IgG 抗体の測定。</v>
      </c>
      <c r="K130" s="1" t="str">
        <f>IFERROR(__xludf.DUMMYFUNCTION("GOOGLETRANSLATE(G130,""EN"",""JA"")"),"中和交差反応性結合抗薬物抗体IgG測定")</f>
        <v>中和交差反応性結合抗薬物抗体IgG測定</v>
      </c>
    </row>
    <row r="131" ht="13.5" customHeight="1">
      <c r="A131" s="1" t="s">
        <v>201</v>
      </c>
      <c r="B131" s="1" t="s">
        <v>705</v>
      </c>
      <c r="C131" s="1" t="s">
        <v>706</v>
      </c>
      <c r="D131" s="1" t="s">
        <v>707</v>
      </c>
      <c r="E131" s="1" t="s">
        <v>708</v>
      </c>
      <c r="F131" s="1" t="s">
        <v>709</v>
      </c>
      <c r="G131" s="1" t="s">
        <v>710</v>
      </c>
      <c r="H131" s="1" t="str">
        <f>IFERROR(__xludf.DUMMYFUNCTION("GOOGLETRANSLATE(D131,""EN"",""JA"")"),"Neut交差反応性結合ADA IgG1")</f>
        <v>Neut交差反応性結合ADA IgG1</v>
      </c>
      <c r="I131" s="1" t="str">
        <f>IFERROR(__xludf.DUMMYFUNCTION("GOOGLETRANSLATE(E131,""EN"",""JA"")"),"中和交差反応性結合ADA IgG1; 中和交差反応性結合抗薬物IgG1抗体")</f>
        <v>中和交差反応性結合ADA IgG1; 中和交差反応性結合抗薬物IgG1抗体</v>
      </c>
      <c r="J131" s="1" t="str">
        <f>IFERROR(__xludf.DUMMYFUNCTION("GOOGLETRANSLATE(F131,""EN"",""JA"")"),"生物学的標本中の中和交差反応性結合抗薬物 IgG1 抗体の測定。")</f>
        <v>生物学的標本中の中和交差反応性結合抗薬物 IgG1 抗体の測定。</v>
      </c>
      <c r="K131" s="1" t="str">
        <f>IFERROR(__xludf.DUMMYFUNCTION("GOOGLETRANSLATE(G131,""EN"",""JA"")"),"中和交差反応性結合抗薬物抗体IgG1測定")</f>
        <v>中和交差反応性結合抗薬物抗体IgG1測定</v>
      </c>
    </row>
    <row r="132" ht="13.5" customHeight="1">
      <c r="A132" s="1" t="s">
        <v>201</v>
      </c>
      <c r="B132" s="1" t="s">
        <v>711</v>
      </c>
      <c r="C132" s="1" t="s">
        <v>712</v>
      </c>
      <c r="D132" s="1" t="s">
        <v>713</v>
      </c>
      <c r="E132" s="1" t="s">
        <v>714</v>
      </c>
      <c r="F132" s="1" t="s">
        <v>715</v>
      </c>
      <c r="G132" s="1" t="s">
        <v>716</v>
      </c>
      <c r="H132" s="1" t="str">
        <f>IFERROR(__xludf.DUMMYFUNCTION("GOOGLETRANSLATE(D132,""EN"",""JA"")"),"Neut交差反応性結合ADA IgG2")</f>
        <v>Neut交差反応性結合ADA IgG2</v>
      </c>
      <c r="I132" s="1" t="str">
        <f>IFERROR(__xludf.DUMMYFUNCTION("GOOGLETRANSLATE(E132,""EN"",""JA"")"),"中和交差反応性結合ADA IgG2; 中和交差反応性結合抗薬物IgG2抗体")</f>
        <v>中和交差反応性結合ADA IgG2; 中和交差反応性結合抗薬物IgG2抗体</v>
      </c>
      <c r="J132" s="1" t="str">
        <f>IFERROR(__xludf.DUMMYFUNCTION("GOOGLETRANSLATE(F132,""EN"",""JA"")"),"生物学的標本中の中和交差反応性結合抗薬物 IgG2 抗体の測定。")</f>
        <v>生物学的標本中の中和交差反応性結合抗薬物 IgG2 抗体の測定。</v>
      </c>
      <c r="K132" s="1" t="str">
        <f>IFERROR(__xludf.DUMMYFUNCTION("GOOGLETRANSLATE(G132,""EN"",""JA"")"),"中和交差反応性結合抗薬物抗体IgG2測定")</f>
        <v>中和交差反応性結合抗薬物抗体IgG2測定</v>
      </c>
    </row>
    <row r="133" ht="13.5" customHeight="1">
      <c r="A133" s="1" t="s">
        <v>201</v>
      </c>
      <c r="B133" s="1" t="s">
        <v>717</v>
      </c>
      <c r="C133" s="1" t="s">
        <v>718</v>
      </c>
      <c r="D133" s="1" t="s">
        <v>719</v>
      </c>
      <c r="E133" s="1" t="s">
        <v>720</v>
      </c>
      <c r="F133" s="1" t="s">
        <v>721</v>
      </c>
      <c r="G133" s="1" t="s">
        <v>722</v>
      </c>
      <c r="H133" s="1" t="str">
        <f>IFERROR(__xludf.DUMMYFUNCTION("GOOGLETRANSLATE(D133,""EN"",""JA"")"),"Neut交差反応性結合ADA IgG3")</f>
        <v>Neut交差反応性結合ADA IgG3</v>
      </c>
      <c r="I133" s="1" t="str">
        <f>IFERROR(__xludf.DUMMYFUNCTION("GOOGLETRANSLATE(E133,""EN"",""JA"")"),"中和交差反応性結合ADA IgG3; 中和交差反応性結合抗薬物IgG3抗体")</f>
        <v>中和交差反応性結合ADA IgG3; 中和交差反応性結合抗薬物IgG3抗体</v>
      </c>
      <c r="J133" s="1" t="str">
        <f>IFERROR(__xludf.DUMMYFUNCTION("GOOGLETRANSLATE(F133,""EN"",""JA"")"),"生物学的標本中の中和交差反応性結合抗薬物 IgG3 抗体の測定。")</f>
        <v>生物学的標本中の中和交差反応性結合抗薬物 IgG3 抗体の測定。</v>
      </c>
      <c r="K133" s="1" t="str">
        <f>IFERROR(__xludf.DUMMYFUNCTION("GOOGLETRANSLATE(G133,""EN"",""JA"")"),"中和交差反応性結合抗薬物抗体IgG3測定")</f>
        <v>中和交差反応性結合抗薬物抗体IgG3測定</v>
      </c>
    </row>
    <row r="134" ht="13.5" customHeight="1">
      <c r="A134" s="1" t="s">
        <v>201</v>
      </c>
      <c r="B134" s="1" t="s">
        <v>723</v>
      </c>
      <c r="C134" s="1" t="s">
        <v>724</v>
      </c>
      <c r="D134" s="1" t="s">
        <v>725</v>
      </c>
      <c r="E134" s="1" t="s">
        <v>726</v>
      </c>
      <c r="F134" s="1" t="s">
        <v>727</v>
      </c>
      <c r="G134" s="1" t="s">
        <v>728</v>
      </c>
      <c r="H134" s="1" t="str">
        <f>IFERROR(__xludf.DUMMYFUNCTION("GOOGLETRANSLATE(D134,""EN"",""JA"")"),"Neut交差反応性結合ADA IgG4")</f>
        <v>Neut交差反応性結合ADA IgG4</v>
      </c>
      <c r="I134" s="1" t="str">
        <f>IFERROR(__xludf.DUMMYFUNCTION("GOOGLETRANSLATE(E134,""EN"",""JA"")"),"中和交差反応性結合ADA IgG4; 中和交差反応性結合抗薬物IgG4抗体")</f>
        <v>中和交差反応性結合ADA IgG4; 中和交差反応性結合抗薬物IgG4抗体</v>
      </c>
      <c r="J134" s="1" t="str">
        <f>IFERROR(__xludf.DUMMYFUNCTION("GOOGLETRANSLATE(F134,""EN"",""JA"")"),"生物学的標本中の中和交差反応性結合抗薬物 IgG4 抗体の測定。")</f>
        <v>生物学的標本中の中和交差反応性結合抗薬物 IgG4 抗体の測定。</v>
      </c>
      <c r="K134" s="1" t="str">
        <f>IFERROR(__xludf.DUMMYFUNCTION("GOOGLETRANSLATE(G134,""EN"",""JA"")"),"中和交差反応性結合抗薬物抗体IgG4測定")</f>
        <v>中和交差反応性結合抗薬物抗体IgG4測定</v>
      </c>
    </row>
    <row r="135" ht="13.5" customHeight="1">
      <c r="A135" s="1" t="s">
        <v>201</v>
      </c>
      <c r="B135" s="1" t="s">
        <v>729</v>
      </c>
      <c r="C135" s="1" t="s">
        <v>730</v>
      </c>
      <c r="D135" s="1" t="s">
        <v>731</v>
      </c>
      <c r="E135" s="1" t="s">
        <v>732</v>
      </c>
      <c r="F135" s="1" t="s">
        <v>733</v>
      </c>
      <c r="G135" s="1" t="s">
        <v>734</v>
      </c>
      <c r="H135" s="1" t="str">
        <f>IFERROR(__xludf.DUMMYFUNCTION("GOOGLETRANSLATE(D135,""EN"",""JA"")"),"中性交差反応性結合ADA IgG/IgM")</f>
        <v>中性交差反応性結合ADA IgG/IgM</v>
      </c>
      <c r="I135" s="1" t="str">
        <f>IFERROR(__xludf.DUMMYFUNCTION("GOOGLETRANSLATE(E135,""EN"",""JA"")"),"中和交差反応性結合ADA IgG/IgM; 中和交差反応性結合抗薬物IgG/IgM抗体")</f>
        <v>中和交差反応性結合ADA IgG/IgM; 中和交差反応性結合抗薬物IgG/IgM抗体</v>
      </c>
      <c r="J135" s="1" t="str">
        <f>IFERROR(__xludf.DUMMYFUNCTION("GOOGLETRANSLATE(F135,""EN"",""JA"")"),"生物学的標本中の中和交差反応性結合抗薬物 IgG および/または IgM 抗体の測定。")</f>
        <v>生物学的標本中の中和交差反応性結合抗薬物 IgG および/または IgM 抗体の測定。</v>
      </c>
      <c r="K135" s="1" t="str">
        <f>IFERROR(__xludf.DUMMYFUNCTION("GOOGLETRANSLATE(G135,""EN"",""JA"")"),"中和交差反応性結合抗薬物抗体IgG/IgM測定")</f>
        <v>中和交差反応性結合抗薬物抗体IgG/IgM測定</v>
      </c>
    </row>
    <row r="136" ht="13.5" customHeight="1">
      <c r="A136" s="1" t="s">
        <v>201</v>
      </c>
      <c r="B136" s="1" t="s">
        <v>735</v>
      </c>
      <c r="C136" s="1" t="s">
        <v>736</v>
      </c>
      <c r="D136" s="1" t="s">
        <v>737</v>
      </c>
      <c r="E136" s="1" t="s">
        <v>738</v>
      </c>
      <c r="F136" s="1" t="s">
        <v>739</v>
      </c>
      <c r="G136" s="1" t="s">
        <v>740</v>
      </c>
      <c r="H136" s="1" t="str">
        <f>IFERROR(__xludf.DUMMYFUNCTION("GOOGLETRANSLATE(D136,""EN"",""JA"")"),"中性交差反応性結合ADA IgM")</f>
        <v>中性交差反応性結合ADA IgM</v>
      </c>
      <c r="I136" s="1" t="str">
        <f>IFERROR(__xludf.DUMMYFUNCTION("GOOGLETRANSLATE(E136,""EN"",""JA"")"),"中和交差反応性結合ADA IgM; 中和交差反応性結合抗薬物IgM抗体")</f>
        <v>中和交差反応性結合ADA IgM; 中和交差反応性結合抗薬物IgM抗体</v>
      </c>
      <c r="J136" s="1" t="str">
        <f>IFERROR(__xludf.DUMMYFUNCTION("GOOGLETRANSLATE(F136,""EN"",""JA"")"),"生物学的標本中の中和交差反応性結合抗薬物 IgM 抗体の測定。")</f>
        <v>生物学的標本中の中和交差反応性結合抗薬物 IgM 抗体の測定。</v>
      </c>
      <c r="K136" s="1" t="str">
        <f>IFERROR(__xludf.DUMMYFUNCTION("GOOGLETRANSLATE(G136,""EN"",""JA"")"),"中和交差反応性結合抗薬物抗体IgM測定")</f>
        <v>中和交差反応性結合抗薬物抗体IgM測定</v>
      </c>
    </row>
    <row r="137" ht="13.5" customHeight="1">
      <c r="A137" s="1" t="s">
        <v>11</v>
      </c>
      <c r="B137" s="1" t="s">
        <v>741</v>
      </c>
      <c r="C137" s="1" t="s">
        <v>742</v>
      </c>
      <c r="D137" s="1" t="s">
        <v>743</v>
      </c>
      <c r="E137" s="1" t="s">
        <v>743</v>
      </c>
      <c r="F137" s="1" t="s">
        <v>744</v>
      </c>
      <c r="G137" s="1" t="s">
        <v>745</v>
      </c>
      <c r="H137" s="1" t="str">
        <f>IFERROR(__xludf.DUMMYFUNCTION("GOOGLETRANSLATE(D137,""EN"",""JA"")"),"アデノシン二リン酸")</f>
        <v>アデノシン二リン酸</v>
      </c>
      <c r="I137" s="1" t="str">
        <f>IFERROR(__xludf.DUMMYFUNCTION("GOOGLETRANSLATE(E137,""EN"",""JA"")"),"アデノシン二リン酸")</f>
        <v>アデノシン二リン酸</v>
      </c>
      <c r="J137" s="1" t="str">
        <f>IFERROR(__xludf.DUMMYFUNCTION("GOOGLETRANSLATE(F137,""EN"",""JA"")"),"生物標本中のアデノシン二リン酸の​​測定。")</f>
        <v>生物標本中のアデノシン二リン酸の​​測定。</v>
      </c>
      <c r="K137" s="1" t="str">
        <f>IFERROR(__xludf.DUMMYFUNCTION("GOOGLETRANSLATE(G137,""EN"",""JA"")"),"アデノシン二リン酸測定")</f>
        <v>アデノシン二リン酸測定</v>
      </c>
    </row>
    <row r="138" ht="13.5" customHeight="1">
      <c r="A138" s="1" t="s">
        <v>11</v>
      </c>
      <c r="B138" s="1" t="s">
        <v>746</v>
      </c>
      <c r="C138" s="1" t="s">
        <v>747</v>
      </c>
      <c r="D138" s="1" t="s">
        <v>748</v>
      </c>
      <c r="E138" s="1" t="s">
        <v>748</v>
      </c>
      <c r="F138" s="1" t="s">
        <v>749</v>
      </c>
      <c r="G138" s="1" t="s">
        <v>750</v>
      </c>
      <c r="H138" s="1" t="str">
        <f>IFERROR(__xludf.DUMMYFUNCTION("GOOGLETRANSLATE(D138,""EN"",""JA"")"),"アディポネクチン")</f>
        <v>アディポネクチン</v>
      </c>
      <c r="I138" s="1" t="str">
        <f>IFERROR(__xludf.DUMMYFUNCTION("GOOGLETRANSLATE(E138,""EN"",""JA"")"),"アディポネクチン")</f>
        <v>アディポネクチン</v>
      </c>
      <c r="J138" s="1" t="str">
        <f>IFERROR(__xludf.DUMMYFUNCTION("GOOGLETRANSLATE(F138,""EN"",""JA"")"),"生物標本中の総アディポネクチンホルモンの測定。")</f>
        <v>生物標本中の総アディポネクチンホルモンの測定。</v>
      </c>
      <c r="K138" s="1" t="str">
        <f>IFERROR(__xludf.DUMMYFUNCTION("GOOGLETRANSLATE(G138,""EN"",""JA"")"),"アディポネクチン測定")</f>
        <v>アディポネクチン測定</v>
      </c>
    </row>
    <row r="139" ht="13.5" customHeight="1">
      <c r="A139" s="1" t="s">
        <v>11</v>
      </c>
      <c r="B139" s="1" t="s">
        <v>751</v>
      </c>
      <c r="C139" s="1" t="s">
        <v>752</v>
      </c>
      <c r="D139" s="1" t="s">
        <v>753</v>
      </c>
      <c r="E139" s="1" t="s">
        <v>753</v>
      </c>
      <c r="F139" s="1" t="s">
        <v>754</v>
      </c>
      <c r="G139" s="1" t="s">
        <v>755</v>
      </c>
      <c r="H139" s="1" t="str">
        <f>IFERROR(__xludf.DUMMYFUNCTION("GOOGLETRANSLATE(D139,""EN"",""JA"")"),"アディポネクチン（高分子量）")</f>
        <v>アディポネクチン（高分子量）</v>
      </c>
      <c r="I139" s="1" t="str">
        <f>IFERROR(__xludf.DUMMYFUNCTION("GOOGLETRANSLATE(E139,""EN"",""JA"")"),"アディポネクチン（高分子量）")</f>
        <v>アディポネクチン（高分子量）</v>
      </c>
      <c r="J139" s="1" t="str">
        <f>IFERROR(__xludf.DUMMYFUNCTION("GOOGLETRANSLATE(F139,""EN"",""JA"")"),"生物標本中の高分子量アディポネクチンホルモンの測定。")</f>
        <v>生物標本中の高分子量アディポネクチンホルモンの測定。</v>
      </c>
      <c r="K139" s="1" t="str">
        <f>IFERROR(__xludf.DUMMYFUNCTION("GOOGLETRANSLATE(G139,""EN"",""JA"")"),"高分子量アディポネクチン測定")</f>
        <v>高分子量アディポネクチン測定</v>
      </c>
    </row>
    <row r="140" ht="13.5" customHeight="1">
      <c r="A140" s="1" t="s">
        <v>160</v>
      </c>
      <c r="B140" s="1" t="s">
        <v>756</v>
      </c>
      <c r="C140" s="1" t="s">
        <v>757</v>
      </c>
      <c r="D140" s="1" t="s">
        <v>758</v>
      </c>
      <c r="E140" s="1" t="s">
        <v>758</v>
      </c>
      <c r="F140" s="1" t="s">
        <v>759</v>
      </c>
      <c r="G140" s="1" t="s">
        <v>758</v>
      </c>
      <c r="H140" s="1" t="str">
        <f>IFERROR(__xludf.DUMMYFUNCTION("GOOGLETRANSLATE(D140,""EN"",""JA"")"),"アドレナーケ年齢")</f>
        <v>アドレナーケ年齢</v>
      </c>
      <c r="I140" s="1" t="str">
        <f>IFERROR(__xludf.DUMMYFUNCTION("GOOGLETRANSLATE(E140,""EN"",""JA"")"),"アドレナーケ年齢")</f>
        <v>アドレナーケ年齢</v>
      </c>
      <c r="J140" s="1" t="str">
        <f>IFERROR(__xludf.DUMMYFUNCTION("GOOGLETRANSLATE(F140,""EN"",""JA"")"),"副腎アンドロゲンを介した二次性徴の発現年齢。")</f>
        <v>副腎アンドロゲンを介した二次性徴の発現年齢。</v>
      </c>
      <c r="K140" s="1" t="str">
        <f>IFERROR(__xludf.DUMMYFUNCTION("GOOGLETRANSLATE(G140,""EN"",""JA"")"),"アドレナーケ年齢")</f>
        <v>アドレナーケ年齢</v>
      </c>
    </row>
    <row r="141" ht="13.5" customHeight="1">
      <c r="A141" s="1" t="s">
        <v>90</v>
      </c>
      <c r="B141" s="1" t="s">
        <v>760</v>
      </c>
      <c r="C141" s="1" t="s">
        <v>761</v>
      </c>
      <c r="D141" s="1" t="s">
        <v>762</v>
      </c>
      <c r="E141" s="1" t="s">
        <v>763</v>
      </c>
      <c r="F141" s="1" t="s">
        <v>764</v>
      </c>
      <c r="G141" s="1" t="s">
        <v>765</v>
      </c>
      <c r="H141" s="1" t="str">
        <f>IFERROR(__xludf.DUMMYFUNCTION("GOOGLETRANSLATE(D141,""EN"",""JA"")"),"大動脈管狭窄症の重症度")</f>
        <v>大動脈管狭窄症の重症度</v>
      </c>
      <c r="I141" s="1" t="str">
        <f>IFERROR(__xludf.DUMMYFUNCTION("GOOGLETRANSLATE(E141,""EN"",""JA"")"),"大動脈管狭窄症の重症度; 大動脈管狭窄症の重症度")</f>
        <v>大動脈管狭窄症の重症度; 大動脈管狭窄症の重症度</v>
      </c>
      <c r="J141" s="1" t="str">
        <f>IFERROR(__xludf.DUMMYFUNCTION("GOOGLETRANSLATE(F141,""EN"",""JA"")"),"大動脈管狭窄症の重症度の評価。")</f>
        <v>大動脈管狭窄症の重症度の評価。</v>
      </c>
      <c r="K141" s="1" t="str">
        <f>IFERROR(__xludf.DUMMYFUNCTION("GOOGLETRANSLATE(G141,""EN"",""JA"")"),"大動脈管狭窄症の重症度")</f>
        <v>大動脈管狭窄症の重症度</v>
      </c>
    </row>
    <row r="142" ht="13.5" customHeight="1">
      <c r="A142" s="1" t="s">
        <v>67</v>
      </c>
      <c r="B142" s="1" t="s">
        <v>766</v>
      </c>
      <c r="C142" s="1" t="s">
        <v>767</v>
      </c>
      <c r="D142" s="1" t="s">
        <v>768</v>
      </c>
      <c r="E142" s="1" t="s">
        <v>768</v>
      </c>
      <c r="F142" s="1" t="s">
        <v>769</v>
      </c>
      <c r="G142" s="1" t="s">
        <v>770</v>
      </c>
      <c r="H142" s="1" t="str">
        <f>IFERROR(__xludf.DUMMYFUNCTION("GOOGLETRANSLATE(D142,""EN"",""JA"")"),"アデノウイルスDNA")</f>
        <v>アデノウイルスDNA</v>
      </c>
      <c r="I142" s="1" t="str">
        <f>IFERROR(__xludf.DUMMYFUNCTION("GOOGLETRANSLATE(E142,""EN"",""JA"")"),"アデノウイルスDNA")</f>
        <v>アデノウイルスDNA</v>
      </c>
      <c r="J142" s="1" t="str">
        <f>IFERROR(__xludf.DUMMYFUNCTION("GOOGLETRANSLATE(F142,""EN"",""JA"")"),"生物標本中のアデノウイルス科の任意のメンバーの DNA の測定。")</f>
        <v>生物標本中のアデノウイルス科の任意のメンバーの DNA の測定。</v>
      </c>
      <c r="K142" s="1" t="str">
        <f>IFERROR(__xludf.DUMMYFUNCTION("GOOGLETRANSLATE(G142,""EN"",""JA"")"),"アデノウイルスDNA測定")</f>
        <v>アデノウイルスDNA測定</v>
      </c>
    </row>
    <row r="143" ht="13.5" customHeight="1">
      <c r="A143" s="1" t="s">
        <v>67</v>
      </c>
      <c r="B143" s="1" t="s">
        <v>771</v>
      </c>
      <c r="C143" s="1" t="s">
        <v>772</v>
      </c>
      <c r="D143" s="1" t="s">
        <v>773</v>
      </c>
      <c r="E143" s="1" t="s">
        <v>773</v>
      </c>
      <c r="F143" s="1" t="s">
        <v>774</v>
      </c>
      <c r="G143" s="1" t="s">
        <v>775</v>
      </c>
      <c r="H143" s="1" t="str">
        <f>IFERROR(__xludf.DUMMYFUNCTION("GOOGLETRANSLATE(D143,""EN"",""JA"")"),"アデノウイルス核酸")</f>
        <v>アデノウイルス核酸</v>
      </c>
      <c r="I143" s="1" t="str">
        <f>IFERROR(__xludf.DUMMYFUNCTION("GOOGLETRANSLATE(E143,""EN"",""JA"")"),"アデノウイルス核酸")</f>
        <v>アデノウイルス核酸</v>
      </c>
      <c r="J143" s="1" t="str">
        <f>IFERROR(__xludf.DUMMYFUNCTION("GOOGLETRANSLATE(F143,""EN"",""JA"")"),"生物標本中のアデノウイルス科の任意のメンバーの核酸の測定。")</f>
        <v>生物標本中のアデノウイルス科の任意のメンバーの核酸の測定。</v>
      </c>
      <c r="K143" s="1" t="str">
        <f>IFERROR(__xludf.DUMMYFUNCTION("GOOGLETRANSLATE(G143,""EN"",""JA"")"),"アデノウイルス核酸測定")</f>
        <v>アデノウイルス核酸測定</v>
      </c>
    </row>
    <row r="144" ht="13.5" customHeight="1">
      <c r="A144" s="1" t="s">
        <v>67</v>
      </c>
      <c r="B144" s="1" t="s">
        <v>776</v>
      </c>
      <c r="C144" s="1" t="s">
        <v>777</v>
      </c>
      <c r="D144" s="1" t="s">
        <v>778</v>
      </c>
      <c r="E144" s="1" t="s">
        <v>778</v>
      </c>
      <c r="F144" s="1" t="s">
        <v>779</v>
      </c>
      <c r="G144" s="1" t="s">
        <v>780</v>
      </c>
      <c r="H144" s="1" t="str">
        <f>IFERROR(__xludf.DUMMYFUNCTION("GOOGLETRANSLATE(D144,""EN"",""JA"")"),"好気性細菌")</f>
        <v>好気性細菌</v>
      </c>
      <c r="I144" s="1" t="str">
        <f>IFERROR(__xludf.DUMMYFUNCTION("GOOGLETRANSLATE(E144,""EN"",""JA"")"),"好気性細菌")</f>
        <v>好気性細菌</v>
      </c>
      <c r="J144" s="1" t="str">
        <f>IFERROR(__xludf.DUMMYFUNCTION("GOOGLETRANSLATE(F144,""EN"",""JA"")"),"生物標本中の好気性細菌の測定。")</f>
        <v>生物標本中の好気性細菌の測定。</v>
      </c>
      <c r="K144" s="1" t="str">
        <f>IFERROR(__xludf.DUMMYFUNCTION("GOOGLETRANSLATE(G144,""EN"",""JA"")"),"好気性細菌の測定")</f>
        <v>好気性細菌の測定</v>
      </c>
    </row>
    <row r="145" ht="13.5" customHeight="1">
      <c r="A145" s="1" t="s">
        <v>67</v>
      </c>
      <c r="B145" s="1" t="s">
        <v>781</v>
      </c>
      <c r="C145" s="1" t="s">
        <v>782</v>
      </c>
      <c r="D145" s="1" t="s">
        <v>783</v>
      </c>
      <c r="E145" s="1" t="s">
        <v>783</v>
      </c>
      <c r="F145" s="1" t="s">
        <v>784</v>
      </c>
      <c r="G145" s="1" t="s">
        <v>785</v>
      </c>
      <c r="H145" s="1" t="str">
        <f>IFERROR(__xludf.DUMMYFUNCTION("GOOGLETRANSLATE(D145,""EN"",""JA"")"),"エロモナスDNA")</f>
        <v>エロモナスDNA</v>
      </c>
      <c r="I145" s="1" t="str">
        <f>IFERROR(__xludf.DUMMYFUNCTION("GOOGLETRANSLATE(E145,""EN"",""JA"")"),"エロモナスDNA")</f>
        <v>エロモナスDNA</v>
      </c>
      <c r="J145" s="1" t="str">
        <f>IFERROR(__xludf.DUMMYFUNCTION("GOOGLETRANSLATE(F145,""EN"",""JA"")"),"生物標本中の Aeromonas 属の任意のメンバーの DNA の測定。")</f>
        <v>生物標本中の Aeromonas 属の任意のメンバーの DNA の測定。</v>
      </c>
      <c r="K145" s="1" t="str">
        <f>IFERROR(__xludf.DUMMYFUNCTION("GOOGLETRANSLATE(G145,""EN"",""JA"")"),"エロモナスDNA測定")</f>
        <v>エロモナスDNA測定</v>
      </c>
    </row>
    <row r="146" ht="13.5" customHeight="1">
      <c r="A146" s="1" t="s">
        <v>67</v>
      </c>
      <c r="B146" s="1" t="s">
        <v>786</v>
      </c>
      <c r="C146" s="1" t="s">
        <v>787</v>
      </c>
      <c r="D146" s="1" t="s">
        <v>788</v>
      </c>
      <c r="E146" s="1" t="s">
        <v>788</v>
      </c>
      <c r="F146" s="1" t="s">
        <v>789</v>
      </c>
      <c r="G146" s="1" t="s">
        <v>790</v>
      </c>
      <c r="H146" s="1" t="str">
        <f>IFERROR(__xludf.DUMMYFUNCTION("GOOGLETRANSLATE(D146,""EN"",""JA"")"),"エロモナス")</f>
        <v>エロモナス</v>
      </c>
      <c r="I146" s="1" t="str">
        <f>IFERROR(__xludf.DUMMYFUNCTION("GOOGLETRANSLATE(E146,""EN"",""JA"")"),"エロモナス")</f>
        <v>エロモナス</v>
      </c>
      <c r="J146" s="1" t="str">
        <f>IFERROR(__xludf.DUMMYFUNCTION("GOOGLETRANSLATE(F146,""EN"",""JA"")"),"生物標本において、種レベルには割り当てられていないが、Aeromonas 属レベルに割り当てられている生物の測定値。")</f>
        <v>生物標本において、種レベルには割り当てられていないが、Aeromonas 属レベルに割り当てられている生物の測定値。</v>
      </c>
      <c r="K146" s="1" t="str">
        <f>IFERROR(__xludf.DUMMYFUNCTION("GOOGLETRANSLATE(G146,""EN"",""JA"")"),"エロモナス測定")</f>
        <v>エロモナス測定</v>
      </c>
    </row>
    <row r="147" ht="13.5" customHeight="1">
      <c r="A147" s="1" t="s">
        <v>11</v>
      </c>
      <c r="B147" s="1" t="s">
        <v>791</v>
      </c>
      <c r="C147" s="1" t="s">
        <v>792</v>
      </c>
      <c r="D147" s="1" t="s">
        <v>793</v>
      </c>
      <c r="E147" s="1" t="s">
        <v>793</v>
      </c>
      <c r="F147" s="1" t="s">
        <v>794</v>
      </c>
      <c r="G147" s="1" t="s">
        <v>795</v>
      </c>
      <c r="H147" s="1" t="str">
        <f>IFERROR(__xludf.DUMMYFUNCTION("GOOGLETRANSLATE(D147,""EN"",""JA"")"),"抗第Xa因子活性")</f>
        <v>抗第Xa因子活性</v>
      </c>
      <c r="I147" s="1" t="str">
        <f>IFERROR(__xludf.DUMMYFUNCTION("GOOGLETRANSLATE(E147,""EN"",""JA"")"),"抗第Xa因子活性")</f>
        <v>抗第Xa因子活性</v>
      </c>
      <c r="J147" s="1" t="str">
        <f>IFERROR(__xludf.DUMMYFUNCTION("GOOGLETRANSLATE(F147,""EN"",""JA"")"),"生体検体中の活性型第X因子を不活化するアンチトロンビンの能力を測定する検査。この検査は、生体検体中の低分子量ヘパリンまたは未分画ヘパリン濃度をモニタリングするために使用されます。")</f>
        <v>生体検体中の活性型第X因子を不活化するアンチトロンビンの能力を測定する検査。この検査は、生体検体中の低分子量ヘパリンまたは未分画ヘパリン濃度をモニタリングするために使用されます。</v>
      </c>
      <c r="K147" s="1" t="str">
        <f>IFERROR(__xludf.DUMMYFUNCTION("GOOGLETRANSLATE(G147,""EN"",""JA"")"),"抗第Xa因子活性測定")</f>
        <v>抗第Xa因子活性測定</v>
      </c>
    </row>
    <row r="148" ht="13.5" customHeight="1">
      <c r="A148" s="1" t="s">
        <v>67</v>
      </c>
      <c r="B148" s="1" t="s">
        <v>796</v>
      </c>
      <c r="C148" s="1" t="s">
        <v>797</v>
      </c>
      <c r="D148" s="1" t="s">
        <v>798</v>
      </c>
      <c r="E148" s="1" t="s">
        <v>798</v>
      </c>
      <c r="F148" s="1" t="s">
        <v>799</v>
      </c>
      <c r="G148" s="1" t="s">
        <v>800</v>
      </c>
      <c r="H148" s="1" t="str">
        <f>IFERROR(__xludf.DUMMYFUNCTION("GOOGLETRANSLATE(D148,""EN"",""JA"")"),"抗酸菌")</f>
        <v>抗酸菌</v>
      </c>
      <c r="I148" s="1" t="str">
        <f>IFERROR(__xludf.DUMMYFUNCTION("GOOGLETRANSLATE(E148,""EN"",""JA"")"),"抗酸菌")</f>
        <v>抗酸菌</v>
      </c>
      <c r="J148" s="1" t="str">
        <f>IFERROR(__xludf.DUMMYFUNCTION("GOOGLETRANSLATE(F148,""EN"",""JA"")"),"細胞壁に含まれるミコール酸のせいで、水性染色溶液を受容した後、酸による脱色に抵抗する桿菌の測定値。")</f>
        <v>細胞壁に含まれるミコール酸のせいで、水性染色溶液を受容した後、酸による脱色に抵抗する桿菌の測定値。</v>
      </c>
      <c r="K148" s="1" t="str">
        <f>IFERROR(__xludf.DUMMYFUNCTION("GOOGLETRANSLATE(G148,""EN"",""JA"")"),"抗酸菌測定")</f>
        <v>抗酸菌測定</v>
      </c>
    </row>
    <row r="149" ht="13.5" customHeight="1">
      <c r="A149" s="1" t="s">
        <v>11</v>
      </c>
      <c r="B149" s="1" t="s">
        <v>801</v>
      </c>
      <c r="C149" s="1" t="s">
        <v>802</v>
      </c>
      <c r="D149" s="1" t="s">
        <v>803</v>
      </c>
      <c r="E149" s="1" t="s">
        <v>804</v>
      </c>
      <c r="F149" s="1" t="s">
        <v>805</v>
      </c>
      <c r="G149" s="1" t="s">
        <v>806</v>
      </c>
      <c r="H149" s="1" t="str">
        <f>IFERROR(__xludf.DUMMYFUNCTION("GOOGLETRANSLATE(D149,""EN"",""JA"")"),"アルファフェトプロテイン")</f>
        <v>アルファフェトプロテイン</v>
      </c>
      <c r="I149" s="1" t="str">
        <f>IFERROR(__xludf.DUMMYFUNCTION("GOOGLETRANSLATE(E149,""EN"",""JA"")"),"アルファフェトプロテイン; アルファ-1-フェトプロテイン")</f>
        <v>アルファフェトプロテイン; アルファ-1-フェトプロテイン</v>
      </c>
      <c r="J149" s="1" t="str">
        <f>IFERROR(__xludf.DUMMYFUNCTION("GOOGLETRANSLATE(F149,""EN"",""JA"")"),"生物標本中のアルファフェトプロテインの測定。")</f>
        <v>生物標本中のアルファフェトプロテインの測定。</v>
      </c>
      <c r="K149" s="1" t="str">
        <f>IFERROR(__xludf.DUMMYFUNCTION("GOOGLETRANSLATE(G149,""EN"",""JA"")"),"アルファフェトプロテイン測定")</f>
        <v>アルファフェトプロテイン測定</v>
      </c>
    </row>
    <row r="150" ht="13.5" customHeight="1">
      <c r="A150" s="1" t="s">
        <v>11</v>
      </c>
      <c r="B150" s="1" t="s">
        <v>807</v>
      </c>
      <c r="C150" s="1" t="s">
        <v>808</v>
      </c>
      <c r="D150" s="1" t="s">
        <v>809</v>
      </c>
      <c r="E150" s="1" t="s">
        <v>809</v>
      </c>
      <c r="F150" s="1" t="s">
        <v>810</v>
      </c>
      <c r="G150" s="1" t="s">
        <v>811</v>
      </c>
      <c r="H150" s="1" t="str">
        <f>IFERROR(__xludf.DUMMYFUNCTION("GOOGLETRANSLATE(D150,""EN"",""JA"")"),"体重に対するアルファフェトプロテイン調整値")</f>
        <v>体重に対するアルファフェトプロテイン調整値</v>
      </c>
      <c r="I150" s="1" t="str">
        <f>IFERROR(__xludf.DUMMYFUNCTION("GOOGLETRANSLATE(E150,""EN"",""JA"")"),"体重に対するアルファフェトプロテイン調整値")</f>
        <v>体重に対するアルファフェトプロテイン調整値</v>
      </c>
      <c r="J150" s="1" t="str">
        <f>IFERROR(__xludf.DUMMYFUNCTION("GOOGLETRANSLATE(F150,""EN"",""JA"")"),"体重に合わせて調整された、生物標本中のアルファフェトプロテインの測定値。")</f>
        <v>体重に合わせて調整された、生物標本中のアルファフェトプロテインの測定値。</v>
      </c>
      <c r="K150" s="1" t="str">
        <f>IFERROR(__xludf.DUMMYFUNCTION("GOOGLETRANSLATE(G150,""EN"",""JA"")"),"体重測定に合わせて調整されたアルファフェトプロテイン")</f>
        <v>体重測定に合わせて調整されたアルファフェトプロテイン</v>
      </c>
    </row>
    <row r="151" ht="13.5" customHeight="1">
      <c r="A151" s="1" t="s">
        <v>11</v>
      </c>
      <c r="B151" s="1" t="s">
        <v>812</v>
      </c>
      <c r="C151" s="1" t="s">
        <v>813</v>
      </c>
      <c r="D151" s="1" t="s">
        <v>814</v>
      </c>
      <c r="E151" s="1" t="s">
        <v>814</v>
      </c>
      <c r="F151" s="1" t="s">
        <v>815</v>
      </c>
      <c r="G151" s="1" t="s">
        <v>816</v>
      </c>
      <c r="H151" s="1" t="str">
        <f>IFERROR(__xludf.DUMMYFUNCTION("GOOGLETRANSLATE(D151,""EN"",""JA"")"),"アルファフェトプロテインL1")</f>
        <v>アルファフェトプロテインL1</v>
      </c>
      <c r="I151" s="1" t="str">
        <f>IFERROR(__xludf.DUMMYFUNCTION("GOOGLETRANSLATE(E151,""EN"",""JA"")"),"アルファフェトプロテインL1")</f>
        <v>アルファフェトプロテインL1</v>
      </c>
      <c r="J151" s="1" t="str">
        <f>IFERROR(__xludf.DUMMYFUNCTION("GOOGLETRANSLATE(F151,""EN"",""JA"")"),"生物標本中のアルファフェトプロテイン L1 の測定。")</f>
        <v>生物標本中のアルファフェトプロテイン L1 の測定。</v>
      </c>
      <c r="K151" s="1" t="str">
        <f>IFERROR(__xludf.DUMMYFUNCTION("GOOGLETRANSLATE(G151,""EN"",""JA"")"),"アルファフェトプロテインL1測定")</f>
        <v>アルファフェトプロテインL1測定</v>
      </c>
    </row>
    <row r="152" ht="13.5" customHeight="1">
      <c r="A152" s="1" t="s">
        <v>11</v>
      </c>
      <c r="B152" s="1" t="s">
        <v>817</v>
      </c>
      <c r="C152" s="1" t="s">
        <v>818</v>
      </c>
      <c r="D152" s="1" t="s">
        <v>819</v>
      </c>
      <c r="E152" s="1" t="s">
        <v>819</v>
      </c>
      <c r="F152" s="1" t="s">
        <v>820</v>
      </c>
      <c r="G152" s="1" t="s">
        <v>821</v>
      </c>
      <c r="H152" s="1" t="str">
        <f>IFERROR(__xludf.DUMMYFUNCTION("GOOGLETRANSLATE(D152,""EN"",""JA"")"),"アルファフェトプロテインL2")</f>
        <v>アルファフェトプロテインL2</v>
      </c>
      <c r="I152" s="1" t="str">
        <f>IFERROR(__xludf.DUMMYFUNCTION("GOOGLETRANSLATE(E152,""EN"",""JA"")"),"アルファフェトプロテインL2")</f>
        <v>アルファフェトプロテインL2</v>
      </c>
      <c r="J152" s="1" t="str">
        <f>IFERROR(__xludf.DUMMYFUNCTION("GOOGLETRANSLATE(F152,""EN"",""JA"")"),"生物標本中のアルファフェトプロテイン L2 の測定。")</f>
        <v>生物標本中のアルファフェトプロテイン L2 の測定。</v>
      </c>
      <c r="K152" s="1" t="str">
        <f>IFERROR(__xludf.DUMMYFUNCTION("GOOGLETRANSLATE(G152,""EN"",""JA"")"),"アルファフェトプロテインL2測定")</f>
        <v>アルファフェトプロテインL2測定</v>
      </c>
    </row>
    <row r="153" ht="13.5" customHeight="1">
      <c r="A153" s="1" t="s">
        <v>11</v>
      </c>
      <c r="B153" s="1" t="s">
        <v>822</v>
      </c>
      <c r="C153" s="1" t="s">
        <v>823</v>
      </c>
      <c r="D153" s="1" t="s">
        <v>824</v>
      </c>
      <c r="E153" s="1" t="s">
        <v>824</v>
      </c>
      <c r="F153" s="1" t="s">
        <v>825</v>
      </c>
      <c r="G153" s="1" t="s">
        <v>826</v>
      </c>
      <c r="H153" s="1" t="str">
        <f>IFERROR(__xludf.DUMMYFUNCTION("GOOGLETRANSLATE(D153,""EN"",""JA"")"),"アルファフェトプロテインL3")</f>
        <v>アルファフェトプロテインL3</v>
      </c>
      <c r="I153" s="1" t="str">
        <f>IFERROR(__xludf.DUMMYFUNCTION("GOOGLETRANSLATE(E153,""EN"",""JA"")"),"アルファフェトプロテインL3")</f>
        <v>アルファフェトプロテインL3</v>
      </c>
      <c r="J153" s="1" t="str">
        <f>IFERROR(__xludf.DUMMYFUNCTION("GOOGLETRANSLATE(F153,""EN"",""JA"")"),"生物標本中のアルファフェトプロテイン L3 の測定。")</f>
        <v>生物標本中のアルファフェトプロテイン L3 の測定。</v>
      </c>
      <c r="K153" s="1" t="str">
        <f>IFERROR(__xludf.DUMMYFUNCTION("GOOGLETRANSLATE(G153,""EN"",""JA"")"),"アルファフェトプロテインL3測定")</f>
        <v>アルファフェトプロテインL3測定</v>
      </c>
    </row>
    <row r="154" ht="13.5" customHeight="1">
      <c r="A154" s="1" t="s">
        <v>11</v>
      </c>
      <c r="B154" s="1" t="s">
        <v>827</v>
      </c>
      <c r="C154" s="1" t="s">
        <v>828</v>
      </c>
      <c r="D154" s="1" t="s">
        <v>829</v>
      </c>
      <c r="E154" s="1" t="s">
        <v>829</v>
      </c>
      <c r="F154" s="1" t="s">
        <v>830</v>
      </c>
      <c r="G154" s="1" t="s">
        <v>831</v>
      </c>
      <c r="H154" s="1" t="str">
        <f>IFERROR(__xludf.DUMMYFUNCTION("GOOGLETRANSLATE(D154,""EN"",""JA"")"),"A フェトプロテイン L3/A フェトプロテイン")</f>
        <v>A フェトプロテイン L3/A フェトプロテイン</v>
      </c>
      <c r="I154" s="1" t="str">
        <f>IFERROR(__xludf.DUMMYFUNCTION("GOOGLETRANSLATE(E154,""EN"",""JA"")"),"A フェトプロテイン L3/A フェトプロテイン")</f>
        <v>A フェトプロテイン L3/A フェトプロテイン</v>
      </c>
      <c r="J154" s="1" t="str">
        <f>IFERROR(__xludf.DUMMYFUNCTION("GOOGLETRANSLATE(F154,""EN"",""JA"")"),"生物標本中のアルファ フェトプロテイン L3 と総アルファ フェトプロテインとの相対的な測定値 (比率またはパーセンテージ)。")</f>
        <v>生物標本中のアルファ フェトプロテイン L3 と総アルファ フェトプロテインとの相対的な測定値 (比率またはパーセンテージ)。</v>
      </c>
      <c r="K154" s="1" t="str">
        <f>IFERROR(__xludf.DUMMYFUNCTION("GOOGLETRANSLATE(G154,""EN"",""JA"")"),"アルファフェトプロテインL3と総アルファフェトプロテイン比の測定")</f>
        <v>アルファフェトプロテインL3と総アルファフェトプロテイン比の測定</v>
      </c>
    </row>
    <row r="155" ht="13.5" customHeight="1">
      <c r="A155" s="1" t="s">
        <v>67</v>
      </c>
      <c r="B155" s="1" t="s">
        <v>832</v>
      </c>
      <c r="C155" s="1" t="s">
        <v>833</v>
      </c>
      <c r="D155" s="1" t="s">
        <v>834</v>
      </c>
      <c r="E155" s="1" t="s">
        <v>834</v>
      </c>
      <c r="F155" s="1" t="s">
        <v>835</v>
      </c>
      <c r="G155" s="1" t="s">
        <v>836</v>
      </c>
      <c r="H155" s="1" t="str">
        <f>IFERROR(__xludf.DUMMYFUNCTION("GOOGLETRANSLATE(D155,""EN"",""JA"")"),"アスペルギルス・フミガーツス")</f>
        <v>アスペルギルス・フミガーツス</v>
      </c>
      <c r="I155" s="1" t="str">
        <f>IFERROR(__xludf.DUMMYFUNCTION("GOOGLETRANSLATE(E155,""EN"",""JA"")"),"アスペルギルス・フミガーツス")</f>
        <v>アスペルギルス・フミガーツス</v>
      </c>
      <c r="J155" s="1" t="str">
        <f>IFERROR(__xludf.DUMMYFUNCTION("GOOGLETRANSLATE(F155,""EN"",""JA"")"),"生物標本中の Aspergillus fumigatus の測定。")</f>
        <v>生物標本中の Aspergillus fumigatus の測定。</v>
      </c>
      <c r="K155" s="1" t="str">
        <f>IFERROR(__xludf.DUMMYFUNCTION("GOOGLETRANSLATE(G155,""EN"",""JA"")"),"アスペルギルス・フミガーツス測定")</f>
        <v>アスペルギルス・フミガーツス測定</v>
      </c>
    </row>
    <row r="156" ht="13.5" customHeight="1">
      <c r="A156" s="1" t="s">
        <v>11</v>
      </c>
      <c r="B156" s="1" t="s">
        <v>837</v>
      </c>
      <c r="C156" s="1" t="s">
        <v>838</v>
      </c>
      <c r="D156" s="1" t="s">
        <v>839</v>
      </c>
      <c r="E156" s="1" t="s">
        <v>839</v>
      </c>
      <c r="F156" s="1" t="s">
        <v>840</v>
      </c>
      <c r="G156" s="1" t="s">
        <v>841</v>
      </c>
      <c r="H156" s="1" t="str">
        <f>IFERROR(__xludf.DUMMYFUNCTION("GOOGLETRANSLATE(D156,""EN"",""JA"")"),"1,5-無水グルシトール")</f>
        <v>1,5-無水グルシトール</v>
      </c>
      <c r="I156" s="1" t="str">
        <f>IFERROR(__xludf.DUMMYFUNCTION("GOOGLETRANSLATE(E156,""EN"",""JA"")"),"1,5-無水グルシトール")</f>
        <v>1,5-無水グルシトール</v>
      </c>
      <c r="J156" s="1" t="str">
        <f>IFERROR(__xludf.DUMMYFUNCTION("GOOGLETRANSLATE(F156,""EN"",""JA"")"),"生物標本中の 1,5-無水グルシトールの測定。")</f>
        <v>生物標本中の 1,5-無水グルシトールの測定。</v>
      </c>
      <c r="K156" s="1" t="str">
        <f>IFERROR(__xludf.DUMMYFUNCTION("GOOGLETRANSLATE(G156,""EN"",""JA"")"),"1,5-無水グルシトール測定")</f>
        <v>1,5-無水グルシトール測定</v>
      </c>
    </row>
    <row r="157" ht="13.5" customHeight="1">
      <c r="A157" s="1" t="s">
        <v>842</v>
      </c>
      <c r="B157" s="1" t="s">
        <v>843</v>
      </c>
      <c r="C157" s="1" t="s">
        <v>844</v>
      </c>
      <c r="D157" s="1" t="s">
        <v>845</v>
      </c>
      <c r="E157" s="1" t="s">
        <v>845</v>
      </c>
      <c r="F157" s="1" t="s">
        <v>846</v>
      </c>
      <c r="G157" s="1" t="s">
        <v>845</v>
      </c>
      <c r="H157" s="1" t="str">
        <f>IFERROR(__xludf.DUMMYFUNCTION("GOOGLETRANSLATE(D157,""EN"",""JA"")"),"死亡時の年齢")</f>
        <v>死亡時の年齢</v>
      </c>
      <c r="I157" s="1" t="str">
        <f>IFERROR(__xludf.DUMMYFUNCTION("GOOGLETRANSLATE(E157,""EN"",""JA"")"),"死亡時の年齢")</f>
        <v>死亡時の年齢</v>
      </c>
      <c r="J157" s="1" t="str">
        <f>IFERROR(__xludf.DUMMYFUNCTION("GOOGLETRANSLATE(F157,""EN"",""JA"")"),"死亡時の年齢。(NCI)")</f>
        <v>死亡時の年齢。(NCI)</v>
      </c>
      <c r="K157" s="1" t="str">
        <f>IFERROR(__xludf.DUMMYFUNCTION("GOOGLETRANSLATE(G157,""EN"",""JA"")"),"死亡時の年齢")</f>
        <v>死亡時の年齢</v>
      </c>
    </row>
    <row r="158" ht="13.5" customHeight="1">
      <c r="A158" s="1" t="s">
        <v>397</v>
      </c>
      <c r="B158" s="1" t="s">
        <v>847</v>
      </c>
      <c r="C158" s="1" t="s">
        <v>848</v>
      </c>
      <c r="D158" s="1" t="s">
        <v>849</v>
      </c>
      <c r="E158" s="1" t="s">
        <v>849</v>
      </c>
      <c r="F158" s="1" t="s">
        <v>850</v>
      </c>
      <c r="G158" s="1" t="s">
        <v>849</v>
      </c>
      <c r="H158" s="1" t="str">
        <f>IFERROR(__xludf.DUMMYFUNCTION("GOOGLETRANSLATE(D158,""EN"",""JA"")"),"被験者の予定最大年齢")</f>
        <v>被験者の予定最大年齢</v>
      </c>
      <c r="I158" s="1" t="str">
        <f>IFERROR(__xludf.DUMMYFUNCTION("GOOGLETRANSLATE(E158,""EN"",""JA"")"),"被験者の予定最大年齢")</f>
        <v>被験者の予定最大年齢</v>
      </c>
      <c r="J158" s="1" t="str">
        <f>IFERROR(__xludf.DUMMYFUNCTION("GOOGLETRANSLATE(F158,""EN"",""JA"")"),"臨床試験に参加する被験者の予想される最大年齢。(NCI)")</f>
        <v>臨床試験に参加する被験者の予想される最大年齢。(NCI)</v>
      </c>
      <c r="K158" s="1" t="str">
        <f>IFERROR(__xludf.DUMMYFUNCTION("GOOGLETRANSLATE(G158,""EN"",""JA"")"),"被験者の予定最大年齢")</f>
        <v>被験者の予定最大年齢</v>
      </c>
    </row>
    <row r="159" ht="13.5" customHeight="1">
      <c r="A159" s="1" t="s">
        <v>397</v>
      </c>
      <c r="B159" s="1" t="s">
        <v>851</v>
      </c>
      <c r="C159" s="1" t="s">
        <v>852</v>
      </c>
      <c r="D159" s="1" t="s">
        <v>853</v>
      </c>
      <c r="E159" s="1" t="s">
        <v>853</v>
      </c>
      <c r="F159" s="1" t="s">
        <v>854</v>
      </c>
      <c r="G159" s="1" t="s">
        <v>853</v>
      </c>
      <c r="H159" s="1" t="str">
        <f>IFERROR(__xludf.DUMMYFUNCTION("GOOGLETRANSLATE(D159,""EN"",""JA"")"),"被験者の予定最低年齢")</f>
        <v>被験者の予定最低年齢</v>
      </c>
      <c r="I159" s="1" t="str">
        <f>IFERROR(__xludf.DUMMYFUNCTION("GOOGLETRANSLATE(E159,""EN"",""JA"")"),"被験者の予定最低年齢")</f>
        <v>被験者の予定最低年齢</v>
      </c>
      <c r="J159" s="1" t="str">
        <f>IFERROR(__xludf.DUMMYFUNCTION("GOOGLETRANSLATE(F159,""EN"",""JA"")"),"臨床試験に参加する被験者の予想される最小年齢。(NCI)")</f>
        <v>臨床試験に参加する被験者の予想される最小年齢。(NCI)</v>
      </c>
      <c r="K159" s="1" t="str">
        <f>IFERROR(__xludf.DUMMYFUNCTION("GOOGLETRANSLATE(G159,""EN"",""JA"")"),"被験者の予定最低年齢")</f>
        <v>被験者の予定最低年齢</v>
      </c>
    </row>
    <row r="160" ht="13.5" customHeight="1">
      <c r="A160" s="1" t="s">
        <v>601</v>
      </c>
      <c r="B160" s="1" t="s">
        <v>855</v>
      </c>
      <c r="C160" s="1" t="s">
        <v>856</v>
      </c>
      <c r="D160" s="1" t="s">
        <v>857</v>
      </c>
      <c r="E160" s="1" t="s">
        <v>857</v>
      </c>
      <c r="F160" s="1" t="s">
        <v>858</v>
      </c>
      <c r="G160" s="1" t="s">
        <v>859</v>
      </c>
      <c r="H160" s="1" t="str">
        <f>IFERROR(__xludf.DUMMYFUNCTION("GOOGLETRANSLATE(D160,""EN"",""JA"")"),"喫煙開始年齢")</f>
        <v>喫煙開始年齢</v>
      </c>
      <c r="I160" s="1" t="str">
        <f>IFERROR(__xludf.DUMMYFUNCTION("GOOGLETRANSLATE(E160,""EN"",""JA"")"),"喫煙開始年齢")</f>
        <v>喫煙開始年齢</v>
      </c>
      <c r="J160" s="1" t="str">
        <f>IFERROR(__xludf.DUMMYFUNCTION("GOOGLETRANSLATE(F160,""EN"",""JA"")"),"喫煙を開始した年齢。")</f>
        <v>喫煙を開始した年齢。</v>
      </c>
      <c r="K160" s="1" t="str">
        <f>IFERROR(__xludf.DUMMYFUNCTION("GOOGLETRANSLATE(G160,""EN"",""JA"")"),"初めてタバコを吸った年齢に関する質問")</f>
        <v>初めてタバコを吸った年齢に関する質問</v>
      </c>
    </row>
    <row r="161" ht="13.5" customHeight="1">
      <c r="A161" s="1" t="s">
        <v>11</v>
      </c>
      <c r="B161" s="1" t="s">
        <v>860</v>
      </c>
      <c r="C161" s="1" t="s">
        <v>861</v>
      </c>
      <c r="D161" s="1" t="s">
        <v>862</v>
      </c>
      <c r="E161" s="1" t="s">
        <v>862</v>
      </c>
      <c r="F161" s="1" t="s">
        <v>863</v>
      </c>
      <c r="G161" s="1" t="s">
        <v>864</v>
      </c>
      <c r="H161" s="1" t="str">
        <f>IFERROR(__xludf.DUMMYFUNCTION("GOOGLETRANSLATE(D161,""EN"",""JA"")"),"アルファヒドロキシ酪酸脱水素酵素")</f>
        <v>アルファヒドロキシ酪酸脱水素酵素</v>
      </c>
      <c r="I161" s="1" t="str">
        <f>IFERROR(__xludf.DUMMYFUNCTION("GOOGLETRANSLATE(E161,""EN"",""JA"")"),"アルファヒドロキシ酪酸脱水素酵素")</f>
        <v>アルファヒドロキシ酪酸脱水素酵素</v>
      </c>
      <c r="J161" s="1" t="str">
        <f>IFERROR(__xludf.DUMMYFUNCTION("GOOGLETRANSLATE(F161,""EN"",""JA"")"),"生物標本中のα-ヒドロキシ酪酸脱水素酵素の測定。")</f>
        <v>生物標本中のα-ヒドロキシ酪酸脱水素酵素の測定。</v>
      </c>
      <c r="K161" s="1" t="str">
        <f>IFERROR(__xludf.DUMMYFUNCTION("GOOGLETRANSLATE(G161,""EN"",""JA"")"),"アルファヒドロキシ酪酸脱水素酵素測定")</f>
        <v>アルファヒドロキシ酪酸脱水素酵素測定</v>
      </c>
    </row>
    <row r="162" ht="13.5" customHeight="1">
      <c r="A162" s="1" t="s">
        <v>11</v>
      </c>
      <c r="B162" s="1" t="s">
        <v>865</v>
      </c>
      <c r="C162" s="1" t="s">
        <v>866</v>
      </c>
      <c r="D162" s="1" t="s">
        <v>867</v>
      </c>
      <c r="E162" s="1" t="s">
        <v>867</v>
      </c>
      <c r="F162" s="1" t="s">
        <v>868</v>
      </c>
      <c r="G162" s="1" t="s">
        <v>869</v>
      </c>
      <c r="H162" s="1" t="str">
        <f>IFERROR(__xludf.DUMMYFUNCTION("GOOGLETRANSLATE(D162,""EN"",""JA"")"),"アルファ-ヒドロキシトリアゾラム")</f>
        <v>アルファ-ヒドロキシトリアゾラム</v>
      </c>
      <c r="I162" s="1" t="str">
        <f>IFERROR(__xludf.DUMMYFUNCTION("GOOGLETRANSLATE(E162,""EN"",""JA"")"),"アルファ-ヒドロキシトリアゾラム")</f>
        <v>アルファ-ヒドロキシトリアゾラム</v>
      </c>
      <c r="J162" s="1" t="str">
        <f>IFERROR(__xludf.DUMMYFUNCTION("GOOGLETRANSLATE(F162,""EN"",""JA"")"),"生物標本中のα-ヒドロキシトリアゾラムの測定。")</f>
        <v>生物標本中のα-ヒドロキシトリアゾラムの測定。</v>
      </c>
      <c r="K162" s="1" t="str">
        <f>IFERROR(__xludf.DUMMYFUNCTION("GOOGLETRANSLATE(G162,""EN"",""JA"")"),"アルファヒドロキシトリアゾラム測定")</f>
        <v>アルファヒドロキシトリアゾラム測定</v>
      </c>
    </row>
    <row r="163" ht="13.5" customHeight="1">
      <c r="A163" s="1" t="s">
        <v>870</v>
      </c>
      <c r="B163" s="1" t="s">
        <v>871</v>
      </c>
      <c r="C163" s="1" t="s">
        <v>872</v>
      </c>
      <c r="D163" s="1" t="s">
        <v>873</v>
      </c>
      <c r="E163" s="1" t="s">
        <v>873</v>
      </c>
      <c r="F163" s="1" t="s">
        <v>874</v>
      </c>
      <c r="G163" s="1" t="s">
        <v>873</v>
      </c>
      <c r="H163" s="1" t="str">
        <f>IFERROR(__xludf.DUMMYFUNCTION("GOOGLETRANSLATE(D163,""EN"",""JA"")"),"ラムダzを用いた蓄積指数")</f>
        <v>ラムダzを用いた蓄積指数</v>
      </c>
      <c r="I163" s="1" t="str">
        <f>IFERROR(__xludf.DUMMYFUNCTION("GOOGLETRANSLATE(E163,""EN"",""JA"")"),"ラムダzを用いた蓄積指数")</f>
        <v>ラムダzを用いた蓄積指数</v>
      </c>
      <c r="J163" s="1" t="str">
        <f>IFERROR(__xludf.DUMMYFUNCTION("GOOGLETRANSLATE(F163,""EN"",""JA"")"),"単回投与データから推定された Lambda z を使用して計算された曲線下面積 (AUC) の予測蓄積率。")</f>
        <v>単回投与データから推定された Lambda z を使用して計算された曲線下面積 (AUC) の予測蓄積率。</v>
      </c>
      <c r="K163" s="1" t="str">
        <f>IFERROR(__xludf.DUMMYFUNCTION("GOOGLETRANSLATE(G163,""EN"",""JA"")"),"ラムダzを用いた蓄積指数")</f>
        <v>ラムダzを用いた蓄積指数</v>
      </c>
    </row>
    <row r="164" ht="13.5" customHeight="1">
      <c r="A164" s="1" t="s">
        <v>580</v>
      </c>
      <c r="B164" s="1" t="s">
        <v>875</v>
      </c>
      <c r="C164" s="1" t="s">
        <v>876</v>
      </c>
      <c r="D164" s="1" t="s">
        <v>877</v>
      </c>
      <c r="E164" s="1" t="s">
        <v>877</v>
      </c>
      <c r="F164" s="1" t="s">
        <v>878</v>
      </c>
      <c r="G164" s="1" t="s">
        <v>879</v>
      </c>
      <c r="H164" s="1" t="str">
        <f>IFERROR(__xludf.DUMMYFUNCTION("GOOGLETRANSLATE(D164,""EN"",""JA"")"),"エアトラッピング")</f>
        <v>エアトラッピング</v>
      </c>
      <c r="I164" s="1" t="str">
        <f>IFERROR(__xludf.DUMMYFUNCTION("GOOGLETRANSLATE(E164,""EN"",""JA"")"),"エアトラッピング")</f>
        <v>エアトラッピング</v>
      </c>
      <c r="J164" s="1" t="str">
        <f>IFERROR(__xludf.DUMMYFUNCTION("GOOGLETRANSLATE(F164,""EN"",""JA"")"),"呼気終了時の指定された肺内空間内のガス保持量の測定値。")</f>
        <v>呼気終了時の指定された肺内空間内のガス保持量の測定値。</v>
      </c>
      <c r="K164" s="1" t="str">
        <f>IFERROR(__xludf.DUMMYFUNCTION("GOOGLETRANSLATE(G164,""EN"",""JA"")"),"エアトラッピング測定")</f>
        <v>エアトラッピング測定</v>
      </c>
    </row>
    <row r="165" ht="13.5" customHeight="1">
      <c r="A165" s="1" t="s">
        <v>67</v>
      </c>
      <c r="B165" s="1" t="s">
        <v>880</v>
      </c>
      <c r="C165" s="1" t="s">
        <v>881</v>
      </c>
      <c r="D165" s="1" t="s">
        <v>882</v>
      </c>
      <c r="E165" s="1" t="s">
        <v>882</v>
      </c>
      <c r="F165" s="1" t="s">
        <v>883</v>
      </c>
      <c r="G165" s="1" t="s">
        <v>884</v>
      </c>
      <c r="H165" s="1" t="str">
        <f>IFERROR(__xludf.DUMMYFUNCTION("GOOGLETRANSLATE(D165,""EN"",""JA"")"),"アシネトバクター・ジョンソン")</f>
        <v>アシネトバクター・ジョンソン</v>
      </c>
      <c r="I165" s="1" t="str">
        <f>IFERROR(__xludf.DUMMYFUNCTION("GOOGLETRANSLATE(E165,""EN"",""JA"")"),"アシネトバクター・ジョンソン")</f>
        <v>アシネトバクター・ジョンソン</v>
      </c>
      <c r="J165" s="1" t="str">
        <f>IFERROR(__xludf.DUMMYFUNCTION("GOOGLETRANSLATE(F165,""EN"",""JA"")"),"生物標本中の Acinetobacter johnsonii の測定。")</f>
        <v>生物標本中の Acinetobacter johnsonii の測定。</v>
      </c>
      <c r="K165" s="1" t="str">
        <f>IFERROR(__xludf.DUMMYFUNCTION("GOOGLETRANSLATE(G165,""EN"",""JA"")"),"アシネトバクター・ジョンソニー測定")</f>
        <v>アシネトバクター・ジョンソニー測定</v>
      </c>
    </row>
    <row r="166" ht="13.5" customHeight="1">
      <c r="A166" s="1" t="s">
        <v>11</v>
      </c>
      <c r="B166" s="1" t="s">
        <v>885</v>
      </c>
      <c r="C166" s="1" t="s">
        <v>886</v>
      </c>
      <c r="D166" s="1" t="s">
        <v>887</v>
      </c>
      <c r="E166" s="1" t="s">
        <v>888</v>
      </c>
      <c r="F166" s="1" t="s">
        <v>889</v>
      </c>
      <c r="G166" s="1" t="s">
        <v>887</v>
      </c>
      <c r="H166" s="1" t="str">
        <f>IFERROR(__xludf.DUMMYFUNCTION("GOOGLETRANSLATE(D166,""EN"",""JA"")"),"急性腎障害リスクスコア")</f>
        <v>急性腎障害リスクスコア</v>
      </c>
      <c r="I166" s="1" t="str">
        <f>IFERROR(__xludf.DUMMYFUNCTION("GOOGLETRANSLATE(E166,""EN"",""JA"")"),"急性腎障害リスクスコア; AKIリスクスコア")</f>
        <v>急性腎障害リスクスコア; AKIリスクスコア</v>
      </c>
      <c r="J166" s="1" t="str">
        <f>IFERROR(__xludf.DUMMYFUNCTION("GOOGLETRANSLATE(F166,""EN"",""JA"")"),"尿検査パラメータの評価を通じて急性腎障害のリスクを評価し、追加の要因を考慮に入れることができるスコアリング システム。")</f>
        <v>尿検査パラメータの評価を通じて急性腎障害のリスクを評価し、追加の要因を考慮に入れることができるスコアリング システム。</v>
      </c>
      <c r="K166" s="1" t="str">
        <f>IFERROR(__xludf.DUMMYFUNCTION("GOOGLETRANSLATE(G166,""EN"",""JA"")"),"急性腎障害リスクスコア")</f>
        <v>急性腎障害リスクスコア</v>
      </c>
    </row>
    <row r="167" ht="13.5" customHeight="1">
      <c r="A167" s="1" t="s">
        <v>67</v>
      </c>
      <c r="B167" s="1" t="s">
        <v>890</v>
      </c>
      <c r="C167" s="1" t="s">
        <v>891</v>
      </c>
      <c r="D167" s="1" t="s">
        <v>892</v>
      </c>
      <c r="E167" s="1" t="s">
        <v>892</v>
      </c>
      <c r="F167" s="1" t="s">
        <v>893</v>
      </c>
      <c r="G167" s="1" t="s">
        <v>894</v>
      </c>
      <c r="H167" s="1" t="str">
        <f>IFERROR(__xludf.DUMMYFUNCTION("GOOGLETRANSLATE(D167,""EN"",""JA"")"),"アシネトバクター・ラクトゥカエ")</f>
        <v>アシネトバクター・ラクトゥカエ</v>
      </c>
      <c r="I167" s="1" t="str">
        <f>IFERROR(__xludf.DUMMYFUNCTION("GOOGLETRANSLATE(E167,""EN"",""JA"")"),"アシネトバクター・ラクトゥカエ")</f>
        <v>アシネトバクター・ラクトゥカエ</v>
      </c>
      <c r="J167" s="1" t="str">
        <f>IFERROR(__xludf.DUMMYFUNCTION("GOOGLETRANSLATE(F167,""EN"",""JA"")"),"生物標本中の Acinetobacter lactucae の測定。")</f>
        <v>生物標本中の Acinetobacter lactucae の測定。</v>
      </c>
      <c r="K167" s="1" t="str">
        <f>IFERROR(__xludf.DUMMYFUNCTION("GOOGLETRANSLATE(G167,""EN"",""JA"")"),"アシネトバクター・ラクツカエの測定")</f>
        <v>アシネトバクター・ラクツカエの測定</v>
      </c>
    </row>
    <row r="168" ht="13.5" customHeight="1">
      <c r="A168" s="1" t="s">
        <v>11</v>
      </c>
      <c r="B168" s="1" t="s">
        <v>895</v>
      </c>
      <c r="C168" s="1" t="s">
        <v>891</v>
      </c>
      <c r="D168" s="1" t="s">
        <v>896</v>
      </c>
      <c r="E168" s="1" t="s">
        <v>896</v>
      </c>
      <c r="F168" s="1" t="s">
        <v>897</v>
      </c>
      <c r="G168" s="1" t="s">
        <v>898</v>
      </c>
      <c r="H168" s="1" t="str">
        <f>IFERROR(__xludf.DUMMYFUNCTION("GOOGLETRANSLATE(D168,""EN"",""JA"")"),"アラニン")</f>
        <v>アラニン</v>
      </c>
      <c r="I168" s="1" t="str">
        <f>IFERROR(__xludf.DUMMYFUNCTION("GOOGLETRANSLATE(E168,""EN"",""JA"")"),"アラニン")</f>
        <v>アラニン</v>
      </c>
      <c r="J168" s="1" t="str">
        <f>IFERROR(__xludf.DUMMYFUNCTION("GOOGLETRANSLATE(F168,""EN"",""JA"")"),"生物標本中のアラニンの測定。")</f>
        <v>生物標本中のアラニンの測定。</v>
      </c>
      <c r="K168" s="1" t="str">
        <f>IFERROR(__xludf.DUMMYFUNCTION("GOOGLETRANSLATE(G168,""EN"",""JA"")"),"アラニン測定")</f>
        <v>アラニン測定</v>
      </c>
    </row>
    <row r="169" ht="13.5" customHeight="1">
      <c r="A169" s="1" t="s">
        <v>11</v>
      </c>
      <c r="B169" s="1" t="s">
        <v>899</v>
      </c>
      <c r="C169" s="1" t="s">
        <v>900</v>
      </c>
      <c r="D169" s="1" t="s">
        <v>901</v>
      </c>
      <c r="E169" s="1" t="s">
        <v>901</v>
      </c>
      <c r="F169" s="1" t="s">
        <v>902</v>
      </c>
      <c r="G169" s="1" t="s">
        <v>903</v>
      </c>
      <c r="H169" s="1" t="str">
        <f>IFERROR(__xludf.DUMMYFUNCTION("GOOGLETRANSLATE(D169,""EN"",""JA"")"),"アポリポタンパク質A1/アポリポタンパク質B")</f>
        <v>アポリポタンパク質A1/アポリポタンパク質B</v>
      </c>
      <c r="I169" s="1" t="str">
        <f>IFERROR(__xludf.DUMMYFUNCTION("GOOGLETRANSLATE(E169,""EN"",""JA"")"),"アポリポタンパク質A1/アポリポタンパク質B")</f>
        <v>アポリポタンパク質A1/アポリポタンパク質B</v>
      </c>
      <c r="J169" s="1" t="str">
        <f>IFERROR(__xludf.DUMMYFUNCTION("GOOGLETRANSLATE(F169,""EN"",""JA"")"),"生物標本中のアポリポタンパク質 A1 とアポリポタンパク質 B の相対的な測定値 (比率またはパーセンテージ)。")</f>
        <v>生物標本中のアポリポタンパク質 A1 とアポリポタンパク質 B の相対的な測定値 (比率またはパーセンテージ)。</v>
      </c>
      <c r="K169" s="1" t="str">
        <f>IFERROR(__xludf.DUMMYFUNCTION("GOOGLETRANSLATE(G169,""EN"",""JA"")"),"アポリポタンパク質A1とアポリポタンパク質Bの比測定")</f>
        <v>アポリポタンパク質A1とアポリポタンパク質Bの比測定</v>
      </c>
    </row>
    <row r="170" ht="13.5" customHeight="1">
      <c r="A170" s="1" t="s">
        <v>11</v>
      </c>
      <c r="B170" s="1" t="s">
        <v>904</v>
      </c>
      <c r="C170" s="1" t="s">
        <v>905</v>
      </c>
      <c r="D170" s="1" t="s">
        <v>906</v>
      </c>
      <c r="E170" s="1" t="s">
        <v>906</v>
      </c>
      <c r="F170" s="1" t="s">
        <v>907</v>
      </c>
      <c r="G170" s="1" t="s">
        <v>908</v>
      </c>
      <c r="H170" s="1" t="str">
        <f>IFERROR(__xludf.DUMMYFUNCTION("GOOGLETRANSLATE(D170,""EN"",""JA"")"),"アポリポプロテインA/アポリポプロテインB")</f>
        <v>アポリポプロテインA/アポリポプロテインB</v>
      </c>
      <c r="I170" s="1" t="str">
        <f>IFERROR(__xludf.DUMMYFUNCTION("GOOGLETRANSLATE(E170,""EN"",""JA"")"),"アポリポプロテインA/アポリポプロテインB")</f>
        <v>アポリポプロテインA/アポリポプロテインB</v>
      </c>
      <c r="J170" s="1" t="str">
        <f>IFERROR(__xludf.DUMMYFUNCTION("GOOGLETRANSLATE(F170,""EN"",""JA"")"),"生物標本中の総アポリポタンパク質 A とアポリポタンパク質 B の相対測定値 (比率)。")</f>
        <v>生物標本中の総アポリポタンパク質 A とアポリポタンパク質 B の相対測定値 (比率)。</v>
      </c>
      <c r="K170" s="1" t="str">
        <f>IFERROR(__xludf.DUMMYFUNCTION("GOOGLETRANSLATE(G170,""EN"",""JA"")"),"アポリポタンパク質Aとアポリポタンパク質Bの比測定")</f>
        <v>アポリポタンパク質Aとアポリポタンパク質Bの比測定</v>
      </c>
    </row>
    <row r="171" ht="13.5" customHeight="1">
      <c r="A171" s="1" t="s">
        <v>201</v>
      </c>
      <c r="B171" s="1" t="s">
        <v>909</v>
      </c>
      <c r="C171" s="1" t="s">
        <v>910</v>
      </c>
      <c r="D171" s="1" t="s">
        <v>911</v>
      </c>
      <c r="E171" s="1" t="s">
        <v>911</v>
      </c>
      <c r="F171" s="1" t="s">
        <v>912</v>
      </c>
      <c r="G171" s="1" t="s">
        <v>913</v>
      </c>
      <c r="H171" s="1" t="str">
        <f>IFERROR(__xludf.DUMMYFUNCTION("GOOGLETRANSLATE(D171,""EN"",""JA"")"),"アロ抗体")</f>
        <v>アロ抗体</v>
      </c>
      <c r="I171" s="1" t="str">
        <f>IFERROR(__xludf.DUMMYFUNCTION("GOOGLETRANSLATE(E171,""EN"",""JA"")"),"アロ抗体")</f>
        <v>アロ抗体</v>
      </c>
      <c r="J171" s="1" t="str">
        <f>IFERROR(__xludf.DUMMYFUNCTION("GOOGLETRANSLATE(F171,""EN"",""JA"")"),"生物学的標本中の結合同種抗体の測定。")</f>
        <v>生物学的標本中の結合同種抗体の測定。</v>
      </c>
      <c r="K171" s="1" t="str">
        <f>IFERROR(__xludf.DUMMYFUNCTION("GOOGLETRANSLATE(G171,""EN"",""JA"")"),"同種抗体測定")</f>
        <v>同種抗体測定</v>
      </c>
    </row>
    <row r="172" ht="13.5" customHeight="1">
      <c r="A172" s="1" t="s">
        <v>11</v>
      </c>
      <c r="B172" s="1" t="s">
        <v>914</v>
      </c>
      <c r="C172" s="1" t="s">
        <v>915</v>
      </c>
      <c r="D172" s="1" t="s">
        <v>916</v>
      </c>
      <c r="E172" s="1" t="s">
        <v>917</v>
      </c>
      <c r="F172" s="1" t="s">
        <v>918</v>
      </c>
      <c r="G172" s="1" t="s">
        <v>919</v>
      </c>
      <c r="H172" s="1" t="str">
        <f>IFERROR(__xludf.DUMMYFUNCTION("GOOGLETRANSLATE(D172,""EN"",""JA"")"),"アルブミン")</f>
        <v>アルブミン</v>
      </c>
      <c r="I172" s="1" t="str">
        <f>IFERROR(__xludf.DUMMYFUNCTION("GOOGLETRANSLATE(E172,""EN"",""JA"")"),"アルブミン; 微量アルブミン")</f>
        <v>アルブミン; 微量アルブミン</v>
      </c>
      <c r="J172" s="1" t="str">
        <f>IFERROR(__xludf.DUMMYFUNCTION("GOOGLETRANSLATE(F172,""EN"",""JA"")"),"生物標本中のアルブミンタンパク質の測定。")</f>
        <v>生物標本中のアルブミンタンパク質の測定。</v>
      </c>
      <c r="K172" s="1" t="str">
        <f>IFERROR(__xludf.DUMMYFUNCTION("GOOGLETRANSLATE(G172,""EN"",""JA"")"),"アルブミン測定")</f>
        <v>アルブミン測定</v>
      </c>
    </row>
    <row r="173" ht="13.5" customHeight="1">
      <c r="A173" s="1" t="s">
        <v>11</v>
      </c>
      <c r="B173" s="1" t="s">
        <v>920</v>
      </c>
      <c r="C173" s="1" t="s">
        <v>921</v>
      </c>
      <c r="D173" s="1" t="s">
        <v>922</v>
      </c>
      <c r="E173" s="1" t="s">
        <v>922</v>
      </c>
      <c r="F173" s="1" t="s">
        <v>923</v>
      </c>
      <c r="G173" s="1" t="s">
        <v>922</v>
      </c>
      <c r="H173" s="1" t="str">
        <f>IFERROR(__xludf.DUMMYFUNCTION("GOOGLETRANSLATE(D173,""EN"",""JA"")"),"アルブミンクリアランス")</f>
        <v>アルブミンクリアランス</v>
      </c>
      <c r="I173" s="1" t="str">
        <f>IFERROR(__xludf.DUMMYFUNCTION("GOOGLETRANSLATE(E173,""EN"",""JA"")"),"アルブミンクリアランス")</f>
        <v>アルブミンクリアランス</v>
      </c>
      <c r="J173" s="1" t="str">
        <f>IFERROR(__xludf.DUMMYFUNCTION("GOOGLETRANSLATE(F173,""EN"",""JA"")"),"生物学的標本中のアルブミンクリアランスの測定。")</f>
        <v>生物学的標本中のアルブミンクリアランスの測定。</v>
      </c>
      <c r="K173" s="1" t="str">
        <f>IFERROR(__xludf.DUMMYFUNCTION("GOOGLETRANSLATE(G173,""EN"",""JA"")"),"アルブミンクリアランス")</f>
        <v>アルブミンクリアランス</v>
      </c>
    </row>
    <row r="174" ht="13.5" customHeight="1">
      <c r="A174" s="1" t="s">
        <v>11</v>
      </c>
      <c r="B174" s="1" t="s">
        <v>924</v>
      </c>
      <c r="C174" s="1" t="s">
        <v>925</v>
      </c>
      <c r="D174" s="1" t="s">
        <v>926</v>
      </c>
      <c r="E174" s="1" t="s">
        <v>927</v>
      </c>
      <c r="F174" s="1" t="s">
        <v>928</v>
      </c>
      <c r="G174" s="1" t="s">
        <v>929</v>
      </c>
      <c r="H174" s="1" t="str">
        <f>IFERROR(__xludf.DUMMYFUNCTION("GOOGLETRANSLATE(D174,""EN"",""JA"")"),"アルブミン/クレアチニン")</f>
        <v>アルブミン/クレアチニン</v>
      </c>
      <c r="I174" s="1" t="str">
        <f>IFERROR(__xludf.DUMMYFUNCTION("GOOGLETRANSLATE(E174,""EN"",""JA"")"),"アルブミン/クレアチニン; 微量アルブミン/クレアチニン比")</f>
        <v>アルブミン/クレアチニン; 微量アルブミン/クレアチニン比</v>
      </c>
      <c r="J174" s="1" t="str">
        <f>IFERROR(__xludf.DUMMYFUNCTION("GOOGLETRANSLATE(F174,""EN"",""JA"")"),"生物学的標本中のアルブミンとクレアチニンの相対的な測定値（比率）。")</f>
        <v>生物学的標本中のアルブミンとクレアチニンの相対的な測定値（比率）。</v>
      </c>
      <c r="K174" s="1" t="str">
        <f>IFERROR(__xludf.DUMMYFUNCTION("GOOGLETRANSLATE(G174,""EN"",""JA"")"),"アルブミン対クレアチニンタンパク質比測定")</f>
        <v>アルブミン対クレアチニンタンパク質比測定</v>
      </c>
    </row>
    <row r="175" ht="13.5" customHeight="1">
      <c r="A175" s="1" t="s">
        <v>11</v>
      </c>
      <c r="B175" s="1" t="s">
        <v>930</v>
      </c>
      <c r="C175" s="1" t="s">
        <v>931</v>
      </c>
      <c r="D175" s="1" t="s">
        <v>932</v>
      </c>
      <c r="E175" s="1" t="s">
        <v>932</v>
      </c>
      <c r="F175" s="1" t="s">
        <v>933</v>
      </c>
      <c r="G175" s="1" t="s">
        <v>932</v>
      </c>
      <c r="H175" s="1" t="str">
        <f>IFERROR(__xludf.DUMMYFUNCTION("GOOGLETRANSLATE(D175,""EN"",""JA"")"),"アルブミン排泄率")</f>
        <v>アルブミン排泄率</v>
      </c>
      <c r="I175" s="1" t="str">
        <f>IFERROR(__xludf.DUMMYFUNCTION("GOOGLETRANSLATE(E175,""EN"",""JA"")"),"アルブミン排泄率")</f>
        <v>アルブミン排泄率</v>
      </c>
      <c r="J175" s="1" t="str">
        <f>IFERROR(__xludf.DUMMYFUNCTION("GOOGLETRANSLATE(F175,""EN"",""JA"")"),"定義された期間（例：1 時間）にわたって生物学的標本中に排泄されたアルブミンの量を測定します。")</f>
        <v>定義された期間（例：1 時間）にわたって生物学的標本中に排泄されたアルブミンの量を測定します。</v>
      </c>
      <c r="K175" s="1" t="str">
        <f>IFERROR(__xludf.DUMMYFUNCTION("GOOGLETRANSLATE(G175,""EN"",""JA"")"),"アルブミン排泄率")</f>
        <v>アルブミン排泄率</v>
      </c>
    </row>
    <row r="176" ht="13.5" customHeight="1">
      <c r="A176" s="1" t="s">
        <v>11</v>
      </c>
      <c r="B176" s="1" t="s">
        <v>934</v>
      </c>
      <c r="C176" s="1" t="s">
        <v>935</v>
      </c>
      <c r="D176" s="1" t="s">
        <v>936</v>
      </c>
      <c r="E176" s="1" t="s">
        <v>936</v>
      </c>
      <c r="F176" s="1" t="s">
        <v>937</v>
      </c>
      <c r="G176" s="1" t="s">
        <v>938</v>
      </c>
      <c r="H176" s="1" t="str">
        <f>IFERROR(__xludf.DUMMYFUNCTION("GOOGLETRANSLATE(D176,""EN"",""JA"")"),"グリコアルブミン/アルブミン")</f>
        <v>グリコアルブミン/アルブミン</v>
      </c>
      <c r="I176" s="1" t="str">
        <f>IFERROR(__xludf.DUMMYFUNCTION("GOOGLETRANSLATE(E176,""EN"",""JA"")"),"グリコアルブミン/アルブミン")</f>
        <v>グリコアルブミン/アルブミン</v>
      </c>
      <c r="J176" s="1" t="str">
        <f>IFERROR(__xludf.DUMMYFUNCTION("GOOGLETRANSLATE(F176,""EN"",""JA"")"),"生物学的標本中の総アルブミンに対するグリコアルブミンの相対的な測定値（比率またはパーセンテージ）。")</f>
        <v>生物学的標本中の総アルブミンに対するグリコアルブミンの相対的な測定値（比率またはパーセンテージ）。</v>
      </c>
      <c r="K176" s="1" t="str">
        <f>IFERROR(__xludf.DUMMYFUNCTION("GOOGLETRANSLATE(G176,""EN"",""JA"")"),"グリコアルブミンとアルブミンの比率測定")</f>
        <v>グリコアルブミンとアルブミンの比率測定</v>
      </c>
    </row>
    <row r="177" ht="13.5" customHeight="1">
      <c r="A177" s="1" t="s">
        <v>11</v>
      </c>
      <c r="B177" s="1" t="s">
        <v>939</v>
      </c>
      <c r="C177" s="1" t="s">
        <v>940</v>
      </c>
      <c r="D177" s="1" t="s">
        <v>941</v>
      </c>
      <c r="E177" s="1" t="s">
        <v>941</v>
      </c>
      <c r="F177" s="1" t="s">
        <v>942</v>
      </c>
      <c r="G177" s="1" t="s">
        <v>943</v>
      </c>
      <c r="H177" s="1" t="str">
        <f>IFERROR(__xludf.DUMMYFUNCTION("GOOGLETRANSLATE(D177,""EN"",""JA"")"),"アルブミン/グロブリン")</f>
        <v>アルブミン/グロブリン</v>
      </c>
      <c r="I177" s="1" t="str">
        <f>IFERROR(__xludf.DUMMYFUNCTION("GOOGLETRANSLATE(E177,""EN"",""JA"")"),"アルブミン/グロブリン")</f>
        <v>アルブミン/グロブリン</v>
      </c>
      <c r="J177" s="1" t="str">
        <f>IFERROR(__xludf.DUMMYFUNCTION("GOOGLETRANSLATE(F177,""EN"",""JA"")"),"生物標本中のアルブミンとグロブリンの比率。")</f>
        <v>生物標本中のアルブミンとグロブリンの比率。</v>
      </c>
      <c r="K177" s="1" t="str">
        <f>IFERROR(__xludf.DUMMYFUNCTION("GOOGLETRANSLATE(G177,""EN"",""JA"")"),"アルブミン対グロブリン比測定")</f>
        <v>アルブミン対グロブリン比測定</v>
      </c>
    </row>
    <row r="178" ht="13.5" customHeight="1">
      <c r="A178" s="1" t="s">
        <v>11</v>
      </c>
      <c r="B178" s="1" t="s">
        <v>944</v>
      </c>
      <c r="C178" s="1" t="s">
        <v>945</v>
      </c>
      <c r="D178" s="1" t="s">
        <v>946</v>
      </c>
      <c r="E178" s="1" t="s">
        <v>946</v>
      </c>
      <c r="F178" s="1" t="s">
        <v>947</v>
      </c>
      <c r="G178" s="1" t="s">
        <v>948</v>
      </c>
      <c r="H178" s="1" t="str">
        <f>IFERROR(__xludf.DUMMYFUNCTION("GOOGLETRANSLATE(D178,""EN"",""JA"")"),"グリコアルブミン")</f>
        <v>グリコアルブミン</v>
      </c>
      <c r="I178" s="1" t="str">
        <f>IFERROR(__xludf.DUMMYFUNCTION("GOOGLETRANSLATE(E178,""EN"",""JA"")"),"グリコアルブミン")</f>
        <v>グリコアルブミン</v>
      </c>
      <c r="J178" s="1" t="str">
        <f>IFERROR(__xludf.DUMMYFUNCTION("GOOGLETRANSLATE(F178,""EN"",""JA"")"),"生物学的標本中に存在するグリコアルブミンの測定。")</f>
        <v>生物学的標本中に存在するグリコアルブミンの測定。</v>
      </c>
      <c r="K178" s="1" t="str">
        <f>IFERROR(__xludf.DUMMYFUNCTION("GOOGLETRANSLATE(G178,""EN"",""JA"")"),"グリコアルブミン測定")</f>
        <v>グリコアルブミン測定</v>
      </c>
    </row>
    <row r="179" ht="13.5" customHeight="1">
      <c r="A179" s="1" t="s">
        <v>11</v>
      </c>
      <c r="B179" s="1" t="s">
        <v>949</v>
      </c>
      <c r="C179" s="1" t="s">
        <v>950</v>
      </c>
      <c r="D179" s="1" t="s">
        <v>951</v>
      </c>
      <c r="E179" s="1" t="s">
        <v>951</v>
      </c>
      <c r="F179" s="1" t="s">
        <v>952</v>
      </c>
      <c r="G179" s="1" t="s">
        <v>951</v>
      </c>
      <c r="H179" s="1" t="str">
        <f>IFERROR(__xludf.DUMMYFUNCTION("GOOGLETRANSLATE(D179,""EN"",""JA"")"),"アルブミン指数")</f>
        <v>アルブミン指数</v>
      </c>
      <c r="I179" s="1" t="str">
        <f>IFERROR(__xludf.DUMMYFUNCTION("GOOGLETRANSLATE(E179,""EN"",""JA"")"),"アルブミン指数")</f>
        <v>アルブミン指数</v>
      </c>
      <c r="J179" s="1" t="str">
        <f>IFERROR(__xludf.DUMMYFUNCTION("GOOGLETRANSLATE(F179,""EN"",""JA"")"),"生物学的標本中の脳脊髄液中のアルブミンと血清または血漿中のアルブミンの相対的な測定値（比率）。")</f>
        <v>生物学的標本中の脳脊髄液中のアルブミンと血清または血漿中のアルブミンの相対的な測定値（比率）。</v>
      </c>
      <c r="K179" s="1" t="str">
        <f>IFERROR(__xludf.DUMMYFUNCTION("GOOGLETRANSLATE(G179,""EN"",""JA"")"),"アルブミン指数")</f>
        <v>アルブミン指数</v>
      </c>
    </row>
    <row r="180" ht="13.5" customHeight="1">
      <c r="A180" s="1" t="s">
        <v>11</v>
      </c>
      <c r="B180" s="1" t="s">
        <v>953</v>
      </c>
      <c r="C180" s="1" t="s">
        <v>954</v>
      </c>
      <c r="D180" s="1" t="s">
        <v>955</v>
      </c>
      <c r="E180" s="1" t="s">
        <v>955</v>
      </c>
      <c r="F180" s="1" t="s">
        <v>956</v>
      </c>
      <c r="G180" s="1" t="s">
        <v>957</v>
      </c>
      <c r="H180" s="1" t="str">
        <f>IFERROR(__xludf.DUMMYFUNCTION("GOOGLETRANSLATE(D180,""EN"",""JA"")"),"アルブミン/総タンパク質")</f>
        <v>アルブミン/総タンパク質</v>
      </c>
      <c r="I180" s="1" t="str">
        <f>IFERROR(__xludf.DUMMYFUNCTION("GOOGLETRANSLATE(E180,""EN"",""JA"")"),"アルブミン/総タンパク質")</f>
        <v>アルブミン/総タンパク質</v>
      </c>
      <c r="J180" s="1" t="str">
        <f>IFERROR(__xludf.DUMMYFUNCTION("GOOGLETRANSLATE(F180,""EN"",""JA"")"),"生物標本中のアルブミンと総タンパク質の相対的な測定値（比率またはパーセンテージ）。")</f>
        <v>生物標本中のアルブミンと総タンパク質の相対的な測定値（比率またはパーセンテージ）。</v>
      </c>
      <c r="K180" s="1" t="str">
        <f>IFERROR(__xludf.DUMMYFUNCTION("GOOGLETRANSLATE(G180,""EN"",""JA"")"),"アルブミン対総タンパク質比測定")</f>
        <v>アルブミン対総タンパク質比測定</v>
      </c>
    </row>
    <row r="181" ht="13.5" customHeight="1">
      <c r="A181" s="1" t="s">
        <v>11</v>
      </c>
      <c r="B181" s="1" t="s">
        <v>958</v>
      </c>
      <c r="C181" s="1" t="s">
        <v>959</v>
      </c>
      <c r="D181" s="1" t="s">
        <v>960</v>
      </c>
      <c r="E181" s="1" t="s">
        <v>960</v>
      </c>
      <c r="F181" s="1" t="s">
        <v>961</v>
      </c>
      <c r="G181" s="1" t="s">
        <v>962</v>
      </c>
      <c r="H181" s="1" t="str">
        <f>IFERROR(__xludf.DUMMYFUNCTION("GOOGLETRANSLATE(D181,""EN"",""JA"")"),"アルドリンエポキシダーゼ")</f>
        <v>アルドリンエポキシダーゼ</v>
      </c>
      <c r="I181" s="1" t="str">
        <f>IFERROR(__xludf.DUMMYFUNCTION("GOOGLETRANSLATE(E181,""EN"",""JA"")"),"アルドリンエポキシダーゼ")</f>
        <v>アルドリンエポキシダーゼ</v>
      </c>
      <c r="J181" s="1" t="str">
        <f>IFERROR(__xludf.DUMMYFUNCTION("GOOGLETRANSLATE(F181,""EN"",""JA"")"),"生物標本中のアルドリンエポキシダーゼの測定。")</f>
        <v>生物標本中のアルドリンエポキシダーゼの測定。</v>
      </c>
      <c r="K181" s="1" t="str">
        <f>IFERROR(__xludf.DUMMYFUNCTION("GOOGLETRANSLATE(G181,""EN"",""JA"")"),"アルドリンエポキシダーゼ測定")</f>
        <v>アルドリンエポキシダーゼ測定</v>
      </c>
    </row>
    <row r="182" ht="13.5" customHeight="1">
      <c r="A182" s="1" t="s">
        <v>11</v>
      </c>
      <c r="B182" s="1" t="s">
        <v>963</v>
      </c>
      <c r="C182" s="1" t="s">
        <v>964</v>
      </c>
      <c r="D182" s="1" t="s">
        <v>965</v>
      </c>
      <c r="E182" s="1" t="s">
        <v>965</v>
      </c>
      <c r="F182" s="1" t="s">
        <v>966</v>
      </c>
      <c r="G182" s="1" t="s">
        <v>967</v>
      </c>
      <c r="H182" s="1" t="str">
        <f>IFERROR(__xludf.DUMMYFUNCTION("GOOGLETRANSLATE(D182,""EN"",""JA"")"),"アルドラーゼ")</f>
        <v>アルドラーゼ</v>
      </c>
      <c r="I182" s="1" t="str">
        <f>IFERROR(__xludf.DUMMYFUNCTION("GOOGLETRANSLATE(E182,""EN"",""JA"")"),"アルドラーゼ")</f>
        <v>アルドラーゼ</v>
      </c>
      <c r="J182" s="1" t="str">
        <f>IFERROR(__xludf.DUMMYFUNCTION("GOOGLETRANSLATE(F182,""EN"",""JA"")"),"生物標本中のアルドラーゼ酵素の測定。")</f>
        <v>生物標本中のアルドラーゼ酵素の測定。</v>
      </c>
      <c r="K182" s="1" t="str">
        <f>IFERROR(__xludf.DUMMYFUNCTION("GOOGLETRANSLATE(G182,""EN"",""JA"")"),"アルドラーゼ測定")</f>
        <v>アルドラーゼ測定</v>
      </c>
    </row>
    <row r="183" ht="13.5" customHeight="1">
      <c r="A183" s="1" t="s">
        <v>11</v>
      </c>
      <c r="B183" s="1" t="s">
        <v>968</v>
      </c>
      <c r="C183" s="1" t="s">
        <v>969</v>
      </c>
      <c r="D183" s="1" t="s">
        <v>970</v>
      </c>
      <c r="E183" s="1" t="s">
        <v>970</v>
      </c>
      <c r="F183" s="1" t="s">
        <v>971</v>
      </c>
      <c r="G183" s="1" t="s">
        <v>970</v>
      </c>
      <c r="H183" s="1" t="str">
        <f>IFERROR(__xludf.DUMMYFUNCTION("GOOGLETRANSLATE(D183,""EN"",""JA"")"),"アルドステロン排泄率")</f>
        <v>アルドステロン排泄率</v>
      </c>
      <c r="I183" s="1" t="str">
        <f>IFERROR(__xludf.DUMMYFUNCTION("GOOGLETRANSLATE(E183,""EN"",""JA"")"),"アルドステロン排泄率")</f>
        <v>アルドステロン排泄率</v>
      </c>
      <c r="J183" s="1" t="str">
        <f>IFERROR(__xludf.DUMMYFUNCTION("GOOGLETRANSLATE(F183,""EN"",""JA"")"),"定義された時間（例：1 時間）にわたって生物学的標本中に排出されるアルドステロンの量を測定します。")</f>
        <v>定義された時間（例：1 時間）にわたって生物学的標本中に排出されるアルドステロンの量を測定します。</v>
      </c>
      <c r="K183" s="1" t="str">
        <f>IFERROR(__xludf.DUMMYFUNCTION("GOOGLETRANSLATE(G183,""EN"",""JA"")"),"アルドステロン排泄率")</f>
        <v>アルドステロン排泄率</v>
      </c>
    </row>
    <row r="184" ht="13.5" customHeight="1">
      <c r="A184" s="1" t="s">
        <v>11</v>
      </c>
      <c r="B184" s="1" t="s">
        <v>972</v>
      </c>
      <c r="C184" s="1" t="s">
        <v>973</v>
      </c>
      <c r="D184" s="1" t="s">
        <v>974</v>
      </c>
      <c r="E184" s="1" t="s">
        <v>974</v>
      </c>
      <c r="F184" s="1" t="s">
        <v>975</v>
      </c>
      <c r="G184" s="1" t="s">
        <v>976</v>
      </c>
      <c r="H184" s="1" t="str">
        <f>IFERROR(__xludf.DUMMYFUNCTION("GOOGLETRANSLATE(D184,""EN"",""JA"")"),"アルドステロン")</f>
        <v>アルドステロン</v>
      </c>
      <c r="I184" s="1" t="str">
        <f>IFERROR(__xludf.DUMMYFUNCTION("GOOGLETRANSLATE(E184,""EN"",""JA"")"),"アルドステロン")</f>
        <v>アルドステロン</v>
      </c>
      <c r="J184" s="1" t="str">
        <f>IFERROR(__xludf.DUMMYFUNCTION("GOOGLETRANSLATE(F184,""EN"",""JA"")"),"生物標本中のアルドステロン ホルモンの測定。")</f>
        <v>生物標本中のアルドステロン ホルモンの測定。</v>
      </c>
      <c r="K184" s="1" t="str">
        <f>IFERROR(__xludf.DUMMYFUNCTION("GOOGLETRANSLATE(G184,""EN"",""JA"")"),"アルドステロン測定")</f>
        <v>アルドステロン測定</v>
      </c>
    </row>
    <row r="185" ht="13.5" customHeight="1">
      <c r="A185" s="1" t="s">
        <v>11</v>
      </c>
      <c r="B185" s="1" t="s">
        <v>977</v>
      </c>
      <c r="C185" s="1" t="s">
        <v>978</v>
      </c>
      <c r="D185" s="1" t="s">
        <v>979</v>
      </c>
      <c r="E185" s="1" t="s">
        <v>979</v>
      </c>
      <c r="F185" s="1" t="s">
        <v>980</v>
      </c>
      <c r="G185" s="1" t="s">
        <v>981</v>
      </c>
      <c r="H185" s="1" t="str">
        <f>IFERROR(__xludf.DUMMYFUNCTION("GOOGLETRANSLATE(D185,""EN"",""JA"")"),"アルフェンタニル")</f>
        <v>アルフェンタニル</v>
      </c>
      <c r="I185" s="1" t="str">
        <f>IFERROR(__xludf.DUMMYFUNCTION("GOOGLETRANSLATE(E185,""EN"",""JA"")"),"アルフェンタニル")</f>
        <v>アルフェンタニル</v>
      </c>
      <c r="J185" s="1" t="str">
        <f>IFERROR(__xludf.DUMMYFUNCTION("GOOGLETRANSLATE(F185,""EN"",""JA"")"),"生物標本中のアルフェンタニルの測定。")</f>
        <v>生物標本中のアルフェンタニルの測定。</v>
      </c>
      <c r="K185" s="1" t="str">
        <f>IFERROR(__xludf.DUMMYFUNCTION("GOOGLETRANSLATE(G185,""EN"",""JA"")"),"アルフェンタニル測定")</f>
        <v>アルフェンタニル測定</v>
      </c>
    </row>
    <row r="186" ht="13.5" customHeight="1">
      <c r="A186" s="1" t="s">
        <v>201</v>
      </c>
      <c r="B186" s="1" t="s">
        <v>982</v>
      </c>
      <c r="C186" s="1" t="s">
        <v>983</v>
      </c>
      <c r="D186" s="1" t="s">
        <v>984</v>
      </c>
      <c r="E186" s="1" t="s">
        <v>984</v>
      </c>
      <c r="F186" s="1" t="s">
        <v>985</v>
      </c>
      <c r="G186" s="1" t="s">
        <v>986</v>
      </c>
      <c r="H186" s="1" t="str">
        <f>IFERROR(__xludf.DUMMYFUNCTION("GOOGLETRANSLATE(D186,""EN"",""JA"")"),"IgGアロ抗体")</f>
        <v>IgGアロ抗体</v>
      </c>
      <c r="I186" s="1" t="str">
        <f>IFERROR(__xludf.DUMMYFUNCTION("GOOGLETRANSLATE(E186,""EN"",""JA"")"),"IgGアロ抗体")</f>
        <v>IgGアロ抗体</v>
      </c>
      <c r="J186" s="1" t="str">
        <f>IFERROR(__xludf.DUMMYFUNCTION("GOOGLETRANSLATE(F186,""EN"",""JA"")"),"生物学的標本中の結合IgG同種抗体の測定。")</f>
        <v>生物学的標本中の結合IgG同種抗体の測定。</v>
      </c>
      <c r="K186" s="1" t="str">
        <f>IFERROR(__xludf.DUMMYFUNCTION("GOOGLETRANSLATE(G186,""EN"",""JA"")"),"IgGアロ抗体測定")</f>
        <v>IgGアロ抗体測定</v>
      </c>
    </row>
    <row r="187" ht="13.5" customHeight="1">
      <c r="A187" s="1" t="s">
        <v>134</v>
      </c>
      <c r="B187" s="1" t="s">
        <v>987</v>
      </c>
      <c r="C187" s="1" t="s">
        <v>988</v>
      </c>
      <c r="D187" s="1" t="s">
        <v>989</v>
      </c>
      <c r="E187" s="1" t="s">
        <v>989</v>
      </c>
      <c r="F187" s="1" t="s">
        <v>990</v>
      </c>
      <c r="G187" s="1" t="s">
        <v>991</v>
      </c>
      <c r="H187" s="1" t="str">
        <f>IFERROR(__xludf.DUMMYFUNCTION("GOOGLETRANSLATE(D187,""EN"",""JA"")"),"ALKタンパク質")</f>
        <v>ALKタンパク質</v>
      </c>
      <c r="I187" s="1" t="str">
        <f>IFERROR(__xludf.DUMMYFUNCTION("GOOGLETRANSLATE(E187,""EN"",""JA"")"),"ALKタンパク質")</f>
        <v>ALKタンパク質</v>
      </c>
      <c r="J187" s="1" t="str">
        <f>IFERROR(__xludf.DUMMYFUNCTION("GOOGLETRANSLATE(F187,""EN"",""JA"")"),"生物標本中の ALK 受容体チロシンキナーゼの測定。")</f>
        <v>生物標本中の ALK 受容体チロシンキナーゼの測定。</v>
      </c>
      <c r="K187" s="1" t="str">
        <f>IFERROR(__xludf.DUMMYFUNCTION("GOOGLETRANSLATE(G187,""EN"",""JA"")"),"ALKタンパク質測定")</f>
        <v>ALKタンパク質測定</v>
      </c>
    </row>
    <row r="188" ht="13.5" customHeight="1">
      <c r="A188" s="1" t="s">
        <v>11</v>
      </c>
      <c r="B188" s="1" t="s">
        <v>992</v>
      </c>
      <c r="C188" s="1" t="s">
        <v>993</v>
      </c>
      <c r="D188" s="1" t="s">
        <v>994</v>
      </c>
      <c r="E188" s="1" t="s">
        <v>994</v>
      </c>
      <c r="F188" s="1" t="s">
        <v>995</v>
      </c>
      <c r="G188" s="1" t="s">
        <v>996</v>
      </c>
      <c r="H188" s="1" t="str">
        <f>IFERROR(__xludf.DUMMYFUNCTION("GOOGLETRANSLATE(D188,""EN"",""JA"")"),"アロイソロイシン")</f>
        <v>アロイソロイシン</v>
      </c>
      <c r="I188" s="1" t="str">
        <f>IFERROR(__xludf.DUMMYFUNCTION("GOOGLETRANSLATE(E188,""EN"",""JA"")"),"アロイソロイシン")</f>
        <v>アロイソロイシン</v>
      </c>
      <c r="J188" s="1" t="str">
        <f>IFERROR(__xludf.DUMMYFUNCTION("GOOGLETRANSLATE(F188,""EN"",""JA"")"),"生物標本中のアロイソロイシンの測定。")</f>
        <v>生物標本中のアロイソロイシンの測定。</v>
      </c>
      <c r="K188" s="1" t="str">
        <f>IFERROR(__xludf.DUMMYFUNCTION("GOOGLETRANSLATE(G188,""EN"",""JA"")"),"アロイソロイシン測定")</f>
        <v>アロイソロイシン測定</v>
      </c>
    </row>
    <row r="189" ht="13.5" customHeight="1">
      <c r="A189" s="1" t="s">
        <v>11</v>
      </c>
      <c r="B189" s="1" t="s">
        <v>997</v>
      </c>
      <c r="C189" s="1" t="s">
        <v>998</v>
      </c>
      <c r="D189" s="1" t="s">
        <v>999</v>
      </c>
      <c r="E189" s="1" t="s">
        <v>1000</v>
      </c>
      <c r="F189" s="1" t="s">
        <v>1001</v>
      </c>
      <c r="G189" s="1" t="s">
        <v>1002</v>
      </c>
      <c r="H189" s="1" t="str">
        <f>IFERROR(__xludf.DUMMYFUNCTION("GOOGLETRANSLATE(D189,""EN"",""JA"")"),"アラキドン酸5-リポキシゲナーゼ")</f>
        <v>アラキドン酸5-リポキシゲナーゼ</v>
      </c>
      <c r="I189" s="1" t="str">
        <f>IFERROR(__xludf.DUMMYFUNCTION("GOOGLETRANSLATE(E189,""EN"",""JA"")"),"5-リポキシゲナーゼ; 5-LO; 5-LOX; ALOX5; アラキドン酸5-リポキシゲナーゼ")</f>
        <v>5-リポキシゲナーゼ; 5-LO; 5-LOX; ALOX5; アラキドン酸5-リポキシゲナーゼ</v>
      </c>
      <c r="J189" s="1" t="str">
        <f>IFERROR(__xludf.DUMMYFUNCTION("GOOGLETRANSLATE(F189,""EN"",""JA"")"),"生物標本中のアラキドン酸 5-リポキシゲナーゼの測定。")</f>
        <v>生物標本中のアラキドン酸 5-リポキシゲナーゼの測定。</v>
      </c>
      <c r="K189" s="1" t="str">
        <f>IFERROR(__xludf.DUMMYFUNCTION("GOOGLETRANSLATE(G189,""EN"",""JA"")"),"アラキドン酸5-リポキシゲナーゼ測定")</f>
        <v>アラキドン酸5-リポキシゲナーゼ測定</v>
      </c>
    </row>
    <row r="190" ht="13.5" customHeight="1">
      <c r="A190" s="1" t="s">
        <v>11</v>
      </c>
      <c r="B190" s="1" t="s">
        <v>1003</v>
      </c>
      <c r="C190" s="1" t="s">
        <v>1004</v>
      </c>
      <c r="D190" s="1" t="s">
        <v>1005</v>
      </c>
      <c r="E190" s="1" t="s">
        <v>1005</v>
      </c>
      <c r="F190" s="1" t="s">
        <v>1006</v>
      </c>
      <c r="G190" s="1" t="s">
        <v>1007</v>
      </c>
      <c r="H190" s="1" t="str">
        <f>IFERROR(__xludf.DUMMYFUNCTION("GOOGLETRANSLATE(D190,""EN"",""JA"")"),"アルカリホスファターゼ")</f>
        <v>アルカリホスファターゼ</v>
      </c>
      <c r="I190" s="1" t="str">
        <f>IFERROR(__xludf.DUMMYFUNCTION("GOOGLETRANSLATE(E190,""EN"",""JA"")"),"アルカリホスファターゼ")</f>
        <v>アルカリホスファターゼ</v>
      </c>
      <c r="J190" s="1" t="str">
        <f>IFERROR(__xludf.DUMMYFUNCTION("GOOGLETRANSLATE(F190,""EN"",""JA"")"),"生物標本中のアルカリホスファターゼの測定。")</f>
        <v>生物標本中のアルカリホスファターゼの測定。</v>
      </c>
      <c r="K190" s="1" t="str">
        <f>IFERROR(__xludf.DUMMYFUNCTION("GOOGLETRANSLATE(G190,""EN"",""JA"")"),"アルカリホスファターゼ測定")</f>
        <v>アルカリホスファターゼ測定</v>
      </c>
    </row>
    <row r="191" ht="13.5" customHeight="1">
      <c r="A191" s="1" t="s">
        <v>11</v>
      </c>
      <c r="B191" s="1" t="s">
        <v>1008</v>
      </c>
      <c r="C191" s="1" t="s">
        <v>1009</v>
      </c>
      <c r="D191" s="1" t="s">
        <v>1010</v>
      </c>
      <c r="E191" s="1" t="s">
        <v>1011</v>
      </c>
      <c r="F191" s="1" t="s">
        <v>1012</v>
      </c>
      <c r="G191" s="1" t="s">
        <v>1013</v>
      </c>
      <c r="H191" s="1" t="str">
        <f>IFERROR(__xludf.DUMMYFUNCTION("GOOGLETRANSLATE(D191,""EN"",""JA"")"),"アルカリホス、骨/総アルカリホス")</f>
        <v>アルカリホス、骨/総アルカリホス</v>
      </c>
      <c r="I191" s="1" t="str">
        <f>IFERROR(__xludf.DUMMYFUNCTION("GOOGLETRANSLATE(E191,""EN"",""JA"")"),"アルカリホスファターゼ、骨／総アルカリホスファターゼ；アルカリホスファターゼ、骨／総アルカリホスファターゼ")</f>
        <v>アルカリホスファターゼ、骨／総アルカリホスファターゼ；アルカリホスファターゼ、骨／総アルカリホスファターゼ</v>
      </c>
      <c r="J191" s="1" t="str">
        <f>IFERROR(__xludf.DUMMYFUNCTION("GOOGLETRANSLATE(F191,""EN"",""JA"")"),"生物標本中の骨特異的アルカリホスファターゼアイソフォームと総アルカリホスファターゼの相対測定値（比率またはパーセンテージ）。")</f>
        <v>生物標本中の骨特異的アルカリホスファターゼアイソフォームと総アルカリホスファターゼの相対測定値（比率またはパーセンテージ）。</v>
      </c>
      <c r="K191" s="1" t="str">
        <f>IFERROR(__xludf.DUMMYFUNCTION("GOOGLETRANSLATE(G191,""EN"",""JA"")"),"骨アルカリホスファターゼと総アルカリホスファターゼの比測定")</f>
        <v>骨アルカリホスファターゼと総アルカリホスファターゼの比測定</v>
      </c>
    </row>
    <row r="192" ht="13.5" customHeight="1">
      <c r="A192" s="1" t="s">
        <v>11</v>
      </c>
      <c r="B192" s="1" t="s">
        <v>1014</v>
      </c>
      <c r="C192" s="1" t="s">
        <v>1015</v>
      </c>
      <c r="D192" s="1" t="s">
        <v>1016</v>
      </c>
      <c r="E192" s="1" t="s">
        <v>1017</v>
      </c>
      <c r="F192" s="1" t="s">
        <v>1018</v>
      </c>
      <c r="G192" s="1" t="s">
        <v>1019</v>
      </c>
      <c r="H192" s="1" t="str">
        <f>IFERROR(__xludf.DUMMYFUNCTION("GOOGLETRANSLATE(D192,""EN"",""JA"")"),"アルカリホス、胆汁中/総アルカリホス")</f>
        <v>アルカリホス、胆汁中/総アルカリホス</v>
      </c>
      <c r="I192" s="1" t="str">
        <f>IFERROR(__xludf.DUMMYFUNCTION("GOOGLETRANSLATE(E192,""EN"",""JA"")"),"アルカリホス、胆汁/総アルカリホス; アルカリホス、胆汁/総アルカリホス")</f>
        <v>アルカリホス、胆汁/総アルカリホス; アルカリホス、胆汁/総アルカリホス</v>
      </c>
      <c r="J192" s="1" t="str">
        <f>IFERROR(__xludf.DUMMYFUNCTION("GOOGLETRANSLATE(F192,""EN"",""JA"")"),"生物学的標本中の胆汁特異的アルカリホスファターゼアイソフォームと総アルカリホスファターゼの相対的な測定値（比率またはパーセンテージ）。")</f>
        <v>生物学的標本中の胆汁特異的アルカリホスファターゼアイソフォームと総アルカリホスファターゼの相対的な測定値（比率またはパーセンテージ）。</v>
      </c>
      <c r="K192" s="1" t="str">
        <f>IFERROR(__xludf.DUMMYFUNCTION("GOOGLETRANSLATE(G192,""EN"",""JA"")"),"胆汁アルカリホスファターゼとアルカリホスファターゼの比測定")</f>
        <v>胆汁アルカリホスファターゼとアルカリホスファターゼの比測定</v>
      </c>
    </row>
    <row r="193" ht="13.5" customHeight="1">
      <c r="A193" s="1" t="s">
        <v>11</v>
      </c>
      <c r="B193" s="1" t="s">
        <v>1020</v>
      </c>
      <c r="C193" s="1" t="s">
        <v>1021</v>
      </c>
      <c r="D193" s="1" t="s">
        <v>1022</v>
      </c>
      <c r="E193" s="1" t="s">
        <v>1022</v>
      </c>
      <c r="F193" s="1" t="s">
        <v>1023</v>
      </c>
      <c r="G193" s="1" t="s">
        <v>1024</v>
      </c>
      <c r="H193" s="1" t="str">
        <f>IFERROR(__xludf.DUMMYFUNCTION("GOOGLETRANSLATE(D193,""EN"",""JA"")"),"骨特異的アルカリホスファターゼ")</f>
        <v>骨特異的アルカリホスファターゼ</v>
      </c>
      <c r="I193" s="1" t="str">
        <f>IFERROR(__xludf.DUMMYFUNCTION("GOOGLETRANSLATE(E193,""EN"",""JA"")"),"骨特異的アルカリホスファターゼ")</f>
        <v>骨特異的アルカリホスファターゼ</v>
      </c>
      <c r="J193" s="1" t="str">
        <f>IFERROR(__xludf.DUMMYFUNCTION("GOOGLETRANSLATE(F193,""EN"",""JA"")"),"生物標本中の骨特異的アルカリホスファターゼアイソフォームの測定。")</f>
        <v>生物標本中の骨特異的アルカリホスファターゼアイソフォームの測定。</v>
      </c>
      <c r="K193" s="1" t="str">
        <f>IFERROR(__xludf.DUMMYFUNCTION("GOOGLETRANSLATE(G193,""EN"",""JA"")"),"骨特異的アルカリホスファターゼ測定")</f>
        <v>骨特異的アルカリホスファターゼ測定</v>
      </c>
    </row>
    <row r="194" ht="13.5" customHeight="1">
      <c r="A194" s="1" t="s">
        <v>11</v>
      </c>
      <c r="B194" s="1" t="s">
        <v>1025</v>
      </c>
      <c r="C194" s="1" t="s">
        <v>1026</v>
      </c>
      <c r="D194" s="1" t="s">
        <v>1027</v>
      </c>
      <c r="E194" s="1" t="s">
        <v>1027</v>
      </c>
      <c r="F194" s="1" t="s">
        <v>1028</v>
      </c>
      <c r="G194" s="1" t="s">
        <v>1029</v>
      </c>
      <c r="H194" s="1" t="str">
        <f>IFERROR(__xludf.DUMMYFUNCTION("GOOGLETRANSLATE(D194,""EN"",""JA"")"),"アルカリホスファターゼ/クレアチニン")</f>
        <v>アルカリホスファターゼ/クレアチニン</v>
      </c>
      <c r="I194" s="1" t="str">
        <f>IFERROR(__xludf.DUMMYFUNCTION("GOOGLETRANSLATE(E194,""EN"",""JA"")"),"アルカリホスファターゼ/クレアチニン")</f>
        <v>アルカリホスファターゼ/クレアチニン</v>
      </c>
      <c r="J194" s="1" t="str">
        <f>IFERROR(__xludf.DUMMYFUNCTION("GOOGLETRANSLATE(F194,""EN"",""JA"")"),"生物標本中のアルカリホスファターゼとクレアチニンの相対的な測定値（比率またはパーセンテージ）。")</f>
        <v>生物標本中のアルカリホスファターゼとクレアチニンの相対的な測定値（比率またはパーセンテージ）。</v>
      </c>
      <c r="K194" s="1" t="str">
        <f>IFERROR(__xludf.DUMMYFUNCTION("GOOGLETRANSLATE(G194,""EN"",""JA"")"),"アルカリホスファターゼ対クレアチニン比測定")</f>
        <v>アルカリホスファターゼ対クレアチニン比測定</v>
      </c>
    </row>
    <row r="195" ht="13.5" customHeight="1">
      <c r="A195" s="1" t="s">
        <v>11</v>
      </c>
      <c r="B195" s="1" t="s">
        <v>1030</v>
      </c>
      <c r="C195" s="1" t="s">
        <v>1031</v>
      </c>
      <c r="D195" s="1" t="s">
        <v>1032</v>
      </c>
      <c r="E195" s="1" t="s">
        <v>1032</v>
      </c>
      <c r="F195" s="1" t="s">
        <v>1033</v>
      </c>
      <c r="G195" s="1" t="s">
        <v>1032</v>
      </c>
      <c r="H195" s="1" t="str">
        <f>IFERROR(__xludf.DUMMYFUNCTION("GOOGLETRANSLATE(D195,""EN"",""JA"")"),"アルカリホスファターゼ排泄率")</f>
        <v>アルカリホスファターゼ排泄率</v>
      </c>
      <c r="I195" s="1" t="str">
        <f>IFERROR(__xludf.DUMMYFUNCTION("GOOGLETRANSLATE(E195,""EN"",""JA"")"),"アルカリホスファターゼ排泄率")</f>
        <v>アルカリホスファターゼ排泄率</v>
      </c>
      <c r="J195" s="1" t="str">
        <f>IFERROR(__xludf.DUMMYFUNCTION("GOOGLETRANSLATE(F195,""EN"",""JA"")"),"定義された時間（例：1 時間）にわたって生物学的標本中に排出されるアルカリホスファターゼの量を測定します。")</f>
        <v>定義された時間（例：1 時間）にわたって生物学的標本中に排出されるアルカリホスファターゼの量を測定します。</v>
      </c>
      <c r="K195" s="1" t="str">
        <f>IFERROR(__xludf.DUMMYFUNCTION("GOOGLETRANSLATE(G195,""EN"",""JA"")"),"アルカリホスファターゼ排泄率")</f>
        <v>アルカリホスファターゼ排泄率</v>
      </c>
    </row>
    <row r="196" ht="13.5" customHeight="1">
      <c r="A196" s="1" t="s">
        <v>1034</v>
      </c>
      <c r="B196" s="1" t="s">
        <v>1035</v>
      </c>
      <c r="C196" s="1" t="s">
        <v>1036</v>
      </c>
      <c r="D196" s="1" t="s">
        <v>1037</v>
      </c>
      <c r="E196" s="1" t="s">
        <v>1038</v>
      </c>
      <c r="F196" s="1" t="s">
        <v>1039</v>
      </c>
      <c r="G196" s="1" t="s">
        <v>1040</v>
      </c>
      <c r="H196" s="1" t="str">
        <f>IFERROR(__xludf.DUMMYFUNCTION("GOOGLETRANSLATE(D196,""EN"",""JA"")"),"アルファ角度")</f>
        <v>アルファ角度</v>
      </c>
      <c r="I196" s="1" t="str">
        <f>IFERROR(__xludf.DUMMYFUNCTION("GOOGLETRANSLATE(E196,""EN"",""JA"")"),"アルファ角; 股関節のアルファ角")</f>
        <v>アルファ角; 股関節のアルファ角</v>
      </c>
      <c r="J196" s="1" t="str">
        <f>IFERROR(__xludf.DUMMYFUNCTION("GOOGLETRANSLATE(F196,""EN"",""JA"")"),"大腿骨頭の中心から大腿骨頸部の最も狭い部分の中心までの線と、大腿骨頭の中心から骨から頭の中心までの距離が")</f>
        <v>大腿骨頭の中心から大腿骨頸部の最も狭い部分の中心までの線と、大腿骨頭の中心から骨から頭の中心までの距離が</v>
      </c>
      <c r="K196" s="1" t="str">
        <f>IFERROR(__xludf.DUMMYFUNCTION("GOOGLETRANSLATE(G196,""EN"",""JA"")"),"股関節のアルファ角")</f>
        <v>股関節のアルファ角</v>
      </c>
    </row>
    <row r="197" ht="13.5" customHeight="1">
      <c r="A197" s="1" t="s">
        <v>11</v>
      </c>
      <c r="B197" s="1" t="s">
        <v>1041</v>
      </c>
      <c r="C197" s="1" t="s">
        <v>1042</v>
      </c>
      <c r="D197" s="1" t="s">
        <v>1043</v>
      </c>
      <c r="E197" s="1" t="s">
        <v>1044</v>
      </c>
      <c r="F197" s="1" t="s">
        <v>1045</v>
      </c>
      <c r="G197" s="1" t="s">
        <v>1046</v>
      </c>
      <c r="H197" s="1" t="str">
        <f>IFERROR(__xludf.DUMMYFUNCTION("GOOGLETRANSLATE(D197,""EN"",""JA"")"),"アルカリホス、腸管/総アルカリホス")</f>
        <v>アルカリホス、腸管/総アルカリホス</v>
      </c>
      <c r="I197" s="1" t="str">
        <f>IFERROR(__xludf.DUMMYFUNCTION("GOOGLETRANSLATE(E197,""EN"",""JA"")"),"アルカリホスファターゼ、腸管/総アルカリホスファターゼ")</f>
        <v>アルカリホスファターゼ、腸管/総アルカリホスファターゼ</v>
      </c>
      <c r="J197" s="1" t="str">
        <f>IFERROR(__xludf.DUMMYFUNCTION("GOOGLETRANSLATE(F197,""EN"",""JA"")"),"生物学的標本中の腸特異的アルカリホスファターゼアイソフォームと総アルカリホスファターゼの相対的な測定値（比率またはパーセンテージ）。")</f>
        <v>生物学的標本中の腸特異的アルカリホスファターゼアイソフォームと総アルカリホスファターゼの相対的な測定値（比率またはパーセンテージ）。</v>
      </c>
      <c r="K197" s="1" t="str">
        <f>IFERROR(__xludf.DUMMYFUNCTION("GOOGLETRANSLATE(G197,""EN"",""JA"")"),"腸管アルカリホスファターゼと総アルカリホスファターゼの比測定")</f>
        <v>腸管アルカリホスファターゼと総アルカリホスファターゼの比測定</v>
      </c>
    </row>
    <row r="198" ht="13.5" customHeight="1">
      <c r="A198" s="1" t="s">
        <v>11</v>
      </c>
      <c r="B198" s="1" t="s">
        <v>1047</v>
      </c>
      <c r="C198" s="1" t="s">
        <v>1048</v>
      </c>
      <c r="D198" s="1" t="s">
        <v>1049</v>
      </c>
      <c r="E198" s="1" t="s">
        <v>1049</v>
      </c>
      <c r="F198" s="1" t="s">
        <v>1050</v>
      </c>
      <c r="G198" s="1" t="s">
        <v>1051</v>
      </c>
      <c r="H198" s="1" t="str">
        <f>IFERROR(__xludf.DUMMYFUNCTION("GOOGLETRANSLATE(D198,""EN"",""JA"")"),"腸管特異的アルカリホスファターゼ")</f>
        <v>腸管特異的アルカリホスファターゼ</v>
      </c>
      <c r="I198" s="1" t="str">
        <f>IFERROR(__xludf.DUMMYFUNCTION("GOOGLETRANSLATE(E198,""EN"",""JA"")"),"腸管特異的アルカリホスファターゼ")</f>
        <v>腸管特異的アルカリホスファターゼ</v>
      </c>
      <c r="J198" s="1" t="str">
        <f>IFERROR(__xludf.DUMMYFUNCTION("GOOGLETRANSLATE(F198,""EN"",""JA"")"),"生物標本中の腸特異的アルカリホスファターゼアイソフォームの測定。")</f>
        <v>生物標本中の腸特異的アルカリホスファターゼアイソフォームの測定。</v>
      </c>
      <c r="K198" s="1" t="str">
        <f>IFERROR(__xludf.DUMMYFUNCTION("GOOGLETRANSLATE(G198,""EN"",""JA"")"),"腸管特異的アルカリホスファターゼ測定")</f>
        <v>腸管特異的アルカリホスファターゼ測定</v>
      </c>
    </row>
    <row r="199" ht="13.5" customHeight="1">
      <c r="A199" s="1" t="s">
        <v>11</v>
      </c>
      <c r="B199" s="1" t="s">
        <v>1052</v>
      </c>
      <c r="C199" s="1" t="s">
        <v>1053</v>
      </c>
      <c r="D199" s="1" t="s">
        <v>1054</v>
      </c>
      <c r="E199" s="1" t="s">
        <v>1054</v>
      </c>
      <c r="F199" s="1" t="s">
        <v>1055</v>
      </c>
      <c r="G199" s="1" t="s">
        <v>1056</v>
      </c>
      <c r="H199" s="1" t="str">
        <f>IFERROR(__xludf.DUMMYFUNCTION("GOOGLETRANSLATE(D199,""EN"",""JA"")"),"アルカリホスファターゼアイソザイム")</f>
        <v>アルカリホスファターゼアイソザイム</v>
      </c>
      <c r="I199" s="1" t="str">
        <f>IFERROR(__xludf.DUMMYFUNCTION("GOOGLETRANSLATE(E199,""EN"",""JA"")"),"アルカリホスファターゼアイソザイム")</f>
        <v>アルカリホスファターゼアイソザイム</v>
      </c>
      <c r="J199" s="1" t="str">
        <f>IFERROR(__xludf.DUMMYFUNCTION("GOOGLETRANSLATE(F199,""EN"",""JA"")"),"生物標本中のアルカリホスファターゼアイソザイムの測定。")</f>
        <v>生物標本中のアルカリホスファターゼアイソザイムの測定。</v>
      </c>
      <c r="K199" s="1" t="str">
        <f>IFERROR(__xludf.DUMMYFUNCTION("GOOGLETRANSLATE(G199,""EN"",""JA"")"),"アルカリホスファターゼアイソザイム測定")</f>
        <v>アルカリホスファターゼアイソザイム測定</v>
      </c>
    </row>
    <row r="200" ht="13.5" customHeight="1">
      <c r="A200" s="1" t="s">
        <v>11</v>
      </c>
      <c r="B200" s="1" t="s">
        <v>1057</v>
      </c>
      <c r="C200" s="1" t="s">
        <v>1058</v>
      </c>
      <c r="D200" s="1" t="s">
        <v>1059</v>
      </c>
      <c r="E200" s="1" t="s">
        <v>1060</v>
      </c>
      <c r="F200" s="1" t="s">
        <v>1061</v>
      </c>
      <c r="G200" s="1" t="s">
        <v>1062</v>
      </c>
      <c r="H200" s="1" t="str">
        <f>IFERROR(__xludf.DUMMYFUNCTION("GOOGLETRANSLATE(D200,""EN"",""JA"")"),"アルカリホス、肝臓/総アルカリホス")</f>
        <v>アルカリホス、肝臓/総アルカリホス</v>
      </c>
      <c r="I200" s="1" t="str">
        <f>IFERROR(__xludf.DUMMYFUNCTION("GOOGLETRANSLATE(E200,""EN"",""JA"")"),"アルカリホスファターゼ、肝臓／総アルカリホスファターゼ")</f>
        <v>アルカリホスファターゼ、肝臓／総アルカリホスファターゼ</v>
      </c>
      <c r="J200" s="1" t="str">
        <f>IFERROR(__xludf.DUMMYFUNCTION("GOOGLETRANSLATE(F200,""EN"",""JA"")"),"生物学的標本中の肝臓特異的アルカリホスファターゼアイソフォームと総アルカリホスファターゼの相対的な測定値（比率またはパーセンテージ）。")</f>
        <v>生物学的標本中の肝臓特異的アルカリホスファターゼアイソフォームと総アルカリホスファターゼの相対的な測定値（比率またはパーセンテージ）。</v>
      </c>
      <c r="K200" s="1" t="str">
        <f>IFERROR(__xludf.DUMMYFUNCTION("GOOGLETRANSLATE(G200,""EN"",""JA"")"),"肝臓アルカリホスファターゼと総アルカリホスファターゼの比測定")</f>
        <v>肝臓アルカリホスファターゼと総アルカリホスファターゼの比測定</v>
      </c>
    </row>
    <row r="201" ht="13.5" customHeight="1">
      <c r="A201" s="1" t="s">
        <v>11</v>
      </c>
      <c r="B201" s="1" t="s">
        <v>1063</v>
      </c>
      <c r="C201" s="1" t="s">
        <v>1064</v>
      </c>
      <c r="D201" s="1" t="s">
        <v>1065</v>
      </c>
      <c r="E201" s="1" t="s">
        <v>1065</v>
      </c>
      <c r="F201" s="1" t="s">
        <v>1066</v>
      </c>
      <c r="G201" s="1" t="s">
        <v>1067</v>
      </c>
      <c r="H201" s="1" t="str">
        <f>IFERROR(__xludf.DUMMYFUNCTION("GOOGLETRANSLATE(D201,""EN"",""JA"")"),"アルカリホス、肝臓+骨/総アルカリホス")</f>
        <v>アルカリホス、肝臓+骨/総アルカリホス</v>
      </c>
      <c r="I201" s="1" t="str">
        <f>IFERROR(__xludf.DUMMYFUNCTION("GOOGLETRANSLATE(E201,""EN"",""JA"")"),"アルカリホス、肝臓+骨/総アルカリホス")</f>
        <v>アルカリホス、肝臓+骨/総アルカリホス</v>
      </c>
      <c r="J201" s="1" t="str">
        <f>IFERROR(__xludf.DUMMYFUNCTION("GOOGLETRANSLATE(F201,""EN"",""JA"")"),"生物標本中の総アルカリホスファターゼに対する肝臓および骨特異的アルカリホスファターゼアイソフォームの相対測定値（比率またはパーセンテージ）。")</f>
        <v>生物標本中の総アルカリホスファターゼに対する肝臓および骨特異的アルカリホスファターゼアイソフォームの相対測定値（比率またはパーセンテージ）。</v>
      </c>
      <c r="K201" s="1" t="str">
        <f>IFERROR(__xludf.DUMMYFUNCTION("GOOGLETRANSLATE(G201,""EN"",""JA"")"),"肝臓および骨特異的アルカリホスファターゼアイソフォームとアルカリホスファターゼ比の測定")</f>
        <v>肝臓および骨特異的アルカリホスファターゼアイソフォームとアルカリホスファターゼ比の測定</v>
      </c>
    </row>
    <row r="202" ht="13.5" customHeight="1">
      <c r="A202" s="1" t="s">
        <v>11</v>
      </c>
      <c r="B202" s="1" t="s">
        <v>1068</v>
      </c>
      <c r="C202" s="1" t="s">
        <v>1069</v>
      </c>
      <c r="D202" s="1" t="s">
        <v>1070</v>
      </c>
      <c r="E202" s="1" t="s">
        <v>1070</v>
      </c>
      <c r="F202" s="1" t="s">
        <v>1071</v>
      </c>
      <c r="G202" s="1" t="s">
        <v>1072</v>
      </c>
      <c r="H202" s="1" t="str">
        <f>IFERROR(__xludf.DUMMYFUNCTION("GOOGLETRANSLATE(D202,""EN"",""JA"")"),"肝特異的アルカリホスファターゼ")</f>
        <v>肝特異的アルカリホスファターゼ</v>
      </c>
      <c r="I202" s="1" t="str">
        <f>IFERROR(__xludf.DUMMYFUNCTION("GOOGLETRANSLATE(E202,""EN"",""JA"")"),"肝特異的アルカリホスファターゼ")</f>
        <v>肝特異的アルカリホスファターゼ</v>
      </c>
      <c r="J202" s="1" t="str">
        <f>IFERROR(__xludf.DUMMYFUNCTION("GOOGLETRANSLATE(F202,""EN"",""JA"")"),"生物学的標本中の肝臓特異的アルカリホスファターゼアイソフォームの測定。")</f>
        <v>生物学的標本中の肝臓特異的アルカリホスファターゼアイソフォームの測定。</v>
      </c>
      <c r="K202" s="1" t="str">
        <f>IFERROR(__xludf.DUMMYFUNCTION("GOOGLETRANSLATE(G202,""EN"",""JA"")"),"肝特異的アルカリホスファターゼ測定")</f>
        <v>肝特異的アルカリホスファターゼ測定</v>
      </c>
    </row>
    <row r="203" ht="13.5" customHeight="1">
      <c r="A203" s="1" t="s">
        <v>11</v>
      </c>
      <c r="B203" s="1" t="s">
        <v>1073</v>
      </c>
      <c r="C203" s="1" t="s">
        <v>1074</v>
      </c>
      <c r="D203" s="1" t="s">
        <v>1075</v>
      </c>
      <c r="E203" s="1" t="s">
        <v>1076</v>
      </c>
      <c r="F203" s="1" t="s">
        <v>1077</v>
      </c>
      <c r="G203" s="1" t="s">
        <v>1078</v>
      </c>
      <c r="H203" s="1" t="str">
        <f>IFERROR(__xludf.DUMMYFUNCTION("GOOGLETRANSLATE(D203,""EN"",""JA"")"),"アルカリホス、マクロ/総アルカリホス")</f>
        <v>アルカリホス、マクロ/総アルカリホス</v>
      </c>
      <c r="I203" s="1" t="str">
        <f>IFERROR(__xludf.DUMMYFUNCTION("GOOGLETRANSLATE(E203,""EN"",""JA"")"),"Alk フォス、マクロ/総 Alk フォス; Alk フォス、マクロ肝臓/総 Alk フォス")</f>
        <v>Alk フォス、マクロ/総 Alk フォス; Alk フォス、マクロ肝臓/総 Alk フォス</v>
      </c>
      <c r="J203" s="1" t="str">
        <f>IFERROR(__xludf.DUMMYFUNCTION("GOOGLETRANSLATE(F203,""EN"",""JA"")"),"生物標本中の総アルカリホスファターゼに対する大肝特異的アルカリホスファターゼアイソフォームの相対測定値（比率またはパーセンテージ）。")</f>
        <v>生物標本中の総アルカリホスファターゼに対する大肝特異的アルカリホスファターゼアイソフォームの相対測定値（比率またはパーセンテージ）。</v>
      </c>
      <c r="K203" s="1" t="str">
        <f>IFERROR(__xludf.DUMMYFUNCTION("GOOGLETRANSLATE(G203,""EN"",""JA"")"),"マクロ肝アルカリホスファターゼとアルカリホスファターゼの比測定")</f>
        <v>マクロ肝アルカリホスファターゼとアルカリホスファターゼの比測定</v>
      </c>
    </row>
    <row r="204" ht="13.5" customHeight="1">
      <c r="A204" s="1" t="s">
        <v>11</v>
      </c>
      <c r="B204" s="1" t="s">
        <v>1079</v>
      </c>
      <c r="C204" s="1" t="s">
        <v>1080</v>
      </c>
      <c r="D204" s="1" t="s">
        <v>1081</v>
      </c>
      <c r="E204" s="1" t="s">
        <v>1082</v>
      </c>
      <c r="F204" s="1" t="s">
        <v>1083</v>
      </c>
      <c r="G204" s="1" t="s">
        <v>1084</v>
      </c>
      <c r="H204" s="1" t="str">
        <f>IFERROR(__xludf.DUMMYFUNCTION("GOOGLETRANSLATE(D204,""EN"",""JA"")"),"アルカリホス、胎盤/総アルカリホス")</f>
        <v>アルカリホス、胎盤/総アルカリホス</v>
      </c>
      <c r="I204" s="1" t="str">
        <f>IFERROR(__xludf.DUMMYFUNCTION("GOOGLETRANSLATE(E204,""EN"",""JA"")"),"アルカリホスファターゼ、胎盤性/総アルカリホスファターゼ；アルカリホスファターゼ、胎盤性/総アルカリホスファターゼ")</f>
        <v>アルカリホスファターゼ、胎盤性/総アルカリホスファターゼ；アルカリホスファターゼ、胎盤性/総アルカリホスファターゼ</v>
      </c>
      <c r="J204" s="1" t="str">
        <f>IFERROR(__xludf.DUMMYFUNCTION("GOOGLETRANSLATE(F204,""EN"",""JA"")"),"生物学的標本中の総アルカリホスファターゼに対する胎盤特異的アルカリホスファターゼアイソフォームの相対的測定値（比率またはパーセンテージ）。")</f>
        <v>生物学的標本中の総アルカリホスファターゼに対する胎盤特異的アルカリホスファターゼアイソフォームの相対的測定値（比率またはパーセンテージ）。</v>
      </c>
      <c r="K204" s="1" t="str">
        <f>IFERROR(__xludf.DUMMYFUNCTION("GOOGLETRANSLATE(G204,""EN"",""JA"")"),"胎盤アルカリホスファターゼから総アルカリホスファターゼの測定")</f>
        <v>胎盤アルカリホスファターゼから総アルカリホスファターゼの測定</v>
      </c>
    </row>
    <row r="205" ht="13.5" customHeight="1">
      <c r="A205" s="1" t="s">
        <v>11</v>
      </c>
      <c r="B205" s="1" t="s">
        <v>1085</v>
      </c>
      <c r="C205" s="1" t="s">
        <v>1086</v>
      </c>
      <c r="D205" s="1" t="s">
        <v>1087</v>
      </c>
      <c r="E205" s="1" t="s">
        <v>1087</v>
      </c>
      <c r="F205" s="1" t="s">
        <v>1088</v>
      </c>
      <c r="G205" s="1" t="s">
        <v>1089</v>
      </c>
      <c r="H205" s="1" t="str">
        <f>IFERROR(__xludf.DUMMYFUNCTION("GOOGLETRANSLATE(D205,""EN"",""JA"")"),"胎盤特異的アルカリホスファターゼ")</f>
        <v>胎盤特異的アルカリホスファターゼ</v>
      </c>
      <c r="I205" s="1" t="str">
        <f>IFERROR(__xludf.DUMMYFUNCTION("GOOGLETRANSLATE(E205,""EN"",""JA"")"),"胎盤特異的アルカリホスファターゼ")</f>
        <v>胎盤特異的アルカリホスファターゼ</v>
      </c>
      <c r="J205" s="1" t="str">
        <f>IFERROR(__xludf.DUMMYFUNCTION("GOOGLETRANSLATE(F205,""EN"",""JA"")"),"生物標本中の胎盤特異的アルカリホスファターゼアイソフォームの測定。")</f>
        <v>生物標本中の胎盤特異的アルカリホスファターゼアイソフォームの測定。</v>
      </c>
      <c r="K205" s="1" t="str">
        <f>IFERROR(__xludf.DUMMYFUNCTION("GOOGLETRANSLATE(G205,""EN"",""JA"")"),"胎盤特異的アルカリホスファターゼ測定")</f>
        <v>胎盤特異的アルカリホスファターゼ測定</v>
      </c>
    </row>
    <row r="206" ht="13.5" customHeight="1">
      <c r="A206" s="1" t="s">
        <v>11</v>
      </c>
      <c r="B206" s="1" t="s">
        <v>1090</v>
      </c>
      <c r="C206" s="1" t="s">
        <v>1091</v>
      </c>
      <c r="D206" s="1" t="s">
        <v>1092</v>
      </c>
      <c r="E206" s="1" t="s">
        <v>1092</v>
      </c>
      <c r="F206" s="1" t="s">
        <v>1093</v>
      </c>
      <c r="G206" s="1" t="s">
        <v>1094</v>
      </c>
      <c r="H206" s="1" t="str">
        <f>IFERROR(__xludf.DUMMYFUNCTION("GOOGLETRANSLATE(D206,""EN"",""JA"")"),"アルプラゾラム")</f>
        <v>アルプラゾラム</v>
      </c>
      <c r="I206" s="1" t="str">
        <f>IFERROR(__xludf.DUMMYFUNCTION("GOOGLETRANSLATE(E206,""EN"",""JA"")"),"アルプラゾラム")</f>
        <v>アルプラゾラム</v>
      </c>
      <c r="J206" s="1" t="str">
        <f>IFERROR(__xludf.DUMMYFUNCTION("GOOGLETRANSLATE(F206,""EN"",""JA"")"),"生物標本中に存在するアルプラゾラムの測定。")</f>
        <v>生物標本中に存在するアルプラゾラムの測定。</v>
      </c>
      <c r="K206" s="1" t="str">
        <f>IFERROR(__xludf.DUMMYFUNCTION("GOOGLETRANSLATE(G206,""EN"",""JA"")"),"アルプラゾラム測定")</f>
        <v>アルプラゾラム測定</v>
      </c>
    </row>
    <row r="207" ht="13.5" customHeight="1">
      <c r="A207" s="1" t="s">
        <v>11</v>
      </c>
      <c r="B207" s="1" t="s">
        <v>1095</v>
      </c>
      <c r="C207" s="1" t="s">
        <v>1096</v>
      </c>
      <c r="D207" s="1" t="s">
        <v>1097</v>
      </c>
      <c r="E207" s="1" t="s">
        <v>1098</v>
      </c>
      <c r="F207" s="1" t="s">
        <v>1099</v>
      </c>
      <c r="G207" s="1" t="s">
        <v>1100</v>
      </c>
      <c r="H207" s="1" t="str">
        <f>IFERROR(__xludf.DUMMYFUNCTION("GOOGLETRANSLATE(D207,""EN"",""JA"")"),"酸不安定サブユニット")</f>
        <v>酸不安定サブユニット</v>
      </c>
      <c r="I207" s="1" t="str">
        <f>IFERROR(__xludf.DUMMYFUNCTION("GOOGLETRANSLATE(E207,""EN"",""JA"")"),"酸不安定サブユニット; ALS; IGFALS; インスリン様成長因子結合タンパク質酸不安定サブユニット")</f>
        <v>酸不安定サブユニット; ALS; IGFALS; インスリン様成長因子結合タンパク質酸不安定サブユニット</v>
      </c>
      <c r="J207" s="1" t="str">
        <f>IFERROR(__xludf.DUMMYFUNCTION("GOOGLETRANSLATE(F207,""EN"",""JA"")"),"生物標本中の酸不安定サブユニットの測定。")</f>
        <v>生物標本中の酸不安定サブユニットの測定。</v>
      </c>
      <c r="K207" s="1" t="str">
        <f>IFERROR(__xludf.DUMMYFUNCTION("GOOGLETRANSLATE(G207,""EN"",""JA"")"),"酸不安定サブユニット測定")</f>
        <v>酸不安定サブユニット測定</v>
      </c>
    </row>
    <row r="208" ht="13.5" customHeight="1">
      <c r="A208" s="1" t="s">
        <v>11</v>
      </c>
      <c r="B208" s="1" t="s">
        <v>1101</v>
      </c>
      <c r="C208" s="1" t="s">
        <v>1102</v>
      </c>
      <c r="D208" s="1" t="s">
        <v>1103</v>
      </c>
      <c r="E208" s="1" t="s">
        <v>1104</v>
      </c>
      <c r="F208" s="1" t="s">
        <v>1105</v>
      </c>
      <c r="G208" s="1" t="s">
        <v>1106</v>
      </c>
      <c r="H208" s="1" t="str">
        <f>IFERROR(__xludf.DUMMYFUNCTION("GOOGLETRANSLATE(D208,""EN"",""JA"")"),"アラニンアミノトランスフェラーゼ")</f>
        <v>アラニンアミノトランスフェラーゼ</v>
      </c>
      <c r="I208" s="1" t="str">
        <f>IFERROR(__xludf.DUMMYFUNCTION("GOOGLETRANSLATE(E208,""EN"",""JA"")"),"アラニンアミノトランスフェラーゼ; SGPT")</f>
        <v>アラニンアミノトランスフェラーゼ; SGPT</v>
      </c>
      <c r="J208" s="1" t="str">
        <f>IFERROR(__xludf.DUMMYFUNCTION("GOOGLETRANSLATE(F208,""EN"",""JA"")"),"生物標本中のアラニンアミノトランスフェラーゼの測定。")</f>
        <v>生物標本中のアラニンアミノトランスフェラーゼの測定。</v>
      </c>
      <c r="K208" s="1" t="str">
        <f>IFERROR(__xludf.DUMMYFUNCTION("GOOGLETRANSLATE(G208,""EN"",""JA"")"),"アラニンアミノトランスフェラーゼ測定")</f>
        <v>アラニンアミノトランスフェラーゼ測定</v>
      </c>
    </row>
    <row r="209" ht="13.5" customHeight="1">
      <c r="A209" s="1" t="s">
        <v>11</v>
      </c>
      <c r="B209" s="1" t="s">
        <v>1107</v>
      </c>
      <c r="C209" s="1" t="s">
        <v>1108</v>
      </c>
      <c r="D209" s="1" t="s">
        <v>1109</v>
      </c>
      <c r="E209" s="1" t="s">
        <v>1109</v>
      </c>
      <c r="F209" s="1" t="s">
        <v>1110</v>
      </c>
      <c r="G209" s="1" t="s">
        <v>1111</v>
      </c>
      <c r="H209" s="1" t="str">
        <f>IFERROR(__xludf.DUMMYFUNCTION("GOOGLETRANSLATE(D209,""EN"",""JA"")"),"ALT/AST")</f>
        <v>ALT/AST</v>
      </c>
      <c r="I209" s="1" t="str">
        <f>IFERROR(__xludf.DUMMYFUNCTION("GOOGLETRANSLATE(E209,""EN"",""JA"")"),"ALT/AST")</f>
        <v>ALT/AST</v>
      </c>
      <c r="J209" s="1" t="str">
        <f>IFERROR(__xludf.DUMMYFUNCTION("GOOGLETRANSLATE(F209,""EN"",""JA"")"),"サンプル中に存在するアラニンアミノトランスフェラーゼ (ALT) とアスパラギン酸アミノトランスフェラーゼ (AST) の相対的な測定値 (比率またはパーセンテージ)。")</f>
        <v>サンプル中に存在するアラニンアミノトランスフェラーゼ (ALT) とアスパラギン酸アミノトランスフェラーゼ (AST) の相対的な測定値 (比率またはパーセンテージ)。</v>
      </c>
      <c r="K209" s="1" t="str">
        <f>IFERROR(__xludf.DUMMYFUNCTION("GOOGLETRANSLATE(G209,""EN"",""JA"")"),"アラニンアミノトランスフェラーゼとアスパラギン酸アミノトランスフェラーゼの比率測定")</f>
        <v>アラニンアミノトランスフェラーゼとアスパラギン酸アミノトランスフェラーゼの比率測定</v>
      </c>
    </row>
    <row r="210" ht="13.5" customHeight="1">
      <c r="A210" s="1" t="s">
        <v>11</v>
      </c>
      <c r="B210" s="1" t="s">
        <v>1112</v>
      </c>
      <c r="C210" s="1" t="s">
        <v>1113</v>
      </c>
      <c r="D210" s="1" t="s">
        <v>1114</v>
      </c>
      <c r="E210" s="1" t="s">
        <v>1114</v>
      </c>
      <c r="F210" s="1" t="s">
        <v>1115</v>
      </c>
      <c r="G210" s="1" t="s">
        <v>1116</v>
      </c>
      <c r="H210" s="1" t="str">
        <f>IFERROR(__xludf.DUMMYFUNCTION("GOOGLETRANSLATE(D210,""EN"",""JA"")"),"アルファトコフェロール")</f>
        <v>アルファトコフェロール</v>
      </c>
      <c r="I210" s="1" t="str">
        <f>IFERROR(__xludf.DUMMYFUNCTION("GOOGLETRANSLATE(E210,""EN"",""JA"")"),"アルファトコフェロール")</f>
        <v>アルファトコフェロール</v>
      </c>
      <c r="J210" s="1" t="str">
        <f>IFERROR(__xludf.DUMMYFUNCTION("GOOGLETRANSLATE(F210,""EN"",""JA"")"),"生物標本中のアルファトコフェロールの測定。")</f>
        <v>生物標本中のアルファトコフェロールの測定。</v>
      </c>
      <c r="K210" s="1" t="str">
        <f>IFERROR(__xludf.DUMMYFUNCTION("GOOGLETRANSLATE(G210,""EN"",""JA"")"),"アルファトコフェロール測定")</f>
        <v>アルファトコフェロール測定</v>
      </c>
    </row>
    <row r="211" ht="13.5" customHeight="1">
      <c r="A211" s="1" t="s">
        <v>11</v>
      </c>
      <c r="B211" s="1" t="s">
        <v>1117</v>
      </c>
      <c r="C211" s="1" t="s">
        <v>1118</v>
      </c>
      <c r="D211" s="1" t="s">
        <v>1119</v>
      </c>
      <c r="E211" s="1" t="s">
        <v>1120</v>
      </c>
      <c r="F211" s="1" t="s">
        <v>1121</v>
      </c>
      <c r="G211" s="1" t="s">
        <v>1122</v>
      </c>
      <c r="H211" s="1" t="str">
        <f>IFERROR(__xludf.DUMMYFUNCTION("GOOGLETRANSLATE(D211,""EN"",""JA"")"),"アルミニウム")</f>
        <v>アルミニウム</v>
      </c>
      <c r="I211" s="1" t="str">
        <f>IFERROR(__xludf.DUMMYFUNCTION("GOOGLETRANSLATE(E211,""EN"",""JA"")"),"Al; アルミニウム")</f>
        <v>Al; アルミニウム</v>
      </c>
      <c r="J211" s="1" t="str">
        <f>IFERROR(__xludf.DUMMYFUNCTION("GOOGLETRANSLATE(F211,""EN"",""JA"")"),"生物標本中のアルミニウムの測定。")</f>
        <v>生物標本中のアルミニウムの測定。</v>
      </c>
      <c r="K211" s="1" t="str">
        <f>IFERROR(__xludf.DUMMYFUNCTION("GOOGLETRANSLATE(G211,""EN"",""JA"")"),"アルミニウム測定")</f>
        <v>アルミニウム測定</v>
      </c>
    </row>
    <row r="212" ht="13.5" customHeight="1">
      <c r="A212" s="1" t="s">
        <v>580</v>
      </c>
      <c r="B212" s="1" t="s">
        <v>1123</v>
      </c>
      <c r="C212" s="1" t="s">
        <v>1124</v>
      </c>
      <c r="D212" s="1" t="s">
        <v>1125</v>
      </c>
      <c r="E212" s="1" t="s">
        <v>1126</v>
      </c>
      <c r="F212" s="1" t="s">
        <v>1127</v>
      </c>
      <c r="G212" s="1" t="s">
        <v>1125</v>
      </c>
      <c r="H212" s="1" t="str">
        <f>IFERROR(__xludf.DUMMYFUNCTION("GOOGLETRANSLATE(D212,""EN"",""JA"")"),"肺胞容積")</f>
        <v>肺胞容積</v>
      </c>
      <c r="I212" s="1" t="str">
        <f>IFERROR(__xludf.DUMMYFUNCTION("GOOGLETRANSLATE(E212,""EN"",""JA"")"),"肺胞容積; VA")</f>
        <v>肺胞容積; VA</v>
      </c>
      <c r="J212" s="1" t="str">
        <f>IFERROR(__xludf.DUMMYFUNCTION("GOOGLETRANSLATE(F212,""EN"",""JA"")"),"吸気時に肺胞に入るガスの量。")</f>
        <v>吸気時に肺胞に入るガスの量。</v>
      </c>
      <c r="K212" s="1" t="str">
        <f>IFERROR(__xludf.DUMMYFUNCTION("GOOGLETRANSLATE(G212,""EN"",""JA"")"),"肺胞容積")</f>
        <v>肺胞容積</v>
      </c>
    </row>
    <row r="213" ht="13.5" customHeight="1">
      <c r="A213" s="1" t="s">
        <v>67</v>
      </c>
      <c r="B213" s="1" t="s">
        <v>1128</v>
      </c>
      <c r="C213" s="1" t="s">
        <v>1129</v>
      </c>
      <c r="D213" s="1" t="s">
        <v>1130</v>
      </c>
      <c r="E213" s="1" t="s">
        <v>1130</v>
      </c>
      <c r="F213" s="1" t="s">
        <v>1131</v>
      </c>
      <c r="G213" s="1" t="s">
        <v>1132</v>
      </c>
      <c r="H213" s="1" t="str">
        <f>IFERROR(__xludf.DUMMYFUNCTION("GOOGLETRANSLATE(D213,""EN"",""JA"")"),"アシネトバクター・ルウォフィ")</f>
        <v>アシネトバクター・ルウォフィ</v>
      </c>
      <c r="I213" s="1" t="str">
        <f>IFERROR(__xludf.DUMMYFUNCTION("GOOGLETRANSLATE(E213,""EN"",""JA"")"),"アシネトバクター・ルウォフィ")</f>
        <v>アシネトバクター・ルウォフィ</v>
      </c>
      <c r="J213" s="1" t="str">
        <f>IFERROR(__xludf.DUMMYFUNCTION("GOOGLETRANSLATE(F213,""EN"",""JA"")"),"生物標本中の Acinetobacter lwoffii の測定。")</f>
        <v>生物標本中の Acinetobacter lwoffii の測定。</v>
      </c>
      <c r="K213" s="1" t="str">
        <f>IFERROR(__xludf.DUMMYFUNCTION("GOOGLETRANSLATE(G213,""EN"",""JA"")"),"アシネトバクター・イウォフィ測定")</f>
        <v>アシネトバクター・イウォフィ測定</v>
      </c>
    </row>
    <row r="214" ht="13.5" customHeight="1">
      <c r="A214" s="1" t="s">
        <v>11</v>
      </c>
      <c r="B214" s="1" t="s">
        <v>1133</v>
      </c>
      <c r="C214" s="1" t="s">
        <v>1134</v>
      </c>
      <c r="D214" s="1" t="s">
        <v>1135</v>
      </c>
      <c r="E214" s="1" t="s">
        <v>1136</v>
      </c>
      <c r="F214" s="1" t="s">
        <v>1137</v>
      </c>
      <c r="G214" s="1" t="s">
        <v>1138</v>
      </c>
      <c r="H214" s="1" t="str">
        <f>IFERROR(__xludf.DUMMYFUNCTION("GOOGLETRANSLATE(D214,""EN"",""JA"")"),"AM-2201")</f>
        <v>AM-2201</v>
      </c>
      <c r="I214" s="1" t="str">
        <f>IFERROR(__xludf.DUMMYFUNCTION("GOOGLETRANSLATE(E214,""EN"",""JA"")"),"AM-2201; AM2201")</f>
        <v>AM-2201; AM2201</v>
      </c>
      <c r="J214" s="1" t="str">
        <f>IFERROR(__xludf.DUMMYFUNCTION("GOOGLETRANSLATE(F214,""EN"",""JA"")"),"生物標本中の合成カンナビノイド AM-2201 の測定。")</f>
        <v>生物標本中の合成カンナビノイド AM-2201 の測定。</v>
      </c>
      <c r="K214" s="1" t="str">
        <f>IFERROR(__xludf.DUMMYFUNCTION("GOOGLETRANSLATE(G214,""EN"",""JA"")"),"AM-2201測定")</f>
        <v>AM-2201測定</v>
      </c>
    </row>
    <row r="215" ht="13.5" customHeight="1">
      <c r="A215" s="1" t="s">
        <v>11</v>
      </c>
      <c r="B215" s="1" t="s">
        <v>1139</v>
      </c>
      <c r="C215" s="1" t="s">
        <v>1140</v>
      </c>
      <c r="D215" s="1" t="s">
        <v>1141</v>
      </c>
      <c r="E215" s="1" t="s">
        <v>1141</v>
      </c>
      <c r="F215" s="1" t="s">
        <v>1142</v>
      </c>
      <c r="G215" s="1" t="s">
        <v>1143</v>
      </c>
      <c r="H215" s="1" t="str">
        <f>IFERROR(__xludf.DUMMYFUNCTION("GOOGLETRANSLATE(D215,""EN"",""JA"")"),"AM694 N-5-ヒドロキシペンチル")</f>
        <v>AM694 N-5-ヒドロキシペンチル</v>
      </c>
      <c r="I215" s="1" t="str">
        <f>IFERROR(__xludf.DUMMYFUNCTION("GOOGLETRANSLATE(E215,""EN"",""JA"")"),"AM694 N-5-ヒドロキシペンチル")</f>
        <v>AM694 N-5-ヒドロキシペンチル</v>
      </c>
      <c r="J215" s="1" t="str">
        <f>IFERROR(__xludf.DUMMYFUNCTION("GOOGLETRANSLATE(F215,""EN"",""JA"")"),"生物標本中の合成カンナビノイド代謝物 AM694 N-5-ヒドロキシペンチルの測定。")</f>
        <v>生物標本中の合成カンナビノイド代謝物 AM694 N-5-ヒドロキシペンチルの測定。</v>
      </c>
      <c r="K215" s="1" t="str">
        <f>IFERROR(__xludf.DUMMYFUNCTION("GOOGLETRANSLATE(G215,""EN"",""JA"")"),"AM694 N-5-ヒドロキシペンチル測定")</f>
        <v>AM694 N-5-ヒドロキシペンチル測定</v>
      </c>
    </row>
    <row r="216" ht="13.5" customHeight="1">
      <c r="A216" s="1" t="s">
        <v>134</v>
      </c>
      <c r="B216" s="1" t="s">
        <v>1144</v>
      </c>
      <c r="C216" s="1" t="s">
        <v>1145</v>
      </c>
      <c r="D216" s="1" t="s">
        <v>1146</v>
      </c>
      <c r="E216" s="1" t="s">
        <v>1146</v>
      </c>
      <c r="F216" s="1" t="s">
        <v>1147</v>
      </c>
      <c r="G216" s="1" t="s">
        <v>1148</v>
      </c>
      <c r="H216" s="1" t="str">
        <f>IFERROR(__xludf.DUMMYFUNCTION("GOOGLETRANSLATE(D216,""EN"",""JA"")"),"α-メチルアシルコエンザイムAラセマーゼ")</f>
        <v>α-メチルアシルコエンザイムAラセマーゼ</v>
      </c>
      <c r="I216" s="1" t="str">
        <f>IFERROR(__xludf.DUMMYFUNCTION("GOOGLETRANSLATE(E216,""EN"",""JA"")"),"α-メチルアシルコエンザイムAラセマーゼ")</f>
        <v>α-メチルアシルコエンザイムAラセマーゼ</v>
      </c>
      <c r="J216" s="1" t="str">
        <f>IFERROR(__xludf.DUMMYFUNCTION("GOOGLETRANSLATE(F216,""EN"",""JA"")"),"生物標本中のα-メチルアシルコエンザイムAラセマーゼの測定。")</f>
        <v>生物標本中のα-メチルアシルコエンザイムAラセマーゼの測定。</v>
      </c>
      <c r="K216" s="1" t="str">
        <f>IFERROR(__xludf.DUMMYFUNCTION("GOOGLETRANSLATE(G216,""EN"",""JA"")"),"α-メチルアシルコエンザイムAラセマーゼ測定")</f>
        <v>α-メチルアシルコエンザイムAラセマーゼ測定</v>
      </c>
    </row>
    <row r="217" ht="13.5" customHeight="1">
      <c r="A217" s="1" t="s">
        <v>11</v>
      </c>
      <c r="B217" s="1" t="s">
        <v>1144</v>
      </c>
      <c r="C217" s="1" t="s">
        <v>1145</v>
      </c>
      <c r="D217" s="1" t="s">
        <v>1146</v>
      </c>
      <c r="E217" s="1" t="s">
        <v>1146</v>
      </c>
      <c r="F217" s="1" t="s">
        <v>1147</v>
      </c>
      <c r="G217" s="1" t="s">
        <v>1148</v>
      </c>
      <c r="H217" s="1" t="str">
        <f>IFERROR(__xludf.DUMMYFUNCTION("GOOGLETRANSLATE(D217,""EN"",""JA"")"),"α-メチルアシルコエンザイムAラセマーゼ")</f>
        <v>α-メチルアシルコエンザイムAラセマーゼ</v>
      </c>
      <c r="I217" s="1" t="str">
        <f>IFERROR(__xludf.DUMMYFUNCTION("GOOGLETRANSLATE(E217,""EN"",""JA"")"),"α-メチルアシルコエンザイムAラセマーゼ")</f>
        <v>α-メチルアシルコエンザイムAラセマーゼ</v>
      </c>
      <c r="J217" s="1" t="str">
        <f>IFERROR(__xludf.DUMMYFUNCTION("GOOGLETRANSLATE(F217,""EN"",""JA"")"),"生物標本中のα-メチルアシルコエンザイムAラセマーゼの測定。")</f>
        <v>生物標本中のα-メチルアシルコエンザイムAラセマーゼの測定。</v>
      </c>
      <c r="K217" s="1" t="str">
        <f>IFERROR(__xludf.DUMMYFUNCTION("GOOGLETRANSLATE(G217,""EN"",""JA"")"),"α-メチルアシルコエンザイムAラセマーゼ測定")</f>
        <v>α-メチルアシルコエンザイムAラセマーゼ測定</v>
      </c>
    </row>
    <row r="218" ht="13.5" customHeight="1">
      <c r="A218" s="1" t="s">
        <v>11</v>
      </c>
      <c r="B218" s="1" t="s">
        <v>1149</v>
      </c>
      <c r="C218" s="1" t="s">
        <v>1150</v>
      </c>
      <c r="D218" s="1" t="s">
        <v>1151</v>
      </c>
      <c r="E218" s="1" t="s">
        <v>1151</v>
      </c>
      <c r="F218" s="1" t="s">
        <v>1152</v>
      </c>
      <c r="G218" s="1" t="s">
        <v>1153</v>
      </c>
      <c r="H218" s="1" t="str">
        <f>IFERROR(__xludf.DUMMYFUNCTION("GOOGLETRANSLATE(D218,""EN"",""JA"")"),"アモバルビタール")</f>
        <v>アモバルビタール</v>
      </c>
      <c r="I218" s="1" t="str">
        <f>IFERROR(__xludf.DUMMYFUNCTION("GOOGLETRANSLATE(E218,""EN"",""JA"")"),"アモバルビタール")</f>
        <v>アモバルビタール</v>
      </c>
      <c r="J218" s="1" t="str">
        <f>IFERROR(__xludf.DUMMYFUNCTION("GOOGLETRANSLATE(F218,""EN"",""JA"")"),"生物学的標本中に存在するアモバルビタールの測定。")</f>
        <v>生物学的標本中に存在するアモバルビタールの測定。</v>
      </c>
      <c r="K218" s="1" t="str">
        <f>IFERROR(__xludf.DUMMYFUNCTION("GOOGLETRANSLATE(G218,""EN"",""JA"")"),"アモバルビタール測定")</f>
        <v>アモバルビタール測定</v>
      </c>
    </row>
    <row r="219" ht="13.5" customHeight="1">
      <c r="A219" s="1" t="s">
        <v>11</v>
      </c>
      <c r="B219" s="1" t="s">
        <v>1154</v>
      </c>
      <c r="C219" s="1" t="s">
        <v>1155</v>
      </c>
      <c r="D219" s="1" t="s">
        <v>1156</v>
      </c>
      <c r="E219" s="1" t="s">
        <v>1156</v>
      </c>
      <c r="F219" s="1" t="s">
        <v>1157</v>
      </c>
      <c r="G219" s="1" t="s">
        <v>1158</v>
      </c>
      <c r="H219" s="1" t="str">
        <f>IFERROR(__xludf.DUMMYFUNCTION("GOOGLETRANSLATE(D219,""EN"",""JA"")"),"AMACR mRNA")</f>
        <v>AMACR mRNA</v>
      </c>
      <c r="I219" s="1" t="str">
        <f>IFERROR(__xludf.DUMMYFUNCTION("GOOGLETRANSLATE(E219,""EN"",""JA"")"),"AMACR mRNA")</f>
        <v>AMACR mRNA</v>
      </c>
      <c r="J219" s="1" t="str">
        <f>IFERROR(__xludf.DUMMYFUNCTION("GOOGLETRANSLATE(F219,""EN"",""JA"")"),"生物標本中のα-メチルアシルコエンザイムAラセマーゼmRNAの測定。")</f>
        <v>生物標本中のα-メチルアシルコエンザイムAラセマーゼmRNAの測定。</v>
      </c>
      <c r="K219" s="1" t="str">
        <f>IFERROR(__xludf.DUMMYFUNCTION("GOOGLETRANSLATE(G219,""EN"",""JA"")"),"α-メチルアシルコエンザイムAラセマーゼmRNA測定")</f>
        <v>α-メチルアシルコエンザイムAラセマーゼmRNA測定</v>
      </c>
    </row>
    <row r="220" ht="13.5" customHeight="1">
      <c r="A220" s="1" t="s">
        <v>160</v>
      </c>
      <c r="B220" s="1" t="s">
        <v>1159</v>
      </c>
      <c r="C220" s="1" t="s">
        <v>1160</v>
      </c>
      <c r="D220" s="1" t="s">
        <v>1161</v>
      </c>
      <c r="E220" s="1" t="s">
        <v>1161</v>
      </c>
      <c r="F220" s="1" t="s">
        <v>1162</v>
      </c>
      <c r="G220" s="1" t="s">
        <v>1161</v>
      </c>
      <c r="H220" s="1" t="str">
        <f>IFERROR(__xludf.DUMMYFUNCTION("GOOGLETRANSLATE(D220,""EN"",""JA"")"),"月経中インジケーター")</f>
        <v>月経中インジケーター</v>
      </c>
      <c r="I220" s="1" t="str">
        <f>IFERROR(__xludf.DUMMYFUNCTION("GOOGLETRANSLATE(E220,""EN"",""JA"")"),"月経中インジケーター")</f>
        <v>月経中インジケーター</v>
      </c>
      <c r="J220" s="1" t="str">
        <f>IFERROR(__xludf.DUMMYFUNCTION("GOOGLETRANSLATE(F220,""EN"",""JA"")"),"質問時に対象者が月経中であるかどうかを示します。")</f>
        <v>質問時に対象者が月経中であるかどうかを示します。</v>
      </c>
      <c r="K220" s="1" t="str">
        <f>IFERROR(__xludf.DUMMYFUNCTION("GOOGLETRANSLATE(G220,""EN"",""JA"")"),"月経中インジケーター")</f>
        <v>月経中インジケーター</v>
      </c>
    </row>
    <row r="221" ht="13.5" customHeight="1">
      <c r="A221" s="1" t="s">
        <v>11</v>
      </c>
      <c r="B221" s="1" t="s">
        <v>1163</v>
      </c>
      <c r="C221" s="1" t="s">
        <v>1164</v>
      </c>
      <c r="D221" s="1" t="s">
        <v>1165</v>
      </c>
      <c r="E221" s="1" t="s">
        <v>1165</v>
      </c>
      <c r="F221" s="1" t="s">
        <v>1166</v>
      </c>
      <c r="G221" s="1" t="s">
        <v>1167</v>
      </c>
      <c r="H221" s="1" t="str">
        <f>IFERROR(__xludf.DUMMYFUNCTION("GOOGLETRANSLATE(D221,""EN"",""JA"")"),"抗ミュラー管ホルモン")</f>
        <v>抗ミュラー管ホルモン</v>
      </c>
      <c r="I221" s="1" t="str">
        <f>IFERROR(__xludf.DUMMYFUNCTION("GOOGLETRANSLATE(E221,""EN"",""JA"")"),"抗ミュラー管ホルモン")</f>
        <v>抗ミュラー管ホルモン</v>
      </c>
      <c r="J221" s="1" t="str">
        <f>IFERROR(__xludf.DUMMYFUNCTION("GOOGLETRANSLATE(F221,""EN"",""JA"")"),"生物標本中の抗ミュラー管ホルモンの測定。")</f>
        <v>生物標本中の抗ミュラー管ホルモンの測定。</v>
      </c>
      <c r="K221" s="1" t="str">
        <f>IFERROR(__xludf.DUMMYFUNCTION("GOOGLETRANSLATE(G221,""EN"",""JA"")"),"抗ミュラー管ホルモン測定")</f>
        <v>抗ミュラー管ホルモン測定</v>
      </c>
    </row>
    <row r="222" ht="13.5" customHeight="1">
      <c r="A222" s="1" t="s">
        <v>1168</v>
      </c>
      <c r="B222" s="1" t="s">
        <v>1169</v>
      </c>
      <c r="C222" s="1" t="s">
        <v>1170</v>
      </c>
      <c r="D222" s="1" t="s">
        <v>1171</v>
      </c>
      <c r="E222" s="1" t="s">
        <v>1171</v>
      </c>
      <c r="F222" s="1" t="s">
        <v>1172</v>
      </c>
      <c r="G222" s="1" t="s">
        <v>1173</v>
      </c>
      <c r="H222" s="1" t="str">
        <f>IFERROR(__xludf.DUMMYFUNCTION("GOOGLETRANSLATE(D222,""EN"",""JA"")"),"急性心筋虚血心電図変化")</f>
        <v>急性心筋虚血心電図変化</v>
      </c>
      <c r="I222" s="1" t="str">
        <f>IFERROR(__xludf.DUMMYFUNCTION("GOOGLETRANSLATE(E222,""EN"",""JA"")"),"急性心筋虚血心電図変化")</f>
        <v>急性心筋虚血心電図変化</v>
      </c>
      <c r="J222" s="1" t="str">
        <f>IFERROR(__xludf.DUMMYFUNCTION("GOOGLETRANSLATE(F222,""EN"",""JA"")"),"心電図所見の評価では、急性心筋虚血に一致する新規または推定される新規の有意なST部分T波（ST-T）変化または新規の左脚ブロックが評価されます。（Thygesen K、Alpert JS、Jaffe AS、Simoons ML、et al。; Joint ESC/ACCF/")</f>
        <v>心電図所見の評価では、急性心筋虚血に一致する新規または推定される新規の有意なST部分T波（ST-T）変化または新規の左脚ブロックが評価されます。（Thygesen K、Alpert JS、Jaffe AS、Simoons ML、et al。; Joint ESC/ACCF/</v>
      </c>
      <c r="K222" s="1" t="str">
        <f>IFERROR(__xludf.DUMMYFUNCTION("GOOGLETRANSLATE(G222,""EN"",""JA"")"),"心電図による急性心筋虚血の評価")</f>
        <v>心電図による急性心筋虚血の評価</v>
      </c>
    </row>
    <row r="223" ht="13.5" customHeight="1">
      <c r="A223" s="1" t="s">
        <v>11</v>
      </c>
      <c r="B223" s="1" t="s">
        <v>1174</v>
      </c>
      <c r="C223" s="1" t="s">
        <v>1175</v>
      </c>
      <c r="D223" s="1" t="s">
        <v>1176</v>
      </c>
      <c r="E223" s="1" t="s">
        <v>1176</v>
      </c>
      <c r="F223" s="1" t="s">
        <v>1177</v>
      </c>
      <c r="G223" s="1" t="s">
        <v>1178</v>
      </c>
      <c r="H223" s="1" t="str">
        <f>IFERROR(__xludf.DUMMYFUNCTION("GOOGLETRANSLATE(D223,""EN"",""JA"")"),"アミトリプチリン")</f>
        <v>アミトリプチリン</v>
      </c>
      <c r="I223" s="1" t="str">
        <f>IFERROR(__xludf.DUMMYFUNCTION("GOOGLETRANSLATE(E223,""EN"",""JA"")"),"アミトリプチリン")</f>
        <v>アミトリプチリン</v>
      </c>
      <c r="J223" s="1" t="str">
        <f>IFERROR(__xludf.DUMMYFUNCTION("GOOGLETRANSLATE(F223,""EN"",""JA"")"),"生物標本中のアミトリプチリンの測定。")</f>
        <v>生物標本中のアミトリプチリンの測定。</v>
      </c>
      <c r="K223" s="1" t="str">
        <f>IFERROR(__xludf.DUMMYFUNCTION("GOOGLETRANSLATE(G223,""EN"",""JA"")"),"アミトリプチリン測定")</f>
        <v>アミトリプチリン測定</v>
      </c>
    </row>
    <row r="224" ht="13.5" customHeight="1">
      <c r="A224" s="1" t="s">
        <v>11</v>
      </c>
      <c r="B224" s="1" t="s">
        <v>1179</v>
      </c>
      <c r="C224" s="1" t="s">
        <v>1180</v>
      </c>
      <c r="D224" s="1" t="s">
        <v>1181</v>
      </c>
      <c r="E224" s="1" t="s">
        <v>1182</v>
      </c>
      <c r="F224" s="1" t="s">
        <v>1183</v>
      </c>
      <c r="G224" s="1" t="s">
        <v>1184</v>
      </c>
      <c r="H224" s="1" t="str">
        <f>IFERROR(__xludf.DUMMYFUNCTION("GOOGLETRANSLATE(D224,""EN"",""JA"")"),"アンモニア")</f>
        <v>アンモニア</v>
      </c>
      <c r="I224" s="1" t="str">
        <f>IFERROR(__xludf.DUMMYFUNCTION("GOOGLETRANSLATE(E224,""EN"",""JA"")"),"アンモニア; NH3")</f>
        <v>アンモニア; NH3</v>
      </c>
      <c r="J224" s="1" t="str">
        <f>IFERROR(__xludf.DUMMYFUNCTION("GOOGLETRANSLATE(F224,""EN"",""JA"")"),"標本内のアンモニアの測定。")</f>
        <v>標本内のアンモニアの測定。</v>
      </c>
      <c r="K224" s="1" t="str">
        <f>IFERROR(__xludf.DUMMYFUNCTION("GOOGLETRANSLATE(G224,""EN"",""JA"")"),"アンモニア測定")</f>
        <v>アンモニア測定</v>
      </c>
    </row>
    <row r="225" ht="13.5" customHeight="1">
      <c r="A225" s="1" t="s">
        <v>11</v>
      </c>
      <c r="B225" s="1" t="s">
        <v>1185</v>
      </c>
      <c r="C225" s="1" t="s">
        <v>1186</v>
      </c>
      <c r="D225" s="1" t="s">
        <v>1187</v>
      </c>
      <c r="E225" s="1" t="s">
        <v>1188</v>
      </c>
      <c r="F225" s="1" t="s">
        <v>1189</v>
      </c>
      <c r="G225" s="1" t="s">
        <v>1190</v>
      </c>
      <c r="H225" s="1" t="str">
        <f>IFERROR(__xludf.DUMMYFUNCTION("GOOGLETRANSLATE(D225,""EN"",""JA"")"),"アンモニウム")</f>
        <v>アンモニウム</v>
      </c>
      <c r="I225" s="1" t="str">
        <f>IFERROR(__xludf.DUMMYFUNCTION("GOOGLETRANSLATE(E225,""EN"",""JA"")"),"アンモニウム; アンモニウムイオン; NH4+")</f>
        <v>アンモニウム; アンモニウムイオン; NH4+</v>
      </c>
      <c r="J225" s="1" t="str">
        <f>IFERROR(__xludf.DUMMYFUNCTION("GOOGLETRANSLATE(F225,""EN"",""JA"")"),"生物標本中のアンモニウムイオン (NH4+) の測定。")</f>
        <v>生物標本中のアンモニウムイオン (NH4+) の測定。</v>
      </c>
      <c r="K225" s="1" t="str">
        <f>IFERROR(__xludf.DUMMYFUNCTION("GOOGLETRANSLATE(G225,""EN"",""JA"")"),"アンモニウム測定")</f>
        <v>アンモニウム測定</v>
      </c>
    </row>
    <row r="226" ht="13.5" customHeight="1">
      <c r="A226" s="1" t="s">
        <v>11</v>
      </c>
      <c r="B226" s="1" t="s">
        <v>1191</v>
      </c>
      <c r="C226" s="1" t="s">
        <v>1192</v>
      </c>
      <c r="D226" s="1" t="s">
        <v>1193</v>
      </c>
      <c r="E226" s="1" t="s">
        <v>1193</v>
      </c>
      <c r="F226" s="1" t="s">
        <v>1194</v>
      </c>
      <c r="G226" s="1" t="s">
        <v>1195</v>
      </c>
      <c r="H226" s="1" t="str">
        <f>IFERROR(__xludf.DUMMYFUNCTION("GOOGLETRANSLATE(D226,""EN"",""JA"")"),"アンモニウム/クレアチニン")</f>
        <v>アンモニウム/クレアチニン</v>
      </c>
      <c r="I226" s="1" t="str">
        <f>IFERROR(__xludf.DUMMYFUNCTION("GOOGLETRANSLATE(E226,""EN"",""JA"")"),"アンモニウム/クレアチニン")</f>
        <v>アンモニウム/クレアチニン</v>
      </c>
      <c r="J226" s="1" t="str">
        <f>IFERROR(__xludf.DUMMYFUNCTION("GOOGLETRANSLATE(F226,""EN"",""JA"")"),"生物標本中のアンモニウムとクレアチニンの相対的な測定値（比率）。")</f>
        <v>生物標本中のアンモニウムとクレアチニンの相対的な測定値（比率）。</v>
      </c>
      <c r="K226" s="1" t="str">
        <f>IFERROR(__xludf.DUMMYFUNCTION("GOOGLETRANSLATE(G226,""EN"",""JA"")"),"アンモニウム対クレアチニン比測定")</f>
        <v>アンモニウム対クレアチニン比測定</v>
      </c>
    </row>
    <row r="227" ht="13.5" customHeight="1">
      <c r="A227" s="1" t="s">
        <v>11</v>
      </c>
      <c r="B227" s="1" t="s">
        <v>1196</v>
      </c>
      <c r="C227" s="1" t="s">
        <v>1197</v>
      </c>
      <c r="D227" s="1" t="s">
        <v>1198</v>
      </c>
      <c r="E227" s="1" t="s">
        <v>1199</v>
      </c>
      <c r="F227" s="1" t="s">
        <v>1200</v>
      </c>
      <c r="G227" s="1" t="s">
        <v>1201</v>
      </c>
      <c r="H227" s="1" t="str">
        <f>IFERROR(__xludf.DUMMYFUNCTION("GOOGLETRANSLATE(D227,""EN"",""JA"")"),"アミノ酸")</f>
        <v>アミノ酸</v>
      </c>
      <c r="I227" s="1" t="str">
        <f>IFERROR(__xludf.DUMMYFUNCTION("GOOGLETRANSLATE(E227,""EN"",""JA"")"),"AA; アミノ酸")</f>
        <v>AA; アミノ酸</v>
      </c>
      <c r="J227" s="1" t="str">
        <f>IFERROR(__xludf.DUMMYFUNCTION("GOOGLETRANSLATE(F227,""EN"",""JA"")"),"生物標本中のアミノ酸の総量の測定。")</f>
        <v>生物標本中のアミノ酸の総量の測定。</v>
      </c>
      <c r="K227" s="1" t="str">
        <f>IFERROR(__xludf.DUMMYFUNCTION("GOOGLETRANSLATE(G227,""EN"",""JA"")"),"アミノ酸測定")</f>
        <v>アミノ酸測定</v>
      </c>
    </row>
    <row r="228" ht="13.5" customHeight="1">
      <c r="A228" s="1" t="s">
        <v>11</v>
      </c>
      <c r="B228" s="1" t="s">
        <v>1202</v>
      </c>
      <c r="C228" s="1" t="s">
        <v>1203</v>
      </c>
      <c r="D228" s="1" t="s">
        <v>1204</v>
      </c>
      <c r="E228" s="1" t="s">
        <v>1205</v>
      </c>
      <c r="F228" s="1" t="s">
        <v>1206</v>
      </c>
      <c r="G228" s="1" t="s">
        <v>1207</v>
      </c>
      <c r="H228" s="1" t="str">
        <f>IFERROR(__xludf.DUMMYFUNCTION("GOOGLETRANSLATE(D228,""EN"",""JA"")"),"1-アミノナフタレン")</f>
        <v>1-アミノナフタレン</v>
      </c>
      <c r="I228" s="1" t="str">
        <f>IFERROR(__xludf.DUMMYFUNCTION("GOOGLETRANSLATE(E228,""EN"",""JA"")"),"1-アミノナフタレン; 1-ナフチルアミン")</f>
        <v>1-アミノナフタレン; 1-ナフチルアミン</v>
      </c>
      <c r="J228" s="1" t="str">
        <f>IFERROR(__xludf.DUMMYFUNCTION("GOOGLETRANSLATE(F228,""EN"",""JA"")"),"標本中の1-アミノナフタレンの測定。")</f>
        <v>標本中の1-アミノナフタレンの測定。</v>
      </c>
      <c r="K228" s="1" t="str">
        <f>IFERROR(__xludf.DUMMYFUNCTION("GOOGLETRANSLATE(G228,""EN"",""JA"")"),"1-アミノナフタレン測定")</f>
        <v>1-アミノナフタレン測定</v>
      </c>
    </row>
    <row r="229" ht="13.5" customHeight="1">
      <c r="A229" s="1" t="s">
        <v>11</v>
      </c>
      <c r="B229" s="1" t="s">
        <v>1208</v>
      </c>
      <c r="C229" s="1" t="s">
        <v>1209</v>
      </c>
      <c r="D229" s="1" t="s">
        <v>1210</v>
      </c>
      <c r="E229" s="1" t="s">
        <v>1211</v>
      </c>
      <c r="F229" s="1" t="s">
        <v>1212</v>
      </c>
      <c r="G229" s="1" t="s">
        <v>1213</v>
      </c>
      <c r="H229" s="1" t="str">
        <f>IFERROR(__xludf.DUMMYFUNCTION("GOOGLETRANSLATE(D229,""EN"",""JA"")"),"2-アミノナフタレン")</f>
        <v>2-アミノナフタレン</v>
      </c>
      <c r="I229" s="1" t="str">
        <f>IFERROR(__xludf.DUMMYFUNCTION("GOOGLETRANSLATE(E229,""EN"",""JA"")"),"2-アミノナフタレン; 2-ナフチルアミン")</f>
        <v>2-アミノナフタレン; 2-ナフチルアミン</v>
      </c>
      <c r="J229" s="1" t="str">
        <f>IFERROR(__xludf.DUMMYFUNCTION("GOOGLETRANSLATE(F229,""EN"",""JA"")"),"標本中の2-アミノナフタレンの測定。")</f>
        <v>標本中の2-アミノナフタレンの測定。</v>
      </c>
      <c r="K229" s="1" t="str">
        <f>IFERROR(__xludf.DUMMYFUNCTION("GOOGLETRANSLATE(G229,""EN"",""JA"")"),"2-アミノナフタレン測定")</f>
        <v>2-アミノナフタレン測定</v>
      </c>
    </row>
    <row r="230" ht="13.5" customHeight="1">
      <c r="A230" s="1" t="s">
        <v>11</v>
      </c>
      <c r="B230" s="1" t="s">
        <v>1214</v>
      </c>
      <c r="C230" s="1" t="s">
        <v>1215</v>
      </c>
      <c r="D230" s="1" t="s">
        <v>1216</v>
      </c>
      <c r="E230" s="1" t="s">
        <v>1217</v>
      </c>
      <c r="F230" s="1" t="s">
        <v>1218</v>
      </c>
      <c r="G230" s="1" t="s">
        <v>1219</v>
      </c>
      <c r="H230" s="1" t="str">
        <f>IFERROR(__xludf.DUMMYFUNCTION("GOOGLETRANSLATE(D230,""EN"",""JA"")"),"非晶質堆積物")</f>
        <v>非晶質堆積物</v>
      </c>
      <c r="I230" s="1" t="str">
        <f>IFERROR(__xludf.DUMMYFUNCTION("GOOGLETRANSLATE(E230,""EN"",""JA"")"),"非晶質堆積物")</f>
        <v>非晶質堆積物</v>
      </c>
      <c r="J230" s="1" t="str">
        <f>IFERROR(__xludf.DUMMYFUNCTION("GOOGLETRANSLATE(F230,""EN"",""JA"")"),"生物標本中に存在する非晶質沈殿物の測定。")</f>
        <v>生物標本中に存在する非晶質沈殿物の測定。</v>
      </c>
      <c r="K230" s="1" t="str">
        <f>IFERROR(__xludf.DUMMYFUNCTION("GOOGLETRANSLATE(G230,""EN"",""JA"")"),"非晶質堆積物の測定")</f>
        <v>非晶質堆積物の測定</v>
      </c>
    </row>
    <row r="231" ht="13.5" customHeight="1">
      <c r="A231" s="1" t="s">
        <v>11</v>
      </c>
      <c r="B231" s="1" t="s">
        <v>1220</v>
      </c>
      <c r="C231" s="1" t="s">
        <v>1221</v>
      </c>
      <c r="D231" s="1" t="s">
        <v>1222</v>
      </c>
      <c r="E231" s="1" t="s">
        <v>1223</v>
      </c>
      <c r="F231" s="1" t="s">
        <v>1224</v>
      </c>
      <c r="G231" s="1" t="s">
        <v>1225</v>
      </c>
      <c r="H231" s="1" t="str">
        <f>IFERROR(__xludf.DUMMYFUNCTION("GOOGLETRANSLATE(D231,""EN"",""JA"")"),"アルファ-メチルフェネチルアミン")</f>
        <v>アルファ-メチルフェネチルアミン</v>
      </c>
      <c r="I231" s="1" t="str">
        <f>IFERROR(__xludf.DUMMYFUNCTION("GOOGLETRANSLATE(E231,""EN"",""JA"")"),"アルファメチルフェネチルアミン; アンフェタミン")</f>
        <v>アルファメチルフェネチルアミン; アンフェタミン</v>
      </c>
      <c r="J231" s="1" t="str">
        <f>IFERROR(__xludf.DUMMYFUNCTION("GOOGLETRANSLATE(F231,""EN"",""JA"")"),"生物標本中のアルファ-メチルフェネチルアミンの測定。")</f>
        <v>生物標本中のアルファ-メチルフェネチルアミンの測定。</v>
      </c>
      <c r="K231" s="1" t="str">
        <f>IFERROR(__xludf.DUMMYFUNCTION("GOOGLETRANSLATE(G231,""EN"",""JA"")"),"アンフェタミン測定")</f>
        <v>アンフェタミン測定</v>
      </c>
    </row>
    <row r="232" ht="13.5" customHeight="1">
      <c r="A232" s="1" t="s">
        <v>11</v>
      </c>
      <c r="B232" s="1" t="s">
        <v>1226</v>
      </c>
      <c r="C232" s="1" t="s">
        <v>1227</v>
      </c>
      <c r="D232" s="1" t="s">
        <v>1228</v>
      </c>
      <c r="E232" s="1" t="s">
        <v>1229</v>
      </c>
      <c r="F232" s="1" t="s">
        <v>1230</v>
      </c>
      <c r="G232" s="1" t="s">
        <v>1231</v>
      </c>
      <c r="H232" s="1" t="str">
        <f>IFERROR(__xludf.DUMMYFUNCTION("GOOGLETRANSLATE(D232,""EN"",""JA"")"),"アンフェタミン")</f>
        <v>アンフェタミン</v>
      </c>
      <c r="I232" s="1" t="str">
        <f>IFERROR(__xludf.DUMMYFUNCTION("GOOGLETRANSLATE(E232,""EN"",""JA"")"),"アンフェタミン")</f>
        <v>アンフェタミン</v>
      </c>
      <c r="J232" s="1" t="str">
        <f>IFERROR(__xludf.DUMMYFUNCTION("GOOGLETRANSLATE(F232,""EN"",""JA"")"),"生物学的標本中に存在するアンフェタミン類の薬物の測定。")</f>
        <v>生物学的標本中に存在するアンフェタミン類の薬物の測定。</v>
      </c>
      <c r="K232" s="1" t="str">
        <f>IFERROR(__xludf.DUMMYFUNCTION("GOOGLETRANSLATE(G232,""EN"",""JA"")"),"アンフェタミン薬物クラスの測定")</f>
        <v>アンフェタミン薬物クラスの測定</v>
      </c>
    </row>
    <row r="233" ht="13.5" customHeight="1">
      <c r="A233" s="1" t="s">
        <v>11</v>
      </c>
      <c r="B233" s="1" t="s">
        <v>1232</v>
      </c>
      <c r="C233" s="1" t="s">
        <v>1233</v>
      </c>
      <c r="D233" s="1" t="s">
        <v>1234</v>
      </c>
      <c r="E233" s="1" t="s">
        <v>1235</v>
      </c>
      <c r="F233" s="1" t="s">
        <v>1236</v>
      </c>
      <c r="G233" s="1" t="s">
        <v>1237</v>
      </c>
      <c r="H233" s="1" t="str">
        <f>IFERROR(__xludf.DUMMYFUNCTION("GOOGLETRANSLATE(D233,""EN"",""JA"")"),"デキストロアンフェタミン")</f>
        <v>デキストロアンフェタミン</v>
      </c>
      <c r="I233" s="1" t="str">
        <f>IFERROR(__xludf.DUMMYFUNCTION("GOOGLETRANSLATE(E233,""EN"",""JA"")"),"d-アンフェタミン; デキストロアンフェタミン")</f>
        <v>d-アンフェタミン; デキストロアンフェタミン</v>
      </c>
      <c r="J233" s="1" t="str">
        <f>IFERROR(__xludf.DUMMYFUNCTION("GOOGLETRANSLATE(F233,""EN"",""JA"")"),"生物学的標本中のデキストロアンフェタミンの測定。")</f>
        <v>生物学的標本中のデキストロアンフェタミンの測定。</v>
      </c>
      <c r="K233" s="1" t="str">
        <f>IFERROR(__xludf.DUMMYFUNCTION("GOOGLETRANSLATE(G233,""EN"",""JA"")"),"デキストロアンフェタミン測定")</f>
        <v>デキストロアンフェタミン測定</v>
      </c>
    </row>
    <row r="234" ht="13.5" customHeight="1">
      <c r="A234" s="1" t="s">
        <v>870</v>
      </c>
      <c r="B234" s="1" t="s">
        <v>1238</v>
      </c>
      <c r="C234" s="1" t="s">
        <v>1239</v>
      </c>
      <c r="D234" s="1" t="s">
        <v>1240</v>
      </c>
      <c r="E234" s="1" t="s">
        <v>1240</v>
      </c>
      <c r="F234" s="1" t="s">
        <v>1241</v>
      </c>
      <c r="G234" s="1" t="s">
        <v>1242</v>
      </c>
      <c r="H234" s="1" t="str">
        <f>IFERROR(__xludf.DUMMYFUNCTION("GOOGLETRANSLATE(D234,""EN"",""JA"")"),"定常状態における分析対象物の量")</f>
        <v>定常状態における分析対象物の量</v>
      </c>
      <c r="I234" s="1" t="str">
        <f>IFERROR(__xludf.DUMMYFUNCTION("GOOGLETRANSLATE(E234,""EN"",""JA"")"),"定常状態における分析対象物の量")</f>
        <v>定常状態における分析対象物の量</v>
      </c>
      <c r="J234" s="1" t="str">
        <f>IFERROR(__xludf.DUMMYFUNCTION("GOOGLETRANSLATE(F234,""EN"",""JA"")"),"定常状態における体内の分析対象物の量。")</f>
        <v>定常状態における体内の分析対象物の量。</v>
      </c>
      <c r="K234" s="1" t="str">
        <f>IFERROR(__xludf.DUMMYFUNCTION("GOOGLETRANSLATE(G234,""EN"",""JA"")"),"定常状態における分析対象物の量")</f>
        <v>定常状態における分析対象物の量</v>
      </c>
    </row>
    <row r="235" ht="13.5" customHeight="1">
      <c r="A235" s="1" t="s">
        <v>870</v>
      </c>
      <c r="B235" s="1" t="s">
        <v>1243</v>
      </c>
      <c r="C235" s="1" t="s">
        <v>1244</v>
      </c>
      <c r="D235" s="1" t="s">
        <v>1245</v>
      </c>
      <c r="E235" s="1" t="s">
        <v>1245</v>
      </c>
      <c r="F235" s="1" t="s">
        <v>1246</v>
      </c>
      <c r="G235" s="1" t="s">
        <v>1247</v>
      </c>
      <c r="H235" s="1" t="str">
        <f>IFERROR(__xludf.DUMMYFUNCTION("GOOGLETRANSLATE(D235,""EN"",""JA"")"),"T時刻における分析対象物の量")</f>
        <v>T時刻における分析対象物の量</v>
      </c>
      <c r="I235" s="1" t="str">
        <f>IFERROR(__xludf.DUMMYFUNCTION("GOOGLETRANSLATE(E235,""EN"",""JA"")"),"T時刻における分析対象物の量")</f>
        <v>T時刻における分析対象物の量</v>
      </c>
      <c r="J235" s="1" t="str">
        <f>IFERROR(__xludf.DUMMYFUNCTION("GOOGLETRANSLATE(F235,""EN"",""JA"")"),"任意の時点 t における体内の分析対象物質の量。")</f>
        <v>任意の時点 t における体内の分析対象物質の量。</v>
      </c>
      <c r="K235" s="1" t="str">
        <f>IFERROR(__xludf.DUMMYFUNCTION("GOOGLETRANSLATE(G235,""EN"",""JA"")"),"時刻Tにおける分析対象物質の量")</f>
        <v>時刻Tにおける分析対象物質の量</v>
      </c>
    </row>
    <row r="236" ht="13.5" customHeight="1">
      <c r="A236" s="1" t="s">
        <v>11</v>
      </c>
      <c r="B236" s="1" t="s">
        <v>1248</v>
      </c>
      <c r="C236" s="1" t="s">
        <v>1249</v>
      </c>
      <c r="D236" s="1" t="s">
        <v>1250</v>
      </c>
      <c r="E236" s="1" t="s">
        <v>1250</v>
      </c>
      <c r="F236" s="1" t="s">
        <v>1251</v>
      </c>
      <c r="G236" s="1" t="s">
        <v>1252</v>
      </c>
      <c r="H236" s="1" t="str">
        <f>IFERROR(__xludf.DUMMYFUNCTION("GOOGLETRANSLATE(D236,""EN"",""JA"")"),"アミラーゼ")</f>
        <v>アミラーゼ</v>
      </c>
      <c r="I236" s="1" t="str">
        <f>IFERROR(__xludf.DUMMYFUNCTION("GOOGLETRANSLATE(E236,""EN"",""JA"")"),"アミラーゼ")</f>
        <v>アミラーゼ</v>
      </c>
      <c r="J236" s="1" t="str">
        <f>IFERROR(__xludf.DUMMYFUNCTION("GOOGLETRANSLATE(F236,""EN"",""JA"")"),"生物標本中の総酵素アミラーゼの測定。")</f>
        <v>生物標本中の総酵素アミラーゼの測定。</v>
      </c>
      <c r="K236" s="1" t="str">
        <f>IFERROR(__xludf.DUMMYFUNCTION("GOOGLETRANSLATE(G236,""EN"",""JA"")"),"アミラーゼ測定")</f>
        <v>アミラーゼ測定</v>
      </c>
    </row>
    <row r="237" ht="13.5" customHeight="1">
      <c r="A237" s="1" t="s">
        <v>11</v>
      </c>
      <c r="B237" s="1" t="s">
        <v>1253</v>
      </c>
      <c r="C237" s="1" t="s">
        <v>1254</v>
      </c>
      <c r="D237" s="1" t="s">
        <v>1255</v>
      </c>
      <c r="E237" s="1" t="s">
        <v>1255</v>
      </c>
      <c r="F237" s="1" t="s">
        <v>1256</v>
      </c>
      <c r="G237" s="1" t="s">
        <v>1257</v>
      </c>
      <c r="H237" s="1" t="str">
        <f>IFERROR(__xludf.DUMMYFUNCTION("GOOGLETRANSLATE(D237,""EN"",""JA"")"),"マクロアミラーゼ")</f>
        <v>マクロアミラーゼ</v>
      </c>
      <c r="I237" s="1" t="str">
        <f>IFERROR(__xludf.DUMMYFUNCTION("GOOGLETRANSLATE(E237,""EN"",""JA"")"),"マクロアミラーゼ")</f>
        <v>マクロアミラーゼ</v>
      </c>
      <c r="J237" s="1" t="str">
        <f>IFERROR(__xludf.DUMMYFUNCTION("GOOGLETRANSLATE(F237,""EN"",""JA"")"),"生物標本中のマクロアミラーゼの測定。")</f>
        <v>生物標本中のマクロアミラーゼの測定。</v>
      </c>
      <c r="K237" s="1" t="str">
        <f>IFERROR(__xludf.DUMMYFUNCTION("GOOGLETRANSLATE(G237,""EN"",""JA"")"),"マクロアミラーゼ測定")</f>
        <v>マクロアミラーゼ測定</v>
      </c>
    </row>
    <row r="238" ht="13.5" customHeight="1">
      <c r="A238" s="1" t="s">
        <v>11</v>
      </c>
      <c r="B238" s="1" t="s">
        <v>1258</v>
      </c>
      <c r="C238" s="1" t="s">
        <v>1259</v>
      </c>
      <c r="D238" s="1" t="s">
        <v>1260</v>
      </c>
      <c r="E238" s="1" t="s">
        <v>1261</v>
      </c>
      <c r="F238" s="1" t="s">
        <v>1262</v>
      </c>
      <c r="G238" s="1" t="s">
        <v>1263</v>
      </c>
      <c r="H238" s="1" t="str">
        <f>IFERROR(__xludf.DUMMYFUNCTION("GOOGLETRANSLATE(D238,""EN"",""JA"")"),"膵臓アミラーゼ")</f>
        <v>膵臓アミラーゼ</v>
      </c>
      <c r="I238" s="1" t="str">
        <f>IFERROR(__xludf.DUMMYFUNCTION("GOOGLETRANSLATE(E238,""EN"",""JA"")"),"膵アミラーゼ；膵アミラーゼアイソザイム")</f>
        <v>膵アミラーゼ；膵アミラーゼアイソザイム</v>
      </c>
      <c r="J238" s="1" t="str">
        <f>IFERROR(__xludf.DUMMYFUNCTION("GOOGLETRANSLATE(F238,""EN"",""JA"")"),"生物標本中の膵臓酵素アミラーゼの測定。")</f>
        <v>生物標本中の膵臓酵素アミラーゼの測定。</v>
      </c>
      <c r="K238" s="1" t="str">
        <f>IFERROR(__xludf.DUMMYFUNCTION("GOOGLETRANSLATE(G238,""EN"",""JA"")"),"膵アミラーゼ測定")</f>
        <v>膵アミラーゼ測定</v>
      </c>
    </row>
    <row r="239" ht="13.5" customHeight="1">
      <c r="A239" s="1" t="s">
        <v>11</v>
      </c>
      <c r="B239" s="1" t="s">
        <v>1264</v>
      </c>
      <c r="C239" s="1" t="s">
        <v>1265</v>
      </c>
      <c r="D239" s="1" t="s">
        <v>1266</v>
      </c>
      <c r="E239" s="1" t="s">
        <v>1267</v>
      </c>
      <c r="F239" s="1" t="s">
        <v>1268</v>
      </c>
      <c r="G239" s="1" t="s">
        <v>1269</v>
      </c>
      <c r="H239" s="1" t="str">
        <f>IFERROR(__xludf.DUMMYFUNCTION("GOOGLETRANSLATE(D239,""EN"",""JA"")"),"唾液アミラーゼ")</f>
        <v>唾液アミラーゼ</v>
      </c>
      <c r="I239" s="1" t="str">
        <f>IFERROR(__xludf.DUMMYFUNCTION("GOOGLETRANSLATE(E239,""EN"",""JA"")"),"唾液アミラーゼ；唾液アミラーゼアイソザイム")</f>
        <v>唾液アミラーゼ；唾液アミラーゼアイソザイム</v>
      </c>
      <c r="J239" s="1" t="str">
        <f>IFERROR(__xludf.DUMMYFUNCTION("GOOGLETRANSLATE(F239,""EN"",""JA"")"),"生物標本中の唾液酵素アミラーゼの測定。")</f>
        <v>生物標本中の唾液酵素アミラーゼの測定。</v>
      </c>
      <c r="K239" s="1" t="str">
        <f>IFERROR(__xludf.DUMMYFUNCTION("GOOGLETRANSLATE(G239,""EN"",""JA"")"),"唾液アミラーゼ測定")</f>
        <v>唾液アミラーゼ測定</v>
      </c>
    </row>
    <row r="240" ht="13.5" customHeight="1">
      <c r="A240" s="1" t="s">
        <v>11</v>
      </c>
      <c r="B240" s="1" t="s">
        <v>1270</v>
      </c>
      <c r="C240" s="1" t="s">
        <v>1271</v>
      </c>
      <c r="D240" s="1" t="s">
        <v>1272</v>
      </c>
      <c r="E240" s="1" t="s">
        <v>1273</v>
      </c>
      <c r="F240" s="1" t="s">
        <v>1274</v>
      </c>
      <c r="G240" s="1" t="s">
        <v>1275</v>
      </c>
      <c r="H240" s="1" t="str">
        <f>IFERROR(__xludf.DUMMYFUNCTION("GOOGLETRANSLATE(D240,""EN"",""JA"")"),"アミロイドβ1-38")</f>
        <v>アミロイドβ1-38</v>
      </c>
      <c r="I240" s="1" t="str">
        <f>IFERROR(__xludf.DUMMYFUNCTION("GOOGLETRANSLATE(E240,""EN"",""JA"")"),"アミロイドβ1-38; アミロイドβ38; アミロイドβ38タンパク質")</f>
        <v>アミロイドβ1-38; アミロイドβ38; アミロイドβ38タンパク質</v>
      </c>
      <c r="J240" s="1" t="str">
        <f>IFERROR(__xludf.DUMMYFUNCTION("GOOGLETRANSLATE(F240,""EN"",""JA"")"),"生物標本中のペプチド 1 ～ 38 で構成されるアミロイド ベータ タンパク質の測定。")</f>
        <v>生物標本中のペプチド 1 ～ 38 で構成されるアミロイド ベータ タンパク質の測定。</v>
      </c>
      <c r="K240" s="1" t="str">
        <f>IFERROR(__xludf.DUMMYFUNCTION("GOOGLETRANSLATE(G240,""EN"",""JA"")"),"アミロイドβ1-38測定")</f>
        <v>アミロイドβ1-38測定</v>
      </c>
    </row>
    <row r="241" ht="13.5" customHeight="1">
      <c r="A241" s="1" t="s">
        <v>11</v>
      </c>
      <c r="B241" s="1" t="s">
        <v>1276</v>
      </c>
      <c r="C241" s="1" t="s">
        <v>1277</v>
      </c>
      <c r="D241" s="1" t="s">
        <v>1278</v>
      </c>
      <c r="E241" s="1" t="s">
        <v>1279</v>
      </c>
      <c r="F241" s="1" t="s">
        <v>1280</v>
      </c>
      <c r="G241" s="1" t="s">
        <v>1281</v>
      </c>
      <c r="H241" s="1" t="str">
        <f>IFERROR(__xludf.DUMMYFUNCTION("GOOGLETRANSLATE(D241,""EN"",""JA"")"),"アミロイドβ1-40")</f>
        <v>アミロイドβ1-40</v>
      </c>
      <c r="I241" s="1" t="str">
        <f>IFERROR(__xludf.DUMMYFUNCTION("GOOGLETRANSLATE(E241,""EN"",""JA"")"),"アミロイドβ1-40; アミロイドβ40; アミロイドβ40タンパク質")</f>
        <v>アミロイドβ1-40; アミロイドβ40; アミロイドβ40タンパク質</v>
      </c>
      <c r="J241" s="1" t="str">
        <f>IFERROR(__xludf.DUMMYFUNCTION("GOOGLETRANSLATE(F241,""EN"",""JA"")"),"生物標本中のペプチド 1 ～ 40 で構成されるアミロイド ベータ タンパク質の測定。")</f>
        <v>生物標本中のペプチド 1 ～ 40 で構成されるアミロイド ベータ タンパク質の測定。</v>
      </c>
      <c r="K241" s="1" t="str">
        <f>IFERROR(__xludf.DUMMYFUNCTION("GOOGLETRANSLATE(G241,""EN"",""JA"")"),"アミロイドβ1-40測定")</f>
        <v>アミロイドβ1-40測定</v>
      </c>
    </row>
    <row r="242" ht="13.5" customHeight="1">
      <c r="A242" s="1" t="s">
        <v>11</v>
      </c>
      <c r="B242" s="1" t="s">
        <v>1282</v>
      </c>
      <c r="C242" s="1" t="s">
        <v>1283</v>
      </c>
      <c r="D242" s="1" t="s">
        <v>1284</v>
      </c>
      <c r="E242" s="1" t="s">
        <v>1285</v>
      </c>
      <c r="F242" s="1" t="s">
        <v>1286</v>
      </c>
      <c r="G242" s="1" t="s">
        <v>1287</v>
      </c>
      <c r="H242" s="1" t="str">
        <f>IFERROR(__xludf.DUMMYFUNCTION("GOOGLETRANSLATE(D242,""EN"",""JA"")"),"アミロイドβ1-41")</f>
        <v>アミロイドβ1-41</v>
      </c>
      <c r="I242" s="1" t="str">
        <f>IFERROR(__xludf.DUMMYFUNCTION("GOOGLETRANSLATE(E242,""EN"",""JA"")"),"アミロイドβ1-41; アミロイドβ41; アミロイドβ41タンパク質")</f>
        <v>アミロイドβ1-41; アミロイドβ41; アミロイドβ41タンパク質</v>
      </c>
      <c r="J242" s="1" t="str">
        <f>IFERROR(__xludf.DUMMYFUNCTION("GOOGLETRANSLATE(F242,""EN"",""JA"")"),"生物標本中のペプチド 1 ～ 41 で構成されるアミロイド ベータ タンパク質の測定。")</f>
        <v>生物標本中のペプチド 1 ～ 41 で構成されるアミロイド ベータ タンパク質の測定。</v>
      </c>
      <c r="K242" s="1" t="str">
        <f>IFERROR(__xludf.DUMMYFUNCTION("GOOGLETRANSLATE(G242,""EN"",""JA"")"),"アミロイドβ1-41測定")</f>
        <v>アミロイドβ1-41測定</v>
      </c>
    </row>
    <row r="243" ht="13.5" customHeight="1">
      <c r="A243" s="1" t="s">
        <v>11</v>
      </c>
      <c r="B243" s="1" t="s">
        <v>1288</v>
      </c>
      <c r="C243" s="1" t="s">
        <v>1289</v>
      </c>
      <c r="D243" s="1" t="s">
        <v>1290</v>
      </c>
      <c r="E243" s="1" t="s">
        <v>1291</v>
      </c>
      <c r="F243" s="1" t="s">
        <v>1292</v>
      </c>
      <c r="G243" s="1" t="s">
        <v>1293</v>
      </c>
      <c r="H243" s="1" t="str">
        <f>IFERROR(__xludf.DUMMYFUNCTION("GOOGLETRANSLATE(D243,""EN"",""JA"")"),"アミロイドβ1-42")</f>
        <v>アミロイドβ1-42</v>
      </c>
      <c r="I243" s="1" t="str">
        <f>IFERROR(__xludf.DUMMYFUNCTION("GOOGLETRANSLATE(E243,""EN"",""JA"")"),"アミロイドβ1-42; アミロイドβ42; アミロイドβ42タンパク質")</f>
        <v>アミロイドβ1-42; アミロイドβ42; アミロイドβ42タンパク質</v>
      </c>
      <c r="J243" s="1" t="str">
        <f>IFERROR(__xludf.DUMMYFUNCTION("GOOGLETRANSLATE(F243,""EN"",""JA"")"),"生物標本中のペプチド 1 ～ 42 で構成されるアミロイド ベータ タンパク質の測定。")</f>
        <v>生物標本中のペプチド 1 ～ 42 で構成されるアミロイド ベータ タンパク質の測定。</v>
      </c>
      <c r="K243" s="1" t="str">
        <f>IFERROR(__xludf.DUMMYFUNCTION("GOOGLETRANSLATE(G243,""EN"",""JA"")"),"ベータアミロイド42測定")</f>
        <v>ベータアミロイド42測定</v>
      </c>
    </row>
    <row r="244" ht="13.5" customHeight="1">
      <c r="A244" s="1" t="s">
        <v>11</v>
      </c>
      <c r="B244" s="1" t="s">
        <v>1294</v>
      </c>
      <c r="C244" s="1" t="s">
        <v>1295</v>
      </c>
      <c r="D244" s="1" t="s">
        <v>1296</v>
      </c>
      <c r="E244" s="1" t="s">
        <v>1296</v>
      </c>
      <c r="F244" s="1" t="s">
        <v>1297</v>
      </c>
      <c r="G244" s="1" t="s">
        <v>1298</v>
      </c>
      <c r="H244" s="1" t="str">
        <f>IFERROR(__xludf.DUMMYFUNCTION("GOOGLETRANSLATE(D244,""EN"",""JA"")"),"アミロイドA")</f>
        <v>アミロイドA</v>
      </c>
      <c r="I244" s="1" t="str">
        <f>IFERROR(__xludf.DUMMYFUNCTION("GOOGLETRANSLATE(E244,""EN"",""JA"")"),"アミロイドA")</f>
        <v>アミロイドA</v>
      </c>
      <c r="J244" s="1" t="str">
        <f>IFERROR(__xludf.DUMMYFUNCTION("GOOGLETRANSLATE(F244,""EN"",""JA"")"),"生物標本中のアミロイド A の総量の測定。")</f>
        <v>生物標本中のアミロイド A の総量の測定。</v>
      </c>
      <c r="K244" s="1" t="str">
        <f>IFERROR(__xludf.DUMMYFUNCTION("GOOGLETRANSLATE(G244,""EN"",""JA"")"),"アミロイドA測定")</f>
        <v>アミロイドA測定</v>
      </c>
    </row>
    <row r="245" ht="13.5" customHeight="1">
      <c r="A245" s="1" t="s">
        <v>11</v>
      </c>
      <c r="B245" s="1" t="s">
        <v>1299</v>
      </c>
      <c r="C245" s="1" t="s">
        <v>1300</v>
      </c>
      <c r="D245" s="1" t="s">
        <v>1301</v>
      </c>
      <c r="E245" s="1" t="s">
        <v>1302</v>
      </c>
      <c r="F245" s="1" t="s">
        <v>1303</v>
      </c>
      <c r="G245" s="1" t="s">
        <v>1304</v>
      </c>
      <c r="H245" s="1" t="str">
        <f>IFERROR(__xludf.DUMMYFUNCTION("GOOGLETRANSLATE(D245,""EN"",""JA"")"),"アミロイドβ")</f>
        <v>アミロイドβ</v>
      </c>
      <c r="I245" s="1" t="str">
        <f>IFERROR(__xludf.DUMMYFUNCTION("GOOGLETRANSLATE(E245,""EN"",""JA"")"),"アミロイドβ; βアミロイド")</f>
        <v>アミロイドβ; βアミロイド</v>
      </c>
      <c r="J245" s="1" t="str">
        <f>IFERROR(__xludf.DUMMYFUNCTION("GOOGLETRANSLATE(F245,""EN"",""JA"")"),"生物標本中の総アミロイドβの測定。")</f>
        <v>生物標本中の総アミロイドβの測定。</v>
      </c>
      <c r="K245" s="1" t="str">
        <f>IFERROR(__xludf.DUMMYFUNCTION("GOOGLETRANSLATE(G245,""EN"",""JA"")"),"ベータアミロイド測定")</f>
        <v>ベータアミロイド測定</v>
      </c>
    </row>
    <row r="246" ht="13.5" customHeight="1">
      <c r="A246" s="1" t="s">
        <v>11</v>
      </c>
      <c r="B246" s="1" t="s">
        <v>1305</v>
      </c>
      <c r="C246" s="1" t="s">
        <v>1306</v>
      </c>
      <c r="D246" s="1" t="s">
        <v>1307</v>
      </c>
      <c r="E246" s="1" t="s">
        <v>1308</v>
      </c>
      <c r="F246" s="1" t="s">
        <v>1309</v>
      </c>
      <c r="G246" s="1" t="s">
        <v>1310</v>
      </c>
      <c r="H246" s="1" t="str">
        <f>IFERROR(__xludf.DUMMYFUNCTION("GOOGLETRANSLATE(D246,""EN"",""JA"")"),"アミロイドP")</f>
        <v>アミロイドP</v>
      </c>
      <c r="I246" s="1" t="str">
        <f>IFERROR(__xludf.DUMMYFUNCTION("GOOGLETRANSLATE(E246,""EN"",""JA"")"),"アミロイドP; アミロイドP成分; SAP; 血清アミロイドP成分")</f>
        <v>アミロイドP; アミロイドP成分; SAP; 血清アミロイドP成分</v>
      </c>
      <c r="J246" s="1" t="str">
        <f>IFERROR(__xludf.DUMMYFUNCTION("GOOGLETRANSLATE(F246,""EN"",""JA"")"),"生物標本中のアミロイドPの総量の測定。")</f>
        <v>生物標本中のアミロイドPの総量の測定。</v>
      </c>
      <c r="K246" s="1" t="str">
        <f>IFERROR(__xludf.DUMMYFUNCTION("GOOGLETRANSLATE(G246,""EN"",""JA"")"),"アミロイドP測定")</f>
        <v>アミロイドP測定</v>
      </c>
    </row>
    <row r="247" ht="13.5" customHeight="1">
      <c r="A247" s="1" t="s">
        <v>201</v>
      </c>
      <c r="B247" s="1" t="s">
        <v>1311</v>
      </c>
      <c r="C247" s="1" t="s">
        <v>1312</v>
      </c>
      <c r="D247" s="1" t="s">
        <v>1313</v>
      </c>
      <c r="E247" s="1" t="s">
        <v>1314</v>
      </c>
      <c r="F247" s="1" t="s">
        <v>1315</v>
      </c>
      <c r="G247" s="1" t="s">
        <v>1316</v>
      </c>
      <c r="H247" s="1" t="str">
        <f>IFERROR(__xludf.DUMMYFUNCTION("GOOGLETRANSLATE(D247,""EN"",""JA"")"),"抗好中球抗体")</f>
        <v>抗好中球抗体</v>
      </c>
      <c r="I247" s="1" t="str">
        <f>IFERROR(__xludf.DUMMYFUNCTION("GOOGLETRANSLATE(E247,""EN"",""JA"")"),"抗好中球抗体；抗好中球自己抗体")</f>
        <v>抗好中球抗体；抗好中球自己抗体</v>
      </c>
      <c r="J247" s="1" t="str">
        <f>IFERROR(__xludf.DUMMYFUNCTION("GOOGLETRANSLATE(F247,""EN"",""JA"")"),"生物学的標本中の総抗好中球抗体の測定。")</f>
        <v>生物学的標本中の総抗好中球抗体の測定。</v>
      </c>
      <c r="K247" s="1" t="str">
        <f>IFERROR(__xludf.DUMMYFUNCTION("GOOGLETRANSLATE(G247,""EN"",""JA"")"),"抗好中球抗体測定")</f>
        <v>抗好中球抗体測定</v>
      </c>
    </row>
    <row r="248" ht="13.5" customHeight="1">
      <c r="A248" s="1" t="s">
        <v>11</v>
      </c>
      <c r="B248" s="1" t="s">
        <v>1317</v>
      </c>
      <c r="C248" s="1" t="s">
        <v>1318</v>
      </c>
      <c r="D248" s="1" t="s">
        <v>1319</v>
      </c>
      <c r="E248" s="1" t="s">
        <v>1319</v>
      </c>
      <c r="F248" s="1" t="s">
        <v>1320</v>
      </c>
      <c r="G248" s="1" t="s">
        <v>1321</v>
      </c>
      <c r="H248" s="1" t="str">
        <f>IFERROR(__xludf.DUMMYFUNCTION("GOOGLETRANSLATE(D248,""EN"",""JA"")"),"アナバシン")</f>
        <v>アナバシン</v>
      </c>
      <c r="I248" s="1" t="str">
        <f>IFERROR(__xludf.DUMMYFUNCTION("GOOGLETRANSLATE(E248,""EN"",""JA"")"),"アナバシン")</f>
        <v>アナバシン</v>
      </c>
      <c r="J248" s="1" t="str">
        <f>IFERROR(__xludf.DUMMYFUNCTION("GOOGLETRANSLATE(F248,""EN"",""JA"")"),"標本中のアナバシンの測定。")</f>
        <v>標本中のアナバシンの測定。</v>
      </c>
      <c r="K248" s="1" t="str">
        <f>IFERROR(__xludf.DUMMYFUNCTION("GOOGLETRANSLATE(G248,""EN"",""JA"")"),"アナバシン測定")</f>
        <v>アナバシン測定</v>
      </c>
    </row>
    <row r="249" ht="13.5" customHeight="1">
      <c r="A249" s="1" t="s">
        <v>11</v>
      </c>
      <c r="B249" s="1" t="s">
        <v>1322</v>
      </c>
      <c r="C249" s="1" t="s">
        <v>1323</v>
      </c>
      <c r="D249" s="1" t="s">
        <v>1324</v>
      </c>
      <c r="E249" s="1" t="s">
        <v>1324</v>
      </c>
      <c r="F249" s="1" t="s">
        <v>1325</v>
      </c>
      <c r="G249" s="1" t="s">
        <v>1326</v>
      </c>
      <c r="H249" s="1" t="str">
        <f>IFERROR(__xludf.DUMMYFUNCTION("GOOGLETRANSLATE(D249,""EN"",""JA"")"),"α-N-アセチルグルコサミニダーゼ")</f>
        <v>α-N-アセチルグルコサミニダーゼ</v>
      </c>
      <c r="I249" s="1" t="str">
        <f>IFERROR(__xludf.DUMMYFUNCTION("GOOGLETRANSLATE(E249,""EN"",""JA"")"),"α-N-アセチルグルコサミニダーゼ")</f>
        <v>α-N-アセチルグルコサミニダーゼ</v>
      </c>
      <c r="J249" s="1" t="str">
        <f>IFERROR(__xludf.DUMMYFUNCTION("GOOGLETRANSLATE(F249,""EN"",""JA"")"),"生物標本中のα-N-アセチルグルコサミニダーゼの測定。")</f>
        <v>生物標本中のα-N-アセチルグルコサミニダーゼの測定。</v>
      </c>
      <c r="K249" s="1" t="str">
        <f>IFERROR(__xludf.DUMMYFUNCTION("GOOGLETRANSLATE(G249,""EN"",""JA"")"),"α-N-アセチルグルコサミニダーゼ測定")</f>
        <v>α-N-アセチルグルコサミニダーゼ測定</v>
      </c>
    </row>
    <row r="250" ht="13.5" customHeight="1">
      <c r="A250" s="1" t="s">
        <v>67</v>
      </c>
      <c r="B250" s="1" t="s">
        <v>1327</v>
      </c>
      <c r="C250" s="1" t="s">
        <v>1328</v>
      </c>
      <c r="D250" s="1" t="s">
        <v>1329</v>
      </c>
      <c r="E250" s="1" t="s">
        <v>1329</v>
      </c>
      <c r="F250" s="1" t="s">
        <v>1330</v>
      </c>
      <c r="G250" s="1" t="s">
        <v>1331</v>
      </c>
      <c r="H250" s="1" t="str">
        <f>IFERROR(__xludf.DUMMYFUNCTION("GOOGLETRANSLATE(D250,""EN"",""JA"")"),"アナプラズマDNA")</f>
        <v>アナプラズマDNA</v>
      </c>
      <c r="I250" s="1" t="str">
        <f>IFERROR(__xludf.DUMMYFUNCTION("GOOGLETRANSLATE(E250,""EN"",""JA"")"),"アナプラズマDNA")</f>
        <v>アナプラズマDNA</v>
      </c>
      <c r="J250" s="1" t="str">
        <f>IFERROR(__xludf.DUMMYFUNCTION("GOOGLETRANSLATE(F250,""EN"",""JA"")"),"生物標本中のアナプラズマ属の任意のメンバーの DNA の測定。")</f>
        <v>生物標本中のアナプラズマ属の任意のメンバーの DNA の測定。</v>
      </c>
      <c r="K250" s="1" t="str">
        <f>IFERROR(__xludf.DUMMYFUNCTION("GOOGLETRANSLATE(G250,""EN"",""JA"")"),"アナプラズマDNA測定")</f>
        <v>アナプラズマDNA測定</v>
      </c>
    </row>
    <row r="251" ht="13.5" customHeight="1">
      <c r="A251" s="1" t="s">
        <v>67</v>
      </c>
      <c r="B251" s="1" t="s">
        <v>1332</v>
      </c>
      <c r="C251" s="1" t="s">
        <v>1333</v>
      </c>
      <c r="D251" s="1" t="s">
        <v>1334</v>
      </c>
      <c r="E251" s="1" t="s">
        <v>1334</v>
      </c>
      <c r="F251" s="1" t="s">
        <v>1335</v>
      </c>
      <c r="G251" s="1" t="s">
        <v>1336</v>
      </c>
      <c r="H251" s="1" t="str">
        <f>IFERROR(__xludf.DUMMYFUNCTION("GOOGLETRANSLATE(D251,""EN"",""JA"")"),"アナプラズマ")</f>
        <v>アナプラズマ</v>
      </c>
      <c r="I251" s="1" t="str">
        <f>IFERROR(__xludf.DUMMYFUNCTION("GOOGLETRANSLATE(E251,""EN"",""JA"")"),"アナプラズマ")</f>
        <v>アナプラズマ</v>
      </c>
      <c r="J251" s="1" t="str">
        <f>IFERROR(__xludf.DUMMYFUNCTION("GOOGLETRANSLATE(F251,""EN"",""JA"")"),"生物標本において、種レベルには割り当てられていないが、アナプラズマ属レベルに割り当てられている生物の測定値。")</f>
        <v>生物標本において、種レベルには割り当てられていないが、アナプラズマ属レベルに割り当てられている生物の測定値。</v>
      </c>
      <c r="K251" s="1" t="str">
        <f>IFERROR(__xludf.DUMMYFUNCTION("GOOGLETRANSLATE(G251,""EN"",""JA"")"),"アナプラズマ測定")</f>
        <v>アナプラズマ測定</v>
      </c>
    </row>
    <row r="252" ht="13.5" customHeight="1">
      <c r="A252" s="1" t="s">
        <v>67</v>
      </c>
      <c r="B252" s="1" t="s">
        <v>1337</v>
      </c>
      <c r="C252" s="1" t="s">
        <v>1338</v>
      </c>
      <c r="D252" s="1" t="s">
        <v>1339</v>
      </c>
      <c r="E252" s="1" t="s">
        <v>1339</v>
      </c>
      <c r="F252" s="1" t="s">
        <v>1340</v>
      </c>
      <c r="G252" s="1" t="s">
        <v>1341</v>
      </c>
      <c r="H252" s="1" t="str">
        <f>IFERROR(__xludf.DUMMYFUNCTION("GOOGLETRANSLATE(D252,""EN"",""JA"")"),"嫌気性細菌")</f>
        <v>嫌気性細菌</v>
      </c>
      <c r="I252" s="1" t="str">
        <f>IFERROR(__xludf.DUMMYFUNCTION("GOOGLETRANSLATE(E252,""EN"",""JA"")"),"嫌気性細菌")</f>
        <v>嫌気性細菌</v>
      </c>
      <c r="J252" s="1" t="str">
        <f>IFERROR(__xludf.DUMMYFUNCTION("GOOGLETRANSLATE(F252,""EN"",""JA"")"),"生物標本中の嫌気性細菌の測定。")</f>
        <v>生物標本中の嫌気性細菌の測定。</v>
      </c>
      <c r="K252" s="1" t="str">
        <f>IFERROR(__xludf.DUMMYFUNCTION("GOOGLETRANSLATE(G252,""EN"",""JA"")"),"嫌気性細菌の測定")</f>
        <v>嫌気性細菌の測定</v>
      </c>
    </row>
    <row r="253" ht="13.5" customHeight="1">
      <c r="A253" s="1" t="s">
        <v>1342</v>
      </c>
      <c r="B253" s="1" t="s">
        <v>1343</v>
      </c>
      <c r="C253" s="1" t="s">
        <v>1344</v>
      </c>
      <c r="D253" s="1" t="s">
        <v>1345</v>
      </c>
      <c r="E253" s="1" t="s">
        <v>1345</v>
      </c>
      <c r="F253" s="1" t="s">
        <v>1346</v>
      </c>
      <c r="G253" s="1" t="s">
        <v>1345</v>
      </c>
      <c r="H253" s="1" t="str">
        <f>IFERROR(__xludf.DUMMYFUNCTION("GOOGLETRANSLATE(D253,""EN"",""JA"")"),"解剖学的反応")</f>
        <v>解剖学的反応</v>
      </c>
      <c r="I253" s="1" t="str">
        <f>IFERROR(__xludf.DUMMYFUNCTION("GOOGLETRANSLATE(E253,""EN"",""JA"")"),"解剖学的反応")</f>
        <v>解剖学的反応</v>
      </c>
      <c r="J253" s="1" t="str">
        <f>IFERROR(__xludf.DUMMYFUNCTION("GOOGLETRANSLATE(F253,""EN"",""JA"")"),"治療法に対する疾患の解剖学的反応（解剖学的構造のサイズの変化に基づく）の評価。")</f>
        <v>治療法に対する疾患の解剖学的反応（解剖学的構造のサイズの変化に基づく）の評価。</v>
      </c>
      <c r="K253" s="1" t="str">
        <f>IFERROR(__xludf.DUMMYFUNCTION("GOOGLETRANSLATE(G253,""EN"",""JA"")"),"解剖学的反応")</f>
        <v>解剖学的反応</v>
      </c>
    </row>
    <row r="254" ht="13.5" customHeight="1">
      <c r="A254" s="1" t="s">
        <v>201</v>
      </c>
      <c r="B254" s="1" t="s">
        <v>1347</v>
      </c>
      <c r="C254" s="1" t="s">
        <v>1348</v>
      </c>
      <c r="D254" s="1" t="s">
        <v>1349</v>
      </c>
      <c r="E254" s="1" t="s">
        <v>1350</v>
      </c>
      <c r="F254" s="1" t="s">
        <v>1351</v>
      </c>
      <c r="G254" s="1" t="s">
        <v>1352</v>
      </c>
      <c r="H254" s="1" t="str">
        <f>IFERROR(__xludf.DUMMYFUNCTION("GOOGLETRANSLATE(D254,""EN"",""JA"")"),"抗好中球細胞質抗体")</f>
        <v>抗好中球細胞質抗体</v>
      </c>
      <c r="I254" s="1" t="str">
        <f>IFERROR(__xludf.DUMMYFUNCTION("GOOGLETRANSLATE(E254,""EN"",""JA"")"),"抗好中球細胞質抗体；抗好中球細胞質自己抗体")</f>
        <v>抗好中球細胞質抗体；抗好中球細胞質自己抗体</v>
      </c>
      <c r="J254" s="1" t="str">
        <f>IFERROR(__xludf.DUMMYFUNCTION("GOOGLETRANSLATE(F254,""EN"",""JA"")"),"生物学的標本中の抗好中球細胞質抗体の測定。")</f>
        <v>生物学的標本中の抗好中球細胞質抗体の測定。</v>
      </c>
      <c r="K254" s="1" t="str">
        <f>IFERROR(__xludf.DUMMYFUNCTION("GOOGLETRANSLATE(G254,""EN"",""JA"")"),"抗好中球細胞質抗体測定")</f>
        <v>抗好中球細胞質抗体測定</v>
      </c>
    </row>
    <row r="255" ht="13.5" customHeight="1">
      <c r="A255" s="1" t="s">
        <v>201</v>
      </c>
      <c r="B255" s="1" t="s">
        <v>1353</v>
      </c>
      <c r="C255" s="1" t="s">
        <v>1354</v>
      </c>
      <c r="D255" s="1" t="s">
        <v>1355</v>
      </c>
      <c r="E255" s="1" t="s">
        <v>1356</v>
      </c>
      <c r="F255" s="1" t="s">
        <v>1357</v>
      </c>
      <c r="G255" s="1" t="s">
        <v>1358</v>
      </c>
      <c r="H255" s="1" t="str">
        <f>IFERROR(__xludf.DUMMYFUNCTION("GOOGLETRANSLATE(D255,""EN"",""JA"")"),"抗好中球細胞質IgG抗体")</f>
        <v>抗好中球細胞質IgG抗体</v>
      </c>
      <c r="I255" s="1" t="str">
        <f>IFERROR(__xludf.DUMMYFUNCTION("GOOGLETRANSLATE(E255,""EN"",""JA"")"),"抗好中球細胞質IgG抗体；抗好中球細胞質IgG自己抗体")</f>
        <v>抗好中球細胞質IgG抗体；抗好中球細胞質IgG自己抗体</v>
      </c>
      <c r="J255" s="1" t="str">
        <f>IFERROR(__xludf.DUMMYFUNCTION("GOOGLETRANSLATE(F255,""EN"",""JA"")"),"生物学的標本中の抗好中球細胞質IgG抗体の測定。")</f>
        <v>生物学的標本中の抗好中球細胞質IgG抗体の測定。</v>
      </c>
      <c r="K255" s="1" t="str">
        <f>IFERROR(__xludf.DUMMYFUNCTION("GOOGLETRANSLATE(G255,""EN"",""JA"")"),"抗好中球細胞質IgG抗体測定")</f>
        <v>抗好中球細胞質IgG抗体測定</v>
      </c>
    </row>
    <row r="256" ht="13.5" customHeight="1">
      <c r="A256" s="1" t="s">
        <v>11</v>
      </c>
      <c r="B256" s="1" t="s">
        <v>1359</v>
      </c>
      <c r="C256" s="1" t="s">
        <v>1360</v>
      </c>
      <c r="D256" s="1" t="s">
        <v>1361</v>
      </c>
      <c r="E256" s="1" t="s">
        <v>1361</v>
      </c>
      <c r="F256" s="1" t="s">
        <v>1362</v>
      </c>
      <c r="G256" s="1" t="s">
        <v>1363</v>
      </c>
      <c r="H256" s="1" t="str">
        <f>IFERROR(__xludf.DUMMYFUNCTION("GOOGLETRANSLATE(D256,""EN"",""JA"")"),"アンドロステンジオール")</f>
        <v>アンドロステンジオール</v>
      </c>
      <c r="I256" s="1" t="str">
        <f>IFERROR(__xludf.DUMMYFUNCTION("GOOGLETRANSLATE(E256,""EN"",""JA"")"),"アンドロステンジオール")</f>
        <v>アンドロステンジオール</v>
      </c>
      <c r="J256" s="1" t="str">
        <f>IFERROR(__xludf.DUMMYFUNCTION("GOOGLETRANSLATE(F256,""EN"",""JA"")"),"生物標本中のアンドロステンジオール代謝物の測定。")</f>
        <v>生物標本中のアンドロステンジオール代謝物の測定。</v>
      </c>
      <c r="K256" s="1" t="str">
        <f>IFERROR(__xludf.DUMMYFUNCTION("GOOGLETRANSLATE(G256,""EN"",""JA"")"),"アンドロステンジオール代謝物測定")</f>
        <v>アンドロステンジオール代謝物測定</v>
      </c>
    </row>
    <row r="257" ht="13.5" customHeight="1">
      <c r="A257" s="1" t="s">
        <v>11</v>
      </c>
      <c r="B257" s="1" t="s">
        <v>1364</v>
      </c>
      <c r="C257" s="1" t="s">
        <v>1365</v>
      </c>
      <c r="D257" s="1" t="s">
        <v>1366</v>
      </c>
      <c r="E257" s="1" t="s">
        <v>1367</v>
      </c>
      <c r="F257" s="1" t="s">
        <v>1368</v>
      </c>
      <c r="G257" s="1" t="s">
        <v>1369</v>
      </c>
      <c r="H257" s="1" t="str">
        <f>IFERROR(__xludf.DUMMYFUNCTION("GOOGLETRANSLATE(D257,""EN"",""JA"")"),"アンドロステンジオン")</f>
        <v>アンドロステンジオン</v>
      </c>
      <c r="I257" s="1" t="str">
        <f>IFERROR(__xludf.DUMMYFUNCTION("GOOGLETRANSLATE(E257,""EN"",""JA"")"),"4-アンドロステンジオン; アンドロステンジオン")</f>
        <v>4-アンドロステンジオン; アンドロステンジオン</v>
      </c>
      <c r="J257" s="1" t="str">
        <f>IFERROR(__xludf.DUMMYFUNCTION("GOOGLETRANSLATE(F257,""EN"",""JA"")"),"生物標本中のアンドロステンジオンホルモンの測定。")</f>
        <v>生物標本中のアンドロステンジオンホルモンの測定。</v>
      </c>
      <c r="K257" s="1" t="str">
        <f>IFERROR(__xludf.DUMMYFUNCTION("GOOGLETRANSLATE(G257,""EN"",""JA"")"),"アンドロステンジオンの測定")</f>
        <v>アンドロステンジオンの測定</v>
      </c>
    </row>
    <row r="258" ht="13.5" customHeight="1">
      <c r="A258" s="1" t="s">
        <v>11</v>
      </c>
      <c r="B258" s="1" t="s">
        <v>1370</v>
      </c>
      <c r="C258" s="1" t="s">
        <v>1371</v>
      </c>
      <c r="D258" s="1" t="s">
        <v>1372</v>
      </c>
      <c r="E258" s="1" t="s">
        <v>1372</v>
      </c>
      <c r="F258" s="1" t="s">
        <v>1373</v>
      </c>
      <c r="G258" s="1" t="s">
        <v>1374</v>
      </c>
      <c r="H258" s="1" t="str">
        <f>IFERROR(__xludf.DUMMYFUNCTION("GOOGLETRANSLATE(D258,""EN"",""JA"")"),"アンドロステロン")</f>
        <v>アンドロステロン</v>
      </c>
      <c r="I258" s="1" t="str">
        <f>IFERROR(__xludf.DUMMYFUNCTION("GOOGLETRANSLATE(E258,""EN"",""JA"")"),"アンドロステロン")</f>
        <v>アンドロステロン</v>
      </c>
      <c r="J258" s="1" t="str">
        <f>IFERROR(__xludf.DUMMYFUNCTION("GOOGLETRANSLATE(F258,""EN"",""JA"")"),"生物標本中のアンドロステロンの測定。")</f>
        <v>生物標本中のアンドロステロンの測定。</v>
      </c>
      <c r="K258" s="1" t="str">
        <f>IFERROR(__xludf.DUMMYFUNCTION("GOOGLETRANSLATE(G258,""EN"",""JA"")"),"アンドロステロン測定")</f>
        <v>アンドロステロン測定</v>
      </c>
    </row>
    <row r="259" ht="13.5" customHeight="1">
      <c r="A259" s="1" t="s">
        <v>90</v>
      </c>
      <c r="B259" s="1" t="s">
        <v>1375</v>
      </c>
      <c r="C259" s="1" t="s">
        <v>1376</v>
      </c>
      <c r="D259" s="1" t="s">
        <v>1377</v>
      </c>
      <c r="E259" s="1" t="s">
        <v>1377</v>
      </c>
      <c r="F259" s="1" t="s">
        <v>1378</v>
      </c>
      <c r="G259" s="1" t="s">
        <v>1377</v>
      </c>
      <c r="H259" s="1" t="str">
        <f>IFERROR(__xludf.DUMMYFUNCTION("GOOGLETRANSLATE(D259,""EN"",""JA"")"),"動脈瘤インジケーター")</f>
        <v>動脈瘤インジケーター</v>
      </c>
      <c r="I259" s="1" t="str">
        <f>IFERROR(__xludf.DUMMYFUNCTION("GOOGLETRANSLATE(E259,""EN"",""JA"")"),"動脈瘤インジケーター")</f>
        <v>動脈瘤インジケーター</v>
      </c>
      <c r="J259" s="1" t="str">
        <f>IFERROR(__xludf.DUMMYFUNCTION("GOOGLETRANSLATE(F259,""EN"",""JA"")"),"1 つ以上の動脈瘤が存在するかどうかを示します。")</f>
        <v>1 つ以上の動脈瘤が存在するかどうかを示します。</v>
      </c>
      <c r="K259" s="1" t="str">
        <f>IFERROR(__xludf.DUMMYFUNCTION("GOOGLETRANSLATE(G259,""EN"",""JA"")"),"動脈瘤インジケーター")</f>
        <v>動脈瘤インジケーター</v>
      </c>
    </row>
    <row r="260" ht="13.5" customHeight="1">
      <c r="A260" s="1" t="s">
        <v>11</v>
      </c>
      <c r="B260" s="1" t="s">
        <v>1379</v>
      </c>
      <c r="C260" s="1" t="s">
        <v>1380</v>
      </c>
      <c r="D260" s="1" t="s">
        <v>1381</v>
      </c>
      <c r="E260" s="1" t="s">
        <v>1382</v>
      </c>
      <c r="F260" s="1" t="s">
        <v>1383</v>
      </c>
      <c r="G260" s="1" t="s">
        <v>1384</v>
      </c>
      <c r="H260" s="1" t="str">
        <f>IFERROR(__xludf.DUMMYFUNCTION("GOOGLETRANSLATE(D260,""EN"",""JA"")"),"抗グロブリン試験、間接")</f>
        <v>抗グロブリン試験、間接</v>
      </c>
      <c r="I260" s="1" t="str">
        <f>IFERROR(__xludf.DUMMYFUNCTION("GOOGLETRANSLATE(E260,""EN"",""JA"")"),"間接抗グロブリン試験；間接クームス試験")</f>
        <v>間接抗グロブリン試験；間接クームス試験</v>
      </c>
      <c r="J260" s="1" t="str">
        <f>IFERROR(__xludf.DUMMYFUNCTION("GOOGLETRANSLATE(F260,""EN"",""JA"")"),"クームス試薬を使用して生物学的標本中の抗赤血球抗体の存在を検出する検査。")</f>
        <v>クームス試薬を使用して生物学的標本中の抗赤血球抗体の存在を検出する検査。</v>
      </c>
      <c r="K260" s="1" t="str">
        <f>IFERROR(__xludf.DUMMYFUNCTION("GOOGLETRANSLATE(G260,""EN"",""JA"")"),"間接抗グロブリン試験")</f>
        <v>間接抗グロブリン試験</v>
      </c>
    </row>
    <row r="261" ht="13.5" customHeight="1">
      <c r="A261" s="1" t="s">
        <v>11</v>
      </c>
      <c r="B261" s="1" t="s">
        <v>1385</v>
      </c>
      <c r="C261" s="1" t="s">
        <v>1386</v>
      </c>
      <c r="D261" s="1" t="s">
        <v>1387</v>
      </c>
      <c r="E261" s="1" t="s">
        <v>1388</v>
      </c>
      <c r="F261" s="1" t="s">
        <v>1389</v>
      </c>
      <c r="G261" s="1" t="s">
        <v>1390</v>
      </c>
      <c r="H261" s="1" t="str">
        <f>IFERROR(__xludf.DUMMYFUNCTION("GOOGLETRANSLATE(D261,""EN"",""JA"")"),"抗グロブリン検査、直接")</f>
        <v>抗グロブリン検査、直接</v>
      </c>
      <c r="I261" s="1" t="str">
        <f>IFERROR(__xludf.DUMMYFUNCTION("GOOGLETRANSLATE(E261,""EN"",""JA"")"),"多特異性抗グロブリン試験、直接抗グロブリン試験、直接クームス試験")</f>
        <v>多特異性抗グロブリン試験、直接抗グロブリン試験、直接クームス試験</v>
      </c>
      <c r="J261" s="1" t="str">
        <f>IFERROR(__xludf.DUMMYFUNCTION("GOOGLETRANSLATE(F261,""EN"",""JA"")"),"生体内の生物学的標本内の抗体または補体で覆われた赤血球の測定。")</f>
        <v>生体内の生物学的標本内の抗体または補体で覆われた赤血球の測定。</v>
      </c>
      <c r="K261" s="1" t="str">
        <f>IFERROR(__xludf.DUMMYFUNCTION("GOOGLETRANSLATE(G261,""EN"",""JA"")"),"直接抗グロブリン試験")</f>
        <v>直接抗グロブリン試験</v>
      </c>
    </row>
    <row r="262" ht="13.5" customHeight="1">
      <c r="A262" s="1" t="s">
        <v>11</v>
      </c>
      <c r="B262" s="1" t="s">
        <v>1391</v>
      </c>
      <c r="C262" s="1" t="s">
        <v>1392</v>
      </c>
      <c r="D262" s="1" t="s">
        <v>1393</v>
      </c>
      <c r="E262" s="1" t="s">
        <v>1393</v>
      </c>
      <c r="F262" s="1" t="s">
        <v>1394</v>
      </c>
      <c r="G262" s="1" t="s">
        <v>1395</v>
      </c>
      <c r="H262" s="1" t="str">
        <f>IFERROR(__xludf.DUMMYFUNCTION("GOOGLETRANSLATE(D262,""EN"",""JA"")"),"アンジオポエチン1")</f>
        <v>アンジオポエチン1</v>
      </c>
      <c r="I262" s="1" t="str">
        <f>IFERROR(__xludf.DUMMYFUNCTION("GOOGLETRANSLATE(E262,""EN"",""JA"")"),"アンジオポエチン1")</f>
        <v>アンジオポエチン1</v>
      </c>
      <c r="J262" s="1" t="str">
        <f>IFERROR(__xludf.DUMMYFUNCTION("GOOGLETRANSLATE(F262,""EN"",""JA"")"),"生物標本中のアンジオポエチン 1 の測定。")</f>
        <v>生物標本中のアンジオポエチン 1 の測定。</v>
      </c>
      <c r="K262" s="1" t="str">
        <f>IFERROR(__xludf.DUMMYFUNCTION("GOOGLETRANSLATE(G262,""EN"",""JA"")"),"アンジオポエチン1測定")</f>
        <v>アンジオポエチン1測定</v>
      </c>
    </row>
    <row r="263" ht="13.5" customHeight="1">
      <c r="A263" s="1" t="s">
        <v>11</v>
      </c>
      <c r="B263" s="1" t="s">
        <v>1396</v>
      </c>
      <c r="C263" s="1" t="s">
        <v>1397</v>
      </c>
      <c r="D263" s="1" t="s">
        <v>1398</v>
      </c>
      <c r="E263" s="1" t="s">
        <v>1399</v>
      </c>
      <c r="F263" s="1" t="s">
        <v>1400</v>
      </c>
      <c r="G263" s="1" t="s">
        <v>1401</v>
      </c>
      <c r="H263" s="1" t="str">
        <f>IFERROR(__xludf.DUMMYFUNCTION("GOOGLETRANSLATE(D263,""EN"",""JA"")"),"アンジオポエチン2")</f>
        <v>アンジオポエチン2</v>
      </c>
      <c r="I263" s="1" t="str">
        <f>IFERROR(__xludf.DUMMYFUNCTION("GOOGLETRANSLATE(E263,""EN"",""JA"")"),"ANG2; アンジオポエチン2")</f>
        <v>ANG2; アンジオポエチン2</v>
      </c>
      <c r="J263" s="1" t="str">
        <f>IFERROR(__xludf.DUMMYFUNCTION("GOOGLETRANSLATE(F263,""EN"",""JA"")"),"生物標本中のアンジオポエチン 2 の測定。")</f>
        <v>生物標本中のアンジオポエチン 2 の測定。</v>
      </c>
      <c r="K263" s="1" t="str">
        <f>IFERROR(__xludf.DUMMYFUNCTION("GOOGLETRANSLATE(G263,""EN"",""JA"")"),"アンジオポエチン2測定")</f>
        <v>アンジオポエチン2測定</v>
      </c>
    </row>
    <row r="264" ht="13.5" customHeight="1">
      <c r="A264" s="1" t="s">
        <v>11</v>
      </c>
      <c r="B264" s="1" t="s">
        <v>1402</v>
      </c>
      <c r="C264" s="1" t="s">
        <v>1403</v>
      </c>
      <c r="D264" s="1" t="s">
        <v>1404</v>
      </c>
      <c r="E264" s="1" t="s">
        <v>1405</v>
      </c>
      <c r="F264" s="1" t="s">
        <v>1406</v>
      </c>
      <c r="G264" s="1" t="s">
        <v>1407</v>
      </c>
      <c r="H264" s="1" t="str">
        <f>IFERROR(__xludf.DUMMYFUNCTION("GOOGLETRANSLATE(D264,""EN"",""JA"")"),"アンジオポエチン関連タンパク質4")</f>
        <v>アンジオポエチン関連タンパク質4</v>
      </c>
      <c r="I264" s="1" t="str">
        <f>IFERROR(__xludf.DUMMYFUNCTION("GOOGLETRANSLATE(E264,""EN"",""JA"")"),"アンジオポエチン様4; アンジオポエチン関連タンパク質4; ARP4; FIAF; 肝アンジオポエチン関連タンパク質; HFARP; PGAR")</f>
        <v>アンジオポエチン様4; アンジオポエチン関連タンパク質4; ARP4; FIAF; 肝アンジオポエチン関連タンパク質; HFARP; PGAR</v>
      </c>
      <c r="J264" s="1" t="str">
        <f>IFERROR(__xludf.DUMMYFUNCTION("GOOGLETRANSLATE(F264,""EN"",""JA"")"),"生物標本中のアンジオポエチン関連タンパク質 4 の測定。")</f>
        <v>生物標本中のアンジオポエチン関連タンパク質 4 の測定。</v>
      </c>
      <c r="K264" s="1" t="str">
        <f>IFERROR(__xludf.DUMMYFUNCTION("GOOGLETRANSLATE(G264,""EN"",""JA"")"),"アンジオポエチン関連タンパク質4の測定")</f>
        <v>アンジオポエチン関連タンパク質4の測定</v>
      </c>
    </row>
    <row r="265" ht="13.5" customHeight="1">
      <c r="A265" s="1" t="s">
        <v>11</v>
      </c>
      <c r="B265" s="1" t="s">
        <v>1408</v>
      </c>
      <c r="C265" s="1" t="s">
        <v>1409</v>
      </c>
      <c r="D265" s="1" t="s">
        <v>1410</v>
      </c>
      <c r="E265" s="1" t="s">
        <v>1410</v>
      </c>
      <c r="F265" s="1" t="s">
        <v>1411</v>
      </c>
      <c r="G265" s="1" t="s">
        <v>1412</v>
      </c>
      <c r="H265" s="1" t="str">
        <f>IFERROR(__xludf.DUMMYFUNCTION("GOOGLETRANSLATE(D265,""EN"",""JA"")"),"アンジオテンシンI")</f>
        <v>アンジオテンシンI</v>
      </c>
      <c r="I265" s="1" t="str">
        <f>IFERROR(__xludf.DUMMYFUNCTION("GOOGLETRANSLATE(E265,""EN"",""JA"")"),"アンジオテンシンI")</f>
        <v>アンジオテンシンI</v>
      </c>
      <c r="J265" s="1" t="str">
        <f>IFERROR(__xludf.DUMMYFUNCTION("GOOGLETRANSLATE(F265,""EN"",""JA"")"),"生物標本中のアンジオテンシン I ホルモンの測定。")</f>
        <v>生物標本中のアンジオテンシン I ホルモンの測定。</v>
      </c>
      <c r="K265" s="1" t="str">
        <f>IFERROR(__xludf.DUMMYFUNCTION("GOOGLETRANSLATE(G265,""EN"",""JA"")"),"アンジオテンシンI測定")</f>
        <v>アンジオテンシンI測定</v>
      </c>
    </row>
    <row r="266" ht="13.5" customHeight="1">
      <c r="A266" s="1" t="s">
        <v>11</v>
      </c>
      <c r="B266" s="1" t="s">
        <v>1413</v>
      </c>
      <c r="C266" s="1" t="s">
        <v>1414</v>
      </c>
      <c r="D266" s="1" t="s">
        <v>1415</v>
      </c>
      <c r="E266" s="1" t="s">
        <v>1415</v>
      </c>
      <c r="F266" s="1" t="s">
        <v>1416</v>
      </c>
      <c r="G266" s="1" t="s">
        <v>1417</v>
      </c>
      <c r="H266" s="1" t="str">
        <f>IFERROR(__xludf.DUMMYFUNCTION("GOOGLETRANSLATE(D266,""EN"",""JA"")"),"アンジオテンシンII")</f>
        <v>アンジオテンシンII</v>
      </c>
      <c r="I266" s="1" t="str">
        <f>IFERROR(__xludf.DUMMYFUNCTION("GOOGLETRANSLATE(E266,""EN"",""JA"")"),"アンジオテンシンII")</f>
        <v>アンジオテンシンII</v>
      </c>
      <c r="J266" s="1" t="str">
        <f>IFERROR(__xludf.DUMMYFUNCTION("GOOGLETRANSLATE(F266,""EN"",""JA"")"),"生物標本中のアンジオテンシン II ホルモンの測定。")</f>
        <v>生物標本中のアンジオテンシン II ホルモンの測定。</v>
      </c>
      <c r="K266" s="1" t="str">
        <f>IFERROR(__xludf.DUMMYFUNCTION("GOOGLETRANSLATE(G266,""EN"",""JA"")"),"アンジオテンシンII測定")</f>
        <v>アンジオテンシンII測定</v>
      </c>
    </row>
    <row r="267" ht="13.5" customHeight="1">
      <c r="A267" s="1" t="s">
        <v>11</v>
      </c>
      <c r="B267" s="1" t="s">
        <v>1418</v>
      </c>
      <c r="C267" s="1" t="s">
        <v>1419</v>
      </c>
      <c r="D267" s="1" t="s">
        <v>1420</v>
      </c>
      <c r="E267" s="1" t="s">
        <v>1421</v>
      </c>
      <c r="F267" s="1" t="s">
        <v>1422</v>
      </c>
      <c r="G267" s="1" t="s">
        <v>1423</v>
      </c>
      <c r="H267" s="1" t="str">
        <f>IFERROR(__xludf.DUMMYFUNCTION("GOOGLETRANSLATE(D267,""EN"",""JA"")"),"アンジオテンシノーゲン")</f>
        <v>アンジオテンシノーゲン</v>
      </c>
      <c r="I267" s="1" t="str">
        <f>IFERROR(__xludf.DUMMYFUNCTION("GOOGLETRANSLATE(E267,""EN"",""JA"")"),"アンジオテンシン前駆体; アンジオテンシノーゲン")</f>
        <v>アンジオテンシン前駆体; アンジオテンシノーゲン</v>
      </c>
      <c r="J267" s="1" t="str">
        <f>IFERROR(__xludf.DUMMYFUNCTION("GOOGLETRANSLATE(F267,""EN"",""JA"")"),"生物標本中のアンジオテンシノーゲンホルモンの測定。")</f>
        <v>生物標本中のアンジオテンシノーゲンホルモンの測定。</v>
      </c>
      <c r="K267" s="1" t="str">
        <f>IFERROR(__xludf.DUMMYFUNCTION("GOOGLETRANSLATE(G267,""EN"",""JA"")"),"アンジオテンシノーゲン測定")</f>
        <v>アンジオテンシノーゲン測定</v>
      </c>
    </row>
    <row r="268" ht="13.5" customHeight="1">
      <c r="A268" s="1" t="s">
        <v>67</v>
      </c>
      <c r="B268" s="1" t="s">
        <v>1424</v>
      </c>
      <c r="C268" s="1" t="s">
        <v>1425</v>
      </c>
      <c r="D268" s="1" t="s">
        <v>1426</v>
      </c>
      <c r="E268" s="1" t="s">
        <v>1426</v>
      </c>
      <c r="F268" s="1" t="s">
        <v>1427</v>
      </c>
      <c r="G268" s="1" t="s">
        <v>1428</v>
      </c>
      <c r="H268" s="1" t="str">
        <f>IFERROR(__xludf.DUMMYFUNCTION("GOOGLETRANSLATE(D268,""EN"",""JA"")"),"アスペルギルス・ニガー")</f>
        <v>アスペルギルス・ニガー</v>
      </c>
      <c r="I268" s="1" t="str">
        <f>IFERROR(__xludf.DUMMYFUNCTION("GOOGLETRANSLATE(E268,""EN"",""JA"")"),"アスペルギルス・ニガー")</f>
        <v>アスペルギルス・ニガー</v>
      </c>
      <c r="J268" s="1" t="str">
        <f>IFERROR(__xludf.DUMMYFUNCTION("GOOGLETRANSLATE(F268,""EN"",""JA"")"),"生物標本中の Aspergillus niger の測定。")</f>
        <v>生物標本中の Aspergillus niger の測定。</v>
      </c>
      <c r="K268" s="1" t="str">
        <f>IFERROR(__xludf.DUMMYFUNCTION("GOOGLETRANSLATE(G268,""EN"",""JA"")"),"アスペルギルス・ニガー測定")</f>
        <v>アスペルギルス・ニガー測定</v>
      </c>
    </row>
    <row r="269" ht="13.5" customHeight="1">
      <c r="A269" s="1" t="s">
        <v>11</v>
      </c>
      <c r="B269" s="1" t="s">
        <v>1429</v>
      </c>
      <c r="C269" s="1" t="s">
        <v>1430</v>
      </c>
      <c r="D269" s="1" t="s">
        <v>1431</v>
      </c>
      <c r="E269" s="1" t="s">
        <v>1431</v>
      </c>
      <c r="F269" s="1" t="s">
        <v>1432</v>
      </c>
      <c r="G269" s="1" t="s">
        <v>1433</v>
      </c>
      <c r="H269" s="1" t="str">
        <f>IFERROR(__xludf.DUMMYFUNCTION("GOOGLETRANSLATE(D269,""EN"",""JA"")"),"アニオンギャップ")</f>
        <v>アニオンギャップ</v>
      </c>
      <c r="I269" s="1" t="str">
        <f>IFERROR(__xludf.DUMMYFUNCTION("GOOGLETRANSLATE(E269,""EN"",""JA"")"),"アニオンギャップ")</f>
        <v>アニオンギャップ</v>
      </c>
      <c r="J269" s="1" t="str">
        <f>IFERROR(__xludf.DUMMYFUNCTION("GOOGLETRANSLATE(F269,""EN"",""JA"")"),"生物標本中の測定されていない陰イオン（塩化物陰イオンと重炭酸塩陰イオン以外の陰イオン）の計算による推定値。")</f>
        <v>生物標本中の測定されていない陰イオン（塩化物陰イオンと重炭酸塩陰イオン以外の陰イオン）の計算による推定値。</v>
      </c>
      <c r="K269" s="1" t="str">
        <f>IFERROR(__xludf.DUMMYFUNCTION("GOOGLETRANSLATE(G269,""EN"",""JA"")"),"アニオンギャップ測定")</f>
        <v>アニオンギャップ測定</v>
      </c>
    </row>
    <row r="270" ht="13.5" customHeight="1">
      <c r="A270" s="1" t="s">
        <v>11</v>
      </c>
      <c r="B270" s="1" t="s">
        <v>1434</v>
      </c>
      <c r="C270" s="1" t="s">
        <v>1435</v>
      </c>
      <c r="D270" s="1" t="s">
        <v>1436</v>
      </c>
      <c r="E270" s="1" t="s">
        <v>1436</v>
      </c>
      <c r="F270" s="1" t="s">
        <v>1437</v>
      </c>
      <c r="G270" s="1" t="s">
        <v>1438</v>
      </c>
      <c r="H270" s="1" t="str">
        <f>IFERROR(__xludf.DUMMYFUNCTION("GOOGLETRANSLATE(D270,""EN"",""JA"")"),"アニオンギャップ3")</f>
        <v>アニオンギャップ3</v>
      </c>
      <c r="I270" s="1" t="str">
        <f>IFERROR(__xludf.DUMMYFUNCTION("GOOGLETRANSLATE(E270,""EN"",""JA"")"),"アニオンギャップ3")</f>
        <v>アニオンギャップ3</v>
      </c>
      <c r="J270" s="1" t="str">
        <f>IFERROR(__xludf.DUMMYFUNCTION("GOOGLETRANSLATE(F270,""EN"",""JA"")"),"生物標本中の測定されていない陰イオン（ナトリウムから塩化物と重炭酸塩を差し引いて計算）の計算による推定値。")</f>
        <v>生物標本中の測定されていない陰イオン（ナトリウムから塩化物と重炭酸塩を差し引いて計算）の計算による推定値。</v>
      </c>
      <c r="K270" s="1" t="str">
        <f>IFERROR(__xludf.DUMMYFUNCTION("GOOGLETRANSLATE(G270,""EN"",""JA"")"),"アニオンギャップ3測定")</f>
        <v>アニオンギャップ3測定</v>
      </c>
    </row>
    <row r="271" ht="13.5" customHeight="1">
      <c r="A271" s="1" t="s">
        <v>11</v>
      </c>
      <c r="B271" s="1" t="s">
        <v>1439</v>
      </c>
      <c r="C271" s="1" t="s">
        <v>1440</v>
      </c>
      <c r="D271" s="1" t="s">
        <v>1441</v>
      </c>
      <c r="E271" s="1" t="s">
        <v>1441</v>
      </c>
      <c r="F271" s="1" t="s">
        <v>1442</v>
      </c>
      <c r="G271" s="1" t="s">
        <v>1443</v>
      </c>
      <c r="H271" s="1" t="str">
        <f>IFERROR(__xludf.DUMMYFUNCTION("GOOGLETRANSLATE(D271,""EN"",""JA"")"),"アニオンギャップ4")</f>
        <v>アニオンギャップ4</v>
      </c>
      <c r="I271" s="1" t="str">
        <f>IFERROR(__xludf.DUMMYFUNCTION("GOOGLETRANSLATE(E271,""EN"",""JA"")"),"アニオンギャップ4")</f>
        <v>アニオンギャップ4</v>
      </c>
      <c r="J271" s="1" t="str">
        <f>IFERROR(__xludf.DUMMYFUNCTION("GOOGLETRANSLATE(F271,""EN"",""JA"")"),"生物学的標本中の測定されていない陰イオンの計算された推定値（血清ナトリウム + 血清カリウムの合計と血清重炭酸塩 + 塩化物の合計の差として計算されます）。")</f>
        <v>生物学的標本中の測定されていない陰イオンの計算された推定値（血清ナトリウム + 血清カリウムの合計と血清重炭酸塩 + 塩化物の合計の差として計算されます）。</v>
      </c>
      <c r="K271" s="1" t="str">
        <f>IFERROR(__xludf.DUMMYFUNCTION("GOOGLETRANSLATE(G271,""EN"",""JA"")"),"アニオンギャップ4測定")</f>
        <v>アニオンギャップ4測定</v>
      </c>
    </row>
    <row r="272" ht="13.5" customHeight="1">
      <c r="A272" s="1" t="s">
        <v>11</v>
      </c>
      <c r="B272" s="1" t="s">
        <v>1444</v>
      </c>
      <c r="C272" s="1" t="s">
        <v>1445</v>
      </c>
      <c r="D272" s="1" t="s">
        <v>1446</v>
      </c>
      <c r="E272" s="1" t="s">
        <v>1447</v>
      </c>
      <c r="F272" s="1" t="s">
        <v>1448</v>
      </c>
      <c r="G272" s="1" t="s">
        <v>1449</v>
      </c>
      <c r="H272" s="1" t="str">
        <f>IFERROR(__xludf.DUMMYFUNCTION("GOOGLETRANSLATE(D272,""EN"",""JA"")"),"異形細胞")</f>
        <v>異形細胞</v>
      </c>
      <c r="I272" s="1" t="str">
        <f>IFERROR(__xludf.DUMMYFUNCTION("GOOGLETRANSLATE(E272,""EN"",""JA"")"),"不等赤血球")</f>
        <v>不等赤血球</v>
      </c>
      <c r="J272" s="1" t="str">
        <f>IFERROR(__xludf.DUMMYFUNCTION("GOOGLETRANSLATE(F272,""EN"",""JA"")"),"全血標本中の赤血球の大きさの変動の測定値。")</f>
        <v>全血標本中の赤血球の大きさの変動の測定値。</v>
      </c>
      <c r="K272" s="1" t="str">
        <f>IFERROR(__xludf.DUMMYFUNCTION("GOOGLETRANSLATE(G272,""EN"",""JA"")"),"異方性細胞測定")</f>
        <v>異方性細胞測定</v>
      </c>
    </row>
    <row r="273" ht="13.5" customHeight="1">
      <c r="A273" s="1" t="s">
        <v>11</v>
      </c>
      <c r="B273" s="1" t="s">
        <v>1450</v>
      </c>
      <c r="C273" s="1" t="s">
        <v>1451</v>
      </c>
      <c r="D273" s="1" t="s">
        <v>1452</v>
      </c>
      <c r="E273" s="1" t="s">
        <v>1452</v>
      </c>
      <c r="F273" s="1" t="s">
        <v>1453</v>
      </c>
      <c r="G273" s="1" t="s">
        <v>1454</v>
      </c>
      <c r="H273" s="1" t="str">
        <f>IFERROR(__xludf.DUMMYFUNCTION("GOOGLETRANSLATE(D273,""EN"",""JA"")"),"両眼不同色症")</f>
        <v>両眼不同色症</v>
      </c>
      <c r="I273" s="1" t="str">
        <f>IFERROR(__xludf.DUMMYFUNCTION("GOOGLETRANSLATE(E273,""EN"",""JA"")"),"両眼不同色症")</f>
        <v>両眼不同色症</v>
      </c>
      <c r="J273" s="1" t="str">
        <f>IFERROR(__xludf.DUMMYFUNCTION("GOOGLETRANSLATE(F273,""EN"",""JA"")"),"生物標本中の赤血球の色の変化の測定。")</f>
        <v>生物標本中の赤血球の色の変化の測定。</v>
      </c>
      <c r="K273" s="1" t="str">
        <f>IFERROR(__xludf.DUMMYFUNCTION("GOOGLETRANSLATE(G273,""EN"",""JA"")"),"色覚異常測定")</f>
        <v>色覚異常測定</v>
      </c>
    </row>
    <row r="274" ht="13.5" customHeight="1">
      <c r="A274" s="1" t="s">
        <v>11</v>
      </c>
      <c r="B274" s="1" t="s">
        <v>1455</v>
      </c>
      <c r="C274" s="1" t="s">
        <v>1456</v>
      </c>
      <c r="D274" s="1" t="s">
        <v>1457</v>
      </c>
      <c r="E274" s="1" t="s">
        <v>1457</v>
      </c>
      <c r="F274" s="1" t="s">
        <v>1458</v>
      </c>
      <c r="G274" s="1" t="s">
        <v>1459</v>
      </c>
      <c r="H274" s="1" t="str">
        <f>IFERROR(__xludf.DUMMYFUNCTION("GOOGLETRANSLATE(D274,""EN"",""JA"")"),"アニレリジン")</f>
        <v>アニレリジン</v>
      </c>
      <c r="I274" s="1" t="str">
        <f>IFERROR(__xludf.DUMMYFUNCTION("GOOGLETRANSLATE(E274,""EN"",""JA"")"),"アニレリジン")</f>
        <v>アニレリジン</v>
      </c>
      <c r="J274" s="1" t="str">
        <f>IFERROR(__xludf.DUMMYFUNCTION("GOOGLETRANSLATE(F274,""EN"",""JA"")"),"生物標本中のアニレリジンの測定。")</f>
        <v>生物標本中のアニレリジンの測定。</v>
      </c>
      <c r="K274" s="1" t="str">
        <f>IFERROR(__xludf.DUMMYFUNCTION("GOOGLETRANSLATE(G274,""EN"",""JA"")"),"アニレリジン測定")</f>
        <v>アニレリジン測定</v>
      </c>
    </row>
    <row r="275" ht="13.5" customHeight="1">
      <c r="A275" s="1" t="s">
        <v>90</v>
      </c>
      <c r="B275" s="1" t="s">
        <v>1460</v>
      </c>
      <c r="C275" s="1" t="s">
        <v>1461</v>
      </c>
      <c r="D275" s="1" t="s">
        <v>1462</v>
      </c>
      <c r="E275" s="1" t="s">
        <v>1462</v>
      </c>
      <c r="F275" s="1" t="s">
        <v>1463</v>
      </c>
      <c r="G275" s="1" t="s">
        <v>1462</v>
      </c>
      <c r="H275" s="1" t="str">
        <f>IFERROR(__xludf.DUMMYFUNCTION("GOOGLETRANSLATE(D275,""EN"",""JA"")"),"環状a'速度")</f>
        <v>環状a'速度</v>
      </c>
      <c r="I275" s="1" t="str">
        <f>IFERROR(__xludf.DUMMYFUNCTION("GOOGLETRANSLATE(E275,""EN"",""JA"")"),"環状a'速度")</f>
        <v>環状a'速度</v>
      </c>
      <c r="J275" s="1" t="str">
        <f>IFERROR(__xludf.DUMMYFUNCTION("GOOGLETRANSLATE(F275,""EN"",""JA"")"),"心室拡張後期（心室の能動充満）における環状運動の最高速度。")</f>
        <v>心室拡張後期（心室の能動充満）における環状運動の最高速度。</v>
      </c>
      <c r="K275" s="1" t="str">
        <f>IFERROR(__xludf.DUMMYFUNCTION("GOOGLETRANSLATE(G275,""EN"",""JA"")"),"環状a'速度")</f>
        <v>環状a'速度</v>
      </c>
    </row>
    <row r="276" ht="13.5" customHeight="1">
      <c r="A276" s="1" t="s">
        <v>90</v>
      </c>
      <c r="B276" s="1" t="s">
        <v>1464</v>
      </c>
      <c r="C276" s="1" t="s">
        <v>1465</v>
      </c>
      <c r="D276" s="1" t="s">
        <v>1466</v>
      </c>
      <c r="E276" s="1" t="s">
        <v>1466</v>
      </c>
      <c r="F276" s="1" t="s">
        <v>1467</v>
      </c>
      <c r="G276" s="1" t="s">
        <v>1466</v>
      </c>
      <c r="H276" s="1" t="str">
        <f>IFERROR(__xludf.DUMMYFUNCTION("GOOGLETRANSLATE(D276,""EN"",""JA"")"),"環状e'速度")</f>
        <v>環状e'速度</v>
      </c>
      <c r="I276" s="1" t="str">
        <f>IFERROR(__xludf.DUMMYFUNCTION("GOOGLETRANSLATE(E276,""EN"",""JA"")"),"環状e'速度")</f>
        <v>環状e'速度</v>
      </c>
      <c r="J276" s="1" t="str">
        <f>IFERROR(__xludf.DUMMYFUNCTION("GOOGLETRANSLATE(F276,""EN"",""JA"")"),"心室拡張初期（心室の受動的な充満）中の環状運動のピーク速度。")</f>
        <v>心室拡張初期（心室の受動的な充満）中の環状運動のピーク速度。</v>
      </c>
      <c r="K276" s="1" t="str">
        <f>IFERROR(__xludf.DUMMYFUNCTION("GOOGLETRANSLATE(G276,""EN"",""JA"")"),"環状e'速度")</f>
        <v>環状e'速度</v>
      </c>
    </row>
    <row r="277" ht="13.5" customHeight="1">
      <c r="A277" s="1" t="s">
        <v>90</v>
      </c>
      <c r="B277" s="1" t="s">
        <v>1468</v>
      </c>
      <c r="C277" s="1" t="s">
        <v>1469</v>
      </c>
      <c r="D277" s="1" t="s">
        <v>1470</v>
      </c>
      <c r="E277" s="1" t="s">
        <v>1470</v>
      </c>
      <c r="F277" s="1" t="s">
        <v>1471</v>
      </c>
      <c r="G277" s="1" t="s">
        <v>1470</v>
      </c>
      <c r="H277" s="1" t="str">
        <f>IFERROR(__xludf.DUMMYFUNCTION("GOOGLETRANSLATE(D277,""EN"",""JA"")"),"環状S'速度")</f>
        <v>環状S'速度</v>
      </c>
      <c r="I277" s="1" t="str">
        <f>IFERROR(__xludf.DUMMYFUNCTION("GOOGLETRANSLATE(E277,""EN"",""JA"")"),"環状S'速度")</f>
        <v>環状S'速度</v>
      </c>
      <c r="J277" s="1" t="str">
        <f>IFERROR(__xludf.DUMMYFUNCTION("GOOGLETRANSLATE(F277,""EN"",""JA"")"),"心室収縮期における環状運動のピーク速度。")</f>
        <v>心室収縮期における環状運動のピーク速度。</v>
      </c>
      <c r="K277" s="1" t="str">
        <f>IFERROR(__xludf.DUMMYFUNCTION("GOOGLETRANSLATE(G277,""EN"",""JA"")"),"環状S'速度")</f>
        <v>環状S'速度</v>
      </c>
    </row>
    <row r="278" ht="13.5" customHeight="1">
      <c r="A278" s="1" t="s">
        <v>11</v>
      </c>
      <c r="B278" s="1" t="s">
        <v>1472</v>
      </c>
      <c r="C278" s="1" t="s">
        <v>1473</v>
      </c>
      <c r="D278" s="1" t="s">
        <v>1474</v>
      </c>
      <c r="E278" s="1" t="s">
        <v>1475</v>
      </c>
      <c r="F278" s="1" t="s">
        <v>1476</v>
      </c>
      <c r="G278" s="1" t="s">
        <v>1477</v>
      </c>
      <c r="H278" s="1" t="str">
        <f>IFERROR(__xludf.DUMMYFUNCTION("GOOGLETRANSLATE(D278,""EN"",""JA"")"),"心房性ナトリウム利尿ペプチド")</f>
        <v>心房性ナトリウム利尿ペプチド</v>
      </c>
      <c r="I278" s="1" t="str">
        <f>IFERROR(__xludf.DUMMYFUNCTION("GOOGLETRANSLATE(E278,""EN"",""JA"")"),"心房性ナトリウム利尿ペプチド; アトリオペプチン")</f>
        <v>心房性ナトリウム利尿ペプチド; アトリオペプチン</v>
      </c>
      <c r="J278" s="1" t="str">
        <f>IFERROR(__xludf.DUMMYFUNCTION("GOOGLETRANSLATE(F278,""EN"",""JA"")"),"生物学的標本中の心房性ナトリウム利尿ペプチドの測定。")</f>
        <v>生物学的標本中の心房性ナトリウム利尿ペプチドの測定。</v>
      </c>
      <c r="K278" s="1" t="str">
        <f>IFERROR(__xludf.DUMMYFUNCTION("GOOGLETRANSLATE(G278,""EN"",""JA"")"),"心房性ナトリウム利尿ペプチド測定")</f>
        <v>心房性ナトリウム利尿ペプチド測定</v>
      </c>
    </row>
    <row r="279" ht="13.5" customHeight="1">
      <c r="A279" s="1" t="s">
        <v>11</v>
      </c>
      <c r="B279" s="1" t="s">
        <v>1478</v>
      </c>
      <c r="C279" s="1" t="s">
        <v>1479</v>
      </c>
      <c r="D279" s="1" t="s">
        <v>1480</v>
      </c>
      <c r="E279" s="1" t="s">
        <v>1481</v>
      </c>
      <c r="F279" s="1" t="s">
        <v>1482</v>
      </c>
      <c r="G279" s="1" t="s">
        <v>1483</v>
      </c>
      <c r="H279" s="1" t="str">
        <f>IFERROR(__xludf.DUMMYFUNCTION("GOOGLETRANSLATE(D279,""EN"",""JA"")"),"中等度プロ心房性ナトリウム利尿ペプチド")</f>
        <v>中等度プロ心房性ナトリウム利尿ペプチド</v>
      </c>
      <c r="I279" s="1" t="str">
        <f>IFERROR(__xludf.DUMMYFUNCTION("GOOGLETRANSLATE(E279,""EN"",""JA"")"),"中域プロ心房性ナトリウム利尿ペプチド; 中域プロ心房性ナトリウム利尿ペプチド; MR-proANP; MRproANP")</f>
        <v>中域プロ心房性ナトリウム利尿ペプチド; 中域プロ心房性ナトリウム利尿ペプチド; MR-proANP; MRproANP</v>
      </c>
      <c r="J279" s="1" t="str">
        <f>IFERROR(__xludf.DUMMYFUNCTION("GOOGLETRANSLATE(F279,""EN"",""JA"")"),"生物学的標本中の中部領域プロ心房性ナトリウム利尿ペプチドの測定。")</f>
        <v>生物学的標本中の中部領域プロ心房性ナトリウム利尿ペプチドの測定。</v>
      </c>
      <c r="K279" s="1" t="str">
        <f>IFERROR(__xludf.DUMMYFUNCTION("GOOGLETRANSLATE(G279,""EN"",""JA"")"),"中部領域プロ心房性ナトリウム利尿ペプチド測定")</f>
        <v>中部領域プロ心房性ナトリウム利尿ペプチド測定</v>
      </c>
    </row>
    <row r="280" ht="13.5" customHeight="1">
      <c r="A280" s="1" t="s">
        <v>11</v>
      </c>
      <c r="B280" s="1" t="s">
        <v>1484</v>
      </c>
      <c r="C280" s="1" t="s">
        <v>1485</v>
      </c>
      <c r="D280" s="1" t="s">
        <v>1486</v>
      </c>
      <c r="E280" s="1" t="s">
        <v>1487</v>
      </c>
      <c r="F280" s="1" t="s">
        <v>1488</v>
      </c>
      <c r="G280" s="1" t="s">
        <v>1489</v>
      </c>
      <c r="H280" s="1" t="str">
        <f>IFERROR(__xludf.DUMMYFUNCTION("GOOGLETRANSLATE(D280,""EN"",""JA"")"),"N末端プロA型ナトリウム利尿ペプチド")</f>
        <v>N末端プロA型ナトリウム利尿ペプチド</v>
      </c>
      <c r="I280" s="1" t="str">
        <f>IFERROR(__xludf.DUMMYFUNCTION("GOOGLETRANSLATE(E280,""EN"",""JA"")"),"N末端プロ心房性ナトリウム利尿ペプチド；N末端プロA型ナトリウム利尿ペプチド；NTプロANP II")</f>
        <v>N末端プロ心房性ナトリウム利尿ペプチド；N末端プロA型ナトリウム利尿ペプチド；NTプロANP II</v>
      </c>
      <c r="J280" s="1" t="str">
        <f>IFERROR(__xludf.DUMMYFUNCTION("GOOGLETRANSLATE(F280,""EN"",""JA"")"),"生物標本中の N 末端プロ A 型ナトリウム利尿ペプチドの測定。")</f>
        <v>生物標本中の N 末端プロ A 型ナトリウム利尿ペプチドの測定。</v>
      </c>
      <c r="K280" s="1" t="str">
        <f>IFERROR(__xludf.DUMMYFUNCTION("GOOGLETRANSLATE(G280,""EN"",""JA"")"),"N末端プロA型ナトリウム利尿ペプチド測定")</f>
        <v>N末端プロA型ナトリウム利尿ペプチド測定</v>
      </c>
    </row>
    <row r="281" ht="13.5" customHeight="1">
      <c r="A281" s="1" t="s">
        <v>11</v>
      </c>
      <c r="B281" s="1" t="s">
        <v>1490</v>
      </c>
      <c r="C281" s="1" t="s">
        <v>1491</v>
      </c>
      <c r="D281" s="1" t="s">
        <v>1492</v>
      </c>
      <c r="E281" s="1" t="s">
        <v>1493</v>
      </c>
      <c r="F281" s="1" t="s">
        <v>1494</v>
      </c>
      <c r="G281" s="1" t="s">
        <v>1495</v>
      </c>
      <c r="H281" s="1" t="str">
        <f>IFERROR(__xludf.DUMMYFUNCTION("GOOGLETRANSLATE(D281,""EN"",""JA"")"),"アンチトロンビン活性")</f>
        <v>アンチトロンビン活性</v>
      </c>
      <c r="I281" s="1" t="str">
        <f>IFERROR(__xludf.DUMMYFUNCTION("GOOGLETRANSLATE(E281,""EN"",""JA"")"),"アンチトロンビン活性; アンチトロンビンIII活性")</f>
        <v>アンチトロンビン活性; アンチトロンビンIII活性</v>
      </c>
      <c r="J281" s="1" t="str">
        <f>IFERROR(__xludf.DUMMYFUNCTION("GOOGLETRANSLATE(F281,""EN"",""JA"")"),"生物学的標本中のアンチトロンビン活性の測定。")</f>
        <v>生物学的標本中のアンチトロンビン活性の測定。</v>
      </c>
      <c r="K281" s="1" t="str">
        <f>IFERROR(__xludf.DUMMYFUNCTION("GOOGLETRANSLATE(G281,""EN"",""JA"")"),"アンチトロンビン活性測定")</f>
        <v>アンチトロンビン活性測定</v>
      </c>
    </row>
    <row r="282" ht="13.5" customHeight="1">
      <c r="A282" s="1" t="s">
        <v>11</v>
      </c>
      <c r="B282" s="1" t="s">
        <v>1496</v>
      </c>
      <c r="C282" s="1" t="s">
        <v>1497</v>
      </c>
      <c r="D282" s="1" t="s">
        <v>1498</v>
      </c>
      <c r="E282" s="1" t="s">
        <v>1499</v>
      </c>
      <c r="F282" s="1" t="s">
        <v>1500</v>
      </c>
      <c r="G282" s="1" t="s">
        <v>1501</v>
      </c>
      <c r="H282" s="1" t="str">
        <f>IFERROR(__xludf.DUMMYFUNCTION("GOOGLETRANSLATE(D282,""EN"",""JA"")"),"アンチトロンビン抗原")</f>
        <v>アンチトロンビン抗原</v>
      </c>
      <c r="I282" s="1" t="str">
        <f>IFERROR(__xludf.DUMMYFUNCTION("GOOGLETRANSLATE(E282,""EN"",""JA"")"),"アンチトロンビン; アンチトロンビン抗原; アンチトロンビンIII; アンチトロンビンIII抗原")</f>
        <v>アンチトロンビン; アンチトロンビン抗原; アンチトロンビンIII; アンチトロンビンIII抗原</v>
      </c>
      <c r="J282" s="1" t="str">
        <f>IFERROR(__xludf.DUMMYFUNCTION("GOOGLETRANSLATE(F282,""EN"",""JA"")"),"生物学的標本中のアンチトロンビン抗原の測定。")</f>
        <v>生物学的標本中のアンチトロンビン抗原の測定。</v>
      </c>
      <c r="K282" s="1" t="str">
        <f>IFERROR(__xludf.DUMMYFUNCTION("GOOGLETRANSLATE(G282,""EN"",""JA"")"),"アンチトロンビン抗原測定")</f>
        <v>アンチトロンビン抗原測定</v>
      </c>
    </row>
    <row r="283" ht="13.5" customHeight="1">
      <c r="A283" s="1" t="s">
        <v>11</v>
      </c>
      <c r="B283" s="1" t="s">
        <v>1502</v>
      </c>
      <c r="C283" s="1" t="s">
        <v>1503</v>
      </c>
      <c r="D283" s="1" t="s">
        <v>1504</v>
      </c>
      <c r="E283" s="1" t="s">
        <v>1504</v>
      </c>
      <c r="F283" s="1" t="s">
        <v>1505</v>
      </c>
      <c r="G283" s="1" t="s">
        <v>1506</v>
      </c>
      <c r="H283" s="1" t="str">
        <f>IFERROR(__xludf.DUMMYFUNCTION("GOOGLETRANSLATE(D283,""EN"",""JA"")"),"抗うつ薬")</f>
        <v>抗うつ薬</v>
      </c>
      <c r="I283" s="1" t="str">
        <f>IFERROR(__xludf.DUMMYFUNCTION("GOOGLETRANSLATE(E283,""EN"",""JA"")"),"抗うつ薬")</f>
        <v>抗うつ薬</v>
      </c>
      <c r="J283" s="1" t="str">
        <f>IFERROR(__xludf.DUMMYFUNCTION("GOOGLETRANSLATE(F283,""EN"",""JA"")"),"生物学的標本中に存在する抗うつ薬クラスの薬物の測定。")</f>
        <v>生物学的標本中に存在する抗うつ薬クラスの薬物の測定。</v>
      </c>
      <c r="K283" s="1" t="str">
        <f>IFERROR(__xludf.DUMMYFUNCTION("GOOGLETRANSLATE(G283,""EN"",""JA"")"),"抗うつ薬の測定")</f>
        <v>抗うつ薬の測定</v>
      </c>
    </row>
    <row r="284" ht="13.5" customHeight="1">
      <c r="A284" s="1" t="s">
        <v>11</v>
      </c>
      <c r="B284" s="1" t="s">
        <v>1507</v>
      </c>
      <c r="C284" s="1" t="s">
        <v>1508</v>
      </c>
      <c r="D284" s="1" t="s">
        <v>1509</v>
      </c>
      <c r="E284" s="1" t="s">
        <v>1510</v>
      </c>
      <c r="F284" s="1" t="s">
        <v>1511</v>
      </c>
      <c r="G284" s="1" t="s">
        <v>1512</v>
      </c>
      <c r="H284" s="1" t="str">
        <f>IFERROR(__xludf.DUMMYFUNCTION("GOOGLETRANSLATE(D284,""EN"",""JA"")"),"アセトアミノフェン-システイン付加物")</f>
        <v>アセトアミノフェン-システイン付加物</v>
      </c>
      <c r="I284" s="1" t="str">
        <f>IFERROR(__xludf.DUMMYFUNCTION("GOOGLETRANSLATE(E284,""EN"",""JA"")"),"アセトアミノフェンタンパク質付加物; アセトアミノフェンシステイン付加物; APAP-CYS; APAP-タンパク質")</f>
        <v>アセトアミノフェンタンパク質付加物; アセトアミノフェンシステイン付加物; APAP-CYS; APAP-タンパク質</v>
      </c>
      <c r="J284" s="1" t="str">
        <f>IFERROR(__xludf.DUMMYFUNCTION("GOOGLETRANSLATE(F284,""EN"",""JA"")"),"生物標本中のアセトアミノフェン-システイン付加物の測定。")</f>
        <v>生物標本中のアセトアミノフェン-システイン付加物の測定。</v>
      </c>
      <c r="K284" s="1" t="str">
        <f>IFERROR(__xludf.DUMMYFUNCTION("GOOGLETRANSLATE(G284,""EN"",""JA"")"),"アセトアミノフェン-システイン付加物の測定")</f>
        <v>アセトアミノフェン-システイン付加物の測定</v>
      </c>
    </row>
    <row r="285" ht="13.5" customHeight="1">
      <c r="A285" s="1" t="s">
        <v>11</v>
      </c>
      <c r="B285" s="1" t="s">
        <v>1513</v>
      </c>
      <c r="C285" s="1" t="s">
        <v>1514</v>
      </c>
      <c r="D285" s="1" t="s">
        <v>1515</v>
      </c>
      <c r="E285" s="1" t="s">
        <v>1515</v>
      </c>
      <c r="F285" s="1" t="s">
        <v>1516</v>
      </c>
      <c r="G285" s="1" t="s">
        <v>1517</v>
      </c>
      <c r="H285" s="1" t="str">
        <f>IFERROR(__xludf.DUMMYFUNCTION("GOOGLETRANSLATE(D285,""EN"",""JA"")"),"アセトアミノフェン-グルクロン酸付加物")</f>
        <v>アセトアミノフェン-グルクロン酸付加物</v>
      </c>
      <c r="I285" s="1" t="str">
        <f>IFERROR(__xludf.DUMMYFUNCTION("GOOGLETRANSLATE(E285,""EN"",""JA"")"),"アセトアミノフェン-グルクロン酸付加物")</f>
        <v>アセトアミノフェン-グルクロン酸付加物</v>
      </c>
      <c r="J285" s="1" t="str">
        <f>IFERROR(__xludf.DUMMYFUNCTION("GOOGLETRANSLATE(F285,""EN"",""JA"")"),"生物標本中のアセトアミノフェン-グルクロニド付加物の測定。")</f>
        <v>生物標本中のアセトアミノフェン-グルクロニド付加物の測定。</v>
      </c>
      <c r="K285" s="1" t="str">
        <f>IFERROR(__xludf.DUMMYFUNCTION("GOOGLETRANSLATE(G285,""EN"",""JA"")"),"アセトアミノフェン-グルクロン酸抱合体測定")</f>
        <v>アセトアミノフェン-グルクロン酸抱合体測定</v>
      </c>
    </row>
    <row r="286" ht="13.5" customHeight="1">
      <c r="A286" s="1" t="s">
        <v>11</v>
      </c>
      <c r="B286" s="1" t="s">
        <v>1518</v>
      </c>
      <c r="C286" s="1" t="s">
        <v>1519</v>
      </c>
      <c r="D286" s="1" t="s">
        <v>1520</v>
      </c>
      <c r="E286" s="1" t="s">
        <v>1520</v>
      </c>
      <c r="F286" s="1" t="s">
        <v>1521</v>
      </c>
      <c r="G286" s="1" t="s">
        <v>1522</v>
      </c>
      <c r="H286" s="1" t="str">
        <f>IFERROR(__xludf.DUMMYFUNCTION("GOOGLETRANSLATE(D286,""EN"",""JA"")"),"アセトアミノフェン硫酸塩付加物")</f>
        <v>アセトアミノフェン硫酸塩付加物</v>
      </c>
      <c r="I286" s="1" t="str">
        <f>IFERROR(__xludf.DUMMYFUNCTION("GOOGLETRANSLATE(E286,""EN"",""JA"")"),"アセトアミノフェン硫酸塩付加物")</f>
        <v>アセトアミノフェン硫酸塩付加物</v>
      </c>
      <c r="J286" s="1" t="str">
        <f>IFERROR(__xludf.DUMMYFUNCTION("GOOGLETRANSLATE(F286,""EN"",""JA"")"),"生物標本中のアセトアミノフェン硫酸付加物の測定。")</f>
        <v>生物標本中のアセトアミノフェン硫酸付加物の測定。</v>
      </c>
      <c r="K286" s="1" t="str">
        <f>IFERROR(__xludf.DUMMYFUNCTION("GOOGLETRANSLATE(G286,""EN"",""JA"")"),"アセトアミノフェン硫酸塩付加物の測定")</f>
        <v>アセトアミノフェン硫酸塩付加物の測定</v>
      </c>
    </row>
    <row r="287" ht="13.5" customHeight="1">
      <c r="A287" s="1" t="s">
        <v>67</v>
      </c>
      <c r="B287" s="1" t="s">
        <v>1523</v>
      </c>
      <c r="C287" s="1" t="s">
        <v>1524</v>
      </c>
      <c r="D287" s="1" t="s">
        <v>1525</v>
      </c>
      <c r="E287" s="1" t="s">
        <v>1525</v>
      </c>
      <c r="F287" s="1" t="s">
        <v>1526</v>
      </c>
      <c r="G287" s="1" t="s">
        <v>1527</v>
      </c>
      <c r="H287" s="1" t="str">
        <f>IFERROR(__xludf.DUMMYFUNCTION("GOOGLETRANSLATE(D287,""EN"",""JA"")"),"アシネトバクター・ピッティ")</f>
        <v>アシネトバクター・ピッティ</v>
      </c>
      <c r="I287" s="1" t="str">
        <f>IFERROR(__xludf.DUMMYFUNCTION("GOOGLETRANSLATE(E287,""EN"",""JA"")"),"アシネトバクター・ピッティ")</f>
        <v>アシネトバクター・ピッティ</v>
      </c>
      <c r="J287" s="1" t="str">
        <f>IFERROR(__xludf.DUMMYFUNCTION("GOOGLETRANSLATE(F287,""EN"",""JA"")"),"生物標本中の Acinetobacter pittii の測定。")</f>
        <v>生物標本中の Acinetobacter pittii の測定。</v>
      </c>
      <c r="K287" s="1" t="str">
        <f>IFERROR(__xludf.DUMMYFUNCTION("GOOGLETRANSLATE(G287,""EN"",""JA"")"),"アシネトバクター・ピッティ測定")</f>
        <v>アシネトバクター・ピッティ測定</v>
      </c>
    </row>
    <row r="288" ht="13.5" customHeight="1">
      <c r="A288" s="1" t="s">
        <v>11</v>
      </c>
      <c r="B288" s="1" t="s">
        <v>1528</v>
      </c>
      <c r="C288" s="1" t="s">
        <v>1529</v>
      </c>
      <c r="D288" s="1" t="s">
        <v>1530</v>
      </c>
      <c r="E288" s="1" t="s">
        <v>1531</v>
      </c>
      <c r="F288" s="1" t="s">
        <v>1532</v>
      </c>
      <c r="G288" s="1" t="s">
        <v>1533</v>
      </c>
      <c r="H288" s="1" t="str">
        <f>IFERROR(__xludf.DUMMYFUNCTION("GOOGLETRANSLATE(D288,""EN"",""JA"")"),"APTT-LAスクリーニングによる％差異の確認")</f>
        <v>APTT-LAスクリーニングによる％差異の確認</v>
      </c>
      <c r="I288" s="1" t="str">
        <f>IFERROR(__xludf.DUMMYFUNCTION("GOOGLETRANSLATE(E288,""EN"",""JA"")"),"APTT-LAスクリーンによるパーセント差の確認; PTT-LAスクリーンによるパーセント差の確認")</f>
        <v>APTT-LAスクリーンによるパーセント差の確認; PTT-LAスクリーンによるパーセント差の確認</v>
      </c>
      <c r="J288" s="1" t="str">
        <f>IFERROR(__xludf.DUMMYFUNCTION("GOOGLETRANSLATE(F288,""EN"",""JA"")"),"ループス抗凝固因子の存在を確認するための測定値で、[(スクリーニング aPTT - 確認 aPTT)/スクリーニング aPTT]x100 として計算されます。")</f>
        <v>ループス抗凝固因子の存在を確認するための測定値で、[(スクリーニング aPTT - 確認 aPTT)/スクリーニング aPTT]x100 として計算されます。</v>
      </c>
      <c r="K288" s="1" t="str">
        <f>IFERROR(__xludf.DUMMYFUNCTION("GOOGLETRANSLATE(G288,""EN"",""JA"")"),"APTT-LAスクリーニングによるパーセント差の確認")</f>
        <v>APTT-LAスクリーニングによるパーセント差の確認</v>
      </c>
    </row>
    <row r="289" ht="13.5" customHeight="1">
      <c r="A289" s="1" t="s">
        <v>11</v>
      </c>
      <c r="B289" s="1" t="s">
        <v>1534</v>
      </c>
      <c r="C289" s="1" t="s">
        <v>1535</v>
      </c>
      <c r="D289" s="1" t="s">
        <v>1536</v>
      </c>
      <c r="E289" s="1" t="s">
        <v>1537</v>
      </c>
      <c r="F289" s="1" t="s">
        <v>1538</v>
      </c>
      <c r="G289" s="1" t="s">
        <v>1539</v>
      </c>
      <c r="H289" s="1" t="str">
        <f>IFERROR(__xludf.DUMMYFUNCTION("GOOGLETRANSLATE(D289,""EN"",""JA"")"),"アルファ2抗プラスミン")</f>
        <v>アルファ2抗プラスミン</v>
      </c>
      <c r="I289" s="1" t="str">
        <f>IFERROR(__xludf.DUMMYFUNCTION("GOOGLETRANSLATE(E289,""EN"",""JA"")"),"アルファ2抗プラスミン剤；アルファ2プラスミン阻害剤")</f>
        <v>アルファ2抗プラスミン剤；アルファ2プラスミン阻害剤</v>
      </c>
      <c r="J289" s="1" t="str">
        <f>IFERROR(__xludf.DUMMYFUNCTION("GOOGLETRANSLATE(F289,""EN"",""JA"")"),"生物標本中のアルファ 2 抗プラスミンの測定。")</f>
        <v>生物標本中のアルファ 2 抗プラスミンの測定。</v>
      </c>
      <c r="K289" s="1" t="str">
        <f>IFERROR(__xludf.DUMMYFUNCTION("GOOGLETRANSLATE(G289,""EN"",""JA"")"),"アルファ2抗プラスミン測定")</f>
        <v>アルファ2抗プラスミン測定</v>
      </c>
    </row>
    <row r="290" ht="13.5" customHeight="1">
      <c r="A290" s="1" t="s">
        <v>11</v>
      </c>
      <c r="B290" s="1" t="s">
        <v>1540</v>
      </c>
      <c r="C290" s="1" t="s">
        <v>1541</v>
      </c>
      <c r="D290" s="1" t="s">
        <v>1542</v>
      </c>
      <c r="E290" s="1" t="s">
        <v>1542</v>
      </c>
      <c r="F290" s="1" t="s">
        <v>1543</v>
      </c>
      <c r="G290" s="1" t="s">
        <v>1544</v>
      </c>
      <c r="H290" s="1" t="str">
        <f>IFERROR(__xludf.DUMMYFUNCTION("GOOGLETRANSLATE(D290,""EN"",""JA"")"),"アルファ2抗プラスミン活性")</f>
        <v>アルファ2抗プラスミン活性</v>
      </c>
      <c r="I290" s="1" t="str">
        <f>IFERROR(__xludf.DUMMYFUNCTION("GOOGLETRANSLATE(E290,""EN"",""JA"")"),"アルファ2抗プラスミン活性")</f>
        <v>アルファ2抗プラスミン活性</v>
      </c>
      <c r="J290" s="1" t="str">
        <f>IFERROR(__xludf.DUMMYFUNCTION("GOOGLETRANSLATE(F290,""EN"",""JA"")"),"生物標本中のアルファ 2 抗プラスミン活性の測定。")</f>
        <v>生物標本中のアルファ 2 抗プラスミン活性の測定。</v>
      </c>
      <c r="K290" s="1" t="str">
        <f>IFERROR(__xludf.DUMMYFUNCTION("GOOGLETRANSLATE(G290,""EN"",""JA"")"),"アルファ2抗プラスミン活性測定")</f>
        <v>アルファ2抗プラスミン活性測定</v>
      </c>
    </row>
    <row r="291" ht="13.5" customHeight="1">
      <c r="A291" s="1" t="s">
        <v>11</v>
      </c>
      <c r="B291" s="1" t="s">
        <v>1545</v>
      </c>
      <c r="C291" s="1" t="s">
        <v>1546</v>
      </c>
      <c r="D291" s="1" t="s">
        <v>1547</v>
      </c>
      <c r="E291" s="1" t="s">
        <v>1547</v>
      </c>
      <c r="F291" s="1" t="s">
        <v>1548</v>
      </c>
      <c r="G291" s="1" t="s">
        <v>1549</v>
      </c>
      <c r="H291" s="1" t="str">
        <f>IFERROR(__xludf.DUMMYFUNCTION("GOOGLETRANSLATE(D291,""EN"",""JA"")"),"アポリポタンパク質A")</f>
        <v>アポリポタンパク質A</v>
      </c>
      <c r="I291" s="1" t="str">
        <f>IFERROR(__xludf.DUMMYFUNCTION("GOOGLETRANSLATE(E291,""EN"",""JA"")"),"アポリポタンパク質A")</f>
        <v>アポリポタンパク質A</v>
      </c>
      <c r="J291" s="1" t="str">
        <f>IFERROR(__xludf.DUMMYFUNCTION("GOOGLETRANSLATE(F291,""EN"",""JA"")"),"生物標本中の総アポリポタンパク質 A の測定。")</f>
        <v>生物標本中の総アポリポタンパク質 A の測定。</v>
      </c>
      <c r="K291" s="1" t="str">
        <f>IFERROR(__xludf.DUMMYFUNCTION("GOOGLETRANSLATE(G291,""EN"",""JA"")"),"アポリポタンパク質A測定")</f>
        <v>アポリポタンパク質A測定</v>
      </c>
    </row>
    <row r="292" ht="13.5" customHeight="1">
      <c r="A292" s="1" t="s">
        <v>11</v>
      </c>
      <c r="B292" s="1" t="s">
        <v>1550</v>
      </c>
      <c r="C292" s="1" t="s">
        <v>1551</v>
      </c>
      <c r="D292" s="1" t="s">
        <v>1552</v>
      </c>
      <c r="E292" s="1" t="s">
        <v>1552</v>
      </c>
      <c r="F292" s="1" t="s">
        <v>1553</v>
      </c>
      <c r="G292" s="1" t="s">
        <v>1554</v>
      </c>
      <c r="H292" s="1" t="str">
        <f>IFERROR(__xludf.DUMMYFUNCTION("GOOGLETRANSLATE(D292,""EN"",""JA"")"),"アポリポタンパク質A1")</f>
        <v>アポリポタンパク質A1</v>
      </c>
      <c r="I292" s="1" t="str">
        <f>IFERROR(__xludf.DUMMYFUNCTION("GOOGLETRANSLATE(E292,""EN"",""JA"")"),"アポリポタンパク質A1")</f>
        <v>アポリポタンパク質A1</v>
      </c>
      <c r="J292" s="1" t="str">
        <f>IFERROR(__xludf.DUMMYFUNCTION("GOOGLETRANSLATE(F292,""EN"",""JA"")"),"生物標本中のアポリポタンパク質 A1 の測定。")</f>
        <v>生物標本中のアポリポタンパク質 A1 の測定。</v>
      </c>
      <c r="K292" s="1" t="str">
        <f>IFERROR(__xludf.DUMMYFUNCTION("GOOGLETRANSLATE(G292,""EN"",""JA"")"),"アポリポタンパク質A1測定")</f>
        <v>アポリポタンパク質A1測定</v>
      </c>
    </row>
    <row r="293" ht="13.5" customHeight="1">
      <c r="A293" s="1" t="s">
        <v>11</v>
      </c>
      <c r="B293" s="1" t="s">
        <v>1555</v>
      </c>
      <c r="C293" s="1" t="s">
        <v>1556</v>
      </c>
      <c r="D293" s="1" t="s">
        <v>1557</v>
      </c>
      <c r="E293" s="1" t="s">
        <v>1557</v>
      </c>
      <c r="F293" s="1" t="s">
        <v>1558</v>
      </c>
      <c r="G293" s="1" t="s">
        <v>1559</v>
      </c>
      <c r="H293" s="1" t="str">
        <f>IFERROR(__xludf.DUMMYFUNCTION("GOOGLETRANSLATE(D293,""EN"",""JA"")"),"アポリポタンパク質AII")</f>
        <v>アポリポタンパク質AII</v>
      </c>
      <c r="I293" s="1" t="str">
        <f>IFERROR(__xludf.DUMMYFUNCTION("GOOGLETRANSLATE(E293,""EN"",""JA"")"),"アポリポタンパク質AII")</f>
        <v>アポリポタンパク質AII</v>
      </c>
      <c r="J293" s="1" t="str">
        <f>IFERROR(__xludf.DUMMYFUNCTION("GOOGLETRANSLATE(F293,""EN"",""JA"")"),"生物標本中のアポリポタンパク質 AII の測定。")</f>
        <v>生物標本中のアポリポタンパク質 AII の測定。</v>
      </c>
      <c r="K293" s="1" t="str">
        <f>IFERROR(__xludf.DUMMYFUNCTION("GOOGLETRANSLATE(G293,""EN"",""JA"")"),"アポリポタンパク質AII測定")</f>
        <v>アポリポタンパク質AII測定</v>
      </c>
    </row>
    <row r="294" ht="13.5" customHeight="1">
      <c r="A294" s="1" t="s">
        <v>11</v>
      </c>
      <c r="B294" s="1" t="s">
        <v>1560</v>
      </c>
      <c r="C294" s="1" t="s">
        <v>1561</v>
      </c>
      <c r="D294" s="1" t="s">
        <v>1562</v>
      </c>
      <c r="E294" s="1" t="s">
        <v>1562</v>
      </c>
      <c r="F294" s="1" t="s">
        <v>1563</v>
      </c>
      <c r="G294" s="1" t="s">
        <v>1564</v>
      </c>
      <c r="H294" s="1" t="str">
        <f>IFERROR(__xludf.DUMMYFUNCTION("GOOGLETRANSLATE(D294,""EN"",""JA"")"),"アポリポタンパク質A4")</f>
        <v>アポリポタンパク質A4</v>
      </c>
      <c r="I294" s="1" t="str">
        <f>IFERROR(__xludf.DUMMYFUNCTION("GOOGLETRANSLATE(E294,""EN"",""JA"")"),"アポリポタンパク質A4")</f>
        <v>アポリポタンパク質A4</v>
      </c>
      <c r="J294" s="1" t="str">
        <f>IFERROR(__xludf.DUMMYFUNCTION("GOOGLETRANSLATE(F294,""EN"",""JA"")"),"生物標本中のアポリポタンパク質 A4 の測定。")</f>
        <v>生物標本中のアポリポタンパク質 A4 の測定。</v>
      </c>
      <c r="K294" s="1" t="str">
        <f>IFERROR(__xludf.DUMMYFUNCTION("GOOGLETRANSLATE(G294,""EN"",""JA"")"),"アポリポタンパク質A4測定")</f>
        <v>アポリポタンパク質A4測定</v>
      </c>
    </row>
    <row r="295" ht="13.5" customHeight="1">
      <c r="A295" s="1" t="s">
        <v>11</v>
      </c>
      <c r="B295" s="1" t="s">
        <v>1565</v>
      </c>
      <c r="C295" s="1" t="s">
        <v>1566</v>
      </c>
      <c r="D295" s="1" t="s">
        <v>1567</v>
      </c>
      <c r="E295" s="1" t="s">
        <v>1567</v>
      </c>
      <c r="F295" s="1" t="s">
        <v>1568</v>
      </c>
      <c r="G295" s="1" t="s">
        <v>1569</v>
      </c>
      <c r="H295" s="1" t="str">
        <f>IFERROR(__xludf.DUMMYFUNCTION("GOOGLETRANSLATE(D295,""EN"",""JA"")"),"アポリポタンパク質A5")</f>
        <v>アポリポタンパク質A5</v>
      </c>
      <c r="I295" s="1" t="str">
        <f>IFERROR(__xludf.DUMMYFUNCTION("GOOGLETRANSLATE(E295,""EN"",""JA"")"),"アポリポタンパク質A5")</f>
        <v>アポリポタンパク質A5</v>
      </c>
      <c r="J295" s="1" t="str">
        <f>IFERROR(__xludf.DUMMYFUNCTION("GOOGLETRANSLATE(F295,""EN"",""JA"")"),"生物標本中のアポリポタンパク質 A5 の測定。")</f>
        <v>生物標本中のアポリポタンパク質 A5 の測定。</v>
      </c>
      <c r="K295" s="1" t="str">
        <f>IFERROR(__xludf.DUMMYFUNCTION("GOOGLETRANSLATE(G295,""EN"",""JA"")"),"アポリポタンパク質A5測定")</f>
        <v>アポリポタンパク質A5測定</v>
      </c>
    </row>
    <row r="296" ht="13.5" customHeight="1">
      <c r="A296" s="1" t="s">
        <v>11</v>
      </c>
      <c r="B296" s="1" t="s">
        <v>1570</v>
      </c>
      <c r="C296" s="1" t="s">
        <v>1571</v>
      </c>
      <c r="D296" s="1" t="s">
        <v>1572</v>
      </c>
      <c r="E296" s="1" t="s">
        <v>1572</v>
      </c>
      <c r="F296" s="1" t="s">
        <v>1573</v>
      </c>
      <c r="G296" s="1" t="s">
        <v>1574</v>
      </c>
      <c r="H296" s="1" t="str">
        <f>IFERROR(__xludf.DUMMYFUNCTION("GOOGLETRANSLATE(D296,""EN"",""JA"")"),"アポリポタンパク質B")</f>
        <v>アポリポタンパク質B</v>
      </c>
      <c r="I296" s="1" t="str">
        <f>IFERROR(__xludf.DUMMYFUNCTION("GOOGLETRANSLATE(E296,""EN"",""JA"")"),"アポリポタンパク質B")</f>
        <v>アポリポタンパク質B</v>
      </c>
      <c r="J296" s="1" t="str">
        <f>IFERROR(__xludf.DUMMYFUNCTION("GOOGLETRANSLATE(F296,""EN"",""JA"")"),"生物標本中の総アポリポタンパク質 B の測定。")</f>
        <v>生物標本中の総アポリポタンパク質 B の測定。</v>
      </c>
      <c r="K296" s="1" t="str">
        <f>IFERROR(__xludf.DUMMYFUNCTION("GOOGLETRANSLATE(G296,""EN"",""JA"")"),"アポリポタンパク質B測定")</f>
        <v>アポリポタンパク質B測定</v>
      </c>
    </row>
    <row r="297" ht="13.5" customHeight="1">
      <c r="A297" s="1" t="s">
        <v>11</v>
      </c>
      <c r="B297" s="1" t="s">
        <v>1575</v>
      </c>
      <c r="C297" s="1" t="s">
        <v>1576</v>
      </c>
      <c r="D297" s="1" t="s">
        <v>1577</v>
      </c>
      <c r="E297" s="1" t="s">
        <v>1577</v>
      </c>
      <c r="F297" s="1" t="s">
        <v>1578</v>
      </c>
      <c r="G297" s="1" t="s">
        <v>1579</v>
      </c>
      <c r="H297" s="1" t="str">
        <f>IFERROR(__xludf.DUMMYFUNCTION("GOOGLETRANSLATE(D297,""EN"",""JA"")"),"アポリポタンパク質B100")</f>
        <v>アポリポタンパク質B100</v>
      </c>
      <c r="I297" s="1" t="str">
        <f>IFERROR(__xludf.DUMMYFUNCTION("GOOGLETRANSLATE(E297,""EN"",""JA"")"),"アポリポタンパク質B100")</f>
        <v>アポリポタンパク質B100</v>
      </c>
      <c r="J297" s="1" t="str">
        <f>IFERROR(__xludf.DUMMYFUNCTION("GOOGLETRANSLATE(F297,""EN"",""JA"")"),"生物標本中のアポリポタンパク質 B100 の測定。")</f>
        <v>生物標本中のアポリポタンパク質 B100 の測定。</v>
      </c>
      <c r="K297" s="1" t="str">
        <f>IFERROR(__xludf.DUMMYFUNCTION("GOOGLETRANSLATE(G297,""EN"",""JA"")"),"アポリポタンパク質B100測定")</f>
        <v>アポリポタンパク質B100測定</v>
      </c>
    </row>
    <row r="298" ht="13.5" customHeight="1">
      <c r="A298" s="1" t="s">
        <v>11</v>
      </c>
      <c r="B298" s="1" t="s">
        <v>1580</v>
      </c>
      <c r="C298" s="1" t="s">
        <v>1581</v>
      </c>
      <c r="D298" s="1" t="s">
        <v>1582</v>
      </c>
      <c r="E298" s="1" t="s">
        <v>1582</v>
      </c>
      <c r="F298" s="1" t="s">
        <v>1583</v>
      </c>
      <c r="G298" s="1" t="s">
        <v>1584</v>
      </c>
      <c r="H298" s="1" t="str">
        <f>IFERROR(__xludf.DUMMYFUNCTION("GOOGLETRANSLATE(D298,""EN"",""JA"")"),"アポリポタンパク質B48")</f>
        <v>アポリポタンパク質B48</v>
      </c>
      <c r="I298" s="1" t="str">
        <f>IFERROR(__xludf.DUMMYFUNCTION("GOOGLETRANSLATE(E298,""EN"",""JA"")"),"アポリポタンパク質B48")</f>
        <v>アポリポタンパク質B48</v>
      </c>
      <c r="J298" s="1" t="str">
        <f>IFERROR(__xludf.DUMMYFUNCTION("GOOGLETRANSLATE(F298,""EN"",""JA"")"),"生物標本中のアポリポタンパク質 B48 の測定。")</f>
        <v>生物標本中のアポリポタンパク質 B48 の測定。</v>
      </c>
      <c r="K298" s="1" t="str">
        <f>IFERROR(__xludf.DUMMYFUNCTION("GOOGLETRANSLATE(G298,""EN"",""JA"")"),"アポリポタンパク質B48測定")</f>
        <v>アポリポタンパク質B48測定</v>
      </c>
    </row>
    <row r="299" ht="13.5" customHeight="1">
      <c r="A299" s="1" t="s">
        <v>11</v>
      </c>
      <c r="B299" s="1" t="s">
        <v>1585</v>
      </c>
      <c r="C299" s="1" t="s">
        <v>1586</v>
      </c>
      <c r="D299" s="1" t="s">
        <v>1587</v>
      </c>
      <c r="E299" s="1" t="s">
        <v>1587</v>
      </c>
      <c r="F299" s="1" t="s">
        <v>1588</v>
      </c>
      <c r="G299" s="1" t="s">
        <v>1589</v>
      </c>
      <c r="H299" s="1" t="str">
        <f>IFERROR(__xludf.DUMMYFUNCTION("GOOGLETRANSLATE(D299,""EN"",""JA"")"),"アポリポタンパク質B/アポリポタンパク質A1")</f>
        <v>アポリポタンパク質B/アポリポタンパク質A1</v>
      </c>
      <c r="I299" s="1" t="str">
        <f>IFERROR(__xludf.DUMMYFUNCTION("GOOGLETRANSLATE(E299,""EN"",""JA"")"),"アポリポタンパク質B/アポリポタンパク質A1")</f>
        <v>アポリポタンパク質B/アポリポタンパク質A1</v>
      </c>
      <c r="J299" s="1" t="str">
        <f>IFERROR(__xludf.DUMMYFUNCTION("GOOGLETRANSLATE(F299,""EN"",""JA"")"),"生物標本中のアポリポタンパク質 B とアポリポタンパク質 A1 の相対的な測定値 (比率またはパーセンテージ)。")</f>
        <v>生物標本中のアポリポタンパク質 B とアポリポタンパク質 A1 の相対的な測定値 (比率またはパーセンテージ)。</v>
      </c>
      <c r="K299" s="1" t="str">
        <f>IFERROR(__xludf.DUMMYFUNCTION("GOOGLETRANSLATE(G299,""EN"",""JA"")"),"アポリポタンパク質Bとアポリポタンパク質A1の比測定")</f>
        <v>アポリポタンパク質Bとアポリポタンパク質A1の比測定</v>
      </c>
    </row>
    <row r="300" ht="13.5" customHeight="1">
      <c r="A300" s="1" t="s">
        <v>11</v>
      </c>
      <c r="B300" s="1" t="s">
        <v>1590</v>
      </c>
      <c r="C300" s="1" t="s">
        <v>1591</v>
      </c>
      <c r="D300" s="1" t="s">
        <v>1592</v>
      </c>
      <c r="E300" s="1" t="s">
        <v>1592</v>
      </c>
      <c r="F300" s="1" t="s">
        <v>1593</v>
      </c>
      <c r="G300" s="1" t="s">
        <v>1594</v>
      </c>
      <c r="H300" s="1" t="str">
        <f>IFERROR(__xludf.DUMMYFUNCTION("GOOGLETRANSLATE(D300,""EN"",""JA"")"),"アポリポタンパク質CI")</f>
        <v>アポリポタンパク質CI</v>
      </c>
      <c r="I300" s="1" t="str">
        <f>IFERROR(__xludf.DUMMYFUNCTION("GOOGLETRANSLATE(E300,""EN"",""JA"")"),"アポリポタンパク質CI")</f>
        <v>アポリポタンパク質CI</v>
      </c>
      <c r="J300" s="1" t="str">
        <f>IFERROR(__xludf.DUMMYFUNCTION("GOOGLETRANSLATE(F300,""EN"",""JA"")"),"生物標本中のアポリポタンパク質 CI の測定。")</f>
        <v>生物標本中のアポリポタンパク質 CI の測定。</v>
      </c>
      <c r="K300" s="1" t="str">
        <f>IFERROR(__xludf.DUMMYFUNCTION("GOOGLETRANSLATE(G300,""EN"",""JA"")"),"アポリポタンパク質CI測定")</f>
        <v>アポリポタンパク質CI測定</v>
      </c>
    </row>
    <row r="301" ht="13.5" customHeight="1">
      <c r="A301" s="1" t="s">
        <v>11</v>
      </c>
      <c r="B301" s="1" t="s">
        <v>1595</v>
      </c>
      <c r="C301" s="1" t="s">
        <v>1596</v>
      </c>
      <c r="D301" s="1" t="s">
        <v>1597</v>
      </c>
      <c r="E301" s="1" t="s">
        <v>1598</v>
      </c>
      <c r="F301" s="1" t="s">
        <v>1599</v>
      </c>
      <c r="G301" s="1" t="s">
        <v>1600</v>
      </c>
      <c r="H301" s="1" t="str">
        <f>IFERROR(__xludf.DUMMYFUNCTION("GOOGLETRANSLATE(D301,""EN"",""JA"")"),"アポリポタンパク質C2")</f>
        <v>アポリポタンパク質C2</v>
      </c>
      <c r="I301" s="1" t="str">
        <f>IFERROR(__xludf.DUMMYFUNCTION("GOOGLETRANSLATE(E301,""EN"",""JA"")"),"アポリポタンパク質C2; アポリポタンパク質CII")</f>
        <v>アポリポタンパク質C2; アポリポタンパク質CII</v>
      </c>
      <c r="J301" s="1" t="str">
        <f>IFERROR(__xludf.DUMMYFUNCTION("GOOGLETRANSLATE(F301,""EN"",""JA"")"),"生物標本中のアポリポタンパク質 C2 の測定。")</f>
        <v>生物標本中のアポリポタンパク質 C2 の測定。</v>
      </c>
      <c r="K301" s="1" t="str">
        <f>IFERROR(__xludf.DUMMYFUNCTION("GOOGLETRANSLATE(G301,""EN"",""JA"")"),"アポリポタンパク質C2測定")</f>
        <v>アポリポタンパク質C2測定</v>
      </c>
    </row>
    <row r="302" ht="13.5" customHeight="1">
      <c r="A302" s="1" t="s">
        <v>11</v>
      </c>
      <c r="B302" s="1" t="s">
        <v>1601</v>
      </c>
      <c r="C302" s="1" t="s">
        <v>1602</v>
      </c>
      <c r="D302" s="1" t="s">
        <v>1603</v>
      </c>
      <c r="E302" s="1" t="s">
        <v>1603</v>
      </c>
      <c r="F302" s="1" t="s">
        <v>1604</v>
      </c>
      <c r="G302" s="1" t="s">
        <v>1605</v>
      </c>
      <c r="H302" s="1" t="str">
        <f>IFERROR(__xludf.DUMMYFUNCTION("GOOGLETRANSLATE(D302,""EN"",""JA"")"),"アポリポタンパク質CIII")</f>
        <v>アポリポタンパク質CIII</v>
      </c>
      <c r="I302" s="1" t="str">
        <f>IFERROR(__xludf.DUMMYFUNCTION("GOOGLETRANSLATE(E302,""EN"",""JA"")"),"アポリポタンパク質CIII")</f>
        <v>アポリポタンパク質CIII</v>
      </c>
      <c r="J302" s="1" t="str">
        <f>IFERROR(__xludf.DUMMYFUNCTION("GOOGLETRANSLATE(F302,""EN"",""JA"")"),"生物標本中のアポリポタンパク質 CIII の測定。")</f>
        <v>生物標本中のアポリポタンパク質 CIII の測定。</v>
      </c>
      <c r="K302" s="1" t="str">
        <f>IFERROR(__xludf.DUMMYFUNCTION("GOOGLETRANSLATE(G302,""EN"",""JA"")"),"アポリポタンパク質CIII測定")</f>
        <v>アポリポタンパク質CIII測定</v>
      </c>
    </row>
    <row r="303" ht="13.5" customHeight="1">
      <c r="A303" s="1" t="s">
        <v>134</v>
      </c>
      <c r="B303" s="1" t="s">
        <v>1606</v>
      </c>
      <c r="C303" s="1" t="s">
        <v>1607</v>
      </c>
      <c r="D303" s="1" t="s">
        <v>1608</v>
      </c>
      <c r="E303" s="1" t="s">
        <v>1608</v>
      </c>
      <c r="F303" s="1" t="s">
        <v>1609</v>
      </c>
      <c r="G303" s="1" t="s">
        <v>1610</v>
      </c>
      <c r="H303" s="1" t="str">
        <f>IFERROR(__xludf.DUMMYFUNCTION("GOOGLETRANSLATE(D303,""EN"",""JA"")"),"アポトーシス細胞")</f>
        <v>アポトーシス細胞</v>
      </c>
      <c r="I303" s="1" t="str">
        <f>IFERROR(__xludf.DUMMYFUNCTION("GOOGLETRANSLATE(E303,""EN"",""JA"")"),"アポトーシス細胞")</f>
        <v>アポトーシス細胞</v>
      </c>
      <c r="J303" s="1" t="str">
        <f>IFERROR(__xludf.DUMMYFUNCTION("GOOGLETRANSLATE(F303,""EN"",""JA"")"),"生物標本中のアポトーシス細胞の測定。")</f>
        <v>生物標本中のアポトーシス細胞の測定。</v>
      </c>
      <c r="K303" s="1" t="str">
        <f>IFERROR(__xludf.DUMMYFUNCTION("GOOGLETRANSLATE(G303,""EN"",""JA"")"),"アポトーシス細胞数")</f>
        <v>アポトーシス細胞数</v>
      </c>
    </row>
    <row r="304" ht="13.5" customHeight="1">
      <c r="A304" s="1" t="s">
        <v>134</v>
      </c>
      <c r="B304" s="1" t="s">
        <v>1611</v>
      </c>
      <c r="C304" s="1" t="s">
        <v>1612</v>
      </c>
      <c r="D304" s="1" t="s">
        <v>1613</v>
      </c>
      <c r="E304" s="1" t="s">
        <v>1613</v>
      </c>
      <c r="F304" s="1" t="s">
        <v>1614</v>
      </c>
      <c r="G304" s="1" t="s">
        <v>1615</v>
      </c>
      <c r="H304" s="1" t="str">
        <f>IFERROR(__xludf.DUMMYFUNCTION("GOOGLETRANSLATE(D304,""EN"",""JA"")"),"アポトーシス細胞数/総細胞数")</f>
        <v>アポトーシス細胞数/総細胞数</v>
      </c>
      <c r="I304" s="1" t="str">
        <f>IFERROR(__xludf.DUMMYFUNCTION("GOOGLETRANSLATE(E304,""EN"",""JA"")"),"アポトーシス細胞数/総細胞数")</f>
        <v>アポトーシス細胞数/総細胞数</v>
      </c>
      <c r="J304" s="1" t="str">
        <f>IFERROR(__xludf.DUMMYFUNCTION("GOOGLETRANSLATE(F304,""EN"",""JA"")"),"生物標本内の総細胞数に対するアポトーシス細胞の相対的な測定値（比率またはパーセンテージ）。")</f>
        <v>生物標本内の総細胞数に対するアポトーシス細胞の相対的な測定値（比率またはパーセンテージ）。</v>
      </c>
      <c r="K304" s="1" t="str">
        <f>IFERROR(__xludf.DUMMYFUNCTION("GOOGLETRANSLATE(G304,""EN"",""JA"")"),"アポトーシス細胞と総細胞数")</f>
        <v>アポトーシス細胞と総細胞数</v>
      </c>
    </row>
    <row r="305" ht="13.5" customHeight="1">
      <c r="A305" s="1" t="s">
        <v>11</v>
      </c>
      <c r="B305" s="1" t="s">
        <v>1616</v>
      </c>
      <c r="C305" s="1" t="s">
        <v>1617</v>
      </c>
      <c r="D305" s="1" t="s">
        <v>1618</v>
      </c>
      <c r="E305" s="1" t="s">
        <v>1618</v>
      </c>
      <c r="F305" s="1" t="s">
        <v>1619</v>
      </c>
      <c r="G305" s="1" t="s">
        <v>1620</v>
      </c>
      <c r="H305" s="1" t="str">
        <f>IFERROR(__xludf.DUMMYFUNCTION("GOOGLETRANSLATE(D305,""EN"",""JA"")"),"アポリポタンパク質D")</f>
        <v>アポリポタンパク質D</v>
      </c>
      <c r="I305" s="1" t="str">
        <f>IFERROR(__xludf.DUMMYFUNCTION("GOOGLETRANSLATE(E305,""EN"",""JA"")"),"アポリポタンパク質D")</f>
        <v>アポリポタンパク質D</v>
      </c>
      <c r="J305" s="1" t="str">
        <f>IFERROR(__xludf.DUMMYFUNCTION("GOOGLETRANSLATE(F305,""EN"",""JA"")"),"生物標本中のアポリポタンパク質 D の測定。")</f>
        <v>生物標本中のアポリポタンパク質 D の測定。</v>
      </c>
      <c r="K305" s="1" t="str">
        <f>IFERROR(__xludf.DUMMYFUNCTION("GOOGLETRANSLATE(G305,""EN"",""JA"")"),"アポリポタンパク質D測定")</f>
        <v>アポリポタンパク質D測定</v>
      </c>
    </row>
    <row r="306" ht="13.5" customHeight="1">
      <c r="A306" s="1" t="s">
        <v>11</v>
      </c>
      <c r="B306" s="1" t="s">
        <v>1621</v>
      </c>
      <c r="C306" s="1" t="s">
        <v>1622</v>
      </c>
      <c r="D306" s="1" t="s">
        <v>1623</v>
      </c>
      <c r="E306" s="1" t="s">
        <v>1623</v>
      </c>
      <c r="F306" s="1" t="s">
        <v>1624</v>
      </c>
      <c r="G306" s="1" t="s">
        <v>1625</v>
      </c>
      <c r="H306" s="1" t="str">
        <f>IFERROR(__xludf.DUMMYFUNCTION("GOOGLETRANSLATE(D306,""EN"",""JA"")"),"アポリポタンパク質E")</f>
        <v>アポリポタンパク質E</v>
      </c>
      <c r="I306" s="1" t="str">
        <f>IFERROR(__xludf.DUMMYFUNCTION("GOOGLETRANSLATE(E306,""EN"",""JA"")"),"アポリポタンパク質E")</f>
        <v>アポリポタンパク質E</v>
      </c>
      <c r="J306" s="1" t="str">
        <f>IFERROR(__xludf.DUMMYFUNCTION("GOOGLETRANSLATE(F306,""EN"",""JA"")"),"生物標本中のアポリポタンパク質 E の測定。")</f>
        <v>生物標本中のアポリポタンパク質 E の測定。</v>
      </c>
      <c r="K306" s="1" t="str">
        <f>IFERROR(__xludf.DUMMYFUNCTION("GOOGLETRANSLATE(G306,""EN"",""JA"")"),"アポリポタンパク質E測定")</f>
        <v>アポリポタンパク質E測定</v>
      </c>
    </row>
    <row r="307" ht="13.5" customHeight="1">
      <c r="A307" s="1" t="s">
        <v>11</v>
      </c>
      <c r="B307" s="1" t="s">
        <v>1626</v>
      </c>
      <c r="C307" s="1" t="s">
        <v>1627</v>
      </c>
      <c r="D307" s="1" t="s">
        <v>1628</v>
      </c>
      <c r="E307" s="1" t="s">
        <v>1628</v>
      </c>
      <c r="F307" s="1" t="s">
        <v>1629</v>
      </c>
      <c r="G307" s="1" t="s">
        <v>1630</v>
      </c>
      <c r="H307" s="1" t="str">
        <f>IFERROR(__xludf.DUMMYFUNCTION("GOOGLETRANSLATE(D307,""EN"",""JA"")"),"アポリポタンパク質E4")</f>
        <v>アポリポタンパク質E4</v>
      </c>
      <c r="I307" s="1" t="str">
        <f>IFERROR(__xludf.DUMMYFUNCTION("GOOGLETRANSLATE(E307,""EN"",""JA"")"),"アポリポタンパク質E4")</f>
        <v>アポリポタンパク質E4</v>
      </c>
      <c r="J307" s="1" t="str">
        <f>IFERROR(__xludf.DUMMYFUNCTION("GOOGLETRANSLATE(F307,""EN"",""JA"")"),"生物標本中のアポリポタンパク質 E4 の測定。")</f>
        <v>生物標本中のアポリポタンパク質 E4 の測定。</v>
      </c>
      <c r="K307" s="1" t="str">
        <f>IFERROR(__xludf.DUMMYFUNCTION("GOOGLETRANSLATE(G307,""EN"",""JA"")"),"アポリポタンパク質E4測定")</f>
        <v>アポリポタンパク質E4測定</v>
      </c>
    </row>
    <row r="308" ht="13.5" customHeight="1">
      <c r="A308" s="1" t="s">
        <v>11</v>
      </c>
      <c r="B308" s="1" t="s">
        <v>1631</v>
      </c>
      <c r="C308" s="1" t="s">
        <v>1632</v>
      </c>
      <c r="D308" s="1" t="s">
        <v>1633</v>
      </c>
      <c r="E308" s="1" t="s">
        <v>1633</v>
      </c>
      <c r="F308" s="1" t="s">
        <v>1634</v>
      </c>
      <c r="G308" s="1" t="s">
        <v>1635</v>
      </c>
      <c r="H308" s="1" t="str">
        <f>IFERROR(__xludf.DUMMYFUNCTION("GOOGLETRANSLATE(D308,""EN"",""JA"")"),"アポリポタンパク質H")</f>
        <v>アポリポタンパク質H</v>
      </c>
      <c r="I308" s="1" t="str">
        <f>IFERROR(__xludf.DUMMYFUNCTION("GOOGLETRANSLATE(E308,""EN"",""JA"")"),"アポリポタンパク質H")</f>
        <v>アポリポタンパク質H</v>
      </c>
      <c r="J308" s="1" t="str">
        <f>IFERROR(__xludf.DUMMYFUNCTION("GOOGLETRANSLATE(F308,""EN"",""JA"")"),"生物標本中のアポリポタンパク質 H の測定。")</f>
        <v>生物標本中のアポリポタンパク質 H の測定。</v>
      </c>
      <c r="K308" s="1" t="str">
        <f>IFERROR(__xludf.DUMMYFUNCTION("GOOGLETRANSLATE(G308,""EN"",""JA"")"),"アポリポタンパク質H測定")</f>
        <v>アポリポタンパク質H測定</v>
      </c>
    </row>
    <row r="309" ht="13.5" customHeight="1">
      <c r="A309" s="1" t="s">
        <v>11</v>
      </c>
      <c r="B309" s="1" t="s">
        <v>1636</v>
      </c>
      <c r="C309" s="1" t="s">
        <v>1637</v>
      </c>
      <c r="D309" s="1" t="s">
        <v>1638</v>
      </c>
      <c r="E309" s="1" t="s">
        <v>1639</v>
      </c>
      <c r="F309" s="1" t="s">
        <v>1640</v>
      </c>
      <c r="G309" s="1" t="s">
        <v>1641</v>
      </c>
      <c r="H309" s="1" t="str">
        <f>IFERROR(__xludf.DUMMYFUNCTION("GOOGLETRANSLATE(D309,""EN"",""JA"")"),"アポリポタンパク質J")</f>
        <v>アポリポタンパク質J</v>
      </c>
      <c r="I309" s="1" t="str">
        <f>IFERROR(__xludf.DUMMYFUNCTION("GOOGLETRANSLATE(E309,""EN"",""JA"")"),"アポリポタンパク質J; クラステリン")</f>
        <v>アポリポタンパク質J; クラステリン</v>
      </c>
      <c r="J309" s="1" t="str">
        <f>IFERROR(__xludf.DUMMYFUNCTION("GOOGLETRANSLATE(F309,""EN"",""JA"")"),"生物標本中のアポリポタンパク質 J の測定。")</f>
        <v>生物標本中のアポリポタンパク質 J の測定。</v>
      </c>
      <c r="K309" s="1" t="str">
        <f>IFERROR(__xludf.DUMMYFUNCTION("GOOGLETRANSLATE(G309,""EN"",""JA"")"),"アポリポタンパク質J測定")</f>
        <v>アポリポタンパク質J測定</v>
      </c>
    </row>
    <row r="310" ht="13.5" customHeight="1">
      <c r="A310" s="1" t="s">
        <v>11</v>
      </c>
      <c r="B310" s="1" t="s">
        <v>1642</v>
      </c>
      <c r="C310" s="1" t="s">
        <v>1643</v>
      </c>
      <c r="D310" s="1" t="s">
        <v>1644</v>
      </c>
      <c r="E310" s="1" t="s">
        <v>1645</v>
      </c>
      <c r="F310" s="1" t="s">
        <v>1646</v>
      </c>
      <c r="G310" s="1" t="s">
        <v>1647</v>
      </c>
      <c r="H310" s="1" t="str">
        <f>IFERROR(__xludf.DUMMYFUNCTION("GOOGLETRANSLATE(D310,""EN"",""JA"")"),"アポリポタンパク質J/クレアチニン")</f>
        <v>アポリポタンパク質J/クレアチニン</v>
      </c>
      <c r="I310" s="1" t="str">
        <f>IFERROR(__xludf.DUMMYFUNCTION("GOOGLETRANSLATE(E310,""EN"",""JA"")"),"アポリポタンパク質J/クレアチニン; クラステリン/クレアチニン")</f>
        <v>アポリポタンパク質J/クレアチニン; クラステリン/クレアチニン</v>
      </c>
      <c r="J310" s="1" t="str">
        <f>IFERROR(__xludf.DUMMYFUNCTION("GOOGLETRANSLATE(F310,""EN"",""JA"")"),"生物標本中のアポリポタンパク質 J とクレアチニンの相対的な測定値 (比率またはパーセンテージ)。")</f>
        <v>生物標本中のアポリポタンパク質 J とクレアチニンの相対的な測定値 (比率またはパーセンテージ)。</v>
      </c>
      <c r="K310" s="1" t="str">
        <f>IFERROR(__xludf.DUMMYFUNCTION("GOOGLETRANSLATE(G310,""EN"",""JA"")"),"アポリポタンパク質Jとクレアチニンの比の測定")</f>
        <v>アポリポタンパク質Jとクレアチニンの比の測定</v>
      </c>
    </row>
    <row r="311" ht="13.5" customHeight="1">
      <c r="A311" s="1" t="s">
        <v>90</v>
      </c>
      <c r="B311" s="1" t="s">
        <v>1648</v>
      </c>
      <c r="C311" s="1" t="s">
        <v>1649</v>
      </c>
      <c r="D311" s="1" t="s">
        <v>1650</v>
      </c>
      <c r="E311" s="1" t="s">
        <v>1650</v>
      </c>
      <c r="F311" s="1" t="s">
        <v>1651</v>
      </c>
      <c r="G311" s="1" t="s">
        <v>1650</v>
      </c>
      <c r="H311" s="1" t="str">
        <f>IFERROR(__xludf.DUMMYFUNCTION("GOOGLETRANSLATE(D311,""EN"",""JA"")"),"大動脈後管狭窄症の重症度")</f>
        <v>大動脈後管狭窄症の重症度</v>
      </c>
      <c r="I311" s="1" t="str">
        <f>IFERROR(__xludf.DUMMYFUNCTION("GOOGLETRANSLATE(E311,""EN"",""JA"")"),"大動脈後管狭窄症の重症度")</f>
        <v>大動脈後管狭窄症の重症度</v>
      </c>
      <c r="J311" s="1" t="str">
        <f>IFERROR(__xludf.DUMMYFUNCTION("GOOGLETRANSLATE(F311,""EN"",""JA"")"),"管後大動脈縮窄症の重症度の評価。")</f>
        <v>管後大動脈縮窄症の重症度の評価。</v>
      </c>
      <c r="K311" s="1" t="str">
        <f>IFERROR(__xludf.DUMMYFUNCTION("GOOGLETRANSLATE(G311,""EN"",""JA"")"),"大動脈後管狭窄症の重症度")</f>
        <v>大動脈後管狭窄症の重症度</v>
      </c>
    </row>
    <row r="312" ht="13.5" customHeight="1">
      <c r="A312" s="1" t="s">
        <v>11</v>
      </c>
      <c r="B312" s="1" t="s">
        <v>1652</v>
      </c>
      <c r="C312" s="1" t="s">
        <v>1653</v>
      </c>
      <c r="D312" s="1" t="s">
        <v>1654</v>
      </c>
      <c r="E312" s="1" t="s">
        <v>1654</v>
      </c>
      <c r="F312" s="1" t="s">
        <v>1655</v>
      </c>
      <c r="G312" s="1" t="s">
        <v>1656</v>
      </c>
      <c r="H312" s="1" t="str">
        <f>IFERROR(__xludf.DUMMYFUNCTION("GOOGLETRANSLATE(D312,""EN"",""JA"")"),"アミロイドα前駆タンパク質")</f>
        <v>アミロイドα前駆タンパク質</v>
      </c>
      <c r="I312" s="1" t="str">
        <f>IFERROR(__xludf.DUMMYFUNCTION("GOOGLETRANSLATE(E312,""EN"",""JA"")"),"アミロイドα前駆タンパク質")</f>
        <v>アミロイドα前駆タンパク質</v>
      </c>
      <c r="J312" s="1" t="str">
        <f>IFERROR(__xludf.DUMMYFUNCTION("GOOGLETRANSLATE(F312,""EN"",""JA"")"),"生物学的標本中に存在するアミロイドα前駆体タンパク質の測定。")</f>
        <v>生物学的標本中に存在するアミロイドα前駆体タンパク質の測定。</v>
      </c>
      <c r="K312" s="1" t="str">
        <f>IFERROR(__xludf.DUMMYFUNCTION("GOOGLETRANSLATE(G312,""EN"",""JA"")"),"アミロイドα前駆体タンパク質の測定")</f>
        <v>アミロイドα前駆体タンパク質の測定</v>
      </c>
    </row>
    <row r="313" ht="13.5" customHeight="1">
      <c r="A313" s="1" t="s">
        <v>11</v>
      </c>
      <c r="B313" s="1" t="s">
        <v>1657</v>
      </c>
      <c r="C313" s="1" t="s">
        <v>1658</v>
      </c>
      <c r="D313" s="1" t="s">
        <v>1659</v>
      </c>
      <c r="E313" s="1" t="s">
        <v>1660</v>
      </c>
      <c r="F313" s="1" t="s">
        <v>1661</v>
      </c>
      <c r="G313" s="1" t="s">
        <v>1662</v>
      </c>
      <c r="H313" s="1" t="str">
        <f>IFERROR(__xludf.DUMMYFUNCTION("GOOGLETRANSLATE(D313,""EN"",""JA"")"),"アミロイドβ前駆タンパク質")</f>
        <v>アミロイドβ前駆タンパク質</v>
      </c>
      <c r="I313" s="1" t="str">
        <f>IFERROR(__xludf.DUMMYFUNCTION("GOOGLETRANSLATE(E313,""EN"",""JA"")"),"アミロイドβ前駆体; アミロイドβ前駆体タンパク質; アミロイドβ前駆体; アミロイド前駆体タンパク質")</f>
        <v>アミロイドβ前駆体; アミロイドβ前駆体タンパク質; アミロイドβ前駆体; アミロイド前駆体タンパク質</v>
      </c>
      <c r="J313" s="1" t="str">
        <f>IFERROR(__xludf.DUMMYFUNCTION("GOOGLETRANSLATE(F313,""EN"",""JA"")"),"生物学的標本中に存在するアミロイドβ前駆体タンパク質の測定。")</f>
        <v>生物学的標本中に存在するアミロイドβ前駆体タンパク質の測定。</v>
      </c>
      <c r="K313" s="1" t="str">
        <f>IFERROR(__xludf.DUMMYFUNCTION("GOOGLETRANSLATE(G313,""EN"",""JA"")"),"アミロイドβ前駆体タンパク質の測定")</f>
        <v>アミロイドβ前駆体タンパク質の測定</v>
      </c>
    </row>
    <row r="314" ht="13.5" customHeight="1">
      <c r="A314" s="1" t="s">
        <v>11</v>
      </c>
      <c r="B314" s="1" t="s">
        <v>1663</v>
      </c>
      <c r="C314" s="1" t="s">
        <v>1664</v>
      </c>
      <c r="D314" s="1" t="s">
        <v>1665</v>
      </c>
      <c r="E314" s="1" t="s">
        <v>1665</v>
      </c>
      <c r="F314" s="1" t="s">
        <v>1666</v>
      </c>
      <c r="G314" s="1" t="s">
        <v>1667</v>
      </c>
      <c r="H314" s="1" t="str">
        <f>IFERROR(__xludf.DUMMYFUNCTION("GOOGLETRANSLATE(D314,""EN"",""JA"")"),"標本の外観")</f>
        <v>標本の外観</v>
      </c>
      <c r="I314" s="1" t="str">
        <f>IFERROR(__xludf.DUMMYFUNCTION("GOOGLETRANSLATE(E314,""EN"",""JA"")"),"標本の外観")</f>
        <v>標本の外観</v>
      </c>
      <c r="J314" s="1" t="str">
        <f>IFERROR(__xludf.DUMMYFUNCTION("GOOGLETRANSLATE(F314,""EN"",""JA"")"),"標本の外側または目に見える部分。")</f>
        <v>標本の外側または目に見える部分。</v>
      </c>
      <c r="K314" s="1" t="str">
        <f>IFERROR(__xludf.DUMMYFUNCTION("GOOGLETRANSLATE(G314,""EN"",""JA"")"),"標本の外観評価")</f>
        <v>標本の外観評価</v>
      </c>
    </row>
    <row r="315" ht="13.5" customHeight="1">
      <c r="A315" s="1" t="s">
        <v>397</v>
      </c>
      <c r="B315" s="1" t="s">
        <v>1668</v>
      </c>
      <c r="C315" s="1" t="s">
        <v>1669</v>
      </c>
      <c r="D315" s="1" t="s">
        <v>1670</v>
      </c>
      <c r="E315" s="1" t="s">
        <v>1671</v>
      </c>
      <c r="F315" s="1" t="s">
        <v>1672</v>
      </c>
      <c r="G315" s="1" t="s">
        <v>1673</v>
      </c>
      <c r="H315" s="1" t="str">
        <f>IFERROR(__xludf.DUMMYFUNCTION("GOOGLETRANSLATE(D315,""EN"",""JA"")"),"申請者")</f>
        <v>申請者</v>
      </c>
      <c r="I315" s="1" t="str">
        <f>IFERROR(__xludf.DUMMYFUNCTION("GOOGLETRANSLATE(E315,""EN"",""JA"")"),"申請者; 申請組織; 申請組織名")</f>
        <v>申請者; 申請組織; 申請組織名</v>
      </c>
      <c r="J315" s="1" t="str">
        <f>IFERROR(__xludf.DUMMYFUNCTION("GOOGLETRANSLATE(F315,""EN"",""JA"")"),"FD&amp;C法第IX章に基づきFDAの管轄権に服し、FDAにタバコ製品の販売許可を申請する当事者（タバコ製造業者およびその正式な代理人を含む）。（PMTA規則21以降）")</f>
        <v>FD&amp;C法第IX章に基づきFDAの管轄権に服し、FDAにタバコ製品の販売許可を申請する当事者（タバコ製造業者およびその正式な代理人を含む）。（PMTA規則21以降）</v>
      </c>
      <c r="K315" s="1" t="str">
        <f>IFERROR(__xludf.DUMMYFUNCTION("GOOGLETRANSLATE(G315,""EN"",""JA"")"),"米国FDAタバコ製品申請者")</f>
        <v>米国FDAタバコ製品申請者</v>
      </c>
    </row>
    <row r="316" ht="13.5" customHeight="1">
      <c r="A316" s="1" t="s">
        <v>11</v>
      </c>
      <c r="B316" s="1" t="s">
        <v>1674</v>
      </c>
      <c r="C316" s="1" t="s">
        <v>1675</v>
      </c>
      <c r="D316" s="1" t="s">
        <v>1676</v>
      </c>
      <c r="E316" s="1" t="s">
        <v>1676</v>
      </c>
      <c r="F316" s="1" t="s">
        <v>1677</v>
      </c>
      <c r="G316" s="1" t="s">
        <v>1678</v>
      </c>
      <c r="H316" s="1" t="str">
        <f>IFERROR(__xludf.DUMMYFUNCTION("GOOGLETRANSLATE(D316,""EN"",""JA"")"),"総アミロイド前駆体タンパク質")</f>
        <v>総アミロイド前駆体タンパク質</v>
      </c>
      <c r="I316" s="1" t="str">
        <f>IFERROR(__xludf.DUMMYFUNCTION("GOOGLETRANSLATE(E316,""EN"",""JA"")"),"総アミロイド前駆体タンパク質")</f>
        <v>総アミロイド前駆体タンパク質</v>
      </c>
      <c r="J316" s="1" t="str">
        <f>IFERROR(__xludf.DUMMYFUNCTION("GOOGLETRANSLATE(F316,""EN"",""JA"")"),"生物学的標本中に存在するアミロイド前駆体タンパク質の総量の測定。")</f>
        <v>生物学的標本中に存在するアミロイド前駆体タンパク質の総量の測定。</v>
      </c>
      <c r="K316" s="1" t="str">
        <f>IFERROR(__xludf.DUMMYFUNCTION("GOOGLETRANSLATE(G316,""EN"",""JA"")"),"総アミロイド前駆体タンパク質測定")</f>
        <v>総アミロイド前駆体タンパク質測定</v>
      </c>
    </row>
    <row r="317" ht="13.5" customHeight="1">
      <c r="A317" s="1" t="s">
        <v>11</v>
      </c>
      <c r="B317" s="1" t="s">
        <v>1679</v>
      </c>
      <c r="C317" s="1" t="s">
        <v>1680</v>
      </c>
      <c r="D317" s="1" t="s">
        <v>1681</v>
      </c>
      <c r="E317" s="1" t="s">
        <v>1681</v>
      </c>
      <c r="F317" s="1" t="s">
        <v>1682</v>
      </c>
      <c r="G317" s="1" t="s">
        <v>1683</v>
      </c>
      <c r="H317" s="1" t="str">
        <f>IFERROR(__xludf.DUMMYFUNCTION("GOOGLETRANSLATE(D317,""EN"",""JA"")"),"アプロバルビタール")</f>
        <v>アプロバルビタール</v>
      </c>
      <c r="I317" s="1" t="str">
        <f>IFERROR(__xludf.DUMMYFUNCTION("GOOGLETRANSLATE(E317,""EN"",""JA"")"),"アプロバルビタール")</f>
        <v>アプロバルビタール</v>
      </c>
      <c r="J317" s="1" t="str">
        <f>IFERROR(__xludf.DUMMYFUNCTION("GOOGLETRANSLATE(F317,""EN"",""JA"")"),"生物標本中のアプロバルビタール濃度の測定。")</f>
        <v>生物標本中のアプロバルビタール濃度の測定。</v>
      </c>
      <c r="K317" s="1" t="str">
        <f>IFERROR(__xludf.DUMMYFUNCTION("GOOGLETRANSLATE(G317,""EN"",""JA"")"),"アプロバルビタール測定")</f>
        <v>アプロバルビタール測定</v>
      </c>
    </row>
    <row r="318" ht="13.5" customHeight="1">
      <c r="A318" s="1" t="s">
        <v>90</v>
      </c>
      <c r="B318" s="1" t="s">
        <v>1684</v>
      </c>
      <c r="C318" s="1" t="s">
        <v>1685</v>
      </c>
      <c r="D318" s="1" t="s">
        <v>1686</v>
      </c>
      <c r="E318" s="1" t="s">
        <v>1686</v>
      </c>
      <c r="F318" s="1" t="s">
        <v>1687</v>
      </c>
      <c r="G318" s="1" t="s">
        <v>1686</v>
      </c>
      <c r="H318" s="1" t="str">
        <f>IFERROR(__xludf.DUMMYFUNCTION("GOOGLETRANSLATE(D318,""EN"",""JA"")"),"大動脈管前狭窄症の重症度")</f>
        <v>大動脈管前狭窄症の重症度</v>
      </c>
      <c r="I318" s="1" t="str">
        <f>IFERROR(__xludf.DUMMYFUNCTION("GOOGLETRANSLATE(E318,""EN"",""JA"")"),"大動脈管前狭窄症の重症度")</f>
        <v>大動脈管前狭窄症の重症度</v>
      </c>
      <c r="J318" s="1" t="str">
        <f>IFERROR(__xludf.DUMMYFUNCTION("GOOGLETRANSLATE(F318,""EN"",""JA"")"),"動脈管前狭窄症の重症度の評価。")</f>
        <v>動脈管前狭窄症の重症度の評価。</v>
      </c>
      <c r="K318" s="1" t="str">
        <f>IFERROR(__xludf.DUMMYFUNCTION("GOOGLETRANSLATE(G318,""EN"",""JA"")"),"大動脈管前狭窄症の重症度")</f>
        <v>大動脈管前狭窄症の重症度</v>
      </c>
    </row>
    <row r="319" ht="13.5" customHeight="1">
      <c r="A319" s="1" t="s">
        <v>11</v>
      </c>
      <c r="B319" s="1" t="s">
        <v>1688</v>
      </c>
      <c r="C319" s="1" t="s">
        <v>1689</v>
      </c>
      <c r="D319" s="1" t="s">
        <v>1690</v>
      </c>
      <c r="E319" s="1" t="s">
        <v>1691</v>
      </c>
      <c r="F319" s="1" t="s">
        <v>1692</v>
      </c>
      <c r="G319" s="1" t="s">
        <v>1693</v>
      </c>
      <c r="H319" s="1" t="str">
        <f>IFERROR(__xludf.DUMMYFUNCTION("GOOGLETRANSLATE(D319,""EN"",""JA"")"),"AST対血小板比指数")</f>
        <v>AST対血小板比指数</v>
      </c>
      <c r="I319" s="1" t="str">
        <f>IFERROR(__xludf.DUMMYFUNCTION("GOOGLETRANSLATE(E319,""EN"",""JA"")"),"APRIスコア; AST対血小板比指数")</f>
        <v>APRIスコア; AST対血小板比指数</v>
      </c>
      <c r="J319" s="1" t="str">
        <f>IFERROR(__xludf.DUMMYFUNCTION("GOOGLETRANSLATE(F319,""EN"",""JA"")"),"肝硬変および肝線維症が存在する可能性を示す計算で、アスパラギン酸アミノトランスフェラーゼ (AST) の正常上限に対する相対測定値として測定され、血小板数で割り、100 を掛けます。")</f>
        <v>肝硬変および肝線維症が存在する可能性を示す計算で、アスパラギン酸アミノトランスフェラーゼ (AST) の正常上限に対する相対測定値として測定され、血小板数で割り、100 を掛けます。</v>
      </c>
      <c r="K319" s="1" t="str">
        <f>IFERROR(__xludf.DUMMYFUNCTION("GOOGLETRANSLATE(G319,""EN"",""JA"")"),"アスパラギン酸アミノトランスフェラーゼ対血小板比指数")</f>
        <v>アスパラギン酸アミノトランスフェラーゼ対血小板比指数</v>
      </c>
    </row>
    <row r="320" ht="13.5" customHeight="1">
      <c r="A320" s="1" t="s">
        <v>11</v>
      </c>
      <c r="B320" s="1" t="s">
        <v>1694</v>
      </c>
      <c r="C320" s="1" t="s">
        <v>1695</v>
      </c>
      <c r="D320" s="1" t="s">
        <v>1696</v>
      </c>
      <c r="E320" s="1" t="s">
        <v>1697</v>
      </c>
      <c r="F320" s="1" t="s">
        <v>1698</v>
      </c>
      <c r="G320" s="1" t="s">
        <v>1699</v>
      </c>
      <c r="H320" s="1" t="str">
        <f>IFERROR(__xludf.DUMMYFUNCTION("GOOGLETRANSLATE(D320,""EN"",""JA"")"),"増殖誘導リガンド")</f>
        <v>増殖誘導リガンド</v>
      </c>
      <c r="I320" s="1" t="str">
        <f>IFERROR(__xludf.DUMMYFUNCTION("GOOGLETRANSLATE(E320,""EN"",""JA"")"),"増殖誘導リガンド; 可溶性CD256; TNFSF13; 腫瘍壊死因子リガンドスーパーファミリーメンバー13")</f>
        <v>増殖誘導リガンド; 可溶性CD256; TNFSF13; 腫瘍壊死因子リガンドスーパーファミリーメンバー13</v>
      </c>
      <c r="J320" s="1" t="str">
        <f>IFERROR(__xludf.DUMMYFUNCTION("GOOGLETRANSLATE(F320,""EN"",""JA"")"),"生物標本中の増殖誘導リガンドの測定。")</f>
        <v>生物標本中の増殖誘導リガンドの測定。</v>
      </c>
      <c r="K320" s="1" t="str">
        <f>IFERROR(__xludf.DUMMYFUNCTION("GOOGLETRANSLATE(G320,""EN"",""JA"")"),"増殖誘導リガンド測定")</f>
        <v>増殖誘導リガンド測定</v>
      </c>
    </row>
    <row r="321" ht="13.5" customHeight="1">
      <c r="A321" s="1" t="s">
        <v>11</v>
      </c>
      <c r="B321" s="1" t="s">
        <v>1700</v>
      </c>
      <c r="C321" s="1" t="s">
        <v>1701</v>
      </c>
      <c r="D321" s="1" t="s">
        <v>1702</v>
      </c>
      <c r="E321" s="1" t="s">
        <v>1703</v>
      </c>
      <c r="F321" s="1" t="s">
        <v>1704</v>
      </c>
      <c r="G321" s="1" t="s">
        <v>1705</v>
      </c>
      <c r="H321" s="1" t="str">
        <f>IFERROR(__xludf.DUMMYFUNCTION("GOOGLETRANSLATE(D321,""EN"",""JA"")"),"活性化プロテインC抵抗性")</f>
        <v>活性化プロテインC抵抗性</v>
      </c>
      <c r="I321" s="1" t="str">
        <f>IFERROR(__xludf.DUMMYFUNCTION("GOOGLETRANSLATE(E321,""EN"",""JA"")"),"活性化プロテインC抵抗性；第V因子ライデンスクリーニング")</f>
        <v>活性化プロテインC抵抗性；第V因子ライデンスクリーニング</v>
      </c>
      <c r="J321" s="1" t="str">
        <f>IFERROR(__xludf.DUMMYFUNCTION("GOOGLETRANSLATE(F321,""EN"",""JA"")"),"生物標本中の活性化プロテイン C に対する抗凝固反応の抵抗の測定。")</f>
        <v>生物標本中の活性化プロテイン C に対する抗凝固反応の抵抗の測定。</v>
      </c>
      <c r="K321" s="1" t="str">
        <f>IFERROR(__xludf.DUMMYFUNCTION("GOOGLETRANSLATE(G321,""EN"",""JA"")"),"活性化プロテインC抵抗性測定")</f>
        <v>活性化プロテインC抵抗性測定</v>
      </c>
    </row>
    <row r="322" ht="13.5" customHeight="1">
      <c r="A322" s="1" t="s">
        <v>90</v>
      </c>
      <c r="B322" s="1" t="s">
        <v>1706</v>
      </c>
      <c r="C322" s="1" t="s">
        <v>1707</v>
      </c>
      <c r="D322" s="1" t="s">
        <v>1708</v>
      </c>
      <c r="E322" s="1" t="s">
        <v>1708</v>
      </c>
      <c r="F322" s="1" t="s">
        <v>1709</v>
      </c>
      <c r="G322" s="1" t="s">
        <v>1708</v>
      </c>
      <c r="H322" s="1" t="str">
        <f>IFERROR(__xludf.DUMMYFUNCTION("GOOGLETRANSLATE(D322,""EN"",""JA"")"),"環状面収縮期移動")</f>
        <v>環状面収縮期移動</v>
      </c>
      <c r="I322" s="1" t="str">
        <f>IFERROR(__xludf.DUMMYFUNCTION("GOOGLETRANSLATE(E322,""EN"",""JA"")"),"環状面収縮期移動")</f>
        <v>環状面収縮期移動</v>
      </c>
      <c r="J322" s="1" t="str">
        <f>IFERROR(__xludf.DUMMYFUNCTION("GOOGLETRANSLATE(F322,""EN"",""JA"")"),"心臓の頂点に向かって心臓弁輪が縦方向に変位すること。")</f>
        <v>心臓の頂点に向かって心臓弁輪が縦方向に変位すること。</v>
      </c>
      <c r="K322" s="1" t="str">
        <f>IFERROR(__xludf.DUMMYFUNCTION("GOOGLETRANSLATE(G322,""EN"",""JA"")"),"環状面収縮期移動")</f>
        <v>環状面収縮期移動</v>
      </c>
    </row>
    <row r="323" ht="13.5" customHeight="1">
      <c r="A323" s="1" t="s">
        <v>11</v>
      </c>
      <c r="B323" s="1" t="s">
        <v>1710</v>
      </c>
      <c r="C323" s="1" t="s">
        <v>1711</v>
      </c>
      <c r="D323" s="1" t="s">
        <v>1712</v>
      </c>
      <c r="E323" s="1" t="s">
        <v>1713</v>
      </c>
      <c r="F323" s="1" t="s">
        <v>1714</v>
      </c>
      <c r="G323" s="1" t="s">
        <v>1712</v>
      </c>
      <c r="H323" s="1" t="str">
        <f>IFERROR(__xludf.DUMMYFUNCTION("GOOGLETRANSLATE(D323,""EN"",""JA"")"),"アミロイド確率スコア")</f>
        <v>アミロイド確率スコア</v>
      </c>
      <c r="I323" s="1" t="str">
        <f>IFERROR(__xludf.DUMMYFUNCTION("GOOGLETRANSLATE(E323,""EN"",""JA"")"),"アミロイド確率スコア; APS; 血漿アミロイド確率スコア")</f>
        <v>アミロイド確率スコア; APS; 血漿アミロイド確率スコア</v>
      </c>
      <c r="J323" s="1" t="str">
        <f>IFERROR(__xludf.DUMMYFUNCTION("GOOGLETRANSLATE(F323,""EN"",""JA"")"),"PET 画像で患者がアミロイド陽性である可能性の推定値を表す確率スコア。")</f>
        <v>PET 画像で患者がアミロイド陽性である可能性の推定値を表す確率スコア。</v>
      </c>
      <c r="K323" s="1" t="str">
        <f>IFERROR(__xludf.DUMMYFUNCTION("GOOGLETRANSLATE(G323,""EN"",""JA"")"),"アミロイド確率スコア")</f>
        <v>アミロイド確率スコア</v>
      </c>
    </row>
    <row r="324" ht="13.5" customHeight="1">
      <c r="A324" s="1" t="s">
        <v>11</v>
      </c>
      <c r="B324" s="1" t="s">
        <v>1715</v>
      </c>
      <c r="C324" s="1" t="s">
        <v>1716</v>
      </c>
      <c r="D324" s="1" t="s">
        <v>1717</v>
      </c>
      <c r="E324" s="1" t="s">
        <v>1717</v>
      </c>
      <c r="F324" s="1" t="s">
        <v>1718</v>
      </c>
      <c r="G324" s="1" t="s">
        <v>1717</v>
      </c>
      <c r="H324" s="1" t="str">
        <f>IFERROR(__xludf.DUMMYFUNCTION("GOOGLETRANSLATE(D324,""EN"",""JA"")"),"活性化部分トロンボプラスチン時間")</f>
        <v>活性化部分トロンボプラスチン時間</v>
      </c>
      <c r="I324" s="1" t="str">
        <f>IFERROR(__xludf.DUMMYFUNCTION("GOOGLETRANSLATE(E324,""EN"",""JA"")"),"活性化部分トロンボプラスチン時間")</f>
        <v>活性化部分トロンボプラスチン時間</v>
      </c>
      <c r="J324" s="1" t="str">
        <f>IFERROR(__xludf.DUMMYFUNCTION("GOOGLETRANSLATE(F324,""EN"",""JA"")"),"活性化試薬を生体試料に加え、凝固が起こるまでの時間を測定する検査です。反応混合物に組織因子（第III因子）が含まれていないため、この検査は部分的なものです。")</f>
        <v>活性化試薬を生体試料に加え、凝固が起こるまでの時間を測定する検査です。反応混合物に組織因子（第III因子）が含まれていないため、この検査は部分的なものです。</v>
      </c>
      <c r="K324" s="1" t="str">
        <f>IFERROR(__xludf.DUMMYFUNCTION("GOOGLETRANSLATE(G324,""EN"",""JA"")"),"活性化部分トロンボプラスチン時間")</f>
        <v>活性化部分トロンボプラスチン時間</v>
      </c>
    </row>
    <row r="325" ht="13.5" customHeight="1">
      <c r="A325" s="1" t="s">
        <v>11</v>
      </c>
      <c r="B325" s="1" t="s">
        <v>1719</v>
      </c>
      <c r="C325" s="1" t="s">
        <v>1720</v>
      </c>
      <c r="D325" s="1" t="s">
        <v>1721</v>
      </c>
      <c r="E325" s="1" t="s">
        <v>1722</v>
      </c>
      <c r="F325" s="1" t="s">
        <v>1723</v>
      </c>
      <c r="G325" s="1" t="s">
        <v>1724</v>
      </c>
      <c r="H325" s="1" t="str">
        <f>IFERROR(__xludf.DUMMYFUNCTION("GOOGLETRANSLATE(D325,""EN"",""JA"")"),"APTT-LA 実測値/対照値")</f>
        <v>APTT-LA 実測値/対照値</v>
      </c>
      <c r="I325" s="1" t="str">
        <f>IFERROR(__xludf.DUMMYFUNCTION("GOOGLETRANSLATE(E325,""EN"",""JA"")"),"APTT-LA 実測値/対照値; ループス抗凝固薬感受性APTT 実測値/対照値")</f>
        <v>APTT-LA 実測値/対照値; ループス抗凝固薬感受性APTT 実測値/対照値</v>
      </c>
      <c r="J325" s="1" t="str">
        <f>IFERROR(__xludf.DUMMYFUNCTION("GOOGLETRANSLATE(F325,""EN"",""JA"")"),"被験者の検体中のループス抗凝固剤感受性 APTT をコントロール検体と比較した相対的な測定値 (比率またはパーセンテージ)。")</f>
        <v>被験者の検体中のループス抗凝固剤感受性 APTT をコントロール検体と比較した相対的な測定値 (比率またはパーセンテージ)。</v>
      </c>
      <c r="K325" s="1" t="str">
        <f>IFERROR(__xludf.DUMMYFUNCTION("GOOGLETRANSLATE(G325,""EN"",""JA"")"),"APTT-LA 実測値と対照値の比測定")</f>
        <v>APTT-LA 実測値と対照値の比測定</v>
      </c>
    </row>
    <row r="326" ht="13.5" customHeight="1">
      <c r="A326" s="1" t="s">
        <v>11</v>
      </c>
      <c r="B326" s="1" t="s">
        <v>1725</v>
      </c>
      <c r="C326" s="1" t="s">
        <v>1726</v>
      </c>
      <c r="D326" s="1" t="s">
        <v>1727</v>
      </c>
      <c r="E326" s="1" t="s">
        <v>1728</v>
      </c>
      <c r="F326" s="1" t="s">
        <v>1729</v>
      </c>
      <c r="G326" s="1" t="s">
        <v>1730</v>
      </c>
      <c r="H326" s="1" t="str">
        <f>IFERROR(__xludf.DUMMYFUNCTION("GOOGLETRANSLATE(D326,""EN"",""JA"")"),"ループス抗凝固剤感受性APTT")</f>
        <v>ループス抗凝固剤感受性APTT</v>
      </c>
      <c r="I326" s="1" t="str">
        <f>IFERROR(__xludf.DUMMYFUNCTION("GOOGLETRANSLATE(E326,""EN"",""JA"")"),"APTT-LA; APTTLA; ループス抗凝固剤感受性APTT")</f>
        <v>APTT-LA; APTTLA; ループス抗凝固剤感受性APTT</v>
      </c>
      <c r="J326" s="1" t="str">
        <f>IFERROR(__xludf.DUMMYFUNCTION("GOOGLETRANSLATE(F326,""EN"",""JA"")"),"ループス感受性試薬を血漿標本に加えたときに凝固が起こるまでにかかる時間の長さを測定します。")</f>
        <v>ループス感受性試薬を血漿標本に加えたときに凝固が起こるまでにかかる時間の長さを測定します。</v>
      </c>
      <c r="K326" s="1" t="str">
        <f>IFERROR(__xludf.DUMMYFUNCTION("GOOGLETRANSLATE(G326,""EN"",""JA"")"),"ループス抗凝固薬感受性APTT測定")</f>
        <v>ループス抗凝固薬感受性APTT測定</v>
      </c>
    </row>
    <row r="327" ht="13.5" customHeight="1">
      <c r="A327" s="1" t="s">
        <v>11</v>
      </c>
      <c r="B327" s="1" t="s">
        <v>1731</v>
      </c>
      <c r="C327" s="1" t="s">
        <v>1732</v>
      </c>
      <c r="D327" s="1" t="s">
        <v>1733</v>
      </c>
      <c r="E327" s="1" t="s">
        <v>1734</v>
      </c>
      <c r="F327" s="1" t="s">
        <v>1735</v>
      </c>
      <c r="G327" s="1" t="s">
        <v>1736</v>
      </c>
      <c r="H327" s="1" t="str">
        <f>IFERROR(__xludf.DUMMYFUNCTION("GOOGLETRANSLATE(D327,""EN"",""JA"")"),"アクティブ化されたPTT/標準")</f>
        <v>アクティブ化されたPTT/標準</v>
      </c>
      <c r="I327" s="1" t="str">
        <f>IFERROR(__xludf.DUMMYFUNCTION("GOOGLETRANSLATE(E327,""EN"",""JA"")"),"活性化部分トロンボプラスチン時間/標準トロンボプラスチン時間; 活性化PTT/標準; 活性化PTT/標準PTT")</f>
        <v>活性化部分トロンボプラスチン時間/標準トロンボプラスチン時間; 活性化PTT/標準; 活性化PTT/標準PTT</v>
      </c>
      <c r="J327" s="1" t="str">
        <f>IFERROR(__xludf.DUMMYFUNCTION("GOOGLETRANSLATE(F327,""EN"",""JA"")"),"被験者の活性化部分トロンボプラスチン時間と標準部分トロンボプラスチン時間またはコントロール部分トロンボプラスチン時間に対する相対的な測定値 (比率またはパーセンテージ)。")</f>
        <v>被験者の活性化部分トロンボプラスチン時間と標準部分トロンボプラスチン時間またはコントロール部分トロンボプラスチン時間に対する相対的な測定値 (比率またはパーセンテージ)。</v>
      </c>
      <c r="K327" s="1" t="str">
        <f>IFERROR(__xludf.DUMMYFUNCTION("GOOGLETRANSLATE(G327,""EN"",""JA"")"),"アクティブPTT/標準比測定")</f>
        <v>アクティブPTT/標準比測定</v>
      </c>
    </row>
    <row r="328" ht="13.5" customHeight="1">
      <c r="A328" s="1" t="s">
        <v>11</v>
      </c>
      <c r="B328" s="1" t="s">
        <v>1737</v>
      </c>
      <c r="C328" s="1" t="s">
        <v>1738</v>
      </c>
      <c r="D328" s="1" t="s">
        <v>1739</v>
      </c>
      <c r="E328" s="1" t="s">
        <v>1739</v>
      </c>
      <c r="F328" s="1" t="s">
        <v>1740</v>
      </c>
      <c r="G328" s="1" t="s">
        <v>1741</v>
      </c>
      <c r="H328" s="1" t="str">
        <f>IFERROR(__xludf.DUMMYFUNCTION("GOOGLETRANSLATE(D328,""EN"",""JA"")"),"アラキドン酸")</f>
        <v>アラキドン酸</v>
      </c>
      <c r="I328" s="1" t="str">
        <f>IFERROR(__xludf.DUMMYFUNCTION("GOOGLETRANSLATE(E328,""EN"",""JA"")"),"アラキドン酸")</f>
        <v>アラキドン酸</v>
      </c>
      <c r="J328" s="1" t="str">
        <f>IFERROR(__xludf.DUMMYFUNCTION("GOOGLETRANSLATE(F328,""EN"",""JA"")"),"生物標本中に存在するアラキドン酸の測定。")</f>
        <v>生物標本中に存在するアラキドン酸の測定。</v>
      </c>
      <c r="K328" s="1" t="str">
        <f>IFERROR(__xludf.DUMMYFUNCTION("GOOGLETRANSLATE(G328,""EN"",""JA"")"),"アラキドン酸測定")</f>
        <v>アラキドン酸測定</v>
      </c>
    </row>
    <row r="329" ht="13.5" customHeight="1">
      <c r="A329" s="1" t="s">
        <v>201</v>
      </c>
      <c r="B329" s="1" t="s">
        <v>1742</v>
      </c>
      <c r="C329" s="1" t="s">
        <v>1743</v>
      </c>
      <c r="D329" s="1" t="s">
        <v>1744</v>
      </c>
      <c r="E329" s="1" t="s">
        <v>1744</v>
      </c>
      <c r="F329" s="1" t="s">
        <v>1745</v>
      </c>
      <c r="G329" s="1" t="s">
        <v>1746</v>
      </c>
      <c r="H329" s="1" t="str">
        <f>IFERROR(__xludf.DUMMYFUNCTION("GOOGLETRANSLATE(D329,""EN"",""JA"")"),"アレルゲン誘導抗体")</f>
        <v>アレルゲン誘導抗体</v>
      </c>
      <c r="I329" s="1" t="str">
        <f>IFERROR(__xludf.DUMMYFUNCTION("GOOGLETRANSLATE(E329,""EN"",""JA"")"),"アレルゲン誘導抗体")</f>
        <v>アレルゲン誘導抗体</v>
      </c>
      <c r="J329" s="1" t="str">
        <f>IFERROR(__xludf.DUMMYFUNCTION("GOOGLETRANSLATE(F329,""EN"",""JA"")"),"生物学的標本中のアレルゲン誘導結合抗体の測定。")</f>
        <v>生物学的標本中のアレルゲン誘導結合抗体の測定。</v>
      </c>
      <c r="K329" s="1" t="str">
        <f>IFERROR(__xludf.DUMMYFUNCTION("GOOGLETRANSLATE(G329,""EN"",""JA"")"),"アレルゲン誘発抗体測定")</f>
        <v>アレルゲン誘発抗体測定</v>
      </c>
    </row>
    <row r="330" ht="13.5" customHeight="1">
      <c r="A330" s="1" t="s">
        <v>870</v>
      </c>
      <c r="B330" s="1" t="s">
        <v>1747</v>
      </c>
      <c r="C330" s="1" t="s">
        <v>1748</v>
      </c>
      <c r="D330" s="1" t="s">
        <v>1749</v>
      </c>
      <c r="E330" s="1" t="s">
        <v>1749</v>
      </c>
      <c r="F330" s="1" t="s">
        <v>1750</v>
      </c>
      <c r="G330" s="1" t="s">
        <v>1751</v>
      </c>
      <c r="H330" s="1" t="str">
        <f>IFERROR(__xludf.DUMMYFUNCTION("GOOGLETRANSLATE(D330,""EN"",""JA"")"),"累積比率 AUCTAU")</f>
        <v>累積比率 AUCTAU</v>
      </c>
      <c r="I330" s="1" t="str">
        <f>IFERROR(__xludf.DUMMYFUNCTION("GOOGLETRANSLATE(E330,""EN"",""JA"")"),"累積比率 AUCTAU")</f>
        <v>累積比率 AUCTAU</v>
      </c>
      <c r="J330" s="1" t="str">
        <f>IFERROR(__xludf.DUMMYFUNCTION("GOOGLETRANSLATE(F330,""EN"",""JA"")"),"定常状態での投与間隔にわたる曲線の下の面積を、初期投与間隔にわたる曲線の下の面積で割ったもの。")</f>
        <v>定常状態での投与間隔にわたる曲線の下の面積を、初期投与間隔にわたる曲線の下の面積で割ったもの。</v>
      </c>
      <c r="K330" s="1" t="str">
        <f>IFERROR(__xludf.DUMMYFUNCTION("GOOGLETRANSLATE(G330,""EN"",""JA"")"),"累積比率曲線下面積")</f>
        <v>累積比率曲線下面積</v>
      </c>
    </row>
    <row r="331" ht="13.5" customHeight="1">
      <c r="A331" s="1" t="s">
        <v>870</v>
      </c>
      <c r="B331" s="1" t="s">
        <v>1752</v>
      </c>
      <c r="C331" s="1" t="s">
        <v>1753</v>
      </c>
      <c r="D331" s="1" t="s">
        <v>1754</v>
      </c>
      <c r="E331" s="1" t="s">
        <v>1754</v>
      </c>
      <c r="F331" s="1" t="s">
        <v>1755</v>
      </c>
      <c r="G331" s="1" t="s">
        <v>1756</v>
      </c>
      <c r="H331" s="1" t="str">
        <f>IFERROR(__xludf.DUMMYFUNCTION("GOOGLETRANSLATE(D331,""EN"",""JA"")"),"用量別の累積比 AUCTAU ノルム")</f>
        <v>用量別の累積比 AUCTAU ノルム</v>
      </c>
      <c r="I331" s="1" t="str">
        <f>IFERROR(__xludf.DUMMYFUNCTION("GOOGLETRANSLATE(E331,""EN"",""JA"")"),"用量別の累積比 AUCTAU ノルム")</f>
        <v>用量別の累積比 AUCTAU ノルム</v>
      </c>
      <c r="J331" s="1" t="str">
        <f>IFERROR(__xludf.DUMMYFUNCTION("GOOGLETRANSLATE(F331,""EN"",""JA"")"),"定常状態での曲線下面積 (AUCTAU) を初期投与間隔にわたる曲線下面積 (AUCTAU) で割り、さらにそれぞれを関連する投与量で割った値です。")</f>
        <v>定常状態での曲線下面積 (AUCTAU) を初期投与間隔にわたる曲線下面積 (AUCTAU) で割り、さらにそれぞれを関連する投与量で割った値です。</v>
      </c>
      <c r="K331" s="1" t="str">
        <f>IFERROR(__xludf.DUMMYFUNCTION("GOOGLETRANSLATE(G331,""EN"",""JA"")"),"投与間隔中のAUCの蓄積率（投与量で正規化）")</f>
        <v>投与間隔中のAUCの蓄積率（投与量で正規化）</v>
      </c>
    </row>
    <row r="332" ht="13.5" customHeight="1">
      <c r="A332" s="1" t="s">
        <v>870</v>
      </c>
      <c r="B332" s="1" t="s">
        <v>1757</v>
      </c>
      <c r="C332" s="1" t="s">
        <v>1758</v>
      </c>
      <c r="D332" s="1" t="s">
        <v>1759</v>
      </c>
      <c r="E332" s="1" t="s">
        <v>1759</v>
      </c>
      <c r="F332" s="1" t="s">
        <v>1760</v>
      </c>
      <c r="G332" s="1" t="s">
        <v>1761</v>
      </c>
      <c r="H332" s="1" t="str">
        <f>IFERROR(__xludf.DUMMYFUNCTION("GOOGLETRANSLATE(D332,""EN"",""JA"")"),"累積比AUC無限大観測")</f>
        <v>累積比AUC無限大観測</v>
      </c>
      <c r="I332" s="1" t="str">
        <f>IFERROR(__xludf.DUMMYFUNCTION("GOOGLETRANSLATE(E332,""EN"",""JA"")"),"累積比AUC無限大観測")</f>
        <v>累積比AUC無限大観測</v>
      </c>
      <c r="J332" s="1" t="str">
        <f>IFERROR(__xludf.DUMMYFUNCTION("GOOGLETRANSLATE(F332,""EN"",""JA"")"),"最後の非ゼロ濃度の観測値を使用して計算された無限大に外挿された曲線下面積（AUC）を、最後の非ゼロ濃度の観測値を使用して計算された無限大に外挿された曲線下面積（AUC）で割った値。")</f>
        <v>最後の非ゼロ濃度の観測値を使用して計算された無限大に外挿された曲線下面積（AUC）を、最後の非ゼロ濃度の観測値を使用して計算された無限大に外挿された曲線下面積（AUC）で割った値。</v>
      </c>
      <c r="K332" s="1" t="str">
        <f>IFERROR(__xludf.DUMMYFUNCTION("GOOGLETRANSLATE(G332,""EN"",""JA"")"),"蓄積比AUC無限大観測")</f>
        <v>蓄積比AUC無限大観測</v>
      </c>
    </row>
    <row r="333" ht="13.5" customHeight="1">
      <c r="A333" s="1" t="s">
        <v>870</v>
      </c>
      <c r="B333" s="1" t="s">
        <v>1762</v>
      </c>
      <c r="C333" s="1" t="s">
        <v>1763</v>
      </c>
      <c r="D333" s="1" t="s">
        <v>1764</v>
      </c>
      <c r="E333" s="1" t="s">
        <v>1764</v>
      </c>
      <c r="F333" s="1" t="s">
        <v>1765</v>
      </c>
      <c r="G333" s="1" t="s">
        <v>1766</v>
      </c>
      <c r="H333" s="1" t="str">
        <f>IFERROR(__xludf.DUMMYFUNCTION("GOOGLETRANSLATE(D333,""EN"",""JA"")"),"累積比率AUC無限大予測")</f>
        <v>累積比率AUC無限大予測</v>
      </c>
      <c r="I333" s="1" t="str">
        <f>IFERROR(__xludf.DUMMYFUNCTION("GOOGLETRANSLATE(E333,""EN"",""JA"")"),"累積比率AUC無限大予測")</f>
        <v>累積比率AUC無限大予測</v>
      </c>
      <c r="J333" s="1" t="str">
        <f>IFERROR(__xludf.DUMMYFUNCTION("GOOGLETRANSLATE(F333,""EN"",""JA"")"),"最後の非ゼロ濃度の予測値を使用して計算された無限大に外挿された曲線下面積（AUC）を、最後の非ゼロ濃度の予測値を使用して計算された無限大に外挿された曲線下面積（AUC）で割ったもの")</f>
        <v>最後の非ゼロ濃度の予測値を使用して計算された無限大に外挿された曲線下面積（AUC）を、最後の非ゼロ濃度の予測値を使用して計算された無限大に外挿された曲線下面積（AUC）で割ったもの</v>
      </c>
      <c r="K333" s="1" t="str">
        <f>IFERROR(__xludf.DUMMYFUNCTION("GOOGLETRANSLATE(G333,""EN"",""JA"")"),"蓄積比AUC無限大予測")</f>
        <v>蓄積比AUC無限大予測</v>
      </c>
    </row>
    <row r="334" ht="13.5" customHeight="1">
      <c r="A334" s="1" t="s">
        <v>870</v>
      </c>
      <c r="B334" s="1" t="s">
        <v>1767</v>
      </c>
      <c r="C334" s="1" t="s">
        <v>1768</v>
      </c>
      <c r="D334" s="1" t="s">
        <v>1769</v>
      </c>
      <c r="E334" s="1" t="s">
        <v>1769</v>
      </c>
      <c r="F334" s="1" t="s">
        <v>1770</v>
      </c>
      <c r="G334" s="1" t="s">
        <v>1771</v>
      </c>
      <c r="H334" s="1" t="str">
        <f>IFERROR(__xludf.DUMMYFUNCTION("GOOGLETRANSLATE(D334,""EN"",""JA"")"),"用量別の累積比率 AUC T1 対 T2 ノルム")</f>
        <v>用量別の累積比率 AUC T1 対 T2 ノルム</v>
      </c>
      <c r="I334" s="1" t="str">
        <f>IFERROR(__xludf.DUMMYFUNCTION("GOOGLETRANSLATE(E334,""EN"",""JA"")"),"用量別の累積比率 AUC T1 対 T2 ノルム")</f>
        <v>用量別の累積比率 AUC T1 対 T2 ノルム</v>
      </c>
      <c r="J334" s="1" t="str">
        <f>IFERROR(__xludf.DUMMYFUNCTION("GOOGLETRANSLATE(F334,""EN"",""JA"")"),"定常状態での T1 から T2 までの曲線の下の面積を、初期投与間隔中の T1 から T2 までの曲線の下の面積で割り、さらにそれぞれを関連する投与量で割った値です。")</f>
        <v>定常状態での T1 から T2 までの曲線の下の面積を、初期投与間隔中の T1 から T2 までの曲線の下の面積で割り、さらにそれぞれを関連する投与量で割った値です。</v>
      </c>
      <c r="K334" s="1" t="str">
        <f>IFERROR(__xludf.DUMMYFUNCTION("GOOGLETRANSLATE(G334,""EN"",""JA"")"),"用量で正規化した蓄積比AUC T1対T2")</f>
        <v>用量で正規化した蓄積比AUC T1対T2</v>
      </c>
    </row>
    <row r="335" ht="13.5" customHeight="1">
      <c r="A335" s="1" t="s">
        <v>870</v>
      </c>
      <c r="B335" s="1" t="s">
        <v>1772</v>
      </c>
      <c r="C335" s="1" t="s">
        <v>1773</v>
      </c>
      <c r="D335" s="1" t="s">
        <v>1774</v>
      </c>
      <c r="E335" s="1" t="s">
        <v>1774</v>
      </c>
      <c r="F335" s="1" t="s">
        <v>1775</v>
      </c>
      <c r="G335" s="1" t="s">
        <v>1776</v>
      </c>
      <c r="H335" s="1" t="str">
        <f>IFERROR(__xludf.DUMMYFUNCTION("GOOGLETRANSLATE(D335,""EN"",""JA"")"),"T1からT2までの蓄積率AUC")</f>
        <v>T1からT2までの蓄積率AUC</v>
      </c>
      <c r="I335" s="1" t="str">
        <f>IFERROR(__xludf.DUMMYFUNCTION("GOOGLETRANSLATE(E335,""EN"",""JA"")"),"T1からT2までの蓄積率AUC")</f>
        <v>T1からT2までの蓄積率AUC</v>
      </c>
      <c r="J335" s="1" t="str">
        <f>IFERROR(__xludf.DUMMYFUNCTION("GOOGLETRANSLATE(F335,""EN"",""JA"")"),"定常状態における T1 から T2 までの曲線の下の面積を、初期投与間隔中の T1 から T2 までの曲線の下の面積で割ったもの。")</f>
        <v>定常状態における T1 から T2 までの曲線の下の面積を、初期投与間隔中の T1 から T2 までの曲線の下の面積で割ったもの。</v>
      </c>
      <c r="K335" s="1" t="str">
        <f>IFERROR(__xludf.DUMMYFUNCTION("GOOGLETRANSLATE(G335,""EN"",""JA"")"),"T1からT2までの曲線下面積の累積率")</f>
        <v>T1からT2までの曲線下面積の累積率</v>
      </c>
    </row>
    <row r="336" ht="13.5" customHeight="1">
      <c r="A336" s="1" t="s">
        <v>870</v>
      </c>
      <c r="B336" s="1" t="s">
        <v>1777</v>
      </c>
      <c r="C336" s="1" t="s">
        <v>1778</v>
      </c>
      <c r="D336" s="1" t="s">
        <v>1779</v>
      </c>
      <c r="E336" s="1" t="s">
        <v>1779</v>
      </c>
      <c r="F336" s="1" t="s">
        <v>1760</v>
      </c>
      <c r="G336" s="1" t="s">
        <v>1780</v>
      </c>
      <c r="H336" s="1" t="str">
        <f>IFERROR(__xludf.DUMMYFUNCTION("GOOGLETRANSLATE(D336,""EN"",""JA"")"),"用量別の累積比率 AUCIFO ノルム")</f>
        <v>用量別の累積比率 AUCIFO ノルム</v>
      </c>
      <c r="I336" s="1" t="str">
        <f>IFERROR(__xludf.DUMMYFUNCTION("GOOGLETRANSLATE(E336,""EN"",""JA"")"),"用量別の累積比率 AUCIFO ノルム")</f>
        <v>用量別の累積比率 AUCIFO ノルム</v>
      </c>
      <c r="J336" s="1" t="str">
        <f>IFERROR(__xludf.DUMMYFUNCTION("GOOGLETRANSLATE(F336,""EN"",""JA"")"),"最後の非ゼロ濃度の観測値を使用して計算された無限大に外挿された曲線下面積（AUC）を、最後の非ゼロ濃度の観測値を使用して計算された無限大に外挿された曲線下面積（AUC）で割った値。")</f>
        <v>最後の非ゼロ濃度の観測値を使用して計算された無限大に外挿された曲線下面積（AUC）を、最後の非ゼロ濃度の観測値を使用して計算された無限大に外挿された曲線下面積（AUC）で割った値。</v>
      </c>
      <c r="K336" s="1" t="str">
        <f>IFERROR(__xludf.DUMMYFUNCTION("GOOGLETRANSLATE(G336,""EN"",""JA"")"),"蓄積比AUC無限大を用量で正規化した値")</f>
        <v>蓄積比AUC無限大を用量で正規化した値</v>
      </c>
    </row>
    <row r="337" ht="13.5" customHeight="1">
      <c r="A337" s="1" t="s">
        <v>870</v>
      </c>
      <c r="B337" s="1" t="s">
        <v>1781</v>
      </c>
      <c r="C337" s="1" t="s">
        <v>1782</v>
      </c>
      <c r="D337" s="1" t="s">
        <v>1783</v>
      </c>
      <c r="E337" s="1" t="s">
        <v>1783</v>
      </c>
      <c r="F337" s="1" t="s">
        <v>1765</v>
      </c>
      <c r="G337" s="1" t="s">
        <v>1784</v>
      </c>
      <c r="H337" s="1" t="str">
        <f>IFERROR(__xludf.DUMMYFUNCTION("GOOGLETRANSLATE(D337,""EN"",""JA"")"),"用量別の累積比率 AUCIFP ノルム")</f>
        <v>用量別の累積比率 AUCIFP ノルム</v>
      </c>
      <c r="I337" s="1" t="str">
        <f>IFERROR(__xludf.DUMMYFUNCTION("GOOGLETRANSLATE(E337,""EN"",""JA"")"),"用量別の累積比率 AUCIFP ノルム")</f>
        <v>用量別の累積比率 AUCIFP ノルム</v>
      </c>
      <c r="J337" s="1" t="str">
        <f>IFERROR(__xludf.DUMMYFUNCTION("GOOGLETRANSLATE(F337,""EN"",""JA"")"),"最後の非ゼロ濃度の予測値を使用して計算された無限大に外挿された曲線下面積（AUC）を、最後の非ゼロ濃度の予測値を使用して計算された無限大に外挿された曲線下面積（AUC）で割ったもの")</f>
        <v>最後の非ゼロ濃度の予測値を使用して計算された無限大に外挿された曲線下面積（AUC）を、最後の非ゼロ濃度の予測値を使用して計算された無限大に外挿された曲線下面積（AUC）で割ったもの</v>
      </c>
      <c r="K337" s="1" t="str">
        <f>IFERROR(__xludf.DUMMYFUNCTION("GOOGLETRANSLATE(G337,""EN"",""JA"")"),"蓄積比AUC無限大予測（投与量で正規化）")</f>
        <v>蓄積比AUC無限大予測（投与量で正規化）</v>
      </c>
    </row>
    <row r="338" ht="13.5" customHeight="1">
      <c r="A338" s="1" t="s">
        <v>870</v>
      </c>
      <c r="B338" s="1" t="s">
        <v>1785</v>
      </c>
      <c r="C338" s="1" t="s">
        <v>1786</v>
      </c>
      <c r="D338" s="1" t="s">
        <v>1787</v>
      </c>
      <c r="E338" s="1" t="s">
        <v>1787</v>
      </c>
      <c r="F338" s="1" t="s">
        <v>1788</v>
      </c>
      <c r="G338" s="1" t="s">
        <v>1789</v>
      </c>
      <c r="H338" s="1" t="str">
        <f>IFERROR(__xludf.DUMMYFUNCTION("GOOGLETRANSLATE(D338,""EN"",""JA"")"),"最後の非ゼロ濃度に対する AUC の累積比率")</f>
        <v>最後の非ゼロ濃度に対する AUC の累積比率</v>
      </c>
      <c r="I338" s="1" t="str">
        <f>IFERROR(__xludf.DUMMYFUNCTION("GOOGLETRANSLATE(E338,""EN"",""JA"")"),"最後の非ゼロ濃度に対する AUC の累積比率")</f>
        <v>最後の非ゼロ濃度に対する AUC の累積比率</v>
      </c>
      <c r="J338" s="1" t="str">
        <f>IFERROR(__xludf.DUMMYFUNCTION("GOOGLETRANSLATE(F338,""EN"",""JA"")"),"投与時から最後の測定可能な濃度までの曲線下面積 (AUC) を、初期投与間隔中の投与時から最後の測定可能な濃度までの曲線下面積で割ったもの。")</f>
        <v>投与時から最後の測定可能な濃度までの曲線下面積 (AUC) を、初期投与間隔中の投与時から最後の測定可能な濃度までの曲線下面積で割ったもの。</v>
      </c>
      <c r="K338" s="1" t="str">
        <f>IFERROR(__xludf.DUMMYFUNCTION("GOOGLETRANSLATE(G338,""EN"",""JA"")"),"最後の非ゼロ濃度に対する蓄積比AUC")</f>
        <v>最後の非ゼロ濃度に対する蓄積比AUC</v>
      </c>
    </row>
    <row r="339" ht="13.5" customHeight="1">
      <c r="A339" s="1" t="s">
        <v>134</v>
      </c>
      <c r="B339" s="1" t="s">
        <v>1790</v>
      </c>
      <c r="C339" s="1" t="s">
        <v>1791</v>
      </c>
      <c r="D339" s="1" t="s">
        <v>1792</v>
      </c>
      <c r="E339" s="1" t="s">
        <v>1792</v>
      </c>
      <c r="F339" s="1" t="s">
        <v>1793</v>
      </c>
      <c r="G339" s="1" t="s">
        <v>1794</v>
      </c>
      <c r="H339" s="1" t="str">
        <f>IFERROR(__xludf.DUMMYFUNCTION("GOOGLETRANSLATE(D339,""EN"",""JA"")"),"アーキテクチャの変更")</f>
        <v>アーキテクチャの変更</v>
      </c>
      <c r="I339" s="1" t="str">
        <f>IFERROR(__xludf.DUMMYFUNCTION("GOOGLETRANSLATE(E339,""EN"",""JA"")"),"アーキテクチャの変更")</f>
        <v>アーキテクチャの変更</v>
      </c>
      <c r="J339" s="1" t="str">
        <f>IFERROR(__xludf.DUMMYFUNCTION("GOOGLETRANSLATE(F339,""EN"",""JA"")"),"生物標本における組織構造の変化の評価。")</f>
        <v>生物標本における組織構造の変化の評価。</v>
      </c>
      <c r="K339" s="1" t="str">
        <f>IFERROR(__xludf.DUMMYFUNCTION("GOOGLETRANSLATE(G339,""EN"",""JA"")"),"アーキテクチャ変更評価")</f>
        <v>アーキテクチャ変更評価</v>
      </c>
    </row>
    <row r="340" ht="13.5" customHeight="1">
      <c r="A340" s="1" t="s">
        <v>870</v>
      </c>
      <c r="B340" s="1" t="s">
        <v>1795</v>
      </c>
      <c r="C340" s="1" t="s">
        <v>1796</v>
      </c>
      <c r="D340" s="1" t="s">
        <v>1797</v>
      </c>
      <c r="E340" s="1" t="s">
        <v>1797</v>
      </c>
      <c r="F340" s="1" t="s">
        <v>1798</v>
      </c>
      <c r="G340" s="1" t="s">
        <v>1797</v>
      </c>
      <c r="H340" s="1" t="str">
        <f>IFERROR(__xludf.DUMMYFUNCTION("GOOGLETRANSLATE(D340,""EN"",""JA"")"),"蓄積率Cmax")</f>
        <v>蓄積率Cmax</v>
      </c>
      <c r="I340" s="1" t="str">
        <f>IFERROR(__xludf.DUMMYFUNCTION("GOOGLETRANSLATE(E340,""EN"",""JA"")"),"蓄積率Cmax")</f>
        <v>蓄積率Cmax</v>
      </c>
      <c r="J340" s="1" t="str">
        <f>IFERROR(__xludf.DUMMYFUNCTION("GOOGLETRANSLATE(F340,""EN"",""JA"")"),"定常状態における最大濃度を初期投与間隔中の最大濃度で割ったもの。")</f>
        <v>定常状態における最大濃度を初期投与間隔中の最大濃度で割ったもの。</v>
      </c>
      <c r="K340" s="1" t="str">
        <f>IFERROR(__xludf.DUMMYFUNCTION("GOOGLETRANSLATE(G340,""EN"",""JA"")"),"蓄積率Cmax")</f>
        <v>蓄積率Cmax</v>
      </c>
    </row>
    <row r="341" ht="13.5" customHeight="1">
      <c r="A341" s="1" t="s">
        <v>870</v>
      </c>
      <c r="B341" s="1" t="s">
        <v>1799</v>
      </c>
      <c r="C341" s="1" t="s">
        <v>1800</v>
      </c>
      <c r="D341" s="1" t="s">
        <v>1801</v>
      </c>
      <c r="E341" s="1" t="s">
        <v>1801</v>
      </c>
      <c r="F341" s="1" t="s">
        <v>1802</v>
      </c>
      <c r="G341" s="1" t="s">
        <v>1803</v>
      </c>
      <c r="H341" s="1" t="str">
        <f>IFERROR(__xludf.DUMMYFUNCTION("GOOGLETRANSLATE(D341,""EN"",""JA"")"),"用量別の累積比Cmax基準")</f>
        <v>用量別の累積比Cmax基準</v>
      </c>
      <c r="I341" s="1" t="str">
        <f>IFERROR(__xludf.DUMMYFUNCTION("GOOGLETRANSLATE(E341,""EN"",""JA"")"),"用量別の累積比Cmax基準")</f>
        <v>用量別の累積比Cmax基準</v>
      </c>
      <c r="J341" s="1" t="str">
        <f>IFERROR(__xludf.DUMMYFUNCTION("GOOGLETRANSLATE(F341,""EN"",""JA"")"),"定常状態における最大濃度を初期投与間隔中の最大濃度で割り、さらにそれぞれを関連する投与量で割った値。")</f>
        <v>定常状態における最大濃度を初期投与間隔中の最大濃度で割り、さらにそれぞれを関連する投与量で割った値。</v>
      </c>
      <c r="K341" s="1" t="str">
        <f>IFERROR(__xludf.DUMMYFUNCTION("GOOGLETRANSLATE(G341,""EN"",""JA"")"),"用量で正規化した蓄積率Cmax")</f>
        <v>用量で正規化した蓄積率Cmax</v>
      </c>
    </row>
    <row r="342" ht="13.5" customHeight="1">
      <c r="A342" s="1" t="s">
        <v>870</v>
      </c>
      <c r="B342" s="1" t="s">
        <v>1804</v>
      </c>
      <c r="C342" s="1" t="s">
        <v>1805</v>
      </c>
      <c r="D342" s="1" t="s">
        <v>1806</v>
      </c>
      <c r="E342" s="1" t="s">
        <v>1806</v>
      </c>
      <c r="F342" s="1" t="s">
        <v>1807</v>
      </c>
      <c r="G342" s="1" t="s">
        <v>1806</v>
      </c>
      <c r="H342" s="1" t="str">
        <f>IFERROR(__xludf.DUMMYFUNCTION("GOOGLETRANSLATE(D342,""EN"",""JA"")"),"蓄積率Cmin")</f>
        <v>蓄積率Cmin</v>
      </c>
      <c r="I342" s="1" t="str">
        <f>IFERROR(__xludf.DUMMYFUNCTION("GOOGLETRANSLATE(E342,""EN"",""JA"")"),"蓄積率Cmin")</f>
        <v>蓄積率Cmin</v>
      </c>
      <c r="J342" s="1" t="str">
        <f>IFERROR(__xludf.DUMMYFUNCTION("GOOGLETRANSLATE(F342,""EN"",""JA"")"),"定常状態における最小濃度を初期投与間隔中の最小濃度で割ったもの。")</f>
        <v>定常状態における最小濃度を初期投与間隔中の最小濃度で割ったもの。</v>
      </c>
      <c r="K342" s="1" t="str">
        <f>IFERROR(__xludf.DUMMYFUNCTION("GOOGLETRANSLATE(G342,""EN"",""JA"")"),"蓄積率Cmin")</f>
        <v>蓄積率Cmin</v>
      </c>
    </row>
    <row r="343" ht="13.5" customHeight="1">
      <c r="A343" s="1" t="s">
        <v>870</v>
      </c>
      <c r="B343" s="1" t="s">
        <v>1808</v>
      </c>
      <c r="C343" s="1" t="s">
        <v>1809</v>
      </c>
      <c r="D343" s="1" t="s">
        <v>1810</v>
      </c>
      <c r="E343" s="1" t="s">
        <v>1810</v>
      </c>
      <c r="F343" s="1" t="s">
        <v>1811</v>
      </c>
      <c r="G343" s="1" t="s">
        <v>1812</v>
      </c>
      <c r="H343" s="1" t="str">
        <f>IFERROR(__xludf.DUMMYFUNCTION("GOOGLETRANSLATE(D343,""EN"",""JA"")"),"投与量別の累積比Cmin基準")</f>
        <v>投与量別の累積比Cmin基準</v>
      </c>
      <c r="I343" s="1" t="str">
        <f>IFERROR(__xludf.DUMMYFUNCTION("GOOGLETRANSLATE(E343,""EN"",""JA"")"),"投与量別の累積比Cmin基準")</f>
        <v>投与量別の累積比Cmin基準</v>
      </c>
      <c r="J343" s="1" t="str">
        <f>IFERROR(__xludf.DUMMYFUNCTION("GOOGLETRANSLATE(F343,""EN"",""JA"")"),"定常状態での最小濃度を初期投与間隔中の最小濃度で割り、さらにそれぞれを関連する投与量で割った値。")</f>
        <v>定常状態での最小濃度を初期投与間隔中の最小濃度で割り、さらにそれぞれを関連する投与量で割った値。</v>
      </c>
      <c r="K343" s="1" t="str">
        <f>IFERROR(__xludf.DUMMYFUNCTION("GOOGLETRANSLATE(G343,""EN"",""JA"")"),"線量で正規化した蓄積率Cmin")</f>
        <v>線量で正規化した蓄積率Cmin</v>
      </c>
    </row>
    <row r="344" ht="13.5" customHeight="1">
      <c r="A344" s="1" t="s">
        <v>870</v>
      </c>
      <c r="B344" s="1" t="s">
        <v>1813</v>
      </c>
      <c r="C344" s="1" t="s">
        <v>1814</v>
      </c>
      <c r="D344" s="1" t="s">
        <v>1815</v>
      </c>
      <c r="E344" s="1" t="s">
        <v>1815</v>
      </c>
      <c r="F344" s="1" t="s">
        <v>1816</v>
      </c>
      <c r="G344" s="1" t="s">
        <v>1817</v>
      </c>
      <c r="H344" s="1" t="str">
        <f>IFERROR(__xludf.DUMMYFUNCTION("GOOGLETRANSLATE(D344,""EN"",""JA"")"),"累積比 線量別のトラフノルム")</f>
        <v>累積比 線量別のトラフノルム</v>
      </c>
      <c r="I344" s="1" t="str">
        <f>IFERROR(__xludf.DUMMYFUNCTION("GOOGLETRANSLATE(E344,""EN"",""JA"")"),"累積比 線量別のトラフノルム")</f>
        <v>累積比 線量別のトラフノルム</v>
      </c>
      <c r="J344" s="1" t="str">
        <f>IFERROR(__xludf.DUMMYFUNCTION("GOOGLETRANSLATE(F344,""EN"",""JA"")"),"定常状態でのトラフ濃度を初期投与間隔中のトラフ濃度で割り、さらに各トラフ濃度を関連する投与量で割った値。")</f>
        <v>定常状態でのトラフ濃度を初期投与間隔中のトラフ濃度で割り、さらに各トラフ濃度を関連する投与量で割った値。</v>
      </c>
      <c r="K344" s="1" t="str">
        <f>IFERROR(__xludf.DUMMYFUNCTION("GOOGLETRANSLATE(G344,""EN"",""JA"")"),"線量で正規化した蓄積率Ctrough")</f>
        <v>線量で正規化した蓄積率Ctrough</v>
      </c>
    </row>
    <row r="345" ht="13.5" customHeight="1">
      <c r="A345" s="1" t="s">
        <v>870</v>
      </c>
      <c r="B345" s="1" t="s">
        <v>1818</v>
      </c>
      <c r="C345" s="1" t="s">
        <v>1819</v>
      </c>
      <c r="D345" s="1" t="s">
        <v>1820</v>
      </c>
      <c r="E345" s="1" t="s">
        <v>1820</v>
      </c>
      <c r="F345" s="1" t="s">
        <v>1821</v>
      </c>
      <c r="G345" s="1" t="s">
        <v>1820</v>
      </c>
      <c r="H345" s="1" t="str">
        <f>IFERROR(__xludf.DUMMYFUNCTION("GOOGLETRANSLATE(D345,""EN"",""JA"")"),"累積比率の最低値")</f>
        <v>累積比率の最低値</v>
      </c>
      <c r="I345" s="1" t="str">
        <f>IFERROR(__xludf.DUMMYFUNCTION("GOOGLETRANSLATE(E345,""EN"",""JA"")"),"累積比率の最低値")</f>
        <v>累積比率の最低値</v>
      </c>
      <c r="J345" s="1" t="str">
        <f>IFERROR(__xludf.DUMMYFUNCTION("GOOGLETRANSLATE(F345,""EN"",""JA"")"),"定常状態でのトラフ濃度を初期投与間隔中のトラフ濃度で割ったもの。")</f>
        <v>定常状態でのトラフ濃度を初期投与間隔中のトラフ濃度で割ったもの。</v>
      </c>
      <c r="K345" s="1" t="str">
        <f>IFERROR(__xludf.DUMMYFUNCTION("GOOGLETRANSLATE(G345,""EN"",""JA"")"),"累積比率の最低値")</f>
        <v>累積比率の最低値</v>
      </c>
    </row>
    <row r="346" ht="13.5" customHeight="1">
      <c r="A346" s="1" t="s">
        <v>233</v>
      </c>
      <c r="B346" s="1" t="s">
        <v>1822</v>
      </c>
      <c r="C346" s="1" t="s">
        <v>1823</v>
      </c>
      <c r="D346" s="1" t="s">
        <v>1824</v>
      </c>
      <c r="E346" s="1" t="s">
        <v>1824</v>
      </c>
      <c r="F346" s="1" t="s">
        <v>1825</v>
      </c>
      <c r="G346" s="1" t="s">
        <v>1824</v>
      </c>
      <c r="H346" s="1" t="str">
        <f>IFERROR(__xludf.DUMMYFUNCTION("GOOGLETRANSLATE(D346,""EN"",""JA"")"),"エリア")</f>
        <v>エリア</v>
      </c>
      <c r="I346" s="1" t="str">
        <f>IFERROR(__xludf.DUMMYFUNCTION("GOOGLETRANSLATE(E346,""EN"",""JA"")"),"エリア")</f>
        <v>エリア</v>
      </c>
      <c r="J346" s="1" t="str">
        <f>IFERROR(__xludf.DUMMYFUNCTION("GOOGLETRANSLATE(F346,""EN"",""JA"")"),"境界内に囲まれた 2 次元面の範囲。(NCI)")</f>
        <v>境界内に囲まれた 2 次元面の範囲。(NCI)</v>
      </c>
      <c r="K346" s="1" t="str">
        <f>IFERROR(__xludf.DUMMYFUNCTION("GOOGLETRANSLATE(G346,""EN"",""JA"")"),"エリア")</f>
        <v>エリア</v>
      </c>
    </row>
    <row r="347" ht="13.5" customHeight="1">
      <c r="A347" s="1" t="s">
        <v>134</v>
      </c>
      <c r="B347" s="1" t="s">
        <v>1822</v>
      </c>
      <c r="C347" s="1" t="s">
        <v>1823</v>
      </c>
      <c r="D347" s="1" t="s">
        <v>1824</v>
      </c>
      <c r="E347" s="1" t="s">
        <v>1824</v>
      </c>
      <c r="F347" s="1" t="s">
        <v>1825</v>
      </c>
      <c r="G347" s="1" t="s">
        <v>1824</v>
      </c>
      <c r="H347" s="1" t="str">
        <f>IFERROR(__xludf.DUMMYFUNCTION("GOOGLETRANSLATE(D347,""EN"",""JA"")"),"エリア")</f>
        <v>エリア</v>
      </c>
      <c r="I347" s="1" t="str">
        <f>IFERROR(__xludf.DUMMYFUNCTION("GOOGLETRANSLATE(E347,""EN"",""JA"")"),"エリア")</f>
        <v>エリア</v>
      </c>
      <c r="J347" s="1" t="str">
        <f>IFERROR(__xludf.DUMMYFUNCTION("GOOGLETRANSLATE(F347,""EN"",""JA"")"),"境界内に囲まれた 2 次元面の範囲。(NCI)")</f>
        <v>境界内に囲まれた 2 次元面の範囲。(NCI)</v>
      </c>
      <c r="K347" s="1" t="str">
        <f>IFERROR(__xludf.DUMMYFUNCTION("GOOGLETRANSLATE(G347,""EN"",""JA"")"),"エリア")</f>
        <v>エリア</v>
      </c>
    </row>
    <row r="348" ht="13.5" customHeight="1">
      <c r="A348" s="1" t="s">
        <v>1034</v>
      </c>
      <c r="B348" s="1" t="s">
        <v>1822</v>
      </c>
      <c r="C348" s="1" t="s">
        <v>1823</v>
      </c>
      <c r="D348" s="1" t="s">
        <v>1824</v>
      </c>
      <c r="E348" s="1" t="s">
        <v>1824</v>
      </c>
      <c r="F348" s="1" t="s">
        <v>1825</v>
      </c>
      <c r="G348" s="1" t="s">
        <v>1824</v>
      </c>
      <c r="H348" s="1" t="str">
        <f>IFERROR(__xludf.DUMMYFUNCTION("GOOGLETRANSLATE(D348,""EN"",""JA"")"),"エリア")</f>
        <v>エリア</v>
      </c>
      <c r="I348" s="1" t="str">
        <f>IFERROR(__xludf.DUMMYFUNCTION("GOOGLETRANSLATE(E348,""EN"",""JA"")"),"エリア")</f>
        <v>エリア</v>
      </c>
      <c r="J348" s="1" t="str">
        <f>IFERROR(__xludf.DUMMYFUNCTION("GOOGLETRANSLATE(F348,""EN"",""JA"")"),"境界内に囲まれた 2 次元面の範囲。(NCI)")</f>
        <v>境界内に囲まれた 2 次元面の範囲。(NCI)</v>
      </c>
      <c r="K348" s="1" t="str">
        <f>IFERROR(__xludf.DUMMYFUNCTION("GOOGLETRANSLATE(G348,""EN"",""JA"")"),"エリア")</f>
        <v>エリア</v>
      </c>
    </row>
    <row r="349" ht="13.5" customHeight="1">
      <c r="A349" s="1" t="s">
        <v>90</v>
      </c>
      <c r="B349" s="1" t="s">
        <v>1826</v>
      </c>
      <c r="C349" s="1" t="s">
        <v>1827</v>
      </c>
      <c r="D349" s="1" t="s">
        <v>1828</v>
      </c>
      <c r="E349" s="1" t="s">
        <v>1828</v>
      </c>
      <c r="F349" s="1" t="s">
        <v>1829</v>
      </c>
      <c r="G349" s="1" t="s">
        <v>1830</v>
      </c>
      <c r="H349" s="1" t="str">
        <f>IFERROR(__xludf.DUMMYFUNCTION("GOOGLETRANSLATE(D349,""EN"",""JA"")"),"面積、心室拡張期終末部")</f>
        <v>面積、心室拡張期終末部</v>
      </c>
      <c r="I349" s="1" t="str">
        <f>IFERROR(__xludf.DUMMYFUNCTION("GOOGLETRANSLATE(E349,""EN"",""JA"")"),"面積、心室拡張期終末部")</f>
        <v>面積、心室拡張期終末部</v>
      </c>
      <c r="J349" s="1" t="str">
        <f>IFERROR(__xludf.DUMMYFUNCTION("GOOGLETRANSLATE(F349,""EN"",""JA"")"),"心血管構造の境界内に囲まれ、心室拡張期末に測定される 2 次元表面。")</f>
        <v>心血管構造の境界内に囲まれ、心室拡張期末に測定される 2 次元表面。</v>
      </c>
      <c r="K349" s="1" t="str">
        <f>IFERROR(__xludf.DUMMYFUNCTION("GOOGLETRANSLATE(G349,""EN"",""JA"")"),"心室拡張期終末面積")</f>
        <v>心室拡張期終末面積</v>
      </c>
    </row>
    <row r="350" ht="13.5" customHeight="1">
      <c r="A350" s="1" t="s">
        <v>90</v>
      </c>
      <c r="B350" s="1" t="s">
        <v>1831</v>
      </c>
      <c r="C350" s="1" t="s">
        <v>1832</v>
      </c>
      <c r="D350" s="1" t="s">
        <v>1833</v>
      </c>
      <c r="E350" s="1" t="s">
        <v>1833</v>
      </c>
      <c r="F350" s="1" t="s">
        <v>1834</v>
      </c>
      <c r="G350" s="1" t="s">
        <v>1835</v>
      </c>
      <c r="H350" s="1" t="str">
        <f>IFERROR(__xludf.DUMMYFUNCTION("GOOGLETRANSLATE(D350,""EN"",""JA"")"),"領域、心室収縮終期")</f>
        <v>領域、心室収縮終期</v>
      </c>
      <c r="I350" s="1" t="str">
        <f>IFERROR(__xludf.DUMMYFUNCTION("GOOGLETRANSLATE(E350,""EN"",""JA"")"),"領域、心室収縮終期")</f>
        <v>領域、心室収縮終期</v>
      </c>
      <c r="J350" s="1" t="str">
        <f>IFERROR(__xludf.DUMMYFUNCTION("GOOGLETRANSLATE(F350,""EN"",""JA"")"),"心血管構造の境界内に囲まれ、心室収縮末期に測定される 2 次元表面。")</f>
        <v>心血管構造の境界内に囲まれ、心室収縮末期に測定される 2 次元表面。</v>
      </c>
      <c r="K350" s="1" t="str">
        <f>IFERROR(__xludf.DUMMYFUNCTION("GOOGLETRANSLATE(G350,""EN"",""JA"")"),"心室収縮終末部の面積")</f>
        <v>心室収縮終末部の面積</v>
      </c>
    </row>
    <row r="351" ht="13.5" customHeight="1">
      <c r="A351" s="1" t="s">
        <v>11</v>
      </c>
      <c r="B351" s="1" t="s">
        <v>1836</v>
      </c>
      <c r="C351" s="1" t="s">
        <v>1837</v>
      </c>
      <c r="D351" s="1" t="s">
        <v>1838</v>
      </c>
      <c r="E351" s="1" t="s">
        <v>1839</v>
      </c>
      <c r="F351" s="1" t="s">
        <v>1840</v>
      </c>
      <c r="G351" s="1" t="s">
        <v>1841</v>
      </c>
      <c r="H351" s="1" t="str">
        <f>IFERROR(__xludf.DUMMYFUNCTION("GOOGLETRANSLATE(D351,""EN"",""JA"")"),"アンフィレグリン")</f>
        <v>アンフィレグリン</v>
      </c>
      <c r="I351" s="1" t="str">
        <f>IFERROR(__xludf.DUMMYFUNCTION("GOOGLETRANSLATE(E351,""EN"",""JA"")"),"アンフィレグリン;神経鞘腫由来成長因子; SDGF")</f>
        <v>アンフィレグリン;神経鞘腫由来成長因子; SDGF</v>
      </c>
      <c r="J351" s="1" t="str">
        <f>IFERROR(__xludf.DUMMYFUNCTION("GOOGLETRANSLATE(F351,""EN"",""JA"")"),"生物標本中のアンフィレグリンの測定。")</f>
        <v>生物標本中のアンフィレグリンの測定。</v>
      </c>
      <c r="K351" s="1" t="str">
        <f>IFERROR(__xludf.DUMMYFUNCTION("GOOGLETRANSLATE(G351,""EN"",""JA"")"),"アンフィレグリン測定")</f>
        <v>アンフィレグリン測定</v>
      </c>
    </row>
    <row r="352" ht="13.5" customHeight="1">
      <c r="A352" s="1" t="s">
        <v>11</v>
      </c>
      <c r="B352" s="1" t="s">
        <v>1842</v>
      </c>
      <c r="C352" s="1" t="s">
        <v>1843</v>
      </c>
      <c r="D352" s="1" t="s">
        <v>1844</v>
      </c>
      <c r="E352" s="1" t="s">
        <v>1844</v>
      </c>
      <c r="F352" s="1" t="s">
        <v>1845</v>
      </c>
      <c r="G352" s="1" t="s">
        <v>1846</v>
      </c>
      <c r="H352" s="1" t="str">
        <f>IFERROR(__xludf.DUMMYFUNCTION("GOOGLETRANSLATE(D352,""EN"",""JA"")"),"アルギニン")</f>
        <v>アルギニン</v>
      </c>
      <c r="I352" s="1" t="str">
        <f>IFERROR(__xludf.DUMMYFUNCTION("GOOGLETRANSLATE(E352,""EN"",""JA"")"),"アルギニン")</f>
        <v>アルギニン</v>
      </c>
      <c r="J352" s="1" t="str">
        <f>IFERROR(__xludf.DUMMYFUNCTION("GOOGLETRANSLATE(F352,""EN"",""JA"")"),"生物標本中のアルギニンの測定。")</f>
        <v>生物標本中のアルギニンの測定。</v>
      </c>
      <c r="K352" s="1" t="str">
        <f>IFERROR(__xludf.DUMMYFUNCTION("GOOGLETRANSLATE(G352,""EN"",""JA"")"),"アルギニン測定")</f>
        <v>アルギニン測定</v>
      </c>
    </row>
    <row r="353" ht="13.5" customHeight="1">
      <c r="A353" s="1" t="s">
        <v>90</v>
      </c>
      <c r="B353" s="1" t="s">
        <v>1847</v>
      </c>
      <c r="C353" s="1" t="s">
        <v>1848</v>
      </c>
      <c r="D353" s="1" t="s">
        <v>1849</v>
      </c>
      <c r="E353" s="1" t="s">
        <v>1850</v>
      </c>
      <c r="F353" s="1" t="s">
        <v>1851</v>
      </c>
      <c r="G353" s="1" t="s">
        <v>1852</v>
      </c>
      <c r="H353" s="1" t="str">
        <f>IFERROR(__xludf.DUMMYFUNCTION("GOOGLETRANSLATE(D353,""EN"",""JA"")"),"大動脈弁逆流ジェット幅 LVOT径 右")</f>
        <v>大動脈弁逆流ジェット幅 LVOT径 右</v>
      </c>
      <c r="I353" s="1" t="str">
        <f>IFERROR(__xludf.DUMMYFUNCTION("GOOGLETRANSLATE(E353,""EN"",""JA"")"),"大動脈弁逆流ジェット幅 LVOT径Rt; 大動脈弁逆流ジェット幅と左室流出路径の比")</f>
        <v>大動脈弁逆流ジェット幅 LVOT径Rt; 大動脈弁逆流ジェット幅と左室流出路径の比</v>
      </c>
      <c r="J353" s="1" t="str">
        <f>IFERROR(__xludf.DUMMYFUNCTION("GOOGLETRANSLATE(F353,""EN"",""JA"")"),"大動脈弁逆流ジェット幅と左室流出路 (LVOT) 径の相対的な測定値 (比率)。")</f>
        <v>大動脈弁逆流ジェット幅と左室流出路 (LVOT) 径の相対的な測定値 (比率)。</v>
      </c>
      <c r="K353" s="1" t="str">
        <f>IFERROR(__xludf.DUMMYFUNCTION("GOOGLETRANSLATE(G353,""EN"",""JA"")"),"大動脈逆流ジェット幅と左室流出路径の比")</f>
        <v>大動脈逆流ジェット幅と左室流出路径の比</v>
      </c>
    </row>
    <row r="354" ht="13.5" customHeight="1">
      <c r="A354" s="1" t="s">
        <v>11</v>
      </c>
      <c r="B354" s="1" t="s">
        <v>1853</v>
      </c>
      <c r="C354" s="1" t="s">
        <v>1854</v>
      </c>
      <c r="D354" s="1" t="s">
        <v>1855</v>
      </c>
      <c r="E354" s="1" t="s">
        <v>1856</v>
      </c>
      <c r="F354" s="1" t="s">
        <v>1857</v>
      </c>
      <c r="G354" s="1" t="s">
        <v>1858</v>
      </c>
      <c r="H354" s="1" t="str">
        <f>IFERROR(__xludf.DUMMYFUNCTION("GOOGLETRANSLATE(D354,""EN"",""JA"")"),"アルギニノコハク酸")</f>
        <v>アルギニノコハク酸</v>
      </c>
      <c r="I354" s="1" t="str">
        <f>IFERROR(__xludf.DUMMYFUNCTION("GOOGLETRANSLATE(E354,""EN"",""JA"")"),"アルギニノコハク酸")</f>
        <v>アルギニノコハク酸</v>
      </c>
      <c r="J354" s="1" t="str">
        <f>IFERROR(__xludf.DUMMYFUNCTION("GOOGLETRANSLATE(F354,""EN"",""JA"")"),"生物標本中のアルギニノコハク酸の測定。")</f>
        <v>生物標本中のアルギニノコハク酸の測定。</v>
      </c>
      <c r="K354" s="1" t="str">
        <f>IFERROR(__xludf.DUMMYFUNCTION("GOOGLETRANSLATE(G354,""EN"",""JA"")"),"アルギニノコハク酸測定")</f>
        <v>アルギニノコハク酸測定</v>
      </c>
    </row>
    <row r="355" ht="13.5" customHeight="1">
      <c r="A355" s="1" t="s">
        <v>201</v>
      </c>
      <c r="B355" s="1" t="s">
        <v>1859</v>
      </c>
      <c r="C355" s="1" t="s">
        <v>1860</v>
      </c>
      <c r="D355" s="1" t="s">
        <v>1861</v>
      </c>
      <c r="E355" s="1" t="s">
        <v>1861</v>
      </c>
      <c r="F355" s="1" t="s">
        <v>1862</v>
      </c>
      <c r="G355" s="1" t="s">
        <v>1863</v>
      </c>
      <c r="H355" s="1" t="str">
        <f>IFERROR(__xludf.DUMMYFUNCTION("GOOGLETRANSLATE(D355,""EN"",""JA"")"),"アレルゲン誘発性IgA抗体")</f>
        <v>アレルゲン誘発性IgA抗体</v>
      </c>
      <c r="I355" s="1" t="str">
        <f>IFERROR(__xludf.DUMMYFUNCTION("GOOGLETRANSLATE(E355,""EN"",""JA"")"),"アレルゲン誘発性IgA抗体")</f>
        <v>アレルゲン誘発性IgA抗体</v>
      </c>
      <c r="J355" s="1" t="str">
        <f>IFERROR(__xludf.DUMMYFUNCTION("GOOGLETRANSLATE(F355,""EN"",""JA"")"),"生物標本中のアレルゲン誘導性 IgA 抗体の結合の測定。")</f>
        <v>生物標本中のアレルゲン誘導性 IgA 抗体の結合の測定。</v>
      </c>
      <c r="K355" s="1" t="str">
        <f>IFERROR(__xludf.DUMMYFUNCTION("GOOGLETRANSLATE(G355,""EN"",""JA"")"),"アレルゲン誘発IgA抗体測定")</f>
        <v>アレルゲン誘発IgA抗体測定</v>
      </c>
    </row>
    <row r="356" ht="13.5" customHeight="1">
      <c r="A356" s="1" t="s">
        <v>201</v>
      </c>
      <c r="B356" s="1" t="s">
        <v>1864</v>
      </c>
      <c r="C356" s="1" t="s">
        <v>1865</v>
      </c>
      <c r="D356" s="1" t="s">
        <v>1866</v>
      </c>
      <c r="E356" s="1" t="s">
        <v>1866</v>
      </c>
      <c r="F356" s="1" t="s">
        <v>1867</v>
      </c>
      <c r="G356" s="1" t="s">
        <v>1868</v>
      </c>
      <c r="H356" s="1" t="str">
        <f>IFERROR(__xludf.DUMMYFUNCTION("GOOGLETRANSLATE(D356,""EN"",""JA"")"),"アレルゲン誘発IgE抗体")</f>
        <v>アレルゲン誘発IgE抗体</v>
      </c>
      <c r="I356" s="1" t="str">
        <f>IFERROR(__xludf.DUMMYFUNCTION("GOOGLETRANSLATE(E356,""EN"",""JA"")"),"アレルゲン誘発IgE抗体")</f>
        <v>アレルゲン誘発IgE抗体</v>
      </c>
      <c r="J356" s="1" t="str">
        <f>IFERROR(__xludf.DUMMYFUNCTION("GOOGLETRANSLATE(F356,""EN"",""JA"")"),"生物標本中のアレルゲン誘導性 IgE 抗体の結合の測定。")</f>
        <v>生物標本中のアレルゲン誘導性 IgE 抗体の結合の測定。</v>
      </c>
      <c r="K356" s="1" t="str">
        <f>IFERROR(__xludf.DUMMYFUNCTION("GOOGLETRANSLATE(G356,""EN"",""JA"")"),"アレルゲン誘発IgE抗体測定")</f>
        <v>アレルゲン誘発IgE抗体測定</v>
      </c>
    </row>
    <row r="357" ht="13.5" customHeight="1">
      <c r="A357" s="1" t="s">
        <v>201</v>
      </c>
      <c r="B357" s="1" t="s">
        <v>1869</v>
      </c>
      <c r="C357" s="1" t="s">
        <v>1870</v>
      </c>
      <c r="D357" s="1" t="s">
        <v>1871</v>
      </c>
      <c r="E357" s="1" t="s">
        <v>1871</v>
      </c>
      <c r="F357" s="1" t="s">
        <v>1872</v>
      </c>
      <c r="G357" s="1" t="s">
        <v>1873</v>
      </c>
      <c r="H357" s="1" t="str">
        <f>IFERROR(__xludf.DUMMYFUNCTION("GOOGLETRANSLATE(D357,""EN"",""JA"")"),"アレルゲン誘発IgG4抗体")</f>
        <v>アレルゲン誘発IgG4抗体</v>
      </c>
      <c r="I357" s="1" t="str">
        <f>IFERROR(__xludf.DUMMYFUNCTION("GOOGLETRANSLATE(E357,""EN"",""JA"")"),"アレルゲン誘発IgG4抗体")</f>
        <v>アレルゲン誘発IgG4抗体</v>
      </c>
      <c r="J357" s="1" t="str">
        <f>IFERROR(__xludf.DUMMYFUNCTION("GOOGLETRANSLATE(F357,""EN"",""JA"")"),"生物学的標本中の結合アレルゲン誘発IgG4抗体の測定。")</f>
        <v>生物学的標本中の結合アレルゲン誘発IgG4抗体の測定。</v>
      </c>
      <c r="K357" s="1" t="str">
        <f>IFERROR(__xludf.DUMMYFUNCTION("GOOGLETRANSLATE(G357,""EN"",""JA"")"),"アレルゲン誘発IgG4抗体測定")</f>
        <v>アレルゲン誘発IgG4抗体測定</v>
      </c>
    </row>
    <row r="358" ht="13.5" customHeight="1">
      <c r="A358" s="1" t="s">
        <v>201</v>
      </c>
      <c r="B358" s="1" t="s">
        <v>1874</v>
      </c>
      <c r="C358" s="1" t="s">
        <v>1875</v>
      </c>
      <c r="D358" s="1" t="s">
        <v>1876</v>
      </c>
      <c r="E358" s="1" t="s">
        <v>1876</v>
      </c>
      <c r="F358" s="1" t="s">
        <v>1877</v>
      </c>
      <c r="G358" s="1" t="s">
        <v>1878</v>
      </c>
      <c r="H358" s="1" t="str">
        <f>IFERROR(__xludf.DUMMYFUNCTION("GOOGLETRANSLATE(D358,""EN"",""JA"")"),"アレルゲン誘発IgG抗体")</f>
        <v>アレルゲン誘発IgG抗体</v>
      </c>
      <c r="I358" s="1" t="str">
        <f>IFERROR(__xludf.DUMMYFUNCTION("GOOGLETRANSLATE(E358,""EN"",""JA"")"),"アレルゲン誘発IgG抗体")</f>
        <v>アレルゲン誘発IgG抗体</v>
      </c>
      <c r="J358" s="1" t="str">
        <f>IFERROR(__xludf.DUMMYFUNCTION("GOOGLETRANSLATE(F358,""EN"",""JA"")"),"生物学的標本中のアレルゲン誘導性 IgG 抗体の結合の測定。")</f>
        <v>生物学的標本中のアレルゲン誘導性 IgG 抗体の結合の測定。</v>
      </c>
      <c r="K358" s="1" t="str">
        <f>IFERROR(__xludf.DUMMYFUNCTION("GOOGLETRANSLATE(G358,""EN"",""JA"")"),"アレルゲン誘発IgG抗体測定")</f>
        <v>アレルゲン誘発IgG抗体測定</v>
      </c>
    </row>
    <row r="359" ht="13.5" customHeight="1">
      <c r="A359" s="1" t="s">
        <v>201</v>
      </c>
      <c r="B359" s="1" t="s">
        <v>1879</v>
      </c>
      <c r="C359" s="1" t="s">
        <v>1880</v>
      </c>
      <c r="D359" s="1" t="s">
        <v>1881</v>
      </c>
      <c r="E359" s="1" t="s">
        <v>1881</v>
      </c>
      <c r="F359" s="1" t="s">
        <v>1882</v>
      </c>
      <c r="G359" s="1" t="s">
        <v>1883</v>
      </c>
      <c r="H359" s="1" t="str">
        <f>IFERROR(__xludf.DUMMYFUNCTION("GOOGLETRANSLATE(D359,""EN"",""JA"")"),"アレルゲン誘発IgM抗体")</f>
        <v>アレルゲン誘発IgM抗体</v>
      </c>
      <c r="I359" s="1" t="str">
        <f>IFERROR(__xludf.DUMMYFUNCTION("GOOGLETRANSLATE(E359,""EN"",""JA"")"),"アレルゲン誘発IgM抗体")</f>
        <v>アレルゲン誘発IgM抗体</v>
      </c>
      <c r="J359" s="1" t="str">
        <f>IFERROR(__xludf.DUMMYFUNCTION("GOOGLETRANSLATE(F359,""EN"",""JA"")"),"生物学的標本中の結合アレルゲン誘発 IgM 抗体の測定。")</f>
        <v>生物学的標本中の結合アレルゲン誘発 IgM 抗体の測定。</v>
      </c>
      <c r="K359" s="1" t="str">
        <f>IFERROR(__xludf.DUMMYFUNCTION("GOOGLETRANSLATE(G359,""EN"",""JA"")"),"アレルゲン誘発IgM抗体測定")</f>
        <v>アレルゲン誘発IgM抗体測定</v>
      </c>
    </row>
    <row r="360" ht="13.5" customHeight="1">
      <c r="A360" s="1" t="s">
        <v>129</v>
      </c>
      <c r="B360" s="1" t="s">
        <v>1884</v>
      </c>
      <c r="C360" s="1" t="s">
        <v>1885</v>
      </c>
      <c r="D360" s="1" t="s">
        <v>1886</v>
      </c>
      <c r="E360" s="1" t="s">
        <v>1887</v>
      </c>
      <c r="F360" s="1" t="s">
        <v>1888</v>
      </c>
      <c r="G360" s="1" t="s">
        <v>1886</v>
      </c>
      <c r="H360" s="1" t="str">
        <f>IFERROR(__xludf.DUMMYFUNCTION("GOOGLETRANSLATE(D360,""EN"",""JA"")"),"腕の長さ")</f>
        <v>腕の長さ</v>
      </c>
      <c r="I360" s="1" t="str">
        <f>IFERROR(__xludf.DUMMYFUNCTION("GOOGLETRANSLATE(E360,""EN"",""JA"")"),"腕幅; 腕を広げる; 届く範囲; 翼を広げる")</f>
        <v>腕幅; 腕を広げる; 届く範囲; 翼を広げる</v>
      </c>
      <c r="J360" s="1" t="str">
        <f>IFERROR(__xludf.DUMMYFUNCTION("GOOGLETRANSLATE(F360,""EN"",""JA"")"),"壁に向かって両腕を90度に曲げ、肘と手首を伸ばし、手のひらを曲げた状態で立った状態で、片方の手の中指の先端からもう一方の手の中指の先端までの長さを測る。")</f>
        <v>壁に向かって両腕を90度に曲げ、肘と手首を伸ばし、手のひらを曲げた状態で立った状態で、片方の手の中指の先端からもう一方の手の中指の先端までの長さを測る。</v>
      </c>
      <c r="K360" s="1" t="str">
        <f>IFERROR(__xludf.DUMMYFUNCTION("GOOGLETRANSLATE(G360,""EN"",""JA"")"),"腕の長さ")</f>
        <v>腕の長さ</v>
      </c>
    </row>
    <row r="361" ht="13.5" customHeight="1">
      <c r="A361" s="1" t="s">
        <v>11</v>
      </c>
      <c r="B361" s="1" t="s">
        <v>1889</v>
      </c>
      <c r="C361" s="1" t="s">
        <v>1890</v>
      </c>
      <c r="D361" s="1" t="s">
        <v>1891</v>
      </c>
      <c r="E361" s="1" t="s">
        <v>1891</v>
      </c>
      <c r="F361" s="1" t="s">
        <v>1892</v>
      </c>
      <c r="G361" s="1" t="s">
        <v>1893</v>
      </c>
      <c r="H361" s="1" t="str">
        <f>IFERROR(__xludf.DUMMYFUNCTION("GOOGLETRANSLATE(D361,""EN"",""JA"")"),"アリピプラゾール")</f>
        <v>アリピプラゾール</v>
      </c>
      <c r="I361" s="1" t="str">
        <f>IFERROR(__xludf.DUMMYFUNCTION("GOOGLETRANSLATE(E361,""EN"",""JA"")"),"アリピプラゾール")</f>
        <v>アリピプラゾール</v>
      </c>
      <c r="J361" s="1" t="str">
        <f>IFERROR(__xludf.DUMMYFUNCTION("GOOGLETRANSLATE(F361,""EN"",""JA"")"),"生物標本中のアリピプラゾールの測定。")</f>
        <v>生物標本中のアリピプラゾールの測定。</v>
      </c>
      <c r="K361" s="1" t="str">
        <f>IFERROR(__xludf.DUMMYFUNCTION("GOOGLETRANSLATE(G361,""EN"",""JA"")"),"アリピプラゾール測定")</f>
        <v>アリピプラゾール測定</v>
      </c>
    </row>
    <row r="362" ht="13.5" customHeight="1">
      <c r="A362" s="1" t="s">
        <v>11</v>
      </c>
      <c r="B362" s="1" t="s">
        <v>1894</v>
      </c>
      <c r="C362" s="1" t="s">
        <v>1895</v>
      </c>
      <c r="D362" s="1" t="s">
        <v>1896</v>
      </c>
      <c r="E362" s="1" t="s">
        <v>1896</v>
      </c>
      <c r="F362" s="1" t="s">
        <v>1897</v>
      </c>
      <c r="G362" s="1" t="s">
        <v>1898</v>
      </c>
      <c r="H362" s="1" t="str">
        <f>IFERROR(__xludf.DUMMYFUNCTION("GOOGLETRANSLATE(D362,""EN"",""JA"")"),"アルドステロン/レニン活性")</f>
        <v>アルドステロン/レニン活性</v>
      </c>
      <c r="I362" s="1" t="str">
        <f>IFERROR(__xludf.DUMMYFUNCTION("GOOGLETRANSLATE(E362,""EN"",""JA"")"),"アルドステロン/レニン活性")</f>
        <v>アルドステロン/レニン活性</v>
      </c>
      <c r="J362" s="1" t="str">
        <f>IFERROR(__xludf.DUMMYFUNCTION("GOOGLETRANSLATE(F362,""EN"",""JA"")"),"生物学的標本におけるアルドステロンとレニンの活性の相対的な測定値（比率）。")</f>
        <v>生物学的標本におけるアルドステロンとレニンの活性の相対的な測定値（比率）。</v>
      </c>
      <c r="K362" s="1" t="str">
        <f>IFERROR(__xludf.DUMMYFUNCTION("GOOGLETRANSLATE(G362,""EN"",""JA"")"),"アルドステロンとレニンの活性比測定")</f>
        <v>アルドステロンとレニンの活性比測定</v>
      </c>
    </row>
    <row r="363" ht="13.5" customHeight="1">
      <c r="A363" s="1" t="s">
        <v>11</v>
      </c>
      <c r="B363" s="1" t="s">
        <v>1899</v>
      </c>
      <c r="C363" s="1" t="s">
        <v>1900</v>
      </c>
      <c r="D363" s="1" t="s">
        <v>1901</v>
      </c>
      <c r="E363" s="1" t="s">
        <v>1902</v>
      </c>
      <c r="F363" s="1" t="s">
        <v>1903</v>
      </c>
      <c r="G363" s="1" t="s">
        <v>1904</v>
      </c>
      <c r="H363" s="1" t="str">
        <f>IFERROR(__xludf.DUMMYFUNCTION("GOOGLETRANSLATE(D363,""EN"",""JA"")"),"砒素")</f>
        <v>砒素</v>
      </c>
      <c r="I363" s="1" t="str">
        <f>IFERROR(__xludf.DUMMYFUNCTION("GOOGLETRANSLATE(E363,""EN"",""JA"")"),"ヒ素; As")</f>
        <v>ヒ素; As</v>
      </c>
      <c r="J363" s="1" t="str">
        <f>IFERROR(__xludf.DUMMYFUNCTION("GOOGLETRANSLATE(F363,""EN"",""JA"")"),"標本中のヒ素の測定。")</f>
        <v>標本中のヒ素の測定。</v>
      </c>
      <c r="K363" s="1" t="str">
        <f>IFERROR(__xludf.DUMMYFUNCTION("GOOGLETRANSLATE(G363,""EN"",""JA"")"),"ヒ素測定")</f>
        <v>ヒ素測定</v>
      </c>
    </row>
    <row r="364" ht="13.5" customHeight="1">
      <c r="A364" s="1" t="s">
        <v>134</v>
      </c>
      <c r="B364" s="1" t="s">
        <v>1905</v>
      </c>
      <c r="C364" s="1" t="s">
        <v>1906</v>
      </c>
      <c r="D364" s="1" t="s">
        <v>1907</v>
      </c>
      <c r="E364" s="1" t="s">
        <v>1907</v>
      </c>
      <c r="F364" s="1" t="s">
        <v>1908</v>
      </c>
      <c r="G364" s="1" t="s">
        <v>1909</v>
      </c>
      <c r="H364" s="1" t="str">
        <f>IFERROR(__xludf.DUMMYFUNCTION("GOOGLETRANSLATE(D364,""EN"",""JA"")"),"細動脈硝子体肥厚")</f>
        <v>細動脈硝子体肥厚</v>
      </c>
      <c r="I364" s="1" t="str">
        <f>IFERROR(__xludf.DUMMYFUNCTION("GOOGLETRANSLATE(E364,""EN"",""JA"")"),"細動脈硝子体肥厚")</f>
        <v>細動脈硝子体肥厚</v>
      </c>
      <c r="J364" s="1" t="str">
        <f>IFERROR(__xludf.DUMMYFUNCTION("GOOGLETRANSLATE(F364,""EN"",""JA"")"),"生物標本における血管の細動脈硝子体肥厚の評価。")</f>
        <v>生物標本における血管の細動脈硝子体肥厚の評価。</v>
      </c>
      <c r="K364" s="1" t="str">
        <f>IFERROR(__xludf.DUMMYFUNCTION("GOOGLETRANSLATE(G364,""EN"",""JA"")"),"細動脈硝子体肥厚の評価")</f>
        <v>細動脈硝子体肥厚の評価</v>
      </c>
    </row>
    <row r="365" ht="13.5" customHeight="1">
      <c r="A365" s="1" t="s">
        <v>134</v>
      </c>
      <c r="B365" s="1" t="s">
        <v>1910</v>
      </c>
      <c r="C365" s="1" t="s">
        <v>1911</v>
      </c>
      <c r="D365" s="1" t="s">
        <v>1912</v>
      </c>
      <c r="E365" s="1" t="s">
        <v>1913</v>
      </c>
      <c r="F365" s="1" t="s">
        <v>1914</v>
      </c>
      <c r="G365" s="1" t="s">
        <v>1915</v>
      </c>
      <c r="H365" s="1" t="str">
        <f>IFERROR(__xludf.DUMMYFUNCTION("GOOGLETRANSLATE(D365,""EN"",""JA"")"),"アンドロゲン受容体バリアント7")</f>
        <v>アンドロゲン受容体バリアント7</v>
      </c>
      <c r="I365" s="1" t="str">
        <f>IFERROR(__xludf.DUMMYFUNCTION("GOOGLETRANSLATE(E365,""EN"",""JA"")"),"アンドロゲン受容体バリアント7; AR-V7")</f>
        <v>アンドロゲン受容体バリアント7; AR-V7</v>
      </c>
      <c r="J365" s="1" t="str">
        <f>IFERROR(__xludf.DUMMYFUNCTION("GOOGLETRANSLATE(F365,""EN"",""JA"")"),"生物標本中のアンドロゲン受容体変異体 7 の測定。")</f>
        <v>生物標本中のアンドロゲン受容体変異体 7 の測定。</v>
      </c>
      <c r="K365" s="1" t="str">
        <f>IFERROR(__xludf.DUMMYFUNCTION("GOOGLETRANSLATE(G365,""EN"",""JA"")"),"アンドロゲン受容体バリアント7の測定")</f>
        <v>アンドロゲン受容体バリアント7の測定</v>
      </c>
    </row>
    <row r="366" ht="13.5" customHeight="1">
      <c r="A366" s="1" t="s">
        <v>134</v>
      </c>
      <c r="B366" s="1" t="s">
        <v>1916</v>
      </c>
      <c r="C366" s="1" t="s">
        <v>1917</v>
      </c>
      <c r="D366" s="1" t="s">
        <v>1918</v>
      </c>
      <c r="E366" s="1" t="s">
        <v>1919</v>
      </c>
      <c r="F366" s="1" t="s">
        <v>1920</v>
      </c>
      <c r="G366" s="1" t="s">
        <v>1921</v>
      </c>
      <c r="H366" s="1" t="str">
        <f>IFERROR(__xludf.DUMMYFUNCTION("GOOGLETRANSLATE(D366,""EN"",""JA"")"),"評価対象細胞総数")</f>
        <v>評価対象細胞総数</v>
      </c>
      <c r="I366" s="1" t="str">
        <f>IFERROR(__xludf.DUMMYFUNCTION("GOOGLETRANSLATE(E366,""EN"",""JA"")"),"評価対象細胞総数; 細胞総数")</f>
        <v>評価対象細胞総数; 細胞総数</v>
      </c>
      <c r="J366" s="1" t="str">
        <f>IFERROR(__xludf.DUMMYFUNCTION("GOOGLETRANSLATE(F366,""EN"",""JA"")"),"評価中に観察される、またはプロトコルで定義されたアッセイの一部として評価される細胞の総数の測定値。")</f>
        <v>評価中に観察される、またはプロトコルで定義されたアッセイの一部として評価される細胞の総数の測定値。</v>
      </c>
      <c r="K366" s="1" t="str">
        <f>IFERROR(__xludf.DUMMYFUNCTION("GOOGLETRANSLATE(G366,""EN"",""JA"")"),"評価された細胞の総数")</f>
        <v>評価された細胞の総数</v>
      </c>
    </row>
    <row r="367" ht="13.5" customHeight="1">
      <c r="A367" s="1" t="s">
        <v>11</v>
      </c>
      <c r="B367" s="1" t="s">
        <v>1922</v>
      </c>
      <c r="C367" s="1" t="s">
        <v>1923</v>
      </c>
      <c r="D367" s="1" t="s">
        <v>1924</v>
      </c>
      <c r="E367" s="1" t="s">
        <v>1924</v>
      </c>
      <c r="F367" s="1" t="s">
        <v>1925</v>
      </c>
      <c r="G367" s="1" t="s">
        <v>1926</v>
      </c>
      <c r="H367" s="1" t="str">
        <f>IFERROR(__xludf.DUMMYFUNCTION("GOOGLETRANSLATE(D367,""EN"",""JA"")"),"アセナピン")</f>
        <v>アセナピン</v>
      </c>
      <c r="I367" s="1" t="str">
        <f>IFERROR(__xludf.DUMMYFUNCTION("GOOGLETRANSLATE(E367,""EN"",""JA"")"),"アセナピン")</f>
        <v>アセナピン</v>
      </c>
      <c r="J367" s="1" t="str">
        <f>IFERROR(__xludf.DUMMYFUNCTION("GOOGLETRANSLATE(F367,""EN"",""JA"")"),"生物標本中のアセナピンの測定。")</f>
        <v>生物標本中のアセナピンの測定。</v>
      </c>
      <c r="K367" s="1" t="str">
        <f>IFERROR(__xludf.DUMMYFUNCTION("GOOGLETRANSLATE(G367,""EN"",""JA"")"),"アセナピン測定")</f>
        <v>アセナピン測定</v>
      </c>
    </row>
    <row r="368" ht="13.5" customHeight="1">
      <c r="A368" s="1" t="s">
        <v>134</v>
      </c>
      <c r="B368" s="1" t="s">
        <v>1927</v>
      </c>
      <c r="C368" s="1" t="s">
        <v>1928</v>
      </c>
      <c r="D368" s="1" t="s">
        <v>1929</v>
      </c>
      <c r="E368" s="1" t="s">
        <v>1929</v>
      </c>
      <c r="F368" s="1" t="s">
        <v>1930</v>
      </c>
      <c r="G368" s="1" t="s">
        <v>1931</v>
      </c>
      <c r="H368" s="1" t="str">
        <f>IFERROR(__xludf.DUMMYFUNCTION("GOOGLETRANSLATE(D368,""EN"",""JA"")"),"適切な手術マージン指標")</f>
        <v>適切な手術マージン指標</v>
      </c>
      <c r="I368" s="1" t="str">
        <f>IFERROR(__xludf.DUMMYFUNCTION("GOOGLETRANSLATE(E368,""EN"",""JA"")"),"適切な手術マージン指標")</f>
        <v>適切な手術マージン指標</v>
      </c>
      <c r="J368" s="1" t="str">
        <f>IFERROR(__xludf.DUMMYFUNCTION("GOOGLETRANSLATE(F368,""EN"",""JA"")"),"切除した腫瘍から明らかに非腫瘍性の組織までの距離が十分にあるかどうかを示します。")</f>
        <v>切除した腫瘍から明らかに非腫瘍性の組織までの距離が十分にあるかどうかを示します。</v>
      </c>
      <c r="K368" s="1" t="str">
        <f>IFERROR(__xludf.DUMMYFUNCTION("GOOGLETRANSLATE(G368,""EN"",""JA"")"),"適切な手術マージン指標")</f>
        <v>適切な手術マージン指標</v>
      </c>
    </row>
    <row r="369" ht="13.5" customHeight="1">
      <c r="A369" s="1" t="s">
        <v>11</v>
      </c>
      <c r="B369" s="1" t="s">
        <v>1932</v>
      </c>
      <c r="C369" s="1" t="s">
        <v>1933</v>
      </c>
      <c r="D369" s="1" t="s">
        <v>1934</v>
      </c>
      <c r="E369" s="1" t="s">
        <v>1935</v>
      </c>
      <c r="F369" s="1" t="s">
        <v>1936</v>
      </c>
      <c r="G369" s="1" t="s">
        <v>1937</v>
      </c>
      <c r="H369" s="1" t="str">
        <f>IFERROR(__xludf.DUMMYFUNCTION("GOOGLETRANSLATE(D369,""EN"",""JA"")"),"α-平滑筋アクチン")</f>
        <v>α-平滑筋アクチン</v>
      </c>
      <c r="I369" s="1" t="str">
        <f>IFERROR(__xludf.DUMMYFUNCTION("GOOGLETRANSLATE(E369,""EN"",""JA"")"),"アルファアクチン2; アルファSMA; アルファ平滑筋アクチン")</f>
        <v>アルファアクチン2; アルファSMA; アルファ平滑筋アクチン</v>
      </c>
      <c r="J369" s="1" t="str">
        <f>IFERROR(__xludf.DUMMYFUNCTION("GOOGLETRANSLATE(F369,""EN"",""JA"")"),"生物標本中のα平滑筋アクチンの測定。")</f>
        <v>生物標本中のα平滑筋アクチンの測定。</v>
      </c>
      <c r="K369" s="1" t="str">
        <f>IFERROR(__xludf.DUMMYFUNCTION("GOOGLETRANSLATE(G369,""EN"",""JA"")"),"α平滑筋アクチン測定")</f>
        <v>α平滑筋アクチン測定</v>
      </c>
    </row>
    <row r="370" ht="13.5" customHeight="1">
      <c r="A370" s="1" t="s">
        <v>1034</v>
      </c>
      <c r="B370" s="1" t="s">
        <v>1938</v>
      </c>
      <c r="C370" s="1" t="s">
        <v>1939</v>
      </c>
      <c r="D370" s="1" t="s">
        <v>1940</v>
      </c>
      <c r="E370" s="1" t="s">
        <v>1941</v>
      </c>
      <c r="F370" s="1" t="s">
        <v>1942</v>
      </c>
      <c r="G370" s="1" t="s">
        <v>1943</v>
      </c>
      <c r="H370" s="1" t="str">
        <f>IFERROR(__xludf.DUMMYFUNCTION("GOOGLETRANSLATE(D370,""EN"",""JA"")"),"四肢骨格筋量")</f>
        <v>四肢骨格筋量</v>
      </c>
      <c r="I370" s="1" t="str">
        <f>IFERROR(__xludf.DUMMYFUNCTION("GOOGLETRANSLATE(E370,""EN"",""JA"")"),"四肢骨格筋量; ASMM")</f>
        <v>四肢骨格筋量; ASMM</v>
      </c>
      <c r="J370" s="1" t="str">
        <f>IFERROR(__xludf.DUMMYFUNCTION("GOOGLETRANSLATE(F370,""EN"",""JA"")"),"腕と脚の筋肉の質量の測定値。")</f>
        <v>腕と脚の筋肉の質量の測定値。</v>
      </c>
      <c r="K370" s="1" t="str">
        <f>IFERROR(__xludf.DUMMYFUNCTION("GOOGLETRANSLATE(G370,""EN"",""JA"")"),"四肢骨格筋量測定")</f>
        <v>四肢骨格筋量測定</v>
      </c>
    </row>
    <row r="371" ht="13.5" customHeight="1">
      <c r="A371" s="1" t="s">
        <v>11</v>
      </c>
      <c r="B371" s="1" t="s">
        <v>1944</v>
      </c>
      <c r="C371" s="1" t="s">
        <v>1945</v>
      </c>
      <c r="D371" s="1" t="s">
        <v>1946</v>
      </c>
      <c r="E371" s="1" t="s">
        <v>1946</v>
      </c>
      <c r="F371" s="1" t="s">
        <v>1947</v>
      </c>
      <c r="G371" s="1" t="s">
        <v>1948</v>
      </c>
      <c r="H371" s="1" t="str">
        <f>IFERROR(__xludf.DUMMYFUNCTION("GOOGLETRANSLATE(D371,""EN"",""JA"")"),"アスパラギン")</f>
        <v>アスパラギン</v>
      </c>
      <c r="I371" s="1" t="str">
        <f>IFERROR(__xludf.DUMMYFUNCTION("GOOGLETRANSLATE(E371,""EN"",""JA"")"),"アスパラギン")</f>
        <v>アスパラギン</v>
      </c>
      <c r="J371" s="1" t="str">
        <f>IFERROR(__xludf.DUMMYFUNCTION("GOOGLETRANSLATE(F371,""EN"",""JA"")"),"生物標本中のアスパラギンの測定。")</f>
        <v>生物標本中のアスパラギンの測定。</v>
      </c>
      <c r="K371" s="1" t="str">
        <f>IFERROR(__xludf.DUMMYFUNCTION("GOOGLETRANSLATE(G371,""EN"",""JA"")"),"アスパラギン測定")</f>
        <v>アスパラギン測定</v>
      </c>
    </row>
    <row r="372" ht="13.5" customHeight="1">
      <c r="A372" s="1" t="s">
        <v>11</v>
      </c>
      <c r="B372" s="1" t="s">
        <v>1949</v>
      </c>
      <c r="C372" s="1" t="s">
        <v>1950</v>
      </c>
      <c r="D372" s="1" t="s">
        <v>1951</v>
      </c>
      <c r="E372" s="1" t="s">
        <v>1952</v>
      </c>
      <c r="F372" s="1" t="s">
        <v>1953</v>
      </c>
      <c r="G372" s="1" t="s">
        <v>1954</v>
      </c>
      <c r="H372" s="1" t="str">
        <f>IFERROR(__xludf.DUMMYFUNCTION("GOOGLETRANSLATE(D372,""EN"",""JA"")"),"アスパラギン酸")</f>
        <v>アスパラギン酸</v>
      </c>
      <c r="I372" s="1" t="str">
        <f>IFERROR(__xludf.DUMMYFUNCTION("GOOGLETRANSLATE(E372,""EN"",""JA"")"),"アスパラギン酸")</f>
        <v>アスパラギン酸</v>
      </c>
      <c r="J372" s="1" t="str">
        <f>IFERROR(__xludf.DUMMYFUNCTION("GOOGLETRANSLATE(F372,""EN"",""JA"")"),"生物標本中のアスパラギン酸の測定。")</f>
        <v>生物標本中のアスパラギン酸の測定。</v>
      </c>
      <c r="K372" s="1" t="str">
        <f>IFERROR(__xludf.DUMMYFUNCTION("GOOGLETRANSLATE(G372,""EN"",""JA"")"),"アスパラギン酸測定")</f>
        <v>アスパラギン酸測定</v>
      </c>
    </row>
    <row r="373" ht="13.5" customHeight="1">
      <c r="A373" s="1" t="s">
        <v>67</v>
      </c>
      <c r="B373" s="1" t="s">
        <v>1955</v>
      </c>
      <c r="C373" s="1" t="s">
        <v>1956</v>
      </c>
      <c r="D373" s="1" t="s">
        <v>1957</v>
      </c>
      <c r="E373" s="1" t="s">
        <v>1957</v>
      </c>
      <c r="F373" s="1" t="s">
        <v>1958</v>
      </c>
      <c r="G373" s="1" t="s">
        <v>1959</v>
      </c>
      <c r="H373" s="1" t="str">
        <f>IFERROR(__xludf.DUMMYFUNCTION("GOOGLETRANSLATE(D373,""EN"",""JA"")"),"アスペルギルス抗原")</f>
        <v>アスペルギルス抗原</v>
      </c>
      <c r="I373" s="1" t="str">
        <f>IFERROR(__xludf.DUMMYFUNCTION("GOOGLETRANSLATE(E373,""EN"",""JA"")"),"アスペルギルス抗原")</f>
        <v>アスペルギルス抗原</v>
      </c>
      <c r="J373" s="1" t="str">
        <f>IFERROR(__xludf.DUMMYFUNCTION("GOOGLETRANSLATE(F373,""EN"",""JA"")"),"生物標本中のアスペルギルス属の任意の菌の抗原の測定。")</f>
        <v>生物標本中のアスペルギルス属の任意の菌の抗原の測定。</v>
      </c>
      <c r="K373" s="1" t="str">
        <f>IFERROR(__xludf.DUMMYFUNCTION("GOOGLETRANSLATE(G373,""EN"",""JA"")"),"アスペルギルス抗原測定")</f>
        <v>アスペルギルス抗原測定</v>
      </c>
    </row>
    <row r="374" ht="13.5" customHeight="1">
      <c r="A374" s="1" t="s">
        <v>67</v>
      </c>
      <c r="B374" s="1" t="s">
        <v>1960</v>
      </c>
      <c r="C374" s="1" t="s">
        <v>1961</v>
      </c>
      <c r="D374" s="1" t="s">
        <v>1962</v>
      </c>
      <c r="E374" s="1" t="s">
        <v>1962</v>
      </c>
      <c r="F374" s="1" t="s">
        <v>1963</v>
      </c>
      <c r="G374" s="1" t="s">
        <v>1964</v>
      </c>
      <c r="H374" s="1" t="str">
        <f>IFERROR(__xludf.DUMMYFUNCTION("GOOGLETRANSLATE(D374,""EN"",""JA"")"),"アスペルギルスDNA")</f>
        <v>アスペルギルスDNA</v>
      </c>
      <c r="I374" s="1" t="str">
        <f>IFERROR(__xludf.DUMMYFUNCTION("GOOGLETRANSLATE(E374,""EN"",""JA"")"),"アスペルギルスDNA")</f>
        <v>アスペルギルスDNA</v>
      </c>
      <c r="J374" s="1" t="str">
        <f>IFERROR(__xludf.DUMMYFUNCTION("GOOGLETRANSLATE(F374,""EN"",""JA"")"),"生物標本中のアスペルギルス属の任意の菌の DNA の測定。")</f>
        <v>生物標本中のアスペルギルス属の任意の菌の DNA の測定。</v>
      </c>
      <c r="K374" s="1" t="str">
        <f>IFERROR(__xludf.DUMMYFUNCTION("GOOGLETRANSLATE(G374,""EN"",""JA"")"),"アスペルギルスDNA測定")</f>
        <v>アスペルギルスDNA測定</v>
      </c>
    </row>
    <row r="375" ht="13.5" customHeight="1">
      <c r="A375" s="1" t="s">
        <v>67</v>
      </c>
      <c r="B375" s="1" t="s">
        <v>1965</v>
      </c>
      <c r="C375" s="1" t="s">
        <v>1966</v>
      </c>
      <c r="D375" s="1" t="s">
        <v>1967</v>
      </c>
      <c r="E375" s="1" t="s">
        <v>1967</v>
      </c>
      <c r="F375" s="1" t="s">
        <v>1968</v>
      </c>
      <c r="G375" s="1" t="s">
        <v>1969</v>
      </c>
      <c r="H375" s="1" t="str">
        <f>IFERROR(__xludf.DUMMYFUNCTION("GOOGLETRANSLATE(D375,""EN"",""JA"")"),"アスペルギルス")</f>
        <v>アスペルギルス</v>
      </c>
      <c r="I375" s="1" t="str">
        <f>IFERROR(__xludf.DUMMYFUNCTION("GOOGLETRANSLATE(E375,""EN"",""JA"")"),"アスペルギルス")</f>
        <v>アスペルギルス</v>
      </c>
      <c r="J375" s="1" t="str">
        <f>IFERROR(__xludf.DUMMYFUNCTION("GOOGLETRANSLATE(F375,""EN"",""JA"")"),"生物標本において、種レベルには割り当てられていないが、アスペルギルス属レベルに割り当てられている生物の測定値。")</f>
        <v>生物標本において、種レベルには割り当てられていないが、アスペルギルス属レベルに割り当てられている生物の測定値。</v>
      </c>
      <c r="K375" s="1" t="str">
        <f>IFERROR(__xludf.DUMMYFUNCTION("GOOGLETRANSLATE(G375,""EN"",""JA"")"),"アスペルギルス測定")</f>
        <v>アスペルギルス測定</v>
      </c>
    </row>
    <row r="376" ht="13.5" customHeight="1">
      <c r="A376" s="1" t="s">
        <v>1970</v>
      </c>
      <c r="B376" s="1" t="s">
        <v>1971</v>
      </c>
      <c r="C376" s="1" t="s">
        <v>1972</v>
      </c>
      <c r="D376" s="1" t="s">
        <v>1973</v>
      </c>
      <c r="E376" s="1" t="s">
        <v>1973</v>
      </c>
      <c r="F376" s="1" t="s">
        <v>1974</v>
      </c>
      <c r="G376" s="1" t="s">
        <v>1975</v>
      </c>
      <c r="H376" s="1" t="str">
        <f>IFERROR(__xludf.DUMMYFUNCTION("GOOGLETRANSLATE(D376,""EN"",""JA"")"),"アレルゲン皮膚反応指数")</f>
        <v>アレルゲン皮膚反応指数</v>
      </c>
      <c r="I376" s="1" t="str">
        <f>IFERROR(__xludf.DUMMYFUNCTION("GOOGLETRANSLATE(E376,""EN"",""JA"")"),"アレルゲン皮膚反応指数")</f>
        <v>アレルゲン皮膚反応指数</v>
      </c>
      <c r="J376" s="1" t="str">
        <f>IFERROR(__xludf.DUMMYFUNCTION("GOOGLETRANSLATE(F376,""EN"",""JA"")"),"アレルゲン皮膚テストにおけるアレルゲン膨疹の大きさと陽性対照膨疹の大きさの相対的な測定値 (比率またはパーセンテージ)。")</f>
        <v>アレルゲン皮膚テストにおけるアレルゲン膨疹の大きさと陽性対照膨疹の大きさの相対的な測定値 (比率またはパーセンテージ)。</v>
      </c>
      <c r="K376" s="1" t="str">
        <f>IFERROR(__xludf.DUMMYFUNCTION("GOOGLETRANSLATE(G376,""EN"",""JA"")"),"アレルゲン皮膚反応指数測定")</f>
        <v>アレルゲン皮膚反応指数測定</v>
      </c>
    </row>
    <row r="377" ht="13.5" customHeight="1">
      <c r="A377" s="1" t="s">
        <v>1970</v>
      </c>
      <c r="B377" s="1" t="s">
        <v>1976</v>
      </c>
      <c r="C377" s="1" t="s">
        <v>1977</v>
      </c>
      <c r="D377" s="1" t="s">
        <v>1978</v>
      </c>
      <c r="E377" s="1" t="s">
        <v>1978</v>
      </c>
      <c r="F377" s="1" t="s">
        <v>1979</v>
      </c>
      <c r="G377" s="1" t="s">
        <v>1980</v>
      </c>
      <c r="H377" s="1" t="str">
        <f>IFERROR(__xludf.DUMMYFUNCTION("GOOGLETRANSLATE(D377,""EN"",""JA"")"),"アレルゲン皮膚反応強度")</f>
        <v>アレルゲン皮膚反応強度</v>
      </c>
      <c r="I377" s="1" t="str">
        <f>IFERROR(__xludf.DUMMYFUNCTION("GOOGLETRANSLATE(E377,""EN"",""JA"")"),"アレルゲン皮膚反応強度")</f>
        <v>アレルゲン皮膚反応強度</v>
      </c>
      <c r="J377" s="1" t="str">
        <f>IFERROR(__xludf.DUMMYFUNCTION("GOOGLETRANSLATE(F377,""EN"",""JA"")"),"膨疹および発赤反応の強度の半定量的評価。")</f>
        <v>膨疹および発赤反応の強度の半定量的評価。</v>
      </c>
      <c r="K377" s="1" t="str">
        <f>IFERROR(__xludf.DUMMYFUNCTION("GOOGLETRANSLATE(G377,""EN"",""JA"")"),"アレルゲン皮膚反応強度測定")</f>
        <v>アレルゲン皮膚反応強度測定</v>
      </c>
    </row>
    <row r="378" ht="13.5" customHeight="1">
      <c r="A378" s="1" t="s">
        <v>11</v>
      </c>
      <c r="B378" s="1" t="s">
        <v>1981</v>
      </c>
      <c r="C378" s="1" t="s">
        <v>1982</v>
      </c>
      <c r="D378" s="1" t="s">
        <v>1983</v>
      </c>
      <c r="E378" s="1" t="s">
        <v>1983</v>
      </c>
      <c r="F378" s="1" t="s">
        <v>1984</v>
      </c>
      <c r="G378" s="1" t="s">
        <v>1985</v>
      </c>
      <c r="H378" s="1" t="str">
        <f>IFERROR(__xludf.DUMMYFUNCTION("GOOGLETRANSLATE(D378,""EN"",""JA"")"),"抗一本鎖DNA IgG")</f>
        <v>抗一本鎖DNA IgG</v>
      </c>
      <c r="I378" s="1" t="str">
        <f>IFERROR(__xludf.DUMMYFUNCTION("GOOGLETRANSLATE(E378,""EN"",""JA"")"),"抗一本鎖DNA IgG")</f>
        <v>抗一本鎖DNA IgG</v>
      </c>
      <c r="J378" s="1" t="str">
        <f>IFERROR(__xludf.DUMMYFUNCTION("GOOGLETRANSLATE(F378,""EN"",""JA"")"),"生物学的標本中の抗一本鎖 DNA IgG 抗体の測定。")</f>
        <v>生物学的標本中の抗一本鎖 DNA IgG 抗体の測定。</v>
      </c>
      <c r="K378" s="1" t="str">
        <f>IFERROR(__xludf.DUMMYFUNCTION("GOOGLETRANSLATE(G378,""EN"",""JA"")"),"抗一本鎖DNA IgG測定")</f>
        <v>抗一本鎖DNA IgG測定</v>
      </c>
    </row>
    <row r="379" ht="13.5" customHeight="1">
      <c r="A379" s="1" t="s">
        <v>11</v>
      </c>
      <c r="B379" s="1" t="s">
        <v>1986</v>
      </c>
      <c r="C379" s="1" t="s">
        <v>1987</v>
      </c>
      <c r="D379" s="1" t="s">
        <v>1988</v>
      </c>
      <c r="E379" s="1" t="s">
        <v>1989</v>
      </c>
      <c r="F379" s="1" t="s">
        <v>1990</v>
      </c>
      <c r="G379" s="1" t="s">
        <v>1991</v>
      </c>
      <c r="H379" s="1" t="str">
        <f>IFERROR(__xludf.DUMMYFUNCTION("GOOGLETRANSLATE(D379,""EN"",""JA"")"),"アスパラギン酸アミノトランスフェラーゼ")</f>
        <v>アスパラギン酸アミノトランスフェラーゼ</v>
      </c>
      <c r="I379" s="1" t="str">
        <f>IFERROR(__xludf.DUMMYFUNCTION("GOOGLETRANSLATE(E379,""EN"",""JA"")"),"アスパラギン酸アミノトランスフェラーゼ; アスパラギン酸アミノトランスフェラーゼ抗原; SGOT; SGOT抗原")</f>
        <v>アスパラギン酸アミノトランスフェラーゼ; アスパラギン酸アミノトランスフェラーゼ抗原; SGOT; SGOT抗原</v>
      </c>
      <c r="J379" s="1" t="str">
        <f>IFERROR(__xludf.DUMMYFUNCTION("GOOGLETRANSLATE(F379,""EN"",""JA"")"),"生物標本中のアスパラギン酸アミノトランスフェラーゼの測定。")</f>
        <v>生物標本中のアスパラギン酸アミノトランスフェラーゼの測定。</v>
      </c>
      <c r="K379" s="1" t="str">
        <f>IFERROR(__xludf.DUMMYFUNCTION("GOOGLETRANSLATE(G379,""EN"",""JA"")"),"アスパラギン酸アミノトランスフェラーゼ測定")</f>
        <v>アスパラギン酸アミノトランスフェラーゼ測定</v>
      </c>
    </row>
    <row r="380" ht="13.5" customHeight="1">
      <c r="A380" s="1" t="s">
        <v>11</v>
      </c>
      <c r="B380" s="1" t="s">
        <v>1992</v>
      </c>
      <c r="C380" s="1" t="s">
        <v>1993</v>
      </c>
      <c r="D380" s="1" t="s">
        <v>1994</v>
      </c>
      <c r="E380" s="1" t="s">
        <v>1994</v>
      </c>
      <c r="F380" s="1" t="s">
        <v>1995</v>
      </c>
      <c r="G380" s="1" t="s">
        <v>1996</v>
      </c>
      <c r="H380" s="1" t="str">
        <f>IFERROR(__xludf.DUMMYFUNCTION("GOOGLETRANSLATE(D380,""EN"",""JA"")"),"AST/ALT")</f>
        <v>AST/ALT</v>
      </c>
      <c r="I380" s="1" t="str">
        <f>IFERROR(__xludf.DUMMYFUNCTION("GOOGLETRANSLATE(E380,""EN"",""JA"")"),"AST/ALT")</f>
        <v>AST/ALT</v>
      </c>
      <c r="J380" s="1" t="str">
        <f>IFERROR(__xludf.DUMMYFUNCTION("GOOGLETRANSLATE(F380,""EN"",""JA"")"),"サンプル中に存在するアスパラギン酸アミノトランスフェラーゼ (AST) とアラニンアミノトランスフェラーゼ (ALT) の相対的な測定値 (比率またはパーセンテージ)。")</f>
        <v>サンプル中に存在するアスパラギン酸アミノトランスフェラーゼ (AST) とアラニンアミノトランスフェラーゼ (ALT) の相対的な測定値 (比率またはパーセンテージ)。</v>
      </c>
      <c r="K380" s="1" t="str">
        <f>IFERROR(__xludf.DUMMYFUNCTION("GOOGLETRANSLATE(G380,""EN"",""JA"")"),"アスパラギン酸アミノトランスフェラーゼとアラニンアミノトランスフェラーゼの比率測定")</f>
        <v>アスパラギン酸アミノトランスフェラーゼとアラニンアミノトランスフェラーゼの比率測定</v>
      </c>
    </row>
    <row r="381" ht="13.5" customHeight="1">
      <c r="A381" s="1" t="s">
        <v>1997</v>
      </c>
      <c r="B381" s="1" t="s">
        <v>1998</v>
      </c>
      <c r="C381" s="1" t="s">
        <v>1999</v>
      </c>
      <c r="D381" s="1" t="s">
        <v>2000</v>
      </c>
      <c r="E381" s="1" t="s">
        <v>2000</v>
      </c>
      <c r="F381" s="1" t="s">
        <v>2001</v>
      </c>
      <c r="G381" s="1" t="s">
        <v>2000</v>
      </c>
      <c r="H381" s="1" t="str">
        <f>IFERROR(__xludf.DUMMYFUNCTION("GOOGLETRANSLATE(D381,""EN"",""JA"")"),"乱視軸")</f>
        <v>乱視軸</v>
      </c>
      <c r="I381" s="1" t="str">
        <f>IFERROR(__xludf.DUMMYFUNCTION("GOOGLETRANSLATE(E381,""EN"",""JA"")"),"乱視軸")</f>
        <v>乱視軸</v>
      </c>
      <c r="J381" s="1" t="str">
        <f>IFERROR(__xludf.DUMMYFUNCTION("GOOGLETRANSLATE(F381,""EN"",""JA"")"),"180 度スケール上の平坦な主子午線の位置を度数で測定した値。90 度は垂直子午線、180 度は水平子午線を示します。")</f>
        <v>180 度スケール上の平坦な主子午線の位置を度数で測定した値。90 度は垂直子午線、180 度は水平子午線を示します。</v>
      </c>
      <c r="K381" s="1" t="str">
        <f>IFERROR(__xludf.DUMMYFUNCTION("GOOGLETRANSLATE(G381,""EN"",""JA"")"),"乱視軸")</f>
        <v>乱視軸</v>
      </c>
    </row>
    <row r="382" ht="13.5" customHeight="1">
      <c r="A382" s="1" t="s">
        <v>11</v>
      </c>
      <c r="B382" s="1" t="s">
        <v>2002</v>
      </c>
      <c r="C382" s="1" t="s">
        <v>2003</v>
      </c>
      <c r="D382" s="1" t="s">
        <v>2004</v>
      </c>
      <c r="E382" s="1" t="s">
        <v>2005</v>
      </c>
      <c r="F382" s="1" t="s">
        <v>2006</v>
      </c>
      <c r="G382" s="1" t="s">
        <v>2007</v>
      </c>
      <c r="H382" s="1" t="str">
        <f>IFERROR(__xludf.DUMMYFUNCTION("GOOGLETRANSLATE(D382,""EN"",""JA"")"),"アスパラギン酸アミノトランスフェラーゼアイソザイムC")</f>
        <v>アスパラギン酸アミノトランスフェラーゼアイソザイムC</v>
      </c>
      <c r="I382" s="1" t="str">
        <f>IFERROR(__xludf.DUMMYFUNCTION("GOOGLETRANSLATE(E382,""EN"",""JA"")"),"アスパラギン酸アミノトランスフェラーゼアイソザイム C; アスパラギン酸アミノトランスフェラーゼアイソザイム 細胞質; C-AST; cAspAT; アスパラギン酸アミノトランスフェラーゼの細胞質アイソザイム; SGOT アイソザイム C")</f>
        <v>アスパラギン酸アミノトランスフェラーゼアイソザイム C; アスパラギン酸アミノトランスフェラーゼアイソザイム 細胞質; C-AST; cAspAT; アスパラギン酸アミノトランスフェラーゼの細胞質アイソザイム; SGOT アイソザイム C</v>
      </c>
      <c r="J382" s="1" t="str">
        <f>IFERROR(__xludf.DUMMYFUNCTION("GOOGLETRANSLATE(F382,""EN"",""JA"")"),"生物標本中のアスパラギン酸アミノトランスフェラーゼアイソザイムCの測定。")</f>
        <v>生物標本中のアスパラギン酸アミノトランスフェラーゼアイソザイムCの測定。</v>
      </c>
      <c r="K382" s="1" t="str">
        <f>IFERROR(__xludf.DUMMYFUNCTION("GOOGLETRANSLATE(G382,""EN"",""JA"")"),"アスパラギン酸アミノトランスフェラーゼアイソザイムC測定")</f>
        <v>アスパラギン酸アミノトランスフェラーゼアイソザイムC測定</v>
      </c>
    </row>
    <row r="383" ht="13.5" customHeight="1">
      <c r="A383" s="1" t="s">
        <v>11</v>
      </c>
      <c r="B383" s="1" t="s">
        <v>2008</v>
      </c>
      <c r="C383" s="1" t="s">
        <v>2009</v>
      </c>
      <c r="D383" s="1" t="s">
        <v>2010</v>
      </c>
      <c r="E383" s="1" t="s">
        <v>2011</v>
      </c>
      <c r="F383" s="1" t="s">
        <v>2012</v>
      </c>
      <c r="G383" s="1" t="s">
        <v>2013</v>
      </c>
      <c r="H383" s="1" t="str">
        <f>IFERROR(__xludf.DUMMYFUNCTION("GOOGLETRANSLATE(D383,""EN"",""JA"")"),"AST/クレアチンキナーゼ")</f>
        <v>AST/クレアチンキナーゼ</v>
      </c>
      <c r="I383" s="1" t="str">
        <f>IFERROR(__xludf.DUMMYFUNCTION("GOOGLETRANSLATE(E383,""EN"",""JA"")"),"アスパラギン酸アミノトランスフェラーゼ/CPK; アスパラギン酸アミノトランスフェラーゼ/クレアチンキナーゼ; AST/クレアチンキナーゼ")</f>
        <v>アスパラギン酸アミノトランスフェラーゼ/CPK; アスパラギン酸アミノトランスフェラーゼ/クレアチンキナーゼ; AST/クレアチンキナーゼ</v>
      </c>
      <c r="J383" s="1" t="str">
        <f>IFERROR(__xludf.DUMMYFUNCTION("GOOGLETRANSLATE(F383,""EN"",""JA"")"),"生物標本中のアスパラギン酸アミノトランスフェラーゼとクレアチンキナーゼの相対的な測定値（比率）。")</f>
        <v>生物標本中のアスパラギン酸アミノトランスフェラーゼとクレアチンキナーゼの相対的な測定値（比率）。</v>
      </c>
      <c r="K383" s="1" t="str">
        <f>IFERROR(__xludf.DUMMYFUNCTION("GOOGLETRANSLATE(G383,""EN"",""JA"")"),"アスパラギン酸アミノトランスフェラーゼとクレアチンキナーゼの比率測定")</f>
        <v>アスパラギン酸アミノトランスフェラーゼとクレアチンキナーゼの比率測定</v>
      </c>
    </row>
    <row r="384" ht="13.5" customHeight="1">
      <c r="A384" s="1" t="s">
        <v>11</v>
      </c>
      <c r="B384" s="1" t="s">
        <v>2014</v>
      </c>
      <c r="C384" s="1" t="s">
        <v>2015</v>
      </c>
      <c r="D384" s="1" t="s">
        <v>2016</v>
      </c>
      <c r="E384" s="1" t="s">
        <v>2016</v>
      </c>
      <c r="F384" s="1" t="s">
        <v>2017</v>
      </c>
      <c r="G384" s="1" t="s">
        <v>2018</v>
      </c>
      <c r="H384" s="1" t="str">
        <f>IFERROR(__xludf.DUMMYFUNCTION("GOOGLETRANSLATE(D384,""EN"",""JA"")"),"アスパラギン酸アミノトランスフェラーゼ/クレアチニン")</f>
        <v>アスパラギン酸アミノトランスフェラーゼ/クレアチニン</v>
      </c>
      <c r="I384" s="1" t="str">
        <f>IFERROR(__xludf.DUMMYFUNCTION("GOOGLETRANSLATE(E384,""EN"",""JA"")"),"アスパラギン酸アミノトランスフェラーゼ/クレアチニン")</f>
        <v>アスパラギン酸アミノトランスフェラーゼ/クレアチニン</v>
      </c>
      <c r="J384" s="1" t="str">
        <f>IFERROR(__xludf.DUMMYFUNCTION("GOOGLETRANSLATE(F384,""EN"",""JA"")"),"生物標本中のアスパラギン酸アミノトランスフェラーゼとクレアチニンの相対的な測定値（比率またはパーセンテージ）。")</f>
        <v>生物標本中のアスパラギン酸アミノトランスフェラーゼとクレアチニンの相対的な測定値（比率またはパーセンテージ）。</v>
      </c>
      <c r="K384" s="1" t="str">
        <f>IFERROR(__xludf.DUMMYFUNCTION("GOOGLETRANSLATE(G384,""EN"",""JA"")"),"アスパラギン酸アミノトランスフェラーゼとクレアチニンの比率測定")</f>
        <v>アスパラギン酸アミノトランスフェラーゼとクレアチニンの比率測定</v>
      </c>
    </row>
    <row r="385" ht="13.5" customHeight="1">
      <c r="A385" s="1" t="s">
        <v>11</v>
      </c>
      <c r="B385" s="1" t="s">
        <v>2019</v>
      </c>
      <c r="C385" s="1" t="s">
        <v>2020</v>
      </c>
      <c r="D385" s="1" t="s">
        <v>2021</v>
      </c>
      <c r="E385" s="1" t="s">
        <v>2021</v>
      </c>
      <c r="F385" s="1" t="s">
        <v>2022</v>
      </c>
      <c r="G385" s="1" t="s">
        <v>2023</v>
      </c>
      <c r="H385" s="1" t="str">
        <f>IFERROR(__xludf.DUMMYFUNCTION("GOOGLETRANSLATE(D385,""EN"",""JA"")"),"3-アルファ-アンドロスタンジオールグルクロニド")</f>
        <v>3-アルファ-アンドロスタンジオールグルクロニド</v>
      </c>
      <c r="I385" s="1" t="str">
        <f>IFERROR(__xludf.DUMMYFUNCTION("GOOGLETRANSLATE(E385,""EN"",""JA"")"),"3-アルファ-アンドロスタンジオールグルクロニド")</f>
        <v>3-アルファ-アンドロスタンジオールグルクロニド</v>
      </c>
      <c r="J385" s="1" t="str">
        <f>IFERROR(__xludf.DUMMYFUNCTION("GOOGLETRANSLATE(F385,""EN"",""JA"")"),"生物標本中の 3-α-アンドロスタンジオールグルクロン酸抱合体の測定。")</f>
        <v>生物標本中の 3-α-アンドロスタンジオールグルクロン酸抱合体の測定。</v>
      </c>
      <c r="K385" s="1" t="str">
        <f>IFERROR(__xludf.DUMMYFUNCTION("GOOGLETRANSLATE(G385,""EN"",""JA"")"),"3-アルファ-アンドロスタンジオールグルクロン酸抱合体測定")</f>
        <v>3-アルファ-アンドロスタンジオールグルクロン酸抱合体測定</v>
      </c>
    </row>
    <row r="386" ht="13.5" customHeight="1">
      <c r="A386" s="1" t="s">
        <v>11</v>
      </c>
      <c r="B386" s="1" t="s">
        <v>2024</v>
      </c>
      <c r="C386" s="1" t="s">
        <v>2025</v>
      </c>
      <c r="D386" s="1" t="s">
        <v>2026</v>
      </c>
      <c r="E386" s="1" t="s">
        <v>2027</v>
      </c>
      <c r="F386" s="1" t="s">
        <v>2028</v>
      </c>
      <c r="G386" s="1" t="s">
        <v>2029</v>
      </c>
      <c r="H386" s="1" t="str">
        <f>IFERROR(__xludf.DUMMYFUNCTION("GOOGLETRANSLATE(D386,""EN"",""JA"")"),"アスパラギン酸アミノトランスフェラーゼアイソザイムM")</f>
        <v>アスパラギン酸アミノトランスフェラーゼアイソザイムM</v>
      </c>
      <c r="I386" s="1" t="str">
        <f>IFERROR(__xludf.DUMMYFUNCTION("GOOGLETRANSLATE(E386,""EN"",""JA"")"),"アスパラギン酸アミノトランスフェラーゼアイソザイム M; ミトコンドリアアスパラギン酸アミノトランスフェラーゼアイソザイム; M-AST; mAspAT; ミトコンドリアアスパラギン酸アミノトランスフェラーゼアイソザイム; SGOT アイソザイム M")</f>
        <v>アスパラギン酸アミノトランスフェラーゼアイソザイム M; ミトコンドリアアスパラギン酸アミノトランスフェラーゼアイソザイム; M-AST; mAspAT; ミトコンドリアアスパラギン酸アミノトランスフェラーゼアイソザイム; SGOT アイソザイム M</v>
      </c>
      <c r="J386" s="1" t="str">
        <f>IFERROR(__xludf.DUMMYFUNCTION("GOOGLETRANSLATE(F386,""EN"",""JA"")"),"生物標本中のアスパラギン酸アミノトランスフェラーゼアイソザイムMの測定。")</f>
        <v>生物標本中のアスパラギン酸アミノトランスフェラーゼアイソザイムMの測定。</v>
      </c>
      <c r="K386" s="1" t="str">
        <f>IFERROR(__xludf.DUMMYFUNCTION("GOOGLETRANSLATE(G386,""EN"",""JA"")"),"アスパラギン酸アミノトランスフェラーゼアイソザイムM測定")</f>
        <v>アスパラギン酸アミノトランスフェラーゼアイソザイムM測定</v>
      </c>
    </row>
    <row r="387" ht="13.5" customHeight="1">
      <c r="A387" s="1" t="s">
        <v>11</v>
      </c>
      <c r="B387" s="1" t="s">
        <v>2030</v>
      </c>
      <c r="C387" s="1" t="s">
        <v>2031</v>
      </c>
      <c r="D387" s="1" t="s">
        <v>2032</v>
      </c>
      <c r="E387" s="1" t="s">
        <v>2032</v>
      </c>
      <c r="F387" s="1" t="s">
        <v>2033</v>
      </c>
      <c r="G387" s="1" t="s">
        <v>2034</v>
      </c>
      <c r="H387" s="1" t="str">
        <f>IFERROR(__xludf.DUMMYFUNCTION("GOOGLETRANSLATE(D387,""EN"",""JA"")"),"アルファシヌクレインタンパク質")</f>
        <v>アルファシヌクレインタンパク質</v>
      </c>
      <c r="I387" s="1" t="str">
        <f>IFERROR(__xludf.DUMMYFUNCTION("GOOGLETRANSLATE(E387,""EN"",""JA"")"),"アルファシヌクレインタンパク質")</f>
        <v>アルファシヌクレインタンパク質</v>
      </c>
      <c r="J387" s="1" t="str">
        <f>IFERROR(__xludf.DUMMYFUNCTION("GOOGLETRANSLATE(F387,""EN"",""JA"")"),"生物標本中のアルファシヌクレインタンパク質の測定。")</f>
        <v>生物標本中のアルファシヌクレインタンパク質の測定。</v>
      </c>
      <c r="K387" s="1" t="str">
        <f>IFERROR(__xludf.DUMMYFUNCTION("GOOGLETRANSLATE(G387,""EN"",""JA"")"),"αシヌクレインタンパク質測定")</f>
        <v>αシヌクレインタンパク質測定</v>
      </c>
    </row>
    <row r="388" ht="13.5" customHeight="1">
      <c r="A388" s="1" t="s">
        <v>201</v>
      </c>
      <c r="B388" s="1" t="s">
        <v>2035</v>
      </c>
      <c r="C388" s="1" t="s">
        <v>2036</v>
      </c>
      <c r="D388" s="1" t="s">
        <v>2037</v>
      </c>
      <c r="E388" s="1" t="s">
        <v>2037</v>
      </c>
      <c r="F388" s="1" t="s">
        <v>2038</v>
      </c>
      <c r="G388" s="1" t="s">
        <v>2039</v>
      </c>
      <c r="H388" s="1" t="str">
        <f>IFERROR(__xludf.DUMMYFUNCTION("GOOGLETRANSLATE(D388,""EN"",""JA"")"),"自己抗体")</f>
        <v>自己抗体</v>
      </c>
      <c r="I388" s="1" t="str">
        <f>IFERROR(__xludf.DUMMYFUNCTION("GOOGLETRANSLATE(E388,""EN"",""JA"")"),"自己抗体")</f>
        <v>自己抗体</v>
      </c>
      <c r="J388" s="1" t="str">
        <f>IFERROR(__xludf.DUMMYFUNCTION("GOOGLETRANSLATE(F388,""EN"",""JA"")"),"生物学的標本中の結合自己抗体の測定。")</f>
        <v>生物学的標本中の結合自己抗体の測定。</v>
      </c>
      <c r="K388" s="1" t="str">
        <f>IFERROR(__xludf.DUMMYFUNCTION("GOOGLETRANSLATE(G388,""EN"",""JA"")"),"自己抗体測定")</f>
        <v>自己抗体測定</v>
      </c>
    </row>
    <row r="389" ht="13.5" customHeight="1">
      <c r="A389" s="1" t="s">
        <v>1034</v>
      </c>
      <c r="B389" s="1" t="s">
        <v>2040</v>
      </c>
      <c r="C389" s="1" t="s">
        <v>2041</v>
      </c>
      <c r="D389" s="1" t="s">
        <v>2042</v>
      </c>
      <c r="E389" s="1" t="s">
        <v>2043</v>
      </c>
      <c r="F389" s="1" t="s">
        <v>2044</v>
      </c>
      <c r="G389" s="1" t="s">
        <v>2045</v>
      </c>
      <c r="H389" s="1" t="str">
        <f>IFERROR(__xludf.DUMMYFUNCTION("GOOGLETRANSLATE(D389,""EN"",""JA"")"),"非脂肪組織の体積")</f>
        <v>非脂肪組織の体積</v>
      </c>
      <c r="I389" s="1" t="str">
        <f>IFERROR(__xludf.DUMMYFUNCTION("GOOGLETRANSLATE(E389,""EN"",""JA"")"),"脂肪組織を含まない体積; 非脂肪組織体積")</f>
        <v>脂肪組織を含まない体積; 非脂肪組織体積</v>
      </c>
      <c r="J389" s="1" t="str">
        <f>IFERROR(__xludf.DUMMYFUNCTION("GOOGLETRANSLATE(F389,""EN"",""JA"")"),"脂肪組織を除いた、特定の身体部位または身体全体に分布する全組織の体積の測定値。")</f>
        <v>脂肪組織を除いた、特定の身体部位または身体全体に分布する全組織の体積の測定値。</v>
      </c>
      <c r="K389" s="1" t="str">
        <f>IFERROR(__xludf.DUMMYFUNCTION("GOOGLETRANSLATE(G389,""EN"",""JA"")"),"非脂肪組織体積測定")</f>
        <v>非脂肪組織体積測定</v>
      </c>
    </row>
    <row r="390" ht="13.5" customHeight="1">
      <c r="A390" s="1" t="s">
        <v>11</v>
      </c>
      <c r="B390" s="1" t="s">
        <v>2046</v>
      </c>
      <c r="C390" s="1" t="s">
        <v>2047</v>
      </c>
      <c r="D390" s="1" t="s">
        <v>2048</v>
      </c>
      <c r="E390" s="1" t="s">
        <v>2049</v>
      </c>
      <c r="F390" s="1" t="s">
        <v>2050</v>
      </c>
      <c r="G390" s="1" t="s">
        <v>2051</v>
      </c>
      <c r="H390" s="1" t="str">
        <f>IFERROR(__xludf.DUMMYFUNCTION("GOOGLETRANSLATE(D390,""EN"",""JA"")"),"アンチトロンビン活性実測値/対照値")</f>
        <v>アンチトロンビン活性実測値/対照値</v>
      </c>
      <c r="I390" s="1" t="str">
        <f>IFERROR(__xludf.DUMMYFUNCTION("GOOGLETRANSLATE(E390,""EN"",""JA"")"),"アンチトロンビン活性実測値/アンチトロンビン活性コントロール; アンチトロンビン活性実測値/コントロール; アンチトロンビン活性実測値/正常")</f>
        <v>アンチトロンビン活性実測値/アンチトロンビン活性コントロール; アンチトロンビン活性実測値/コントロール; アンチトロンビン活性実測値/正常</v>
      </c>
      <c r="J390" s="1" t="str">
        <f>IFERROR(__xludf.DUMMYFUNCTION("GOOGLETRANSLATE(F390,""EN"",""JA"")"),"被験者の検体中のアンチトロンビンの生物学的活性を対照検体中の同じ活性と比較した相対的な測定値（比率またはパーセンテージ）。")</f>
        <v>被験者の検体中のアンチトロンビンの生物学的活性を対照検体中の同じ活性と比較した相対的な測定値（比率またはパーセンテージ）。</v>
      </c>
      <c r="K390" s="1" t="str">
        <f>IFERROR(__xludf.DUMMYFUNCTION("GOOGLETRANSLATE(G390,""EN"",""JA"")"),"アンチトロンビン活性実測値と対照値比の測定")</f>
        <v>アンチトロンビン活性実測値と対照値比の測定</v>
      </c>
    </row>
    <row r="391" ht="13.5" customHeight="1">
      <c r="A391" s="1" t="s">
        <v>11</v>
      </c>
      <c r="B391" s="1" t="s">
        <v>2052</v>
      </c>
      <c r="C391" s="1" t="s">
        <v>2053</v>
      </c>
      <c r="D391" s="1" t="s">
        <v>2054</v>
      </c>
      <c r="E391" s="1" t="s">
        <v>2055</v>
      </c>
      <c r="F391" s="1" t="s">
        <v>2056</v>
      </c>
      <c r="G391" s="1" t="s">
        <v>2057</v>
      </c>
      <c r="H391" s="1" t="str">
        <f>IFERROR(__xludf.DUMMYFUNCTION("GOOGLETRANSLATE(D391,""EN"",""JA"")"),"アンチトロンビン実測値/対照値")</f>
        <v>アンチトロンビン実測値/対照値</v>
      </c>
      <c r="I391" s="1" t="str">
        <f>IFERROR(__xludf.DUMMYFUNCTION("GOOGLETRANSLATE(E391,""EN"",""JA"")"),"アンチトロンビン実測値/対照値; アンチトロンビン実測値/正常値")</f>
        <v>アンチトロンビン実測値/対照値; アンチトロンビン実測値/正常値</v>
      </c>
      <c r="J391" s="1" t="str">
        <f>IFERROR(__xludf.DUMMYFUNCTION("GOOGLETRANSLATE(F391,""EN"",""JA"")"),"被験者の検体中のアンチトロンビンをコントロール検体と比較した相対的な測定値（比率またはパーセンテージ）。")</f>
        <v>被験者の検体中のアンチトロンビンをコントロール検体と比較した相対的な測定値（比率またはパーセンテージ）。</v>
      </c>
      <c r="K391" s="1" t="str">
        <f>IFERROR(__xludf.DUMMYFUNCTION("GOOGLETRANSLATE(G391,""EN"",""JA"")"),"アンチトロンビン実測値と対照値の比測定")</f>
        <v>アンチトロンビン実測値と対照値の比測定</v>
      </c>
    </row>
    <row r="392" ht="13.5" customHeight="1">
      <c r="A392" s="1" t="s">
        <v>11</v>
      </c>
      <c r="B392" s="1" t="s">
        <v>2058</v>
      </c>
      <c r="C392" s="1" t="s">
        <v>2059</v>
      </c>
      <c r="D392" s="1" t="s">
        <v>2060</v>
      </c>
      <c r="E392" s="1" t="s">
        <v>2061</v>
      </c>
      <c r="F392" s="1" t="s">
        <v>2062</v>
      </c>
      <c r="G392" s="1" t="s">
        <v>2060</v>
      </c>
      <c r="H392" s="1" t="str">
        <f>IFERROR(__xludf.DUMMYFUNCTION("GOOGLETRANSLATE(D392,""EN"",""JA"")"),"血漿の動脈硬化指数")</f>
        <v>血漿の動脈硬化指数</v>
      </c>
      <c r="I392" s="1" t="str">
        <f>IFERROR(__xludf.DUMMYFUNCTION("GOOGLETRANSLATE(E392,""EN"",""JA"")"),"AIP; アテローム生成指数; 血漿のアテローム生成指数")</f>
        <v>AIP; アテローム生成指数; 血漿のアテローム生成指数</v>
      </c>
      <c r="J392" s="1" t="str">
        <f>IFERROR(__xludf.DUMMYFUNCTION("GOOGLETRANSLATE(F392,""EN"",""JA"")"),"生物標本中の血漿トリグリセリドと高密度リポタンパク質コレステロールのモル濃度比の 10 を底とする対数の測定。")</f>
        <v>生物標本中の血漿トリグリセリドと高密度リポタンパク質コレステロールのモル濃度比の 10 を底とする対数の測定。</v>
      </c>
      <c r="K392" s="1" t="str">
        <f>IFERROR(__xludf.DUMMYFUNCTION("GOOGLETRANSLATE(G392,""EN"",""JA"")"),"血漿の動脈硬化指数")</f>
        <v>血漿の動脈硬化指数</v>
      </c>
    </row>
    <row r="393" ht="13.5" customHeight="1">
      <c r="A393" s="1" t="s">
        <v>201</v>
      </c>
      <c r="B393" s="1" t="s">
        <v>2063</v>
      </c>
      <c r="C393" s="1" t="s">
        <v>2064</v>
      </c>
      <c r="D393" s="1" t="s">
        <v>2065</v>
      </c>
      <c r="E393" s="1" t="s">
        <v>2065</v>
      </c>
      <c r="F393" s="1" t="s">
        <v>2066</v>
      </c>
      <c r="G393" s="1" t="s">
        <v>2067</v>
      </c>
      <c r="H393" s="1" t="str">
        <f>IFERROR(__xludf.DUMMYFUNCTION("GOOGLETRANSLATE(D393,""EN"",""JA"")"),"IgA自己抗体")</f>
        <v>IgA自己抗体</v>
      </c>
      <c r="I393" s="1" t="str">
        <f>IFERROR(__xludf.DUMMYFUNCTION("GOOGLETRANSLATE(E393,""EN"",""JA"")"),"IgA自己抗体")</f>
        <v>IgA自己抗体</v>
      </c>
      <c r="J393" s="1" t="str">
        <f>IFERROR(__xludf.DUMMYFUNCTION("GOOGLETRANSLATE(F393,""EN"",""JA"")"),"生物学的標本中の結合IgA自己抗体の測定。")</f>
        <v>生物学的標本中の結合IgA自己抗体の測定。</v>
      </c>
      <c r="K393" s="1" t="str">
        <f>IFERROR(__xludf.DUMMYFUNCTION("GOOGLETRANSLATE(G393,""EN"",""JA"")"),"IgA自己抗体測定")</f>
        <v>IgA自己抗体測定</v>
      </c>
    </row>
    <row r="394" ht="13.5" customHeight="1">
      <c r="A394" s="1" t="s">
        <v>201</v>
      </c>
      <c r="B394" s="1" t="s">
        <v>2068</v>
      </c>
      <c r="C394" s="1" t="s">
        <v>2069</v>
      </c>
      <c r="D394" s="1" t="s">
        <v>2070</v>
      </c>
      <c r="E394" s="1" t="s">
        <v>2070</v>
      </c>
      <c r="F394" s="1" t="s">
        <v>2071</v>
      </c>
      <c r="G394" s="1" t="s">
        <v>2072</v>
      </c>
      <c r="H394" s="1" t="str">
        <f>IFERROR(__xludf.DUMMYFUNCTION("GOOGLETRANSLATE(D394,""EN"",""JA"")"),"IgG1自己抗体")</f>
        <v>IgG1自己抗体</v>
      </c>
      <c r="I394" s="1" t="str">
        <f>IFERROR(__xludf.DUMMYFUNCTION("GOOGLETRANSLATE(E394,""EN"",""JA"")"),"IgG1自己抗体")</f>
        <v>IgG1自己抗体</v>
      </c>
      <c r="J394" s="1" t="str">
        <f>IFERROR(__xludf.DUMMYFUNCTION("GOOGLETRANSLATE(F394,""EN"",""JA"")"),"生物学的標本中の結合IgG1自己抗体の測定。")</f>
        <v>生物学的標本中の結合IgG1自己抗体の測定。</v>
      </c>
      <c r="K394" s="1" t="str">
        <f>IFERROR(__xludf.DUMMYFUNCTION("GOOGLETRANSLATE(G394,""EN"",""JA"")"),"IgG1自己抗体測定")</f>
        <v>IgG1自己抗体測定</v>
      </c>
    </row>
    <row r="395" ht="13.5" customHeight="1">
      <c r="A395" s="1" t="s">
        <v>201</v>
      </c>
      <c r="B395" s="1" t="s">
        <v>2073</v>
      </c>
      <c r="C395" s="1" t="s">
        <v>2074</v>
      </c>
      <c r="D395" s="1" t="s">
        <v>2075</v>
      </c>
      <c r="E395" s="1" t="s">
        <v>2075</v>
      </c>
      <c r="F395" s="1" t="s">
        <v>2076</v>
      </c>
      <c r="G395" s="1" t="s">
        <v>2077</v>
      </c>
      <c r="H395" s="1" t="str">
        <f>IFERROR(__xludf.DUMMYFUNCTION("GOOGLETRANSLATE(D395,""EN"",""JA"")"),"IgG2自己抗体")</f>
        <v>IgG2自己抗体</v>
      </c>
      <c r="I395" s="1" t="str">
        <f>IFERROR(__xludf.DUMMYFUNCTION("GOOGLETRANSLATE(E395,""EN"",""JA"")"),"IgG2自己抗体")</f>
        <v>IgG2自己抗体</v>
      </c>
      <c r="J395" s="1" t="str">
        <f>IFERROR(__xludf.DUMMYFUNCTION("GOOGLETRANSLATE(F395,""EN"",""JA"")"),"生物学的標本中の結合IgG2自己抗体の測定。")</f>
        <v>生物学的標本中の結合IgG2自己抗体の測定。</v>
      </c>
      <c r="K395" s="1" t="str">
        <f>IFERROR(__xludf.DUMMYFUNCTION("GOOGLETRANSLATE(G395,""EN"",""JA"")"),"IgG2自己抗体測定")</f>
        <v>IgG2自己抗体測定</v>
      </c>
    </row>
    <row r="396" ht="13.5" customHeight="1">
      <c r="A396" s="1" t="s">
        <v>201</v>
      </c>
      <c r="B396" s="1" t="s">
        <v>2078</v>
      </c>
      <c r="C396" s="1" t="s">
        <v>2079</v>
      </c>
      <c r="D396" s="1" t="s">
        <v>2080</v>
      </c>
      <c r="E396" s="1" t="s">
        <v>2080</v>
      </c>
      <c r="F396" s="1" t="s">
        <v>2081</v>
      </c>
      <c r="G396" s="1" t="s">
        <v>2082</v>
      </c>
      <c r="H396" s="1" t="str">
        <f>IFERROR(__xludf.DUMMYFUNCTION("GOOGLETRANSLATE(D396,""EN"",""JA"")"),"IgG3自己抗体")</f>
        <v>IgG3自己抗体</v>
      </c>
      <c r="I396" s="1" t="str">
        <f>IFERROR(__xludf.DUMMYFUNCTION("GOOGLETRANSLATE(E396,""EN"",""JA"")"),"IgG3自己抗体")</f>
        <v>IgG3自己抗体</v>
      </c>
      <c r="J396" s="1" t="str">
        <f>IFERROR(__xludf.DUMMYFUNCTION("GOOGLETRANSLATE(F396,""EN"",""JA"")"),"生物学的標本中の結合IgG3自己抗体の測定。")</f>
        <v>生物学的標本中の結合IgG3自己抗体の測定。</v>
      </c>
      <c r="K396" s="1" t="str">
        <f>IFERROR(__xludf.DUMMYFUNCTION("GOOGLETRANSLATE(G396,""EN"",""JA"")"),"IgG3自己抗体測定")</f>
        <v>IgG3自己抗体測定</v>
      </c>
    </row>
    <row r="397" ht="13.5" customHeight="1">
      <c r="A397" s="1" t="s">
        <v>201</v>
      </c>
      <c r="B397" s="1" t="s">
        <v>2083</v>
      </c>
      <c r="C397" s="1" t="s">
        <v>2084</v>
      </c>
      <c r="D397" s="1" t="s">
        <v>2085</v>
      </c>
      <c r="E397" s="1" t="s">
        <v>2085</v>
      </c>
      <c r="F397" s="1" t="s">
        <v>2086</v>
      </c>
      <c r="G397" s="1" t="s">
        <v>2087</v>
      </c>
      <c r="H397" s="1" t="str">
        <f>IFERROR(__xludf.DUMMYFUNCTION("GOOGLETRANSLATE(D397,""EN"",""JA"")"),"IgG自己抗体")</f>
        <v>IgG自己抗体</v>
      </c>
      <c r="I397" s="1" t="str">
        <f>IFERROR(__xludf.DUMMYFUNCTION("GOOGLETRANSLATE(E397,""EN"",""JA"")"),"IgG自己抗体")</f>
        <v>IgG自己抗体</v>
      </c>
      <c r="J397" s="1" t="str">
        <f>IFERROR(__xludf.DUMMYFUNCTION("GOOGLETRANSLATE(F397,""EN"",""JA"")"),"生物学的標本中の結合IgG自己抗体の測定。")</f>
        <v>生物学的標本中の結合IgG自己抗体の測定。</v>
      </c>
      <c r="K397" s="1" t="str">
        <f>IFERROR(__xludf.DUMMYFUNCTION("GOOGLETRANSLATE(G397,""EN"",""JA"")"),"IgG自己抗体測定")</f>
        <v>IgG自己抗体測定</v>
      </c>
    </row>
    <row r="398" ht="13.5" customHeight="1">
      <c r="A398" s="1" t="s">
        <v>201</v>
      </c>
      <c r="B398" s="1" t="s">
        <v>2088</v>
      </c>
      <c r="C398" s="1" t="s">
        <v>2089</v>
      </c>
      <c r="D398" s="1" t="s">
        <v>2090</v>
      </c>
      <c r="E398" s="1" t="s">
        <v>2090</v>
      </c>
      <c r="F398" s="1" t="s">
        <v>2091</v>
      </c>
      <c r="G398" s="1" t="s">
        <v>2092</v>
      </c>
      <c r="H398" s="1" t="str">
        <f>IFERROR(__xludf.DUMMYFUNCTION("GOOGLETRANSLATE(D398,""EN"",""JA"")"),"IgM自己抗体")</f>
        <v>IgM自己抗体</v>
      </c>
      <c r="I398" s="1" t="str">
        <f>IFERROR(__xludf.DUMMYFUNCTION("GOOGLETRANSLATE(E398,""EN"",""JA"")"),"IgM自己抗体")</f>
        <v>IgM自己抗体</v>
      </c>
      <c r="J398" s="1" t="str">
        <f>IFERROR(__xludf.DUMMYFUNCTION("GOOGLETRANSLATE(F398,""EN"",""JA"")"),"生物学的標本中の結合 IgM 自己抗体の測定。")</f>
        <v>生物学的標本中の結合 IgM 自己抗体の測定。</v>
      </c>
      <c r="K398" s="1" t="str">
        <f>IFERROR(__xludf.DUMMYFUNCTION("GOOGLETRANSLATE(G398,""EN"",""JA"")"),"IgM自己抗体測定")</f>
        <v>IgM自己抗体測定</v>
      </c>
    </row>
    <row r="399" ht="13.5" customHeight="1">
      <c r="A399" s="1" t="s">
        <v>11</v>
      </c>
      <c r="B399" s="1" t="s">
        <v>2093</v>
      </c>
      <c r="C399" s="1" t="s">
        <v>2094</v>
      </c>
      <c r="D399" s="1" t="s">
        <v>2095</v>
      </c>
      <c r="E399" s="1" t="s">
        <v>2096</v>
      </c>
      <c r="F399" s="1" t="s">
        <v>2097</v>
      </c>
      <c r="G399" s="1" t="s">
        <v>2098</v>
      </c>
      <c r="H399" s="1" t="str">
        <f>IFERROR(__xludf.DUMMYFUNCTION("GOOGLETRANSLATE(D399,""EN"",""JA"")"),"抗白血球プロテアーゼ")</f>
        <v>抗白血球プロテアーゼ</v>
      </c>
      <c r="I399" s="1" t="str">
        <f>IFERROR(__xludf.DUMMYFUNCTION("GOOGLETRANSLATE(E399,""EN"",""JA"")"),"ALK1; 抗白血球プロテアーゼ; BLPI; プロテアーゼ阻害剤 WAP4; 分泌型白血球ペプチダーゼ阻害剤; 分泌型白血球プロテアーゼ阻害剤")</f>
        <v>ALK1; 抗白血球プロテアーゼ; BLPI; プロテアーゼ阻害剤 WAP4; 分泌型白血球ペプチダーゼ阻害剤; 分泌型白血球プロテアーゼ阻害剤</v>
      </c>
      <c r="J399" s="1" t="str">
        <f>IFERROR(__xludf.DUMMYFUNCTION("GOOGLETRANSLATE(F399,""EN"",""JA"")"),"生物標本中の抗ロイコプロテアーゼの測定。")</f>
        <v>生物標本中の抗ロイコプロテアーゼの測定。</v>
      </c>
      <c r="K399" s="1" t="str">
        <f>IFERROR(__xludf.DUMMYFUNCTION("GOOGLETRANSLATE(G399,""EN"",""JA"")"),"抗ロイコプロテイナーゼの測定")</f>
        <v>抗ロイコプロテイナーゼの測定</v>
      </c>
    </row>
    <row r="400" ht="13.5" customHeight="1">
      <c r="A400" s="1" t="s">
        <v>176</v>
      </c>
      <c r="B400" s="1" t="s">
        <v>2099</v>
      </c>
      <c r="C400" s="1" t="s">
        <v>2100</v>
      </c>
      <c r="D400" s="1" t="s">
        <v>2101</v>
      </c>
      <c r="E400" s="1" t="s">
        <v>2102</v>
      </c>
      <c r="F400" s="1" t="s">
        <v>2103</v>
      </c>
      <c r="G400" s="1" t="s">
        <v>2104</v>
      </c>
      <c r="H400" s="1" t="str">
        <f>IFERROR(__xludf.DUMMYFUNCTION("GOOGLETRANSLATE(D400,""EN"",""JA"")"),"非対称性緊張性頸反射")</f>
        <v>非対称性緊張性頸反射</v>
      </c>
      <c r="I400" s="1" t="str">
        <f>IFERROR(__xludf.DUMMYFUNCTION("GOOGLETRANSLATE(E400,""EN"",""JA"")"),"非対称性緊張性頸反射; ATNR")</f>
        <v>非対称性緊張性頸反射; ATNR</v>
      </c>
      <c r="J400" s="1" t="str">
        <f>IFERROR(__xludf.DUMMYFUNCTION("GOOGLETRANSLATE(F400,""EN"",""JA"")"),"新生児の無意識の原始的反応で、腕を伸ばして乳児の視線を追うと同時に、反対側の腕と脚を内側に曲げます。")</f>
        <v>新生児の無意識の原始的反応で、腕を伸ばして乳児の視線を追うと同時に、反対側の腕と脚を内側に曲げます。</v>
      </c>
      <c r="K400" s="1" t="str">
        <f>IFERROR(__xludf.DUMMYFUNCTION("GOOGLETRANSLATE(G400,""EN"",""JA"")"),"緊張性頸反射")</f>
        <v>緊張性頸反射</v>
      </c>
    </row>
    <row r="401" ht="13.5" customHeight="1">
      <c r="A401" s="1" t="s">
        <v>11</v>
      </c>
      <c r="B401" s="1" t="s">
        <v>2105</v>
      </c>
      <c r="C401" s="1" t="s">
        <v>2106</v>
      </c>
      <c r="D401" s="1" t="s">
        <v>2107</v>
      </c>
      <c r="E401" s="1" t="s">
        <v>2107</v>
      </c>
      <c r="F401" s="1" t="s">
        <v>2108</v>
      </c>
      <c r="G401" s="1" t="s">
        <v>2109</v>
      </c>
      <c r="H401" s="1" t="str">
        <f>IFERROR(__xludf.DUMMYFUNCTION("GOOGLETRANSLATE(D401,""EN"",""JA"")"),"アデノシン三リン酸")</f>
        <v>アデノシン三リン酸</v>
      </c>
      <c r="I401" s="1" t="str">
        <f>IFERROR(__xludf.DUMMYFUNCTION("GOOGLETRANSLATE(E401,""EN"",""JA"")"),"アデノシン三リン酸")</f>
        <v>アデノシン三リン酸</v>
      </c>
      <c r="J401" s="1" t="str">
        <f>IFERROR(__xludf.DUMMYFUNCTION("GOOGLETRANSLATE(F401,""EN"",""JA"")"),"生物標本中のアデノシン三リン酸の測定。")</f>
        <v>生物標本中のアデノシン三リン酸の測定。</v>
      </c>
      <c r="K401" s="1" t="str">
        <f>IFERROR(__xludf.DUMMYFUNCTION("GOOGLETRANSLATE(G401,""EN"",""JA"")"),"アデノシン三リン酸測定")</f>
        <v>アデノシン三リン酸測定</v>
      </c>
    </row>
    <row r="402" ht="13.5" customHeight="1">
      <c r="A402" s="1" t="s">
        <v>11</v>
      </c>
      <c r="B402" s="1" t="s">
        <v>2110</v>
      </c>
      <c r="C402" s="1" t="s">
        <v>2111</v>
      </c>
      <c r="D402" s="1" t="s">
        <v>2112</v>
      </c>
      <c r="E402" s="1" t="s">
        <v>2112</v>
      </c>
      <c r="F402" s="1" t="s">
        <v>2113</v>
      </c>
      <c r="G402" s="1" t="s">
        <v>2114</v>
      </c>
      <c r="H402" s="1" t="str">
        <f>IFERROR(__xludf.DUMMYFUNCTION("GOOGLETRANSLATE(D402,""EN"",""JA"")"),"アルファトコフェロール/ビタミンE")</f>
        <v>アルファトコフェロール/ビタミンE</v>
      </c>
      <c r="I402" s="1" t="str">
        <f>IFERROR(__xludf.DUMMYFUNCTION("GOOGLETRANSLATE(E402,""EN"",""JA"")"),"アルファトコフェロール/ビタミンE")</f>
        <v>アルファトコフェロール/ビタミンE</v>
      </c>
      <c r="J402" s="1" t="str">
        <f>IFERROR(__xludf.DUMMYFUNCTION("GOOGLETRANSLATE(F402,""EN"",""JA"")"),"生物標本中の総ビタミン E に対するアルファトコフェロールの相対的な測定値 (比率またはパーセンテージ)。")</f>
        <v>生物標本中の総ビタミン E に対するアルファトコフェロールの相対的な測定値 (比率またはパーセンテージ)。</v>
      </c>
      <c r="K402" s="1" t="str">
        <f>IFERROR(__xludf.DUMMYFUNCTION("GOOGLETRANSLATE(G402,""EN"",""JA"")"),"アルファトコフェロールとビタミンEの比率測定")</f>
        <v>アルファトコフェロールとビタミンEの比率測定</v>
      </c>
    </row>
    <row r="403" ht="13.5" customHeight="1">
      <c r="A403" s="1" t="s">
        <v>1997</v>
      </c>
      <c r="B403" s="1" t="s">
        <v>2115</v>
      </c>
      <c r="C403" s="1" t="s">
        <v>2116</v>
      </c>
      <c r="D403" s="1" t="s">
        <v>2117</v>
      </c>
      <c r="E403" s="1" t="s">
        <v>2117</v>
      </c>
      <c r="F403" s="1" t="s">
        <v>2118</v>
      </c>
      <c r="G403" s="1" t="s">
        <v>2119</v>
      </c>
      <c r="H403" s="1" t="str">
        <f>IFERROR(__xludf.DUMMYFUNCTION("GOOGLETRANSLATE(D403,""EN"",""JA"")"),"萎縮")</f>
        <v>萎縮</v>
      </c>
      <c r="I403" s="1" t="str">
        <f>IFERROR(__xludf.DUMMYFUNCTION("GOOGLETRANSLATE(E403,""EN"",""JA"")"),"萎縮")</f>
        <v>萎縮</v>
      </c>
      <c r="J403" s="1" t="str">
        <f>IFERROR(__xludf.DUMMYFUNCTION("GOOGLETRANSLATE(F403,""EN"",""JA"")"),"生物学的標本または部位における萎縮（サイズの減少、劣化、および/または消耗）の評価。")</f>
        <v>生物学的標本または部位における萎縮（サイズの減少、劣化、および/または消耗）の評価。</v>
      </c>
      <c r="K403" s="1" t="str">
        <f>IFERROR(__xludf.DUMMYFUNCTION("GOOGLETRANSLATE(G403,""EN"",""JA"")"),"萎縮評価")</f>
        <v>萎縮評価</v>
      </c>
    </row>
    <row r="404" ht="13.5" customHeight="1">
      <c r="A404" s="1" t="s">
        <v>1034</v>
      </c>
      <c r="B404" s="1" t="s">
        <v>2120</v>
      </c>
      <c r="C404" s="1" t="s">
        <v>2121</v>
      </c>
      <c r="D404" s="1" t="s">
        <v>2122</v>
      </c>
      <c r="E404" s="1" t="s">
        <v>2123</v>
      </c>
      <c r="F404" s="1" t="s">
        <v>2124</v>
      </c>
      <c r="G404" s="1" t="s">
        <v>2125</v>
      </c>
      <c r="H404" s="1" t="str">
        <f>IFERROR(__xludf.DUMMYFUNCTION("GOOGLETRANSLATE(D404,""EN"",""JA"")"),"脂肪組織の体積")</f>
        <v>脂肪組織の体積</v>
      </c>
      <c r="I404" s="1" t="str">
        <f>IFERROR(__xludf.DUMMYFUNCTION("GOOGLETRANSLATE(E404,""EN"",""JA"")"),"脂肪組織量; 総脂肪組織量")</f>
        <v>脂肪組織量; 総脂肪組織量</v>
      </c>
      <c r="J404" s="1" t="str">
        <f>IFERROR(__xludf.DUMMYFUNCTION("GOOGLETRANSLATE(F404,""EN"",""JA"")"),"特定の身体部位または身体全体に分布する総脂肪組織の体積の測定値。")</f>
        <v>特定の身体部位または身体全体に分布する総脂肪組織の体積の測定値。</v>
      </c>
      <c r="K404" s="1" t="str">
        <f>IFERROR(__xludf.DUMMYFUNCTION("GOOGLETRANSLATE(G404,""EN"",""JA"")"),"脂肪組織体積測定")</f>
        <v>脂肪組織体積測定</v>
      </c>
    </row>
    <row r="405" ht="13.5" customHeight="1">
      <c r="A405" s="1" t="s">
        <v>870</v>
      </c>
      <c r="B405" s="1" t="s">
        <v>2126</v>
      </c>
      <c r="C405" s="1" t="s">
        <v>2127</v>
      </c>
      <c r="D405" s="1" t="s">
        <v>2128</v>
      </c>
      <c r="E405" s="1" t="s">
        <v>2128</v>
      </c>
      <c r="F405" s="1" t="s">
        <v>2129</v>
      </c>
      <c r="G405" s="1" t="s">
        <v>2130</v>
      </c>
      <c r="H405" s="1" t="str">
        <f>IFERROR(__xludf.DUMMYFUNCTION("GOOGLETRANSLATE(D405,""EN"",""JA"")"),"AUC すべて")</f>
        <v>AUC すべて</v>
      </c>
      <c r="I405" s="1" t="str">
        <f>IFERROR(__xludf.DUMMYFUNCTION("GOOGLETRANSLATE(E405,""EN"",""JA"")"),"AUC すべて")</f>
        <v>AUC すべて</v>
      </c>
      <c r="J405" s="1" t="str">
        <f>IFERROR(__xludf.DUMMYFUNCTION("GOOGLETRANSLATE(F405,""EN"",""JA"")"),"最後の濃度が測定可能かどうかに関係なく、投与時から最後の観察時までの曲線下面積 (AUC)。")</f>
        <v>最後の濃度が測定可能かどうかに関係なく、投与時から最後の観察時までの曲線下面積 (AUC)。</v>
      </c>
      <c r="K405" s="1" t="str">
        <f>IFERROR(__xludf.DUMMYFUNCTION("GOOGLETRANSLATE(G405,""EN"",""JA"")"),"曲線下面積すべて")</f>
        <v>曲線下面積すべて</v>
      </c>
    </row>
    <row r="406" ht="13.5" customHeight="1">
      <c r="A406" s="1" t="s">
        <v>870</v>
      </c>
      <c r="B406" s="1" t="s">
        <v>2131</v>
      </c>
      <c r="C406" s="1" t="s">
        <v>2132</v>
      </c>
      <c r="D406" s="1" t="s">
        <v>2133</v>
      </c>
      <c r="E406" s="1" t="s">
        <v>2133</v>
      </c>
      <c r="F406" s="1" t="s">
        <v>2134</v>
      </c>
      <c r="G406" s="1" t="s">
        <v>2135</v>
      </c>
      <c r="H406" s="1" t="str">
        <f>IFERROR(__xludf.DUMMYFUNCTION("GOOGLETRANSLATE(D406,""EN"",""JA"")"),"BMIによるAUC全正常値")</f>
        <v>BMIによるAUC全正常値</v>
      </c>
      <c r="I406" s="1" t="str">
        <f>IFERROR(__xludf.DUMMYFUNCTION("GOOGLETRANSLATE(E406,""EN"",""JA"")"),"BMIによるAUC全正常値")</f>
        <v>BMIによるAUC全正常値</v>
      </c>
      <c r="J406" s="1" t="str">
        <f>IFERROR(__xludf.DUMMYFUNCTION("GOOGLETRANSLATE(F406,""EN"",""JA"")"),"最後の濃度が測定可能かどうかに関係なく、投与時から最後の観察時までの曲線下面積 (AUC) をボディマス指数で割った値。")</f>
        <v>最後の濃度が測定可能かどうかに関係なく、投与時から最後の観察時までの曲線下面積 (AUC) をボディマス指数で割った値。</v>
      </c>
      <c r="K406" s="1" t="str">
        <f>IFERROR(__xludf.DUMMYFUNCTION("GOOGLETRANSLATE(G406,""EN"",""JA"")"),"AUC すべてボディマス指数で正規化")</f>
        <v>AUC すべてボディマス指数で正規化</v>
      </c>
    </row>
    <row r="407" ht="13.5" customHeight="1">
      <c r="A407" s="1" t="s">
        <v>870</v>
      </c>
      <c r="B407" s="1" t="s">
        <v>2136</v>
      </c>
      <c r="C407" s="1" t="s">
        <v>2137</v>
      </c>
      <c r="D407" s="1" t="s">
        <v>2138</v>
      </c>
      <c r="E407" s="1" t="s">
        <v>2138</v>
      </c>
      <c r="F407" s="1" t="s">
        <v>2139</v>
      </c>
      <c r="G407" s="1" t="s">
        <v>2140</v>
      </c>
      <c r="H407" s="1" t="str">
        <f>IFERROR(__xludf.DUMMYFUNCTION("GOOGLETRANSLATE(D407,""EN"",""JA"")"),"用量別のAUC全正常値")</f>
        <v>用量別のAUC全正常値</v>
      </c>
      <c r="I407" s="1" t="str">
        <f>IFERROR(__xludf.DUMMYFUNCTION("GOOGLETRANSLATE(E407,""EN"",""JA"")"),"用量別のAUC全正常値")</f>
        <v>用量別のAUC全正常値</v>
      </c>
      <c r="J407" s="1" t="str">
        <f>IFERROR(__xludf.DUMMYFUNCTION("GOOGLETRANSLATE(F407,""EN"",""JA"")"),"最後の濃度が測定可能かどうかに関係なく、投与時から最後の観察時までの曲線下面積 (AUC) を投与量で割った値です。")</f>
        <v>最後の濃度が測定可能かどうかに関係なく、投与時から最後の観察時までの曲線下面積 (AUC) を投与量で割った値です。</v>
      </c>
      <c r="K407" s="1" t="str">
        <f>IFERROR(__xludf.DUMMYFUNCTION("GOOGLETRANSLATE(G407,""EN"",""JA"")"),"AUC すべて投与量で正規化")</f>
        <v>AUC すべて投与量で正規化</v>
      </c>
    </row>
    <row r="408" ht="13.5" customHeight="1">
      <c r="A408" s="1" t="s">
        <v>870</v>
      </c>
      <c r="B408" s="1" t="s">
        <v>2141</v>
      </c>
      <c r="C408" s="1" t="s">
        <v>2142</v>
      </c>
      <c r="D408" s="1" t="s">
        <v>2143</v>
      </c>
      <c r="E408" s="1" t="s">
        <v>2143</v>
      </c>
      <c r="F408" s="1" t="s">
        <v>2144</v>
      </c>
      <c r="G408" s="1" t="s">
        <v>2145</v>
      </c>
      <c r="H408" s="1" t="str">
        <f>IFERROR(__xludf.DUMMYFUNCTION("GOOGLETRANSLATE(D408,""EN"",""JA"")"),"AUC 全標準（SA による）")</f>
        <v>AUC 全標準（SA による）</v>
      </c>
      <c r="I408" s="1" t="str">
        <f>IFERROR(__xludf.DUMMYFUNCTION("GOOGLETRANSLATE(E408,""EN"",""JA"")"),"AUC 全標準（SA による）")</f>
        <v>AUC 全標準（SA による）</v>
      </c>
      <c r="J408" s="1" t="str">
        <f>IFERROR(__xludf.DUMMYFUNCTION("GOOGLETRANSLATE(F408,""EN"",""JA"")"),"最後の濃度が測定可能かどうかに関係なく、投与時から最後の観察時までの曲線下面積 (AUC) を表面積で割った値です。")</f>
        <v>最後の濃度が測定可能かどうかに関係なく、投与時から最後の観察時までの曲線下面積 (AUC) を表面積で割った値です。</v>
      </c>
      <c r="K408" s="1" t="str">
        <f>IFERROR(__xludf.DUMMYFUNCTION("GOOGLETRANSLATE(G408,""EN"",""JA"")"),"AUCはすべて表面積で正規化されています")</f>
        <v>AUCはすべて表面積で正規化されています</v>
      </c>
    </row>
    <row r="409" ht="13.5" customHeight="1">
      <c r="A409" s="1" t="s">
        <v>870</v>
      </c>
      <c r="B409" s="1" t="s">
        <v>2146</v>
      </c>
      <c r="C409" s="1" t="s">
        <v>2147</v>
      </c>
      <c r="D409" s="1" t="s">
        <v>2148</v>
      </c>
      <c r="E409" s="1" t="s">
        <v>2148</v>
      </c>
      <c r="F409" s="1" t="s">
        <v>2149</v>
      </c>
      <c r="G409" s="1" t="s">
        <v>2150</v>
      </c>
      <c r="H409" s="1" t="str">
        <f>IFERROR(__xludf.DUMMYFUNCTION("GOOGLETRANSLATE(D409,""EN"",""JA"")"),"AUC 全標準値（WT 別）")</f>
        <v>AUC 全標準値（WT 別）</v>
      </c>
      <c r="I409" s="1" t="str">
        <f>IFERROR(__xludf.DUMMYFUNCTION("GOOGLETRANSLATE(E409,""EN"",""JA"")"),"AUC 全標準値（WT 別）")</f>
        <v>AUC 全標準値（WT 別）</v>
      </c>
      <c r="J409" s="1" t="str">
        <f>IFERROR(__xludf.DUMMYFUNCTION("GOOGLETRANSLATE(F409,""EN"",""JA"")"),"最後の濃度が測定可能かどうかに関係なく、投与時から最後の観察時までの曲線下面積 (AUC) を体重で割った値です。")</f>
        <v>最後の濃度が測定可能かどうかに関係なく、投与時から最後の観察時までの曲線下面積 (AUC) を体重で割った値です。</v>
      </c>
      <c r="K409" s="1" t="str">
        <f>IFERROR(__xludf.DUMMYFUNCTION("GOOGLETRANSLATE(G409,""EN"",""JA"")"),"AUC すべて重量で正規化")</f>
        <v>AUC すべて重量で正規化</v>
      </c>
    </row>
    <row r="410" ht="13.5" customHeight="1">
      <c r="A410" s="1" t="s">
        <v>870</v>
      </c>
      <c r="B410" s="1" t="s">
        <v>2151</v>
      </c>
      <c r="C410" s="1" t="s">
        <v>2152</v>
      </c>
      <c r="D410" s="1" t="s">
        <v>2153</v>
      </c>
      <c r="E410" s="1" t="s">
        <v>2153</v>
      </c>
      <c r="F410" s="1" t="s">
        <v>2154</v>
      </c>
      <c r="G410" s="1" t="s">
        <v>2155</v>
      </c>
      <c r="H410" s="1" t="str">
        <f>IFERROR(__xludf.DUMMYFUNCTION("GOOGLETRANSLATE(D410,""EN"",""JA"")"),"AUC無限観測")</f>
        <v>AUC無限観測</v>
      </c>
      <c r="I410" s="1" t="str">
        <f>IFERROR(__xludf.DUMMYFUNCTION("GOOGLETRANSLATE(E410,""EN"",""JA"")"),"AUC無限観測")</f>
        <v>AUC無限観測</v>
      </c>
      <c r="J410" s="1" t="str">
        <f>IFERROR(__xludf.DUMMYFUNCTION("GOOGLETRANSLATE(F410,""EN"",""JA"")"),"最後のゼロ以外の濃度の観測値を使用して計算された、無限大に外挿された曲線下面積 (AUC)。")</f>
        <v>最後のゼロ以外の濃度の観測値を使用して計算された、無限大に外挿された曲線下面積 (AUC)。</v>
      </c>
      <c r="K410" s="1" t="str">
        <f>IFERROR(__xludf.DUMMYFUNCTION("GOOGLETRANSLATE(G410,""EN"",""JA"")"),"観測された曲線の無限大の下の領域")</f>
        <v>観測された曲線の無限大の下の領域</v>
      </c>
    </row>
    <row r="411" ht="13.5" customHeight="1">
      <c r="A411" s="1" t="s">
        <v>870</v>
      </c>
      <c r="B411" s="1" t="s">
        <v>2156</v>
      </c>
      <c r="C411" s="1" t="s">
        <v>2157</v>
      </c>
      <c r="D411" s="1" t="s">
        <v>2158</v>
      </c>
      <c r="E411" s="1" t="s">
        <v>2158</v>
      </c>
      <c r="F411" s="1" t="s">
        <v>2159</v>
      </c>
      <c r="G411" s="1" t="s">
        <v>2160</v>
      </c>
      <c r="H411" s="1" t="str">
        <f>IFERROR(__xludf.DUMMYFUNCTION("GOOGLETRANSLATE(D411,""EN"",""JA"")"),"BMIによるAUC無限大観測ノルム")</f>
        <v>BMIによるAUC無限大観測ノルム</v>
      </c>
      <c r="I411" s="1" t="str">
        <f>IFERROR(__xludf.DUMMYFUNCTION("GOOGLETRANSLATE(E411,""EN"",""JA"")"),"BMIによるAUC無限大観測ノルム")</f>
        <v>BMIによるAUC無限大観測ノルム</v>
      </c>
      <c r="J411" s="1" t="str">
        <f>IFERROR(__xludf.DUMMYFUNCTION("GOOGLETRANSLATE(F411,""EN"",""JA"")"),"最後の非ゼロ濃度の観測値を使用して計算され、ボディマス指数で割った、無限大に外挿された曲線下面積 (AUC)。")</f>
        <v>最後の非ゼロ濃度の観測値を使用して計算され、ボディマス指数で割った、無限大に外挿された曲線下面積 (AUC)。</v>
      </c>
      <c r="K411" s="1" t="str">
        <f>IFERROR(__xludf.DUMMYFUNCTION("GOOGLETRANSLATE(G411,""EN"",""JA"")"),"ボディマス指数で正規化されたAUC無限大の観測")</f>
        <v>ボディマス指数で正規化されたAUC無限大の観測</v>
      </c>
    </row>
    <row r="412" ht="13.5" customHeight="1">
      <c r="A412" s="1" t="s">
        <v>870</v>
      </c>
      <c r="B412" s="1" t="s">
        <v>2161</v>
      </c>
      <c r="C412" s="1" t="s">
        <v>2162</v>
      </c>
      <c r="D412" s="1" t="s">
        <v>2163</v>
      </c>
      <c r="E412" s="1" t="s">
        <v>2163</v>
      </c>
      <c r="F412" s="1" t="s">
        <v>2164</v>
      </c>
      <c r="G412" s="1" t="s">
        <v>2165</v>
      </c>
      <c r="H412" s="1" t="str">
        <f>IFERROR(__xludf.DUMMYFUNCTION("GOOGLETRANSLATE(D412,""EN"",""JA"")"),"用量別のAUC無限大観測標準")</f>
        <v>用量別のAUC無限大観測標準</v>
      </c>
      <c r="I412" s="1" t="str">
        <f>IFERROR(__xludf.DUMMYFUNCTION("GOOGLETRANSLATE(E412,""EN"",""JA"")"),"用量別のAUC無限大観測標準")</f>
        <v>用量別のAUC無限大観測標準</v>
      </c>
      <c r="J412" s="1" t="str">
        <f>IFERROR(__xludf.DUMMYFUNCTION("GOOGLETRANSLATE(F412,""EN"",""JA"")"),"最後のゼロ以外の濃度の観測値を使用して計算され、投与量で割った、無限大に外挿された曲線下面積 (AUC)。")</f>
        <v>最後のゼロ以外の濃度の観測値を使用して計算され、投与量で割った、無限大に外挿された曲線下面積 (AUC)。</v>
      </c>
      <c r="K412" s="1" t="str">
        <f>IFERROR(__xludf.DUMMYFUNCTION("GOOGLETRANSLATE(G412,""EN"",""JA"")"),"投与量で正規化されたAUC無限大の観測")</f>
        <v>投与量で正規化されたAUC無限大の観測</v>
      </c>
    </row>
    <row r="413" ht="13.5" customHeight="1">
      <c r="A413" s="1" t="s">
        <v>870</v>
      </c>
      <c r="B413" s="1" t="s">
        <v>2166</v>
      </c>
      <c r="C413" s="1" t="s">
        <v>2167</v>
      </c>
      <c r="D413" s="1" t="s">
        <v>2168</v>
      </c>
      <c r="E413" s="1" t="s">
        <v>2168</v>
      </c>
      <c r="F413" s="1" t="s">
        <v>2169</v>
      </c>
      <c r="G413" s="1" t="s">
        <v>2170</v>
      </c>
      <c r="H413" s="1" t="str">
        <f>IFERROR(__xludf.DUMMYFUNCTION("GOOGLETRANSLATE(D413,""EN"",""JA"")"),"用量/体重別のAUC無限大観測標準")</f>
        <v>用量/体重別のAUC無限大観測標準</v>
      </c>
      <c r="I413" s="1" t="str">
        <f>IFERROR(__xludf.DUMMYFUNCTION("GOOGLETRANSLATE(E413,""EN"",""JA"")"),"用量/体重別のAUC無限大観測標準")</f>
        <v>用量/体重別のAUC無限大観測標準</v>
      </c>
      <c r="J413" s="1" t="str">
        <f>IFERROR(__xludf.DUMMYFUNCTION("GOOGLETRANSLATE(F413,""EN"",""JA"")"),"最後の非ゼロ濃度の観測値を体重調整投与量で割って計算し、無限大に外挿した曲線下面積 (AUC)。")</f>
        <v>最後の非ゼロ濃度の観測値を体重調整投与量で割って計算し、無限大に外挿した曲線下面積 (AUC)。</v>
      </c>
      <c r="K413" s="1" t="str">
        <f>IFERROR(__xludf.DUMMYFUNCTION("GOOGLETRANSLATE(G413,""EN"",""JA"")"),"体重調整投与量で正規化されたAUC無限大の観測")</f>
        <v>体重調整投与量で正規化されたAUC無限大の観測</v>
      </c>
    </row>
    <row r="414" ht="13.5" customHeight="1">
      <c r="A414" s="1" t="s">
        <v>870</v>
      </c>
      <c r="B414" s="1" t="s">
        <v>2171</v>
      </c>
      <c r="C414" s="1" t="s">
        <v>2172</v>
      </c>
      <c r="D414" s="1" t="s">
        <v>2173</v>
      </c>
      <c r="E414" s="1" t="s">
        <v>2173</v>
      </c>
      <c r="F414" s="1" t="s">
        <v>2174</v>
      </c>
      <c r="G414" s="1" t="s">
        <v>2175</v>
      </c>
      <c r="H414" s="1" t="str">
        <f>IFERROR(__xludf.DUMMYFUNCTION("GOOGLETRANSLATE(D414,""EN"",""JA"")"),"AUC無限大観測LN変換")</f>
        <v>AUC無限大観測LN変換</v>
      </c>
      <c r="I414" s="1" t="str">
        <f>IFERROR(__xludf.DUMMYFUNCTION("GOOGLETRANSLATE(E414,""EN"",""JA"")"),"AUC無限大観測LN変換")</f>
        <v>AUC無限大観測LN変換</v>
      </c>
      <c r="J414" s="1" t="str">
        <f>IFERROR(__xludf.DUMMYFUNCTION("GOOGLETRANSLATE(F414,""EN"",""JA"")"),"最後のゼロ以外の濃度の観測値を使用して計算され、無限大に外挿された自然対数変換された曲線下面積 (AUC)。")</f>
        <v>最後のゼロ以外の濃度の観測値を使用して計算され、無限大に外挿された自然対数変換された曲線下面積 (AUC)。</v>
      </c>
      <c r="K414" s="1" t="str">
        <f>IFERROR(__xludf.DUMMYFUNCTION("GOOGLETRANSLATE(G414,""EN"",""JA"")"),"自然対数変換された観測曲線下面積無限大")</f>
        <v>自然対数変換された観測曲線下面積無限大</v>
      </c>
    </row>
    <row r="415" ht="13.5" customHeight="1">
      <c r="A415" s="1" t="s">
        <v>870</v>
      </c>
      <c r="B415" s="1" t="s">
        <v>2176</v>
      </c>
      <c r="C415" s="1" t="s">
        <v>2177</v>
      </c>
      <c r="D415" s="1" t="s">
        <v>2178</v>
      </c>
      <c r="E415" s="1" t="s">
        <v>2178</v>
      </c>
      <c r="F415" s="1" t="s">
        <v>2179</v>
      </c>
      <c r="G415" s="1" t="s">
        <v>2180</v>
      </c>
      <c r="H415" s="1" t="str">
        <f>IFERROR(__xludf.DUMMYFUNCTION("GOOGLETRANSLATE(D415,""EN"",""JA"")"),"SAによるAUC無限大観測ノルム")</f>
        <v>SAによるAUC無限大観測ノルム</v>
      </c>
      <c r="I415" s="1" t="str">
        <f>IFERROR(__xludf.DUMMYFUNCTION("GOOGLETRANSLATE(E415,""EN"",""JA"")"),"SAによるAUC無限大観測ノルム")</f>
        <v>SAによるAUC無限大観測ノルム</v>
      </c>
      <c r="J415" s="1" t="str">
        <f>IFERROR(__xludf.DUMMYFUNCTION("GOOGLETRANSLATE(F415,""EN"",""JA"")"),"最後のゼロ以外の濃度の観測値を使用して計算され、表面積で割った、無限大に外挿された曲線下面積 (AUC)。")</f>
        <v>最後のゼロ以外の濃度の観測値を使用して計算され、表面積で割った、無限大に外挿された曲線下面積 (AUC)。</v>
      </c>
      <c r="K415" s="1" t="str">
        <f>IFERROR(__xludf.DUMMYFUNCTION("GOOGLETRANSLATE(G415,""EN"",""JA"")"),"AUC無限大を表面積で正規化した値")</f>
        <v>AUC無限大を表面積で正規化した値</v>
      </c>
    </row>
    <row r="416" ht="13.5" customHeight="1">
      <c r="A416" s="1" t="s">
        <v>870</v>
      </c>
      <c r="B416" s="1" t="s">
        <v>2181</v>
      </c>
      <c r="C416" s="1" t="s">
        <v>2182</v>
      </c>
      <c r="D416" s="1" t="s">
        <v>2183</v>
      </c>
      <c r="E416" s="1" t="s">
        <v>2183</v>
      </c>
      <c r="F416" s="1" t="s">
        <v>2184</v>
      </c>
      <c r="G416" s="1" t="s">
        <v>2185</v>
      </c>
      <c r="H416" s="1" t="str">
        <f>IFERROR(__xludf.DUMMYFUNCTION("GOOGLETRANSLATE(D416,""EN"",""JA"")"),"AUC無限大Obs、非結合薬物")</f>
        <v>AUC無限大Obs、非結合薬物</v>
      </c>
      <c r="I416" s="1" t="str">
        <f>IFERROR(__xludf.DUMMYFUNCTION("GOOGLETRANSLATE(E416,""EN"",""JA"")"),"AUC無限大Obs、非結合薬物")</f>
        <v>AUC無限大Obs、非結合薬物</v>
      </c>
      <c r="J416" s="1" t="str">
        <f>IFERROR(__xludf.DUMMYFUNCTION("GOOGLETRANSLATE(F416,""EN"",""JA"")"),"薬物の非結合分率によって表される、観測された AUC の無限大までの部分。")</f>
        <v>薬物の非結合分率によって表される、観測された AUC の無限大までの部分。</v>
      </c>
      <c r="K416" s="1" t="str">
        <f>IFERROR(__xludf.DUMMYFUNCTION("GOOGLETRANSLATE(G416,""EN"",""JA"")"),"非結合薬物の曲線無限大の観察領域")</f>
        <v>非結合薬物の曲線無限大の観察領域</v>
      </c>
    </row>
    <row r="417" ht="13.5" customHeight="1">
      <c r="A417" s="1" t="s">
        <v>870</v>
      </c>
      <c r="B417" s="1" t="s">
        <v>2186</v>
      </c>
      <c r="C417" s="1" t="s">
        <v>2187</v>
      </c>
      <c r="D417" s="1" t="s">
        <v>2188</v>
      </c>
      <c r="E417" s="1" t="s">
        <v>2188</v>
      </c>
      <c r="F417" s="1" t="s">
        <v>2189</v>
      </c>
      <c r="G417" s="1" t="s">
        <v>2190</v>
      </c>
      <c r="H417" s="1" t="str">
        <f>IFERROR(__xludf.DUMMYFUNCTION("GOOGLETRANSLATE(D417,""EN"",""JA"")"),"WTによるAUC無限大観測ノルム")</f>
        <v>WTによるAUC無限大観測ノルム</v>
      </c>
      <c r="I417" s="1" t="str">
        <f>IFERROR(__xludf.DUMMYFUNCTION("GOOGLETRANSLATE(E417,""EN"",""JA"")"),"WTによるAUC無限大観測ノルム")</f>
        <v>WTによるAUC無限大観測ノルム</v>
      </c>
      <c r="J417" s="1" t="str">
        <f>IFERROR(__xludf.DUMMYFUNCTION("GOOGLETRANSLATE(F417,""EN"",""JA"")"),"最後のゼロ以外の濃度の観測値を使用して計算され、重量で割った、無限大に外挿された曲線の下の領域 (AUC)。")</f>
        <v>最後のゼロ以外の濃度の観測値を使用して計算され、重量で割った、無限大に外挿された曲線の下の領域 (AUC)。</v>
      </c>
      <c r="K417" s="1" t="str">
        <f>IFERROR(__xludf.DUMMYFUNCTION("GOOGLETRANSLATE(G417,""EN"",""JA"")"),"体重で正規化された観測AUC無限大")</f>
        <v>体重で正規化された観測AUC無限大</v>
      </c>
    </row>
    <row r="418" ht="13.5" customHeight="1">
      <c r="A418" s="1" t="s">
        <v>870</v>
      </c>
      <c r="B418" s="1" t="s">
        <v>2191</v>
      </c>
      <c r="C418" s="1" t="s">
        <v>2192</v>
      </c>
      <c r="D418" s="1" t="s">
        <v>2193</v>
      </c>
      <c r="E418" s="1" t="s">
        <v>2193</v>
      </c>
      <c r="F418" s="1" t="s">
        <v>2194</v>
      </c>
      <c r="G418" s="1" t="s">
        <v>2195</v>
      </c>
      <c r="H418" s="1" t="str">
        <f>IFERROR(__xludf.DUMMYFUNCTION("GOOGLETRANSLATE(D418,""EN"",""JA"")"),"AUC無限予測")</f>
        <v>AUC無限予測</v>
      </c>
      <c r="I418" s="1" t="str">
        <f>IFERROR(__xludf.DUMMYFUNCTION("GOOGLETRANSLATE(E418,""EN"",""JA"")"),"AUC無限予測")</f>
        <v>AUC無限予測</v>
      </c>
      <c r="J418" s="1" t="str">
        <f>IFERROR(__xludf.DUMMYFUNCTION("GOOGLETRANSLATE(F418,""EN"",""JA"")"),"最後のゼロ以外の濃度の予測値を使用して計算された、無限大に外挿された曲線下面積 (AUC)。")</f>
        <v>最後のゼロ以外の濃度の予測値を使用して計算された、無限大に外挿された曲線下面積 (AUC)。</v>
      </c>
      <c r="K418" s="1" t="str">
        <f>IFERROR(__xludf.DUMMYFUNCTION("GOOGLETRANSLATE(G418,""EN"",""JA"")"),"予測曲線下面積無限大")</f>
        <v>予測曲線下面積無限大</v>
      </c>
    </row>
    <row r="419" ht="13.5" customHeight="1">
      <c r="A419" s="1" t="s">
        <v>870</v>
      </c>
      <c r="B419" s="1" t="s">
        <v>2196</v>
      </c>
      <c r="C419" s="1" t="s">
        <v>2197</v>
      </c>
      <c r="D419" s="1" t="s">
        <v>2198</v>
      </c>
      <c r="E419" s="1" t="s">
        <v>2198</v>
      </c>
      <c r="F419" s="1" t="s">
        <v>2199</v>
      </c>
      <c r="G419" s="1" t="s">
        <v>2200</v>
      </c>
      <c r="H419" s="1" t="str">
        <f>IFERROR(__xludf.DUMMYFUNCTION("GOOGLETRANSLATE(D419,""EN"",""JA"")"),"BMIによるAUC無限大予測正常値")</f>
        <v>BMIによるAUC無限大予測正常値</v>
      </c>
      <c r="I419" s="1" t="str">
        <f>IFERROR(__xludf.DUMMYFUNCTION("GOOGLETRANSLATE(E419,""EN"",""JA"")"),"BMIによるAUC無限大予測正常値")</f>
        <v>BMIによるAUC無限大予測正常値</v>
      </c>
      <c r="J419" s="1" t="str">
        <f>IFERROR(__xludf.DUMMYFUNCTION("GOOGLETRANSLATE(F419,""EN"",""JA"")"),"最後の非ゼロ濃度の予測値を使用して計算され、ボディマス指数で割った、無限大に外挿された曲線下面積 (AUC)。")</f>
        <v>最後の非ゼロ濃度の予測値を使用して計算され、ボディマス指数で割った、無限大に外挿された曲線下面積 (AUC)。</v>
      </c>
      <c r="K419" s="1" t="str">
        <f>IFERROR(__xludf.DUMMYFUNCTION("GOOGLETRANSLATE(G419,""EN"",""JA"")"),"ボディマス指数で正規化されたAUC無限大予測")</f>
        <v>ボディマス指数で正規化されたAUC無限大予測</v>
      </c>
    </row>
    <row r="420" ht="13.5" customHeight="1">
      <c r="A420" s="1" t="s">
        <v>870</v>
      </c>
      <c r="B420" s="1" t="s">
        <v>2201</v>
      </c>
      <c r="C420" s="1" t="s">
        <v>2202</v>
      </c>
      <c r="D420" s="1" t="s">
        <v>2203</v>
      </c>
      <c r="E420" s="1" t="s">
        <v>2203</v>
      </c>
      <c r="F420" s="1" t="s">
        <v>2204</v>
      </c>
      <c r="G420" s="1" t="s">
        <v>2205</v>
      </c>
      <c r="H420" s="1" t="str">
        <f>IFERROR(__xludf.DUMMYFUNCTION("GOOGLETRANSLATE(D420,""EN"",""JA"")"),"用量別のAUC無限大予測正常値")</f>
        <v>用量別のAUC無限大予測正常値</v>
      </c>
      <c r="I420" s="1" t="str">
        <f>IFERROR(__xludf.DUMMYFUNCTION("GOOGLETRANSLATE(E420,""EN"",""JA"")"),"用量別のAUC無限大予測正常値")</f>
        <v>用量別のAUC無限大予測正常値</v>
      </c>
      <c r="J420" s="1" t="str">
        <f>IFERROR(__xludf.DUMMYFUNCTION("GOOGLETRANSLATE(F420,""EN"",""JA"")"),"最後のゼロ以外の濃度の予測値を使用して計算され、投与量で割った、無限大に外挿された曲線下面積 (AUC)。")</f>
        <v>最後のゼロ以外の濃度の予測値を使用して計算され、投与量で割った、無限大に外挿された曲線下面積 (AUC)。</v>
      </c>
      <c r="K420" s="1" t="str">
        <f>IFERROR(__xludf.DUMMYFUNCTION("GOOGLETRANSLATE(G420,""EN"",""JA"")"),"線量による曲線無限大の予測領域")</f>
        <v>線量による曲線無限大の予測領域</v>
      </c>
    </row>
    <row r="421" ht="13.5" customHeight="1">
      <c r="A421" s="1" t="s">
        <v>870</v>
      </c>
      <c r="B421" s="1" t="s">
        <v>2206</v>
      </c>
      <c r="C421" s="1" t="s">
        <v>2207</v>
      </c>
      <c r="D421" s="1" t="s">
        <v>2208</v>
      </c>
      <c r="E421" s="1" t="s">
        <v>2209</v>
      </c>
      <c r="F421" s="1" t="s">
        <v>2210</v>
      </c>
      <c r="G421" s="1" t="s">
        <v>2211</v>
      </c>
      <c r="H421" s="1" t="str">
        <f>IFERROR(__xludf.DUMMYFUNCTION("GOOGLETRANSLATE(D421,""EN"",""JA"")"),"用量/体重別のAUCIFPDW基準値")</f>
        <v>用量/体重別のAUCIFPDW基準値</v>
      </c>
      <c r="I421" s="1" t="str">
        <f>IFERROR(__xludf.DUMMYFUNCTION("GOOGLETRANSLATE(E421,""EN"",""JA"")"),"体重あたりの投与量による AUC 無限大予測正常値; 投与量/体重による AUCIFPDW 正常値")</f>
        <v>体重あたりの投与量による AUC 無限大予測正常値; 投与量/体重による AUCIFPDW 正常値</v>
      </c>
      <c r="J421" s="1" t="str">
        <f>IFERROR(__xludf.DUMMYFUNCTION("GOOGLETRANSLATE(F421,""EN"",""JA"")"),"最後のゼロ以外の濃度の予測値を体重調整投与量で割って計算し、無限大に外挿した曲線下面積 (AUC)。")</f>
        <v>最後のゼロ以外の濃度の予測値を体重調整投与量で割って計算し、無限大に外挿した曲線下面積 (AUC)。</v>
      </c>
      <c r="K421" s="1" t="str">
        <f>IFERROR(__xludf.DUMMYFUNCTION("GOOGLETRANSLATE(G421,""EN"",""JA"")"),"体重調整投与量で正規化されたAUC無限大予測値")</f>
        <v>体重調整投与量で正規化されたAUC無限大予測値</v>
      </c>
    </row>
    <row r="422" ht="13.5" customHeight="1">
      <c r="A422" s="1" t="s">
        <v>870</v>
      </c>
      <c r="B422" s="1" t="s">
        <v>2212</v>
      </c>
      <c r="C422" s="1" t="s">
        <v>2213</v>
      </c>
      <c r="D422" s="1" t="s">
        <v>2214</v>
      </c>
      <c r="E422" s="1" t="s">
        <v>2214</v>
      </c>
      <c r="F422" s="1" t="s">
        <v>2215</v>
      </c>
      <c r="G422" s="1" t="s">
        <v>2216</v>
      </c>
      <c r="H422" s="1" t="str">
        <f>IFERROR(__xludf.DUMMYFUNCTION("GOOGLETRANSLATE(D422,""EN"",""JA"")"),"SAによるAUC無限大予測ノルム")</f>
        <v>SAによるAUC無限大予測ノルム</v>
      </c>
      <c r="I422" s="1" t="str">
        <f>IFERROR(__xludf.DUMMYFUNCTION("GOOGLETRANSLATE(E422,""EN"",""JA"")"),"SAによるAUC無限大予測ノルム")</f>
        <v>SAによるAUC無限大予測ノルム</v>
      </c>
      <c r="J422" s="1" t="str">
        <f>IFERROR(__xludf.DUMMYFUNCTION("GOOGLETRANSLATE(F422,""EN"",""JA"")"),"最後のゼロ以外の濃度の予測値を使用して計算され、表面積で割った、無限大に外挿された曲線下面積 (AUC)。")</f>
        <v>最後のゼロ以外の濃度の予測値を使用して計算され、表面積で割った、無限大に外挿された曲線下面積 (AUC)。</v>
      </c>
      <c r="K422" s="1" t="str">
        <f>IFERROR(__xludf.DUMMYFUNCTION("GOOGLETRANSLATE(G422,""EN"",""JA"")"),"AUC無限大予測（表面積で正規化）")</f>
        <v>AUC無限大予測（表面積で正規化）</v>
      </c>
    </row>
    <row r="423" ht="13.5" customHeight="1">
      <c r="A423" s="1" t="s">
        <v>870</v>
      </c>
      <c r="B423" s="1" t="s">
        <v>2217</v>
      </c>
      <c r="C423" s="1" t="s">
        <v>2218</v>
      </c>
      <c r="D423" s="1" t="s">
        <v>2219</v>
      </c>
      <c r="E423" s="1" t="s">
        <v>2219</v>
      </c>
      <c r="F423" s="1" t="s">
        <v>2220</v>
      </c>
      <c r="G423" s="1" t="s">
        <v>2221</v>
      </c>
      <c r="H423" s="1" t="str">
        <f>IFERROR(__xludf.DUMMYFUNCTION("GOOGLETRANSLATE(D423,""EN"",""JA"")"),"AUC無限大プレドニゾロン、非結合薬物")</f>
        <v>AUC無限大プレドニゾロン、非結合薬物</v>
      </c>
      <c r="I423" s="1" t="str">
        <f>IFERROR(__xludf.DUMMYFUNCTION("GOOGLETRANSLATE(E423,""EN"",""JA"")"),"AUC無限大プレドニゾロン、非結合薬物")</f>
        <v>AUC無限大プレドニゾロン、非結合薬物</v>
      </c>
      <c r="J423" s="1" t="str">
        <f>IFERROR(__xludf.DUMMYFUNCTION("GOOGLETRANSLATE(F423,""EN"",""JA"")"),"薬物の非結合分率によって表される、予測される AUC の無限大までの部分。")</f>
        <v>薬物の非結合分率によって表される、予測される AUC の無限大までの部分。</v>
      </c>
      <c r="K423" s="1" t="str">
        <f>IFERROR(__xludf.DUMMYFUNCTION("GOOGLETRANSLATE(G423,""EN"",""JA"")"),"非結合薬物の曲線下面積の無限大の予測")</f>
        <v>非結合薬物の曲線下面積の無限大の予測</v>
      </c>
    </row>
    <row r="424" ht="13.5" customHeight="1">
      <c r="A424" s="1" t="s">
        <v>870</v>
      </c>
      <c r="B424" s="1" t="s">
        <v>2222</v>
      </c>
      <c r="C424" s="1" t="s">
        <v>2223</v>
      </c>
      <c r="D424" s="1" t="s">
        <v>2224</v>
      </c>
      <c r="E424" s="1" t="s">
        <v>2224</v>
      </c>
      <c r="F424" s="1" t="s">
        <v>2225</v>
      </c>
      <c r="G424" s="1" t="s">
        <v>2226</v>
      </c>
      <c r="H424" s="1" t="str">
        <f>IFERROR(__xludf.DUMMYFUNCTION("GOOGLETRANSLATE(D424,""EN"",""JA"")"),"WTによるAUC無限大予測ノルム")</f>
        <v>WTによるAUC無限大予測ノルム</v>
      </c>
      <c r="I424" s="1" t="str">
        <f>IFERROR(__xludf.DUMMYFUNCTION("GOOGLETRANSLATE(E424,""EN"",""JA"")"),"WTによるAUC無限大予測ノルム")</f>
        <v>WTによるAUC無限大予測ノルム</v>
      </c>
      <c r="J424" s="1" t="str">
        <f>IFERROR(__xludf.DUMMYFUNCTION("GOOGLETRANSLATE(F424,""EN"",""JA"")"),"最後のゼロ以外の濃度の予測値を使用して計算され、重量で割った、無限大に外挿された曲線の下の領域 (AUC)。")</f>
        <v>最後のゼロ以外の濃度の予測値を使用して計算され、重量で割った、無限大に外挿された曲線の下の領域 (AUC)。</v>
      </c>
      <c r="K424" s="1" t="str">
        <f>IFERROR(__xludf.DUMMYFUNCTION("GOOGLETRANSLATE(G424,""EN"",""JA"")"),"体重で正規化されたAUC無限大予測")</f>
        <v>体重で正規化されたAUC無限大予測</v>
      </c>
    </row>
    <row r="425" ht="13.5" customHeight="1">
      <c r="A425" s="1" t="s">
        <v>870</v>
      </c>
      <c r="B425" s="1" t="s">
        <v>2227</v>
      </c>
      <c r="C425" s="1" t="s">
        <v>2228</v>
      </c>
      <c r="D425" s="1" t="s">
        <v>2229</v>
      </c>
      <c r="E425" s="1" t="s">
        <v>2229</v>
      </c>
      <c r="F425" s="1" t="s">
        <v>2230</v>
      </c>
      <c r="G425" s="1" t="s">
        <v>2231</v>
      </c>
      <c r="H425" s="1" t="str">
        <f>IFERROR(__xludf.DUMMYFUNCTION("GOOGLETRANSLATE(D425,""EN"",""JA"")"),"T1からT2までのAUC")</f>
        <v>T1からT2までのAUC</v>
      </c>
      <c r="I425" s="1" t="str">
        <f>IFERROR(__xludf.DUMMYFUNCTION("GOOGLETRANSLATE(E425,""EN"",""JA"")"),"T1からT2までのAUC")</f>
        <v>T1からT2までのAUC</v>
      </c>
      <c r="J425" s="1" t="str">
        <f>IFERROR(__xludf.DUMMYFUNCTION("GOOGLETRANSLATE(F425,""EN"",""JA"")"),"T1 から T2 までの区間における曲線下面積 (AUC)。")</f>
        <v>T1 から T2 までの区間における曲線下面積 (AUC)。</v>
      </c>
      <c r="K425" s="1" t="str">
        <f>IFERROR(__xludf.DUMMYFUNCTION("GOOGLETRANSLATE(G425,""EN"",""JA"")"),"T1からT2までの曲線下面積")</f>
        <v>T1からT2までの曲線下面積</v>
      </c>
    </row>
    <row r="426" ht="13.5" customHeight="1">
      <c r="A426" s="1" t="s">
        <v>870</v>
      </c>
      <c r="B426" s="1" t="s">
        <v>2232</v>
      </c>
      <c r="C426" s="1" t="s">
        <v>2233</v>
      </c>
      <c r="D426" s="1" t="s">
        <v>2234</v>
      </c>
      <c r="E426" s="1" t="s">
        <v>2234</v>
      </c>
      <c r="F426" s="1" t="s">
        <v>2235</v>
      </c>
      <c r="G426" s="1" t="s">
        <v>2236</v>
      </c>
      <c r="H426" s="1" t="str">
        <f>IFERROR(__xludf.DUMMYFUNCTION("GOOGLETRANSLATE(D426,""EN"",""JA"")"),"BMIによるT1からT2までのAUC正常値")</f>
        <v>BMIによるT1からT2までのAUC正常値</v>
      </c>
      <c r="I426" s="1" t="str">
        <f>IFERROR(__xludf.DUMMYFUNCTION("GOOGLETRANSLATE(E426,""EN"",""JA"")"),"BMIによるT1からT2までのAUC正常値")</f>
        <v>BMIによるT1からT2までのAUC正常値</v>
      </c>
      <c r="J426" s="1" t="str">
        <f>IFERROR(__xludf.DUMMYFUNCTION("GOOGLETRANSLATE(F426,""EN"",""JA"")"),"T1 から T2 までの区間の曲線下面積 (AUC) をボディマス指数で割ったもの。")</f>
        <v>T1 から T2 までの区間の曲線下面積 (AUC) をボディマス指数で割ったもの。</v>
      </c>
      <c r="K426" s="1" t="str">
        <f>IFERROR(__xludf.DUMMYFUNCTION("GOOGLETRANSLATE(G426,""EN"",""JA"")"),"ボディマス指数で正規化したT1からT2までのAUC")</f>
        <v>ボディマス指数で正規化したT1からT2までのAUC</v>
      </c>
    </row>
    <row r="427" ht="13.5" customHeight="1">
      <c r="A427" s="1" t="s">
        <v>870</v>
      </c>
      <c r="B427" s="1" t="s">
        <v>2237</v>
      </c>
      <c r="C427" s="1" t="s">
        <v>2238</v>
      </c>
      <c r="D427" s="1" t="s">
        <v>2239</v>
      </c>
      <c r="E427" s="1" t="s">
        <v>2239</v>
      </c>
      <c r="F427" s="1" t="s">
        <v>2240</v>
      </c>
      <c r="G427" s="1" t="s">
        <v>2241</v>
      </c>
      <c r="H427" s="1" t="str">
        <f>IFERROR(__xludf.DUMMYFUNCTION("GOOGLETRANSLATE(D427,""EN"",""JA"")"),"用量別のT1からT2までのAUC正常値")</f>
        <v>用量別のT1からT2までのAUC正常値</v>
      </c>
      <c r="I427" s="1" t="str">
        <f>IFERROR(__xludf.DUMMYFUNCTION("GOOGLETRANSLATE(E427,""EN"",""JA"")"),"用量別のT1からT2までのAUC正常値")</f>
        <v>用量別のT1からT2までのAUC正常値</v>
      </c>
      <c r="J427" s="1" t="str">
        <f>IFERROR(__xludf.DUMMYFUNCTION("GOOGLETRANSLATE(F427,""EN"",""JA"")"),"T1 から T2 までの間隔における曲線下面積 (AUC) を投与量で割ったもの。")</f>
        <v>T1 から T2 までの間隔における曲線下面積 (AUC) を投与量で割ったもの。</v>
      </c>
      <c r="K427" s="1" t="str">
        <f>IFERROR(__xludf.DUMMYFUNCTION("GOOGLETRANSLATE(G427,""EN"",""JA"")"),"用量で正規化したT1からT2までのAUC")</f>
        <v>用量で正規化したT1からT2までのAUC</v>
      </c>
    </row>
    <row r="428" ht="13.5" customHeight="1">
      <c r="A428" s="1" t="s">
        <v>870</v>
      </c>
      <c r="B428" s="1" t="s">
        <v>2242</v>
      </c>
      <c r="C428" s="1" t="s">
        <v>2243</v>
      </c>
      <c r="D428" s="1" t="s">
        <v>2244</v>
      </c>
      <c r="E428" s="1" t="s">
        <v>2245</v>
      </c>
      <c r="F428" s="1" t="s">
        <v>2246</v>
      </c>
      <c r="G428" s="1" t="s">
        <v>2247</v>
      </c>
      <c r="H428" s="1" t="str">
        <f>IFERROR(__xludf.DUMMYFUNCTION("GOOGLETRANSLATE(D428,""EN"",""JA"")"),"用量/体重別のAUCINT標準値")</f>
        <v>用量/体重別のAUCINT標準値</v>
      </c>
      <c r="I428" s="1" t="str">
        <f>IFERROR(__xludf.DUMMYFUNCTION("GOOGLETRANSLATE(E428,""EN"",""JA"")"),"T1からT2までのAUC（体重あたりの投与量による正常値）; AUCINT（体重kgあたりの投与量による正常値）")</f>
        <v>T1からT2までのAUC（体重あたりの投与量による正常値）; AUCINT（体重kgあたりの投与量による正常値）</v>
      </c>
      <c r="J428" s="1" t="str">
        <f>IFERROR(__xludf.DUMMYFUNCTION("GOOGLETRANSLATE(F428,""EN"",""JA"")"),"T1 から T2 までの間隔における曲線下面積 (AUC) を体重調整投与量で割ったもの。")</f>
        <v>T1 から T2 までの間隔における曲線下面積 (AUC) を体重調整投与量で割ったもの。</v>
      </c>
      <c r="K428" s="1" t="str">
        <f>IFERROR(__xludf.DUMMYFUNCTION("GOOGLETRANSLATE(G428,""EN"",""JA"")"),"体重調整用量で正規化したT1からT2までのAUC")</f>
        <v>体重調整用量で正規化したT1からT2までのAUC</v>
      </c>
    </row>
    <row r="429" ht="13.5" customHeight="1">
      <c r="A429" s="1" t="s">
        <v>870</v>
      </c>
      <c r="B429" s="1" t="s">
        <v>2248</v>
      </c>
      <c r="C429" s="1" t="s">
        <v>2249</v>
      </c>
      <c r="D429" s="1" t="s">
        <v>2250</v>
      </c>
      <c r="E429" s="1" t="s">
        <v>2250</v>
      </c>
      <c r="F429" s="1" t="s">
        <v>2251</v>
      </c>
      <c r="G429" s="1" t="s">
        <v>2252</v>
      </c>
      <c r="H429" s="1" t="str">
        <f>IFERROR(__xludf.DUMMYFUNCTION("GOOGLETRANSLATE(D429,""EN"",""JA"")"),"SAによるT1からT2までのAUCの正常値")</f>
        <v>SAによるT1からT2までのAUCの正常値</v>
      </c>
      <c r="I429" s="1" t="str">
        <f>IFERROR(__xludf.DUMMYFUNCTION("GOOGLETRANSLATE(E429,""EN"",""JA"")"),"SAによるT1からT2までのAUCの正常値")</f>
        <v>SAによるT1からT2までのAUCの正常値</v>
      </c>
      <c r="J429" s="1" t="str">
        <f>IFERROR(__xludf.DUMMYFUNCTION("GOOGLETRANSLATE(F429,""EN"",""JA"")"),"T1 から T2 までの区間の曲線下面積 (AUC) を表面積で割ったもの。")</f>
        <v>T1 から T2 までの区間の曲線下面積 (AUC) を表面積で割ったもの。</v>
      </c>
      <c r="K429" s="1" t="str">
        <f>IFERROR(__xludf.DUMMYFUNCTION("GOOGLETRANSLATE(G429,""EN"",""JA"")"),"T1からT2までのAUC（表面積で正規化）")</f>
        <v>T1からT2までのAUC（表面積で正規化）</v>
      </c>
    </row>
    <row r="430" ht="13.5" customHeight="1">
      <c r="A430" s="1" t="s">
        <v>870</v>
      </c>
      <c r="B430" s="1" t="s">
        <v>2253</v>
      </c>
      <c r="C430" s="1" t="s">
        <v>2254</v>
      </c>
      <c r="D430" s="1" t="s">
        <v>2255</v>
      </c>
      <c r="E430" s="1" t="s">
        <v>2255</v>
      </c>
      <c r="F430" s="1" t="s">
        <v>2256</v>
      </c>
      <c r="G430" s="1" t="s">
        <v>2257</v>
      </c>
      <c r="H430" s="1" t="str">
        <f>IFERROR(__xludf.DUMMYFUNCTION("GOOGLETRANSLATE(D430,""EN"",""JA"")"),"WTによるT1からT2までのAUC正常値")</f>
        <v>WTによるT1からT2までのAUC正常値</v>
      </c>
      <c r="I430" s="1" t="str">
        <f>IFERROR(__xludf.DUMMYFUNCTION("GOOGLETRANSLATE(E430,""EN"",""JA"")"),"WTによるT1からT2までのAUC正常値")</f>
        <v>WTによるT1からT2までのAUC正常値</v>
      </c>
      <c r="J430" s="1" t="str">
        <f>IFERROR(__xludf.DUMMYFUNCTION("GOOGLETRANSLATE(F430,""EN"",""JA"")"),"T1 から T2 までの区間の曲線下面積 (AUC) を重量で割ったもの。")</f>
        <v>T1 から T2 までの区間の曲線下面積 (AUC) を重量で割ったもの。</v>
      </c>
      <c r="K430" s="1" t="str">
        <f>IFERROR(__xludf.DUMMYFUNCTION("GOOGLETRANSLATE(G430,""EN"",""JA"")"),"体重で正規化されたT1からT2までのAUC")</f>
        <v>体重で正規化されたT1からT2までのAUC</v>
      </c>
    </row>
    <row r="431" ht="13.5" customHeight="1">
      <c r="A431" s="1" t="s">
        <v>870</v>
      </c>
      <c r="B431" s="1" t="s">
        <v>2258</v>
      </c>
      <c r="C431" s="1" t="s">
        <v>2259</v>
      </c>
      <c r="D431" s="1" t="s">
        <v>2260</v>
      </c>
      <c r="E431" s="1" t="s">
        <v>2260</v>
      </c>
      <c r="F431" s="1" t="s">
        <v>2261</v>
      </c>
      <c r="G431" s="1" t="s">
        <v>2262</v>
      </c>
      <c r="H431" s="1" t="str">
        <f>IFERROR(__xludf.DUMMYFUNCTION("GOOGLETRANSLATE(D431,""EN"",""JA"")"),"最後の非ゼロ濃度までのAUC")</f>
        <v>最後の非ゼロ濃度までのAUC</v>
      </c>
      <c r="I431" s="1" t="str">
        <f>IFERROR(__xludf.DUMMYFUNCTION("GOOGLETRANSLATE(E431,""EN"",""JA"")"),"最後の非ゼロ濃度までのAUC")</f>
        <v>最後の非ゼロ濃度までのAUC</v>
      </c>
      <c r="J431" s="1" t="str">
        <f>IFERROR(__xludf.DUMMYFUNCTION("GOOGLETRANSLATE(F431,""EN"",""JA"")"),"投与時から最後の測定可能な濃度までの曲線下面積 (AUC)。")</f>
        <v>投与時から最後の測定可能な濃度までの曲線下面積 (AUC)。</v>
      </c>
      <c r="K431" s="1" t="str">
        <f>IFERROR(__xludf.DUMMYFUNCTION("GOOGLETRANSLATE(G431,""EN"",""JA"")"),"投与から最終濃度までの曲線下面積")</f>
        <v>投与から最終濃度までの曲線下面積</v>
      </c>
    </row>
    <row r="432" ht="13.5" customHeight="1">
      <c r="A432" s="1" t="s">
        <v>870</v>
      </c>
      <c r="B432" s="1" t="s">
        <v>2263</v>
      </c>
      <c r="C432" s="1" t="s">
        <v>2264</v>
      </c>
      <c r="D432" s="1" t="s">
        <v>2265</v>
      </c>
      <c r="E432" s="1" t="s">
        <v>2265</v>
      </c>
      <c r="F432" s="1" t="s">
        <v>2266</v>
      </c>
      <c r="G432" s="1" t="s">
        <v>2267</v>
      </c>
      <c r="H432" s="1" t="str">
        <f>IFERROR(__xludf.DUMMYFUNCTION("GOOGLETRANSLATE(D432,""EN"",""JA"")"),"BMIによる最後の非ゼロ濃度ノルムに対するAUC")</f>
        <v>BMIによる最後の非ゼロ濃度ノルムに対するAUC</v>
      </c>
      <c r="I432" s="1" t="str">
        <f>IFERROR(__xludf.DUMMYFUNCTION("GOOGLETRANSLATE(E432,""EN"",""JA"")"),"BMIによる最後の非ゼロ濃度ノルムに対するAUC")</f>
        <v>BMIによる最後の非ゼロ濃度ノルムに対するAUC</v>
      </c>
      <c r="J432" s="1" t="str">
        <f>IFERROR(__xludf.DUMMYFUNCTION("GOOGLETRANSLATE(F432,""EN"",""JA"")"),"投与時から最後の測定可能な濃度までの曲線下面積 (AUC) をボディマス指数で割ったもの。")</f>
        <v>投与時から最後の測定可能な濃度までの曲線下面積 (AUC) をボディマス指数で割ったもの。</v>
      </c>
      <c r="K432" s="1" t="str">
        <f>IFERROR(__xludf.DUMMYFUNCTION("GOOGLETRANSLATE(G432,""EN"",""JA"")"),"最終濃度までのAUC投与量をBMIで正規化")</f>
        <v>最終濃度までのAUC投与量をBMIで正規化</v>
      </c>
    </row>
    <row r="433" ht="13.5" customHeight="1">
      <c r="A433" s="1" t="s">
        <v>870</v>
      </c>
      <c r="B433" s="1" t="s">
        <v>2268</v>
      </c>
      <c r="C433" s="1" t="s">
        <v>2269</v>
      </c>
      <c r="D433" s="1" t="s">
        <v>2270</v>
      </c>
      <c r="E433" s="1" t="s">
        <v>2270</v>
      </c>
      <c r="F433" s="1" t="s">
        <v>2271</v>
      </c>
      <c r="G433" s="1" t="s">
        <v>2272</v>
      </c>
      <c r="H433" s="1" t="str">
        <f>IFERROR(__xludf.DUMMYFUNCTION("GOOGLETRANSLATE(D433,""EN"",""JA"")"),"投与量別の最終非ゼロ濃度基準に対する AUC")</f>
        <v>投与量別の最終非ゼロ濃度基準に対する AUC</v>
      </c>
      <c r="I433" s="1" t="str">
        <f>IFERROR(__xludf.DUMMYFUNCTION("GOOGLETRANSLATE(E433,""EN"",""JA"")"),"投与量別の最終非ゼロ濃度基準に対する AUC")</f>
        <v>投与量別の最終非ゼロ濃度基準に対する AUC</v>
      </c>
      <c r="J433" s="1" t="str">
        <f>IFERROR(__xludf.DUMMYFUNCTION("GOOGLETRANSLATE(F433,""EN"",""JA"")"),"投与時から最後の測定可能な濃度までの曲線下面積 (AUC) を投与量で割ったもの。")</f>
        <v>投与時から最後の測定可能な濃度までの曲線下面積 (AUC) を投与量で割ったもの。</v>
      </c>
      <c r="K433" s="1" t="str">
        <f>IFERROR(__xludf.DUMMYFUNCTION("GOOGLETRANSLATE(G433,""EN"",""JA"")"),"投与量で正規化された最終濃度までのAUC投与量")</f>
        <v>投与量で正規化された最終濃度までのAUC投与量</v>
      </c>
    </row>
    <row r="434" ht="13.5" customHeight="1">
      <c r="A434" s="1" t="s">
        <v>870</v>
      </c>
      <c r="B434" s="1" t="s">
        <v>2273</v>
      </c>
      <c r="C434" s="1" t="s">
        <v>2274</v>
      </c>
      <c r="D434" s="1" t="s">
        <v>2275</v>
      </c>
      <c r="E434" s="1" t="s">
        <v>2276</v>
      </c>
      <c r="F434" s="1" t="s">
        <v>2277</v>
      </c>
      <c r="G434" s="1" t="s">
        <v>2278</v>
      </c>
      <c r="H434" s="1" t="str">
        <f>IFERROR(__xludf.DUMMYFUNCTION("GOOGLETRANSLATE(D434,""EN"",""JA"")"),"AUCLST 標準値（用量/体重別）")</f>
        <v>AUCLST 標準値（用量/体重別）</v>
      </c>
      <c r="I434" s="1" t="str">
        <f>IFERROR(__xludf.DUMMYFUNCTION("GOOGLETRANSLATE(E434,""EN"",""JA"")"),"体重あたりの投与量別の最後の非ゼロ濃度に対する AUC の標準値; 投与量/体重別の AUCLST 標準値")</f>
        <v>体重あたりの投与量別の最後の非ゼロ濃度に対する AUC の標準値; 投与量/体重別の AUCLST 標準値</v>
      </c>
      <c r="J434" s="1" t="str">
        <f>IFERROR(__xludf.DUMMYFUNCTION("GOOGLETRANSLATE(F434,""EN"",""JA"")"),"投与時から最後の測定可能な濃度までの曲線下面積 (AUC) を体重調整投与量で割ったもの。")</f>
        <v>投与時から最後の測定可能な濃度までの曲線下面積 (AUC) を体重調整投与量で割ったもの。</v>
      </c>
      <c r="K434" s="1" t="str">
        <f>IFERROR(__xludf.DUMMYFUNCTION("GOOGLETRANSLATE(G434,""EN"",""JA"")"),"投与から最終濃度までのAUC投与量（体重調整投与量で標準化）")</f>
        <v>投与から最終濃度までのAUC投与量（体重調整投与量で標準化）</v>
      </c>
    </row>
    <row r="435" ht="13.5" customHeight="1">
      <c r="A435" s="1" t="s">
        <v>870</v>
      </c>
      <c r="B435" s="1" t="s">
        <v>2279</v>
      </c>
      <c r="C435" s="1" t="s">
        <v>2280</v>
      </c>
      <c r="D435" s="1" t="s">
        <v>2281</v>
      </c>
      <c r="E435" s="1" t="s">
        <v>2281</v>
      </c>
      <c r="F435" s="1" t="s">
        <v>2282</v>
      </c>
      <c r="G435" s="1" t="s">
        <v>2283</v>
      </c>
      <c r="H435" s="1" t="str">
        <f>IFERROR(__xludf.DUMMYFUNCTION("GOOGLETRANSLATE(D435,""EN"",""JA"")"),"AUC から最後の非ゼロ濃度 LN への変換")</f>
        <v>AUC から最後の非ゼロ濃度 LN への変換</v>
      </c>
      <c r="I435" s="1" t="str">
        <f>IFERROR(__xludf.DUMMYFUNCTION("GOOGLETRANSLATE(E435,""EN"",""JA"")"),"AUC から最後の非ゼロ濃度 LN への変換")</f>
        <v>AUC から最後の非ゼロ濃度 LN への変換</v>
      </c>
      <c r="J435" s="1" t="str">
        <f>IFERROR(__xludf.DUMMYFUNCTION("GOOGLETRANSLATE(F435,""EN"",""JA"")"),"投与時から最後の測定可能な濃度までの曲線下面積 (AUC) を自然対数に変換したもの。")</f>
        <v>投与時から最後の測定可能な濃度までの曲線下面積 (AUC) を自然対数に変換したもの。</v>
      </c>
      <c r="K435" s="1" t="str">
        <f>IFERROR(__xludf.DUMMYFUNCTION("GOOGLETRANSLATE(G435,""EN"",""JA"")"),"投与から最終濃度までの曲線下面積（自然対数変換）")</f>
        <v>投与から最終濃度までの曲線下面積（自然対数変換）</v>
      </c>
    </row>
    <row r="436" ht="13.5" customHeight="1">
      <c r="A436" s="1" t="s">
        <v>870</v>
      </c>
      <c r="B436" s="1" t="s">
        <v>2284</v>
      </c>
      <c r="C436" s="1" t="s">
        <v>2285</v>
      </c>
      <c r="D436" s="1" t="s">
        <v>2286</v>
      </c>
      <c r="E436" s="1" t="s">
        <v>2286</v>
      </c>
      <c r="F436" s="1" t="s">
        <v>2287</v>
      </c>
      <c r="G436" s="1" t="s">
        <v>2288</v>
      </c>
      <c r="H436" s="1" t="str">
        <f>IFERROR(__xludf.DUMMYFUNCTION("GOOGLETRANSLATE(D436,""EN"",""JA"")"),"SAによる最後の非ゼロ濃度ノルムへのAUC")</f>
        <v>SAによる最後の非ゼロ濃度ノルムへのAUC</v>
      </c>
      <c r="I436" s="1" t="str">
        <f>IFERROR(__xludf.DUMMYFUNCTION("GOOGLETRANSLATE(E436,""EN"",""JA"")"),"SAによる最後の非ゼロ濃度ノルムへのAUC")</f>
        <v>SAによる最後の非ゼロ濃度ノルムへのAUC</v>
      </c>
      <c r="J436" s="1" t="str">
        <f>IFERROR(__xludf.DUMMYFUNCTION("GOOGLETRANSLATE(F436,""EN"",""JA"")"),"投与時から最後の測定可能な濃度までの曲線下面積 (AUC) を表面積で割ったもの。")</f>
        <v>投与時から最後の測定可能な濃度までの曲線下面積 (AUC) を表面積で割ったもの。</v>
      </c>
      <c r="K436" s="1" t="str">
        <f>IFERROR(__xludf.DUMMYFUNCTION("GOOGLETRANSLATE(G436,""EN"",""JA"")"),"体表面積で正規化された最終濃度までのAUC投与量")</f>
        <v>体表面積で正規化された最終濃度までのAUC投与量</v>
      </c>
    </row>
    <row r="437" ht="13.5" customHeight="1">
      <c r="A437" s="1" t="s">
        <v>870</v>
      </c>
      <c r="B437" s="1" t="s">
        <v>2289</v>
      </c>
      <c r="C437" s="1" t="s">
        <v>2290</v>
      </c>
      <c r="D437" s="1" t="s">
        <v>2291</v>
      </c>
      <c r="E437" s="1" t="s">
        <v>2291</v>
      </c>
      <c r="F437" s="1" t="s">
        <v>2292</v>
      </c>
      <c r="G437" s="1" t="s">
        <v>2293</v>
      </c>
      <c r="H437" s="1" t="str">
        <f>IFERROR(__xludf.DUMMYFUNCTION("GOOGLETRANSLATE(D437,""EN"",""JA"")"),"最後の非ゼロ濃度までのAUC、非結合薬物")</f>
        <v>最後の非ゼロ濃度までのAUC、非結合薬物</v>
      </c>
      <c r="I437" s="1" t="str">
        <f>IFERROR(__xludf.DUMMYFUNCTION("GOOGLETRANSLATE(E437,""EN"",""JA"")"),"最後の非ゼロ濃度までのAUC、非結合薬物")</f>
        <v>最後の非ゼロ濃度までのAUC、非結合薬物</v>
      </c>
      <c r="J437" s="1" t="str">
        <f>IFERROR(__xludf.DUMMYFUNCTION("GOOGLETRANSLATE(F437,""EN"",""JA"")"),"投与時から最後の測定可能な濃度までの曲線下面積 (AUC) の部分で、薬物の非結合分率によって表されます。")</f>
        <v>投与時から最後の測定可能な濃度までの曲線下面積 (AUC) の部分で、薬物の非結合分率によって表されます。</v>
      </c>
      <c r="K437" s="1" t="str">
        <f>IFERROR(__xludf.DUMMYFUNCTION("GOOGLETRANSLATE(G437,""EN"",""JA"")"),"投与から非結合薬物の最終濃度までの曲線下面積")</f>
        <v>投与から非結合薬物の最終濃度までの曲線下面積</v>
      </c>
    </row>
    <row r="438" ht="13.5" customHeight="1">
      <c r="A438" s="1" t="s">
        <v>870</v>
      </c>
      <c r="B438" s="1" t="s">
        <v>2294</v>
      </c>
      <c r="C438" s="1" t="s">
        <v>2295</v>
      </c>
      <c r="D438" s="1" t="s">
        <v>2296</v>
      </c>
      <c r="E438" s="1" t="s">
        <v>2296</v>
      </c>
      <c r="F438" s="1" t="s">
        <v>2297</v>
      </c>
      <c r="G438" s="1" t="s">
        <v>2298</v>
      </c>
      <c r="H438" s="1" t="str">
        <f>IFERROR(__xludf.DUMMYFUNCTION("GOOGLETRANSLATE(D438,""EN"",""JA"")"),"WTによる最後の非ゼロ濃度ノルムへのAUC")</f>
        <v>WTによる最後の非ゼロ濃度ノルムへのAUC</v>
      </c>
      <c r="I438" s="1" t="str">
        <f>IFERROR(__xludf.DUMMYFUNCTION("GOOGLETRANSLATE(E438,""EN"",""JA"")"),"WTによる最後の非ゼロ濃度ノルムへのAUC")</f>
        <v>WTによる最後の非ゼロ濃度ノルムへのAUC</v>
      </c>
      <c r="J438" s="1" t="str">
        <f>IFERROR(__xludf.DUMMYFUNCTION("GOOGLETRANSLATE(F438,""EN"",""JA"")"),"投与時から最後の測定可能な濃度までの曲線下面積（AUC）を体重で割ったもの。")</f>
        <v>投与時から最後の測定可能な濃度までの曲線下面積（AUC）を体重で割ったもの。</v>
      </c>
      <c r="K438" s="1" t="str">
        <f>IFERROR(__xludf.DUMMYFUNCTION("GOOGLETRANSLATE(G438,""EN"",""JA"")"),"体重で標準化した最終濃度までのAUC投与量")</f>
        <v>体重で標準化した最終濃度までのAUC投与量</v>
      </c>
    </row>
    <row r="439" ht="13.5" customHeight="1">
      <c r="A439" s="1" t="s">
        <v>870</v>
      </c>
      <c r="B439" s="1" t="s">
        <v>2299</v>
      </c>
      <c r="C439" s="1" t="s">
        <v>2300</v>
      </c>
      <c r="D439" s="1" t="s">
        <v>2301</v>
      </c>
      <c r="E439" s="1" t="s">
        <v>2301</v>
      </c>
      <c r="F439" s="1" t="s">
        <v>2302</v>
      </c>
      <c r="G439" s="1" t="s">
        <v>2303</v>
      </c>
      <c r="H439" s="1" t="str">
        <f>IFERROR(__xludf.DUMMYFUNCTION("GOOGLETRANSLATE(D439,""EN"",""JA"")"),"AUC %バック外挿観測")</f>
        <v>AUC %バック外挿観測</v>
      </c>
      <c r="I439" s="1" t="str">
        <f>IFERROR(__xludf.DUMMYFUNCTION("GOOGLETRANSLATE(E439,""EN"",""JA"")"),"AUC %バック外挿観測")</f>
        <v>AUC %バック外挿観測</v>
      </c>
      <c r="J439" s="1" t="str">
        <f>IFERROR(__xludf.DUMMYFUNCTION("GOOGLETRANSLATE(F439,""EN"",""JA"")"),"血管内ボーラス投与にのみ適用されます。最初の測定濃度値からゼロ時点の濃度値に外挿した曲線下面積（AUC）を、無限大に外挿した曲線下面積の割合として表します。")</f>
        <v>血管内ボーラス投与にのみ適用されます。最初の測定濃度値からゼロ時点の濃度値に外挿した曲線下面積（AUC）を、無限大に外挿した曲線下面積の割合として表します。</v>
      </c>
      <c r="K439" s="1" t="str">
        <f>IFERROR(__xludf.DUMMYFUNCTION("GOOGLETRANSLATE(G439,""EN"",""JA"")"),"観測された曲線下面積パーセント逆外挿")</f>
        <v>観測された曲線下面積パーセント逆外挿</v>
      </c>
    </row>
    <row r="440" ht="13.5" customHeight="1">
      <c r="A440" s="1" t="s">
        <v>870</v>
      </c>
      <c r="B440" s="1" t="s">
        <v>2304</v>
      </c>
      <c r="C440" s="1" t="s">
        <v>2305</v>
      </c>
      <c r="D440" s="1" t="s">
        <v>2306</v>
      </c>
      <c r="E440" s="1" t="s">
        <v>2306</v>
      </c>
      <c r="F440" s="1" t="s">
        <v>2302</v>
      </c>
      <c r="G440" s="1" t="s">
        <v>2307</v>
      </c>
      <c r="H440" s="1" t="str">
        <f>IFERROR(__xludf.DUMMYFUNCTION("GOOGLETRANSLATE(D440,""EN"",""JA"")"),"AUC %バック外挿予測")</f>
        <v>AUC %バック外挿予測</v>
      </c>
      <c r="I440" s="1" t="str">
        <f>IFERROR(__xludf.DUMMYFUNCTION("GOOGLETRANSLATE(E440,""EN"",""JA"")"),"AUC %バック外挿予測")</f>
        <v>AUC %バック外挿予測</v>
      </c>
      <c r="J440" s="1" t="str">
        <f>IFERROR(__xludf.DUMMYFUNCTION("GOOGLETRANSLATE(F440,""EN"",""JA"")"),"血管内ボーラス投与にのみ適用されます。最初の測定濃度値からゼロ時点の濃度値に外挿した曲線下面積（AUC）を、無限大に外挿した曲線下面積の割合として表します。")</f>
        <v>血管内ボーラス投与にのみ適用されます。最初の測定濃度値からゼロ時点の濃度値に外挿した曲線下面積（AUC）を、無限大に外挿した曲線下面積の割合として表します。</v>
      </c>
      <c r="K440" s="1" t="str">
        <f>IFERROR(__xludf.DUMMYFUNCTION("GOOGLETRANSLATE(G440,""EN"",""JA"")"),"予測曲線下面積パーセント逆外挿")</f>
        <v>予測曲線下面積パーセント逆外挿</v>
      </c>
    </row>
    <row r="441" ht="13.5" customHeight="1">
      <c r="A441" s="1" t="s">
        <v>870</v>
      </c>
      <c r="B441" s="1" t="s">
        <v>2308</v>
      </c>
      <c r="C441" s="1" t="s">
        <v>2309</v>
      </c>
      <c r="D441" s="1" t="s">
        <v>2310</v>
      </c>
      <c r="E441" s="1" t="s">
        <v>2310</v>
      </c>
      <c r="F441" s="1" t="s">
        <v>2311</v>
      </c>
      <c r="G441" s="1" t="s">
        <v>2312</v>
      </c>
      <c r="H441" s="1" t="str">
        <f>IFERROR(__xludf.DUMMYFUNCTION("GOOGLETRANSLATE(D441,""EN"",""JA"")"),"AUC %外挿観測")</f>
        <v>AUC %外挿観測</v>
      </c>
      <c r="I441" s="1" t="str">
        <f>IFERROR(__xludf.DUMMYFUNCTION("GOOGLETRANSLATE(E441,""EN"",""JA"")"),"AUC %外挿観測")</f>
        <v>AUC %外挿観測</v>
      </c>
      <c r="J441" s="1" t="str">
        <f>IFERROR(__xludf.DUMMYFUNCTION("GOOGLETRANSLATE(F441,""EN"",""JA"")"),"最後に観測されたゼロ以外の濃度値から無限大までの曲線下面積 (AUC) を、無限大まで外挿した曲線下面積のパーセンテージで表したものです。")</f>
        <v>最後に観測されたゼロ以外の濃度値から無限大までの曲線下面積 (AUC) を、無限大まで外挿した曲線下面積のパーセンテージで表したものです。</v>
      </c>
      <c r="K441" s="1" t="str">
        <f>IFERROR(__xludf.DUMMYFUNCTION("GOOGLETRANSLATE(G441,""EN"",""JA"")"),"観測された曲線下面積パーセント外挿")</f>
        <v>観測された曲線下面積パーセント外挿</v>
      </c>
    </row>
    <row r="442" ht="13.5" customHeight="1">
      <c r="A442" s="1" t="s">
        <v>870</v>
      </c>
      <c r="B442" s="1" t="s">
        <v>2313</v>
      </c>
      <c r="C442" s="1" t="s">
        <v>2314</v>
      </c>
      <c r="D442" s="1" t="s">
        <v>2315</v>
      </c>
      <c r="E442" s="1" t="s">
        <v>2315</v>
      </c>
      <c r="F442" s="1" t="s">
        <v>2316</v>
      </c>
      <c r="G442" s="1" t="s">
        <v>2317</v>
      </c>
      <c r="H442" s="1" t="str">
        <f>IFERROR(__xludf.DUMMYFUNCTION("GOOGLETRANSLATE(D442,""EN"",""JA"")"),"AUC %外挿予測")</f>
        <v>AUC %外挿予測</v>
      </c>
      <c r="I442" s="1" t="str">
        <f>IFERROR(__xludf.DUMMYFUNCTION("GOOGLETRANSLATE(E442,""EN"",""JA"")"),"AUC %外挿予測")</f>
        <v>AUC %外挿予測</v>
      </c>
      <c r="J442" s="1" t="str">
        <f>IFERROR(__xludf.DUMMYFUNCTION("GOOGLETRANSLATE(F442,""EN"",""JA"")"),"最後に予測されたゼロ以外の濃度値から無限大までの曲線下面積 (AUC) を、無限大まで外挿した曲線下面積のパーセンテージで表したものです。")</f>
        <v>最後に予測されたゼロ以外の濃度値から無限大までの曲線下面積 (AUC) を、無限大まで外挿した曲線下面積のパーセンテージで表したものです。</v>
      </c>
      <c r="K442" s="1" t="str">
        <f>IFERROR(__xludf.DUMMYFUNCTION("GOOGLETRANSLATE(G442,""EN"",""JA"")"),"予測曲線下面積パーセント外挿")</f>
        <v>予測曲線下面積パーセント外挿</v>
      </c>
    </row>
    <row r="443" ht="13.5" customHeight="1">
      <c r="A443" s="1" t="s">
        <v>870</v>
      </c>
      <c r="B443" s="1" t="s">
        <v>2318</v>
      </c>
      <c r="C443" s="1" t="s">
        <v>2319</v>
      </c>
      <c r="D443" s="1" t="s">
        <v>2320</v>
      </c>
      <c r="E443" s="1" t="s">
        <v>2320</v>
      </c>
      <c r="F443" s="1" t="s">
        <v>2321</v>
      </c>
      <c r="G443" s="1" t="s">
        <v>2322</v>
      </c>
      <c r="H443" s="1" t="str">
        <f>IFERROR(__xludf.DUMMYFUNCTION("GOOGLETRANSLATE(D443,""EN"",""JA"")"),"AUC過剰投与間隔")</f>
        <v>AUC過剰投与間隔</v>
      </c>
      <c r="I443" s="1" t="str">
        <f>IFERROR(__xludf.DUMMYFUNCTION("GOOGLETRANSLATE(E443,""EN"",""JA"")"),"AUC過剰投与間隔")</f>
        <v>AUC過剰投与間隔</v>
      </c>
      <c r="J443" s="1" t="str">
        <f>IFERROR(__xludf.DUMMYFUNCTION("GOOGLETRANSLATE(F443,""EN"",""JA"")"),"定義された投与間隔（TAU）の曲線下面積（AUC）。")</f>
        <v>定義された投与間隔（TAU）の曲線下面積（AUC）。</v>
      </c>
      <c r="K443" s="1" t="str">
        <f>IFERROR(__xludf.DUMMYFUNCTION("GOOGLETRANSLATE(G443,""EN"",""JA"")"),"投与間隔中の曲線下面積")</f>
        <v>投与間隔中の曲線下面積</v>
      </c>
    </row>
    <row r="444" ht="13.5" customHeight="1">
      <c r="A444" s="1" t="s">
        <v>870</v>
      </c>
      <c r="B444" s="1" t="s">
        <v>2323</v>
      </c>
      <c r="C444" s="1" t="s">
        <v>2324</v>
      </c>
      <c r="D444" s="1" t="s">
        <v>2325</v>
      </c>
      <c r="E444" s="1" t="s">
        <v>2325</v>
      </c>
      <c r="F444" s="1" t="s">
        <v>2326</v>
      </c>
      <c r="G444" s="1" t="s">
        <v>2327</v>
      </c>
      <c r="H444" s="1" t="str">
        <f>IFERROR(__xludf.DUMMYFUNCTION("GOOGLETRANSLATE(D444,""EN"",""JA"")"),"BMIによるAUC過剰投与間隔基準")</f>
        <v>BMIによるAUC過剰投与間隔基準</v>
      </c>
      <c r="I444" s="1" t="str">
        <f>IFERROR(__xludf.DUMMYFUNCTION("GOOGLETRANSLATE(E444,""EN"",""JA"")"),"BMIによるAUC過剰投与間隔基準")</f>
        <v>BMIによるAUC過剰投与間隔基準</v>
      </c>
      <c r="J444" s="1" t="str">
        <f>IFERROR(__xludf.DUMMYFUNCTION("GOOGLETRANSLATE(F444,""EN"",""JA"")"),"定義された投与間隔（TAU）の曲線下面積（AUC）をボディマス指数で割ったもの。")</f>
        <v>定義された投与間隔（TAU）の曲線下面積（AUC）をボディマス指数で割ったもの。</v>
      </c>
      <c r="K444" s="1" t="str">
        <f>IFERROR(__xludf.DUMMYFUNCTION("GOOGLETRANSLATE(G444,""EN"",""JA"")"),"ボディマス指数で標準化したAUC過剰投与間隔")</f>
        <v>ボディマス指数で標準化したAUC過剰投与間隔</v>
      </c>
    </row>
    <row r="445" ht="13.5" customHeight="1">
      <c r="A445" s="1" t="s">
        <v>870</v>
      </c>
      <c r="B445" s="1" t="s">
        <v>2328</v>
      </c>
      <c r="C445" s="1" t="s">
        <v>2329</v>
      </c>
      <c r="D445" s="1" t="s">
        <v>2330</v>
      </c>
      <c r="E445" s="1" t="s">
        <v>2330</v>
      </c>
      <c r="F445" s="1" t="s">
        <v>2331</v>
      </c>
      <c r="G445" s="1" t="s">
        <v>2332</v>
      </c>
      <c r="H445" s="1" t="str">
        <f>IFERROR(__xludf.DUMMYFUNCTION("GOOGLETRANSLATE(D445,""EN"",""JA"")"),"投与間隔を超えたAUCの用量別標準値")</f>
        <v>投与間隔を超えたAUCの用量別標準値</v>
      </c>
      <c r="I445" s="1" t="str">
        <f>IFERROR(__xludf.DUMMYFUNCTION("GOOGLETRANSLATE(E445,""EN"",""JA"")"),"投与間隔を超えたAUCの用量別標準値")</f>
        <v>投与間隔を超えたAUCの用量別標準値</v>
      </c>
      <c r="J445" s="1" t="str">
        <f>IFERROR(__xludf.DUMMYFUNCTION("GOOGLETRANSLATE(F445,""EN"",""JA"")"),"定義された投与間隔（TAU）の曲線下面積（AUC）を投与量で割ったもの。")</f>
        <v>定義された投与間隔（TAU）の曲線下面積（AUC）を投与量で割ったもの。</v>
      </c>
      <c r="K445" s="1" t="str">
        <f>IFERROR(__xludf.DUMMYFUNCTION("GOOGLETRANSLATE(G445,""EN"",""JA"")"),"投与量で正規化された投与間隔中のAUC")</f>
        <v>投与量で正規化された投与間隔中のAUC</v>
      </c>
    </row>
    <row r="446" ht="13.5" customHeight="1">
      <c r="A446" s="1" t="s">
        <v>870</v>
      </c>
      <c r="B446" s="1" t="s">
        <v>2333</v>
      </c>
      <c r="C446" s="1" t="s">
        <v>2334</v>
      </c>
      <c r="D446" s="1" t="s">
        <v>2335</v>
      </c>
      <c r="E446" s="1" t="s">
        <v>2336</v>
      </c>
      <c r="F446" s="1" t="s">
        <v>2337</v>
      </c>
      <c r="G446" s="1" t="s">
        <v>2338</v>
      </c>
      <c r="H446" s="1" t="str">
        <f>IFERROR(__xludf.DUMMYFUNCTION("GOOGLETRANSLATE(D446,""EN"",""JA"")"),"AUCTAU 標準値（用量/体重別）")</f>
        <v>AUCTAU 標準値（用量/体重別）</v>
      </c>
      <c r="I446" s="1" t="str">
        <f>IFERROR(__xludf.DUMMYFUNCTION("GOOGLETRANSLATE(E446,""EN"",""JA"")"),"AUC 投与間隔超過基準（体重当たり投与量別）; AUCTAU 基準（体重当たり投与量別）")</f>
        <v>AUC 投与間隔超過基準（体重当たり投与量別）; AUCTAU 基準（体重当たり投与量別）</v>
      </c>
      <c r="J446" s="1" t="str">
        <f>IFERROR(__xludf.DUMMYFUNCTION("GOOGLETRANSLATE(F446,""EN"",""JA"")"),"定義された投与間隔（TAU）の曲線下面積（AUC）を体重調整投与量で割ったもの。")</f>
        <v>定義された投与間隔（TAU）の曲線下面積（AUC）を体重調整投与量で割ったもの。</v>
      </c>
      <c r="K446" s="1" t="str">
        <f>IFERROR(__xludf.DUMMYFUNCTION("GOOGLETRANSLATE(G446,""EN"",""JA"")"),"体重調整投与量で標準化した投与間隔超過時のAUC")</f>
        <v>体重調整投与量で標準化した投与間隔超過時のAUC</v>
      </c>
    </row>
    <row r="447" ht="13.5" customHeight="1">
      <c r="A447" s="1" t="s">
        <v>870</v>
      </c>
      <c r="B447" s="1" t="s">
        <v>2339</v>
      </c>
      <c r="C447" s="1" t="s">
        <v>2340</v>
      </c>
      <c r="D447" s="1" t="s">
        <v>2341</v>
      </c>
      <c r="E447" s="1" t="s">
        <v>2341</v>
      </c>
      <c r="F447" s="1" t="s">
        <v>2342</v>
      </c>
      <c r="G447" s="1" t="s">
        <v>2343</v>
      </c>
      <c r="H447" s="1" t="str">
        <f>IFERROR(__xludf.DUMMYFUNCTION("GOOGLETRANSLATE(D447,""EN"",""JA"")"),"SAによるAUC過剰投与間隔基準")</f>
        <v>SAによるAUC過剰投与間隔基準</v>
      </c>
      <c r="I447" s="1" t="str">
        <f>IFERROR(__xludf.DUMMYFUNCTION("GOOGLETRANSLATE(E447,""EN"",""JA"")"),"SAによるAUC過剰投与間隔基準")</f>
        <v>SAによるAUC過剰投与間隔基準</v>
      </c>
      <c r="J447" s="1" t="str">
        <f>IFERROR(__xludf.DUMMYFUNCTION("GOOGLETRANSLATE(F447,""EN"",""JA"")"),"定義された投与間隔（TAU）の曲線下面積（AUC）を表面積で割ったもの。")</f>
        <v>定義された投与間隔（TAU）の曲線下面積（AUC）を表面積で割ったもの。</v>
      </c>
      <c r="K447" s="1" t="str">
        <f>IFERROR(__xludf.DUMMYFUNCTION("GOOGLETRANSLATE(G447,""EN"",""JA"")"),"AUC過剰投与間隔（体表面積で正規化）")</f>
        <v>AUC過剰投与間隔（体表面積で正規化）</v>
      </c>
    </row>
    <row r="448" ht="13.5" customHeight="1">
      <c r="A448" s="1" t="s">
        <v>870</v>
      </c>
      <c r="B448" s="1" t="s">
        <v>2344</v>
      </c>
      <c r="C448" s="1" t="s">
        <v>2345</v>
      </c>
      <c r="D448" s="1" t="s">
        <v>2346</v>
      </c>
      <c r="E448" s="1" t="s">
        <v>2346</v>
      </c>
      <c r="F448" s="1" t="s">
        <v>2347</v>
      </c>
      <c r="G448" s="1" t="s">
        <v>2348</v>
      </c>
      <c r="H448" s="1" t="str">
        <f>IFERROR(__xludf.DUMMYFUNCTION("GOOGLETRANSLATE(D448,""EN"",""JA"")"),"WTによるAUC過剰投与間隔基準")</f>
        <v>WTによるAUC過剰投与間隔基準</v>
      </c>
      <c r="I448" s="1" t="str">
        <f>IFERROR(__xludf.DUMMYFUNCTION("GOOGLETRANSLATE(E448,""EN"",""JA"")"),"WTによるAUC過剰投与間隔基準")</f>
        <v>WTによるAUC過剰投与間隔基準</v>
      </c>
      <c r="J448" s="1" t="str">
        <f>IFERROR(__xludf.DUMMYFUNCTION("GOOGLETRANSLATE(F448,""EN"",""JA"")"),"定義された投与間隔（TAU）の曲線下面積（AUC）を体重で割ったもの。")</f>
        <v>定義された投与間隔（TAU）の曲線下面積（AUC）を体重で割ったもの。</v>
      </c>
      <c r="K448" s="1" t="str">
        <f>IFERROR(__xludf.DUMMYFUNCTION("GOOGLETRANSLATE(G448,""EN"",""JA"")"),"体重で標準化した投与間隔超過AUC")</f>
        <v>体重で標準化した投与間隔超過AUC</v>
      </c>
    </row>
    <row r="449" ht="13.5" customHeight="1">
      <c r="A449" s="1" t="s">
        <v>11</v>
      </c>
      <c r="B449" s="1" t="s">
        <v>2349</v>
      </c>
      <c r="C449" s="1" t="s">
        <v>2350</v>
      </c>
      <c r="D449" s="1" t="s">
        <v>2351</v>
      </c>
      <c r="E449" s="1" t="s">
        <v>2351</v>
      </c>
      <c r="F449" s="1" t="s">
        <v>2352</v>
      </c>
      <c r="G449" s="1" t="s">
        <v>2353</v>
      </c>
      <c r="H449" s="1" t="str">
        <f>IFERROR(__xludf.DUMMYFUNCTION("GOOGLETRANSLATE(D449,""EN"",""JA"")"),"アウアーロッド")</f>
        <v>アウアーロッド</v>
      </c>
      <c r="I449" s="1" t="str">
        <f>IFERROR(__xludf.DUMMYFUNCTION("GOOGLETRANSLATE(E449,""EN"",""JA"")"),"アウアーロッド")</f>
        <v>アウアーロッド</v>
      </c>
      <c r="J449" s="1" t="str">
        <f>IFERROR(__xludf.DUMMYFUNCTION("GOOGLETRANSLATE(F449,""EN"",""JA"")"),"生物標本中のアウアー小体（白血病芽球の細胞質に見られ、アズール顆粒物質の塊によって形成される細長い針状構造）の測定。")</f>
        <v>生物標本中のアウアー小体（白血病芽球の細胞質に見られ、アズール顆粒物質の塊によって形成される細長い針状構造）の測定。</v>
      </c>
      <c r="K449" s="1" t="str">
        <f>IFERROR(__xludf.DUMMYFUNCTION("GOOGLETRANSLATE(G449,""EN"",""JA"")"),"アウアーロッド測定")</f>
        <v>アウアーロッド測定</v>
      </c>
    </row>
    <row r="450" ht="13.5" customHeight="1">
      <c r="A450" s="1" t="s">
        <v>870</v>
      </c>
      <c r="B450" s="1" t="s">
        <v>2354</v>
      </c>
      <c r="C450" s="1" t="s">
        <v>2355</v>
      </c>
      <c r="D450" s="1" t="s">
        <v>2356</v>
      </c>
      <c r="E450" s="1" t="s">
        <v>2356</v>
      </c>
      <c r="F450" s="1" t="s">
        <v>2357</v>
      </c>
      <c r="G450" s="1" t="s">
        <v>2358</v>
      </c>
      <c r="H450" s="1" t="str">
        <f>IFERROR(__xludf.DUMMYFUNCTION("GOOGLETRANSLATE(D450,""EN"",""JA"")"),"AUMCインフィニティ観測")</f>
        <v>AUMCインフィニティ観測</v>
      </c>
      <c r="I450" s="1" t="str">
        <f>IFERROR(__xludf.DUMMYFUNCTION("GOOGLETRANSLATE(E450,""EN"",""JA"")"),"AUMCインフィニティ観測")</f>
        <v>AUMCインフィニティ観測</v>
      </c>
      <c r="J450" s="1" t="str">
        <f>IFERROR(__xludf.DUMMYFUNCTION("GOOGLETRANSLATE(F450,""EN"",""JA"")"),"最後のゼロ以外の濃度の観測値を使用して計算された、無限大に外挿されたモーメント曲線の下の領域 (AUMC)。")</f>
        <v>最後のゼロ以外の濃度の観測値を使用して計算された、無限大に外挿されたモーメント曲線の下の領域 (AUMC)。</v>
      </c>
      <c r="K450" s="1" t="str">
        <f>IFERROR(__xludf.DUMMYFUNCTION("GOOGLETRANSLATE(G450,""EN"",""JA"")"),"第一モーメント曲線の無限大下の観測領域")</f>
        <v>第一モーメント曲線の無限大下の観測領域</v>
      </c>
    </row>
    <row r="451" ht="13.5" customHeight="1">
      <c r="A451" s="1" t="s">
        <v>870</v>
      </c>
      <c r="B451" s="1" t="s">
        <v>2359</v>
      </c>
      <c r="C451" s="1" t="s">
        <v>2360</v>
      </c>
      <c r="D451" s="1" t="s">
        <v>2361</v>
      </c>
      <c r="E451" s="1" t="s">
        <v>2361</v>
      </c>
      <c r="F451" s="1" t="s">
        <v>2362</v>
      </c>
      <c r="G451" s="1" t="s">
        <v>2363</v>
      </c>
      <c r="H451" s="1" t="str">
        <f>IFERROR(__xludf.DUMMYFUNCTION("GOOGLETRANSLATE(D451,""EN"",""JA"")"),"AUMC 無限大観測標準値（BMI による）")</f>
        <v>AUMC 無限大観測標準値（BMI による）</v>
      </c>
      <c r="I451" s="1" t="str">
        <f>IFERROR(__xludf.DUMMYFUNCTION("GOOGLETRANSLATE(E451,""EN"",""JA"")"),"AUMC 無限大観測標準値（BMI による）")</f>
        <v>AUMC 無限大観測標準値（BMI による）</v>
      </c>
      <c r="J451" s="1" t="str">
        <f>IFERROR(__xludf.DUMMYFUNCTION("GOOGLETRANSLATE(F451,""EN"",""JA"")"),"最後の非ゼロ濃度の観測値を使用して計算され、ボディマス指数で割った、無限大に外挿されたモーメント曲線下面積 (AUMC)。")</f>
        <v>最後の非ゼロ濃度の観測値を使用して計算され、ボディマス指数で割った、無限大に外挿されたモーメント曲線下面積 (AUMC)。</v>
      </c>
      <c r="K451" s="1" t="str">
        <f>IFERROR(__xludf.DUMMYFUNCTION("GOOGLETRANSLATE(G451,""EN"",""JA"")"),"AUMC無限大観測（BMIで正規化）")</f>
        <v>AUMC無限大観測（BMIで正規化）</v>
      </c>
    </row>
    <row r="452" ht="13.5" customHeight="1">
      <c r="A452" s="1" t="s">
        <v>870</v>
      </c>
      <c r="B452" s="1" t="s">
        <v>2364</v>
      </c>
      <c r="C452" s="1" t="s">
        <v>2365</v>
      </c>
      <c r="D452" s="1" t="s">
        <v>2366</v>
      </c>
      <c r="E452" s="1" t="s">
        <v>2366</v>
      </c>
      <c r="F452" s="1" t="s">
        <v>2367</v>
      </c>
      <c r="G452" s="1" t="s">
        <v>2368</v>
      </c>
      <c r="H452" s="1" t="str">
        <f>IFERROR(__xludf.DUMMYFUNCTION("GOOGLETRANSLATE(D452,""EN"",""JA"")"),"AUMC 無限大観測標準値（線量別）")</f>
        <v>AUMC 無限大観測標準値（線量別）</v>
      </c>
      <c r="I452" s="1" t="str">
        <f>IFERROR(__xludf.DUMMYFUNCTION("GOOGLETRANSLATE(E452,""EN"",""JA"")"),"AUMC 無限大観測標準値（線量別）")</f>
        <v>AUMC 無限大観測標準値（線量別）</v>
      </c>
      <c r="J452" s="1" t="str">
        <f>IFERROR(__xludf.DUMMYFUNCTION("GOOGLETRANSLATE(F452,""EN"",""JA"")"),"最後の非ゼロ濃度の観測値を使用して計算され、投与量で割った、無限大に外挿されたモーメント曲線下面積 (AUMC)。")</f>
        <v>最後の非ゼロ濃度の観測値を使用して計算され、投与量で割った、無限大に外挿されたモーメント曲線下面積 (AUMC)。</v>
      </c>
      <c r="K452" s="1" t="str">
        <f>IFERROR(__xludf.DUMMYFUNCTION("GOOGLETRANSLATE(G452,""EN"",""JA"")"),"AUMC無限大観測（線量で正規化）")</f>
        <v>AUMC無限大観測（線量で正規化）</v>
      </c>
    </row>
    <row r="453" ht="13.5" customHeight="1">
      <c r="A453" s="1" t="s">
        <v>870</v>
      </c>
      <c r="B453" s="1" t="s">
        <v>2369</v>
      </c>
      <c r="C453" s="1" t="s">
        <v>2370</v>
      </c>
      <c r="D453" s="1" t="s">
        <v>2371</v>
      </c>
      <c r="E453" s="1" t="s">
        <v>2371</v>
      </c>
      <c r="F453" s="1" t="s">
        <v>2372</v>
      </c>
      <c r="G453" s="1" t="s">
        <v>2373</v>
      </c>
      <c r="H453" s="1" t="str">
        <f>IFERROR(__xludf.DUMMYFUNCTION("GOOGLETRANSLATE(D453,""EN"",""JA"")"),"AUMC 無限観測標準（SA による）")</f>
        <v>AUMC 無限観測標準（SA による）</v>
      </c>
      <c r="I453" s="1" t="str">
        <f>IFERROR(__xludf.DUMMYFUNCTION("GOOGLETRANSLATE(E453,""EN"",""JA"")"),"AUMC 無限観測標準（SA による）")</f>
        <v>AUMC 無限観測標準（SA による）</v>
      </c>
      <c r="J453" s="1" t="str">
        <f>IFERROR(__xludf.DUMMYFUNCTION("GOOGLETRANSLATE(F453,""EN"",""JA"")"),"最後のゼロ以外の濃度の観測値を使用して計算され、表面積で割った、無限大に外挿されたモーメント曲線の下の面積 (AUMC)。")</f>
        <v>最後のゼロ以外の濃度の観測値を使用して計算され、表面積で割った、無限大に外挿されたモーメント曲線の下の面積 (AUMC)。</v>
      </c>
      <c r="K453" s="1" t="str">
        <f>IFERROR(__xludf.DUMMYFUNCTION("GOOGLETRANSLATE(G453,""EN"",""JA"")"),"AUMC無限大観測値（表面積で正規化）")</f>
        <v>AUMC無限大観測値（表面積で正規化）</v>
      </c>
    </row>
    <row r="454" ht="13.5" customHeight="1">
      <c r="A454" s="1" t="s">
        <v>870</v>
      </c>
      <c r="B454" s="1" t="s">
        <v>2374</v>
      </c>
      <c r="C454" s="1" t="s">
        <v>2375</v>
      </c>
      <c r="D454" s="1" t="s">
        <v>2376</v>
      </c>
      <c r="E454" s="1" t="s">
        <v>2376</v>
      </c>
      <c r="F454" s="1" t="s">
        <v>2377</v>
      </c>
      <c r="G454" s="1" t="s">
        <v>2378</v>
      </c>
      <c r="H454" s="1" t="str">
        <f>IFERROR(__xludf.DUMMYFUNCTION("GOOGLETRANSLATE(D454,""EN"",""JA"")"),"AUMC 無限観測ノルム（WT による）")</f>
        <v>AUMC 無限観測ノルム（WT による）</v>
      </c>
      <c r="I454" s="1" t="str">
        <f>IFERROR(__xludf.DUMMYFUNCTION("GOOGLETRANSLATE(E454,""EN"",""JA"")"),"AUMC 無限観測ノルム（WT による）")</f>
        <v>AUMC 無限観測ノルム（WT による）</v>
      </c>
      <c r="J454" s="1" t="str">
        <f>IFERROR(__xludf.DUMMYFUNCTION("GOOGLETRANSLATE(F454,""EN"",""JA"")"),"最後のゼロ以外の濃度の観測値を使用して計算され、重量で割った、無限大に外挿されたモーメント曲線の下の領域 (AUMC)。")</f>
        <v>最後のゼロ以外の濃度の観測値を使用して計算され、重量で割った、無限大に外挿されたモーメント曲線の下の領域 (AUMC)。</v>
      </c>
      <c r="K454" s="1" t="str">
        <f>IFERROR(__xludf.DUMMYFUNCTION("GOOGLETRANSLATE(G454,""EN"",""JA"")"),"AUMC無限大観測値（重量で正規化）")</f>
        <v>AUMC無限大観測値（重量で正規化）</v>
      </c>
    </row>
    <row r="455" ht="13.5" customHeight="1">
      <c r="A455" s="1" t="s">
        <v>870</v>
      </c>
      <c r="B455" s="1" t="s">
        <v>2379</v>
      </c>
      <c r="C455" s="1" t="s">
        <v>2380</v>
      </c>
      <c r="D455" s="1" t="s">
        <v>2381</v>
      </c>
      <c r="E455" s="1" t="s">
        <v>2381</v>
      </c>
      <c r="F455" s="1" t="s">
        <v>2382</v>
      </c>
      <c r="G455" s="1" t="s">
        <v>2383</v>
      </c>
      <c r="H455" s="1" t="str">
        <f>IFERROR(__xludf.DUMMYFUNCTION("GOOGLETRANSLATE(D455,""EN"",""JA"")"),"AUMCインフィニティプレッド")</f>
        <v>AUMCインフィニティプレッド</v>
      </c>
      <c r="I455" s="1" t="str">
        <f>IFERROR(__xludf.DUMMYFUNCTION("GOOGLETRANSLATE(E455,""EN"",""JA"")"),"AUMCインフィニティプレッド")</f>
        <v>AUMCインフィニティプレッド</v>
      </c>
      <c r="J455" s="1" t="str">
        <f>IFERROR(__xludf.DUMMYFUNCTION("GOOGLETRANSLATE(F455,""EN"",""JA"")"),"最後のゼロ以外の濃度の予測値を使用して計算された、無限大に外挿されたモーメント曲線の下の領域 (AUMC)。")</f>
        <v>最後のゼロ以外の濃度の予測値を使用して計算された、無限大に外挿されたモーメント曲線の下の領域 (AUMC)。</v>
      </c>
      <c r="K455" s="1" t="str">
        <f>IFERROR(__xludf.DUMMYFUNCTION("GOOGLETRANSLATE(G455,""EN"",""JA"")"),"第一モーメント曲線の無限大の予測領域")</f>
        <v>第一モーメント曲線の無限大の予測領域</v>
      </c>
    </row>
    <row r="456" ht="13.5" customHeight="1">
      <c r="A456" s="1" t="s">
        <v>870</v>
      </c>
      <c r="B456" s="1" t="s">
        <v>2384</v>
      </c>
      <c r="C456" s="1" t="s">
        <v>2385</v>
      </c>
      <c r="D456" s="1" t="s">
        <v>2386</v>
      </c>
      <c r="E456" s="1" t="s">
        <v>2386</v>
      </c>
      <c r="F456" s="1" t="s">
        <v>2387</v>
      </c>
      <c r="G456" s="1" t="s">
        <v>2388</v>
      </c>
      <c r="H456" s="1" t="str">
        <f>IFERROR(__xludf.DUMMYFUNCTION("GOOGLETRANSLATE(D456,""EN"",""JA"")"),"AUMC Infinity Pred Norm（BMI別）")</f>
        <v>AUMC Infinity Pred Norm（BMI別）</v>
      </c>
      <c r="I456" s="1" t="str">
        <f>IFERROR(__xludf.DUMMYFUNCTION("GOOGLETRANSLATE(E456,""EN"",""JA"")"),"AUMC Infinity Pred Norm（BMI別）")</f>
        <v>AUMC Infinity Pred Norm（BMI別）</v>
      </c>
      <c r="J456" s="1" t="str">
        <f>IFERROR(__xludf.DUMMYFUNCTION("GOOGLETRANSLATE(F456,""EN"",""JA"")"),"最後の非ゼロ濃度の予測値を使用して計算され、ボディマス指数で割った、無限大に外挿されたモーメント曲線下面積 (AUMC)。")</f>
        <v>最後の非ゼロ濃度の予測値を使用して計算され、ボディマス指数で割った、無限大に外挿されたモーメント曲線下面積 (AUMC)。</v>
      </c>
      <c r="K456" s="1" t="str">
        <f>IFERROR(__xludf.DUMMYFUNCTION("GOOGLETRANSLATE(G456,""EN"",""JA"")"),"AUMC無限大予測（BMIで正規化）")</f>
        <v>AUMC無限大予測（BMIで正規化）</v>
      </c>
    </row>
    <row r="457" ht="13.5" customHeight="1">
      <c r="A457" s="1" t="s">
        <v>870</v>
      </c>
      <c r="B457" s="1" t="s">
        <v>2389</v>
      </c>
      <c r="C457" s="1" t="s">
        <v>2390</v>
      </c>
      <c r="D457" s="1" t="s">
        <v>2391</v>
      </c>
      <c r="E457" s="1" t="s">
        <v>2391</v>
      </c>
      <c r="F457" s="1" t="s">
        <v>2392</v>
      </c>
      <c r="G457" s="1" t="s">
        <v>2393</v>
      </c>
      <c r="H457" s="1" t="str">
        <f>IFERROR(__xludf.DUMMYFUNCTION("GOOGLETRANSLATE(D457,""EN"",""JA"")"),"AUMC Infinity 予測正常値（用量別）")</f>
        <v>AUMC Infinity 予測正常値（用量別）</v>
      </c>
      <c r="I457" s="1" t="str">
        <f>IFERROR(__xludf.DUMMYFUNCTION("GOOGLETRANSLATE(E457,""EN"",""JA"")"),"AUMC Infinity 予測正常値（用量別）")</f>
        <v>AUMC Infinity 予測正常値（用量別）</v>
      </c>
      <c r="J457" s="1" t="str">
        <f>IFERROR(__xludf.DUMMYFUNCTION("GOOGLETRANSLATE(F457,""EN"",""JA"")"),"最後のゼロ以外の濃度の予測値を使用して計算され、投与量で割った、無限大に外挿されたモーメント曲線下面積 (AUMC)。")</f>
        <v>最後のゼロ以外の濃度の予測値を使用して計算され、投与量で割った、無限大に外挿されたモーメント曲線下面積 (AUMC)。</v>
      </c>
      <c r="K457" s="1" t="str">
        <f>IFERROR(__xludf.DUMMYFUNCTION("GOOGLETRANSLATE(G457,""EN"",""JA"")"),"AUMC無限大予測（線量で正規化）")</f>
        <v>AUMC無限大予測（線量で正規化）</v>
      </c>
    </row>
    <row r="458" ht="13.5" customHeight="1">
      <c r="A458" s="1" t="s">
        <v>870</v>
      </c>
      <c r="B458" s="1" t="s">
        <v>2394</v>
      </c>
      <c r="C458" s="1" t="s">
        <v>2395</v>
      </c>
      <c r="D458" s="1" t="s">
        <v>2396</v>
      </c>
      <c r="E458" s="1" t="s">
        <v>2396</v>
      </c>
      <c r="F458" s="1" t="s">
        <v>2397</v>
      </c>
      <c r="G458" s="1" t="s">
        <v>2398</v>
      </c>
      <c r="H458" s="1" t="str">
        <f>IFERROR(__xludf.DUMMYFUNCTION("GOOGLETRANSLATE(D458,""EN"",""JA"")"),"AUMC 無限大予測標準（SA による）")</f>
        <v>AUMC 無限大予測標準（SA による）</v>
      </c>
      <c r="I458" s="1" t="str">
        <f>IFERROR(__xludf.DUMMYFUNCTION("GOOGLETRANSLATE(E458,""EN"",""JA"")"),"AUMC 無限大予測標準（SA による）")</f>
        <v>AUMC 無限大予測標準（SA による）</v>
      </c>
      <c r="J458" s="1" t="str">
        <f>IFERROR(__xludf.DUMMYFUNCTION("GOOGLETRANSLATE(F458,""EN"",""JA"")"),"最後の非ゼロ濃度の予測値を使用して計算され、表面積で割った、無限大に外挿されたモーメント曲線の下の面積 (AUMC)。")</f>
        <v>最後の非ゼロ濃度の予測値を使用して計算され、表面積で割った、無限大に外挿されたモーメント曲線の下の面積 (AUMC)。</v>
      </c>
      <c r="K458" s="1" t="str">
        <f>IFERROR(__xludf.DUMMYFUNCTION("GOOGLETRANSLATE(G458,""EN"",""JA"")"),"AUMC無限大予測（表面積で正規化）")</f>
        <v>AUMC無限大予測（表面積で正規化）</v>
      </c>
    </row>
    <row r="459" ht="13.5" customHeight="1">
      <c r="A459" s="1" t="s">
        <v>870</v>
      </c>
      <c r="B459" s="1" t="s">
        <v>2399</v>
      </c>
      <c r="C459" s="1" t="s">
        <v>2400</v>
      </c>
      <c r="D459" s="1" t="s">
        <v>2401</v>
      </c>
      <c r="E459" s="1" t="s">
        <v>2401</v>
      </c>
      <c r="F459" s="1" t="s">
        <v>2402</v>
      </c>
      <c r="G459" s="1" t="s">
        <v>2403</v>
      </c>
      <c r="H459" s="1" t="str">
        <f>IFERROR(__xludf.DUMMYFUNCTION("GOOGLETRANSLATE(D459,""EN"",""JA"")"),"AUMC 無限大予測ノルム（WT による）")</f>
        <v>AUMC 無限大予測ノルム（WT による）</v>
      </c>
      <c r="I459" s="1" t="str">
        <f>IFERROR(__xludf.DUMMYFUNCTION("GOOGLETRANSLATE(E459,""EN"",""JA"")"),"AUMC 無限大予測ノルム（WT による）")</f>
        <v>AUMC 無限大予測ノルム（WT による）</v>
      </c>
      <c r="J459" s="1" t="str">
        <f>IFERROR(__xludf.DUMMYFUNCTION("GOOGLETRANSLATE(F459,""EN"",""JA"")"),"最後の非ゼロ濃度の予測値を使用して計算され、重量で割った、無限大に外挿されたモーメント曲線の下の領域 (AUMC)。")</f>
        <v>最後の非ゼロ濃度の予測値を使用して計算され、重量で割った、無限大に外挿されたモーメント曲線の下の領域 (AUMC)。</v>
      </c>
      <c r="K459" s="1" t="str">
        <f>IFERROR(__xludf.DUMMYFUNCTION("GOOGLETRANSLATE(G459,""EN"",""JA"")"),"AUMC無限大予測（重量で正規化）")</f>
        <v>AUMC無限大予測（重量で正規化）</v>
      </c>
    </row>
    <row r="460" ht="13.5" customHeight="1">
      <c r="A460" s="1" t="s">
        <v>870</v>
      </c>
      <c r="B460" s="1" t="s">
        <v>2404</v>
      </c>
      <c r="C460" s="1" t="s">
        <v>2405</v>
      </c>
      <c r="D460" s="1" t="s">
        <v>2406</v>
      </c>
      <c r="E460" s="1" t="s">
        <v>2406</v>
      </c>
      <c r="F460" s="1" t="s">
        <v>2407</v>
      </c>
      <c r="G460" s="1" t="s">
        <v>2408</v>
      </c>
      <c r="H460" s="1" t="str">
        <f>IFERROR(__xludf.DUMMYFUNCTION("GOOGLETRANSLATE(D460,""EN"",""JA"")"),"AUMCから最後の非ゼロコンクまで")</f>
        <v>AUMCから最後の非ゼロコンクまで</v>
      </c>
      <c r="I460" s="1" t="str">
        <f>IFERROR(__xludf.DUMMYFUNCTION("GOOGLETRANSLATE(E460,""EN"",""JA"")"),"AUMCから最後の非ゼロコンクまで")</f>
        <v>AUMCから最後の非ゼロコンクまで</v>
      </c>
      <c r="J460" s="1" t="str">
        <f>IFERROR(__xludf.DUMMYFUNCTION("GOOGLETRANSLATE(F460,""EN"",""JA"")"),"投与時から最後の測定可能な濃度までのモーメント曲線下面積 (AUMC)。")</f>
        <v>投与時から最後の測定可能な濃度までのモーメント曲線下面積 (AUMC)。</v>
      </c>
      <c r="K460" s="1" t="str">
        <f>IFERROR(__xludf.DUMMYFUNCTION("GOOGLETRANSLATE(G460,""EN"",""JA"")"),"投与から最終濃度までの第一モーメント曲線下面積")</f>
        <v>投与から最終濃度までの第一モーメント曲線下面積</v>
      </c>
    </row>
    <row r="461" ht="13.5" customHeight="1">
      <c r="A461" s="1" t="s">
        <v>870</v>
      </c>
      <c r="B461" s="1" t="s">
        <v>2409</v>
      </c>
      <c r="C461" s="1" t="s">
        <v>2410</v>
      </c>
      <c r="D461" s="1" t="s">
        <v>2411</v>
      </c>
      <c r="E461" s="1" t="s">
        <v>2411</v>
      </c>
      <c r="F461" s="1" t="s">
        <v>2412</v>
      </c>
      <c r="G461" s="1" t="s">
        <v>2413</v>
      </c>
      <c r="H461" s="1" t="str">
        <f>IFERROR(__xludf.DUMMYFUNCTION("GOOGLETRANSLATE(D461,""EN"",""JA"")"),"AUMCからBMIによる最後の非ゼロ濃度標準値")</f>
        <v>AUMCからBMIによる最後の非ゼロ濃度標準値</v>
      </c>
      <c r="I461" s="1" t="str">
        <f>IFERROR(__xludf.DUMMYFUNCTION("GOOGLETRANSLATE(E461,""EN"",""JA"")"),"AUMCからBMIによる最後の非ゼロ濃度標準値")</f>
        <v>AUMCからBMIによる最後の非ゼロ濃度標準値</v>
      </c>
      <c r="J461" s="1" t="str">
        <f>IFERROR(__xludf.DUMMYFUNCTION("GOOGLETRANSLATE(F461,""EN"",""JA"")"),"投与時から最後の測定可能な濃度までのモーメント曲線下面積 (AUMC) をボディマス指数で割ったもの。")</f>
        <v>投与時から最後の測定可能な濃度までのモーメント曲線下面積 (AUMC) をボディマス指数で割ったもの。</v>
      </c>
      <c r="K461" s="1" t="str">
        <f>IFERROR(__xludf.DUMMYFUNCTION("GOOGLETRANSLATE(G461,""EN"",""JA"")"),"AUMC投与量（最終濃度）をBMIで標準化")</f>
        <v>AUMC投与量（最終濃度）をBMIで標準化</v>
      </c>
    </row>
    <row r="462" ht="13.5" customHeight="1">
      <c r="A462" s="1" t="s">
        <v>870</v>
      </c>
      <c r="B462" s="1" t="s">
        <v>2414</v>
      </c>
      <c r="C462" s="1" t="s">
        <v>2415</v>
      </c>
      <c r="D462" s="1" t="s">
        <v>2416</v>
      </c>
      <c r="E462" s="1" t="s">
        <v>2416</v>
      </c>
      <c r="F462" s="1" t="s">
        <v>2417</v>
      </c>
      <c r="G462" s="1" t="s">
        <v>2418</v>
      </c>
      <c r="H462" s="1" t="str">
        <f>IFERROR(__xludf.DUMMYFUNCTION("GOOGLETRANSLATE(D462,""EN"",""JA"")"),"AUMCから最後の非ゼロ濃度基準までの線量別")</f>
        <v>AUMCから最後の非ゼロ濃度基準までの線量別</v>
      </c>
      <c r="I462" s="1" t="str">
        <f>IFERROR(__xludf.DUMMYFUNCTION("GOOGLETRANSLATE(E462,""EN"",""JA"")"),"AUMCから最後の非ゼロ濃度基準までの線量別")</f>
        <v>AUMCから最後の非ゼロ濃度基準までの線量別</v>
      </c>
      <c r="J462" s="1" t="str">
        <f>IFERROR(__xludf.DUMMYFUNCTION("GOOGLETRANSLATE(F462,""EN"",""JA"")"),"投与時から最後の測定可能な濃度までのモーメント曲線下面積 (AUMC) を投与量で割ったもの。")</f>
        <v>投与時から最後の測定可能な濃度までのモーメント曲線下面積 (AUMC) を投与量で割ったもの。</v>
      </c>
      <c r="K462" s="1" t="str">
        <f>IFERROR(__xludf.DUMMYFUNCTION("GOOGLETRANSLATE(G462,""EN"",""JA"")"),"投与量別に標準化した最終濃度までのAUMC投与量")</f>
        <v>投与量別に標準化した最終濃度までのAUMC投与量</v>
      </c>
    </row>
    <row r="463" ht="13.5" customHeight="1">
      <c r="A463" s="1" t="s">
        <v>870</v>
      </c>
      <c r="B463" s="1" t="s">
        <v>2419</v>
      </c>
      <c r="C463" s="1" t="s">
        <v>2420</v>
      </c>
      <c r="D463" s="1" t="s">
        <v>2421</v>
      </c>
      <c r="E463" s="1" t="s">
        <v>2421</v>
      </c>
      <c r="F463" s="1" t="s">
        <v>2422</v>
      </c>
      <c r="G463" s="1" t="s">
        <v>2423</v>
      </c>
      <c r="H463" s="1" t="str">
        <f>IFERROR(__xludf.DUMMYFUNCTION("GOOGLETRANSLATE(D463,""EN"",""JA"")"),"AUMCからSAによる最後の非ゼロ濃度ノルム")</f>
        <v>AUMCからSAによる最後の非ゼロ濃度ノルム</v>
      </c>
      <c r="I463" s="1" t="str">
        <f>IFERROR(__xludf.DUMMYFUNCTION("GOOGLETRANSLATE(E463,""EN"",""JA"")"),"AUMCからSAによる最後の非ゼロ濃度ノルム")</f>
        <v>AUMCからSAによる最後の非ゼロ濃度ノルム</v>
      </c>
      <c r="J463" s="1" t="str">
        <f>IFERROR(__xludf.DUMMYFUNCTION("GOOGLETRANSLATE(F463,""EN"",""JA"")"),"投与時から最後の測定可能な濃度までのモーメント曲線下面積 (AUMC) を表面積で割ったもの。")</f>
        <v>投与時から最後の測定可能な濃度までのモーメント曲線下面積 (AUMC) を表面積で割ったもの。</v>
      </c>
      <c r="K463" s="1" t="str">
        <f>IFERROR(__xludf.DUMMYFUNCTION("GOOGLETRANSLATE(G463,""EN"",""JA"")"),"AUMC投与量（最終濃度）を表面積で正規化")</f>
        <v>AUMC投与量（最終濃度）を表面積で正規化</v>
      </c>
    </row>
    <row r="464" ht="13.5" customHeight="1">
      <c r="A464" s="1" t="s">
        <v>870</v>
      </c>
      <c r="B464" s="1" t="s">
        <v>2424</v>
      </c>
      <c r="C464" s="1" t="s">
        <v>2425</v>
      </c>
      <c r="D464" s="1" t="s">
        <v>2426</v>
      </c>
      <c r="E464" s="1" t="s">
        <v>2426</v>
      </c>
      <c r="F464" s="1" t="s">
        <v>2427</v>
      </c>
      <c r="G464" s="1" t="s">
        <v>2428</v>
      </c>
      <c r="H464" s="1" t="str">
        <f>IFERROR(__xludf.DUMMYFUNCTION("GOOGLETRANSLATE(D464,""EN"",""JA"")"),"AUMCからWTまでの最後の非ゼロ濃度ノルム")</f>
        <v>AUMCからWTまでの最後の非ゼロ濃度ノルム</v>
      </c>
      <c r="I464" s="1" t="str">
        <f>IFERROR(__xludf.DUMMYFUNCTION("GOOGLETRANSLATE(E464,""EN"",""JA"")"),"AUMCからWTまでの最後の非ゼロ濃度ノルム")</f>
        <v>AUMCからWTまでの最後の非ゼロ濃度ノルム</v>
      </c>
      <c r="J464" s="1" t="str">
        <f>IFERROR(__xludf.DUMMYFUNCTION("GOOGLETRANSLATE(F464,""EN"",""JA"")"),"投与時から最後の測定可能な濃度までのモーメント曲線下面積 (AUMC) を重量で割ったもの。")</f>
        <v>投与時から最後の測定可能な濃度までのモーメント曲線下面積 (AUMC) を重量で割ったもの。</v>
      </c>
      <c r="K464" s="1" t="str">
        <f>IFERROR(__xludf.DUMMYFUNCTION("GOOGLETRANSLATE(G464,""EN"",""JA"")"),"AUMC投与量（最終濃度、体重による正規化）")</f>
        <v>AUMC投与量（最終濃度、体重による正規化）</v>
      </c>
    </row>
    <row r="465" ht="13.5" customHeight="1">
      <c r="A465" s="1" t="s">
        <v>870</v>
      </c>
      <c r="B465" s="1" t="s">
        <v>2429</v>
      </c>
      <c r="C465" s="1" t="s">
        <v>2430</v>
      </c>
      <c r="D465" s="1" t="s">
        <v>2431</v>
      </c>
      <c r="E465" s="1" t="s">
        <v>2431</v>
      </c>
      <c r="F465" s="1" t="s">
        <v>2432</v>
      </c>
      <c r="G465" s="1" t="s">
        <v>2433</v>
      </c>
      <c r="H465" s="1" t="str">
        <f>IFERROR(__xludf.DUMMYFUNCTION("GOOGLETRANSLATE(D465,""EN"",""JA"")"),"AUMC % 外挿観測")</f>
        <v>AUMC % 外挿観測</v>
      </c>
      <c r="I465" s="1" t="str">
        <f>IFERROR(__xludf.DUMMYFUNCTION("GOOGLETRANSLATE(E465,""EN"",""JA"")"),"AUMC % 外挿観測")</f>
        <v>AUMC % 外挿観測</v>
      </c>
      <c r="J465" s="1" t="str">
        <f>IFERROR(__xludf.DUMMYFUNCTION("GOOGLETRANSLATE(F465,""EN"",""JA"")"),"最後に観測されたゼロ以外の濃度値から無限大までのモーメント曲線下面積 (AUMC) を、無限大まで外挿したモーメント曲線下面積のパーセンテージで表したものです。")</f>
        <v>最後に観測されたゼロ以外の濃度値から無限大までのモーメント曲線下面積 (AUMC) を、無限大まで外挿したモーメント曲線下面積のパーセンテージで表したものです。</v>
      </c>
      <c r="K465" s="1" t="str">
        <f>IFERROR(__xludf.DUMMYFUNCTION("GOOGLETRANSLATE(G465,""EN"",""JA"")"),"第一モーメント曲線下の観測面積パーセント外挿")</f>
        <v>第一モーメント曲線下の観測面積パーセント外挿</v>
      </c>
    </row>
    <row r="466" ht="13.5" customHeight="1">
      <c r="A466" s="1" t="s">
        <v>870</v>
      </c>
      <c r="B466" s="1" t="s">
        <v>2434</v>
      </c>
      <c r="C466" s="1" t="s">
        <v>2435</v>
      </c>
      <c r="D466" s="1" t="s">
        <v>2436</v>
      </c>
      <c r="E466" s="1" t="s">
        <v>2436</v>
      </c>
      <c r="F466" s="1" t="s">
        <v>2437</v>
      </c>
      <c r="G466" s="1" t="s">
        <v>2438</v>
      </c>
      <c r="H466" s="1" t="str">
        <f>IFERROR(__xludf.DUMMYFUNCTION("GOOGLETRANSLATE(D466,""EN"",""JA"")"),"AUMC % 外挿予測")</f>
        <v>AUMC % 外挿予測</v>
      </c>
      <c r="I466" s="1" t="str">
        <f>IFERROR(__xludf.DUMMYFUNCTION("GOOGLETRANSLATE(E466,""EN"",""JA"")"),"AUMC % 外挿予測")</f>
        <v>AUMC % 外挿予測</v>
      </c>
      <c r="J466" s="1" t="str">
        <f>IFERROR(__xludf.DUMMYFUNCTION("GOOGLETRANSLATE(F466,""EN"",""JA"")"),"最後に予測されたゼロ以外の濃度値から無限大までのモーメント曲線下面積 (AUMC) を、無限大まで外挿したモーメント曲線下面積のパーセンテージで表したものです。")</f>
        <v>最後に予測されたゼロ以外の濃度値から無限大までのモーメント曲線下面積 (AUMC) を、無限大まで外挿したモーメント曲線下面積のパーセンテージで表したものです。</v>
      </c>
      <c r="K466" s="1" t="str">
        <f>IFERROR(__xludf.DUMMYFUNCTION("GOOGLETRANSLATE(G466,""EN"",""JA"")"),"第一モーメント曲線の下の予測面積パーセント外挿")</f>
        <v>第一モーメント曲線の下の予測面積パーセント外挿</v>
      </c>
    </row>
    <row r="467" ht="13.5" customHeight="1">
      <c r="A467" s="1" t="s">
        <v>870</v>
      </c>
      <c r="B467" s="1" t="s">
        <v>2439</v>
      </c>
      <c r="C467" s="1" t="s">
        <v>2440</v>
      </c>
      <c r="D467" s="1" t="s">
        <v>2441</v>
      </c>
      <c r="E467" s="1" t="s">
        <v>2441</v>
      </c>
      <c r="F467" s="1" t="s">
        <v>2442</v>
      </c>
      <c r="G467" s="1" t="s">
        <v>2443</v>
      </c>
      <c r="H467" s="1" t="str">
        <f>IFERROR(__xludf.DUMMYFUNCTION("GOOGLETRANSLATE(D467,""EN"",""JA"")"),"AUMC過剰投与間隔")</f>
        <v>AUMC過剰投与間隔</v>
      </c>
      <c r="I467" s="1" t="str">
        <f>IFERROR(__xludf.DUMMYFUNCTION("GOOGLETRANSLATE(E467,""EN"",""JA"")"),"AUMC過剰投与間隔")</f>
        <v>AUMC過剰投与間隔</v>
      </c>
      <c r="J467" s="1" t="str">
        <f>IFERROR(__xludf.DUMMYFUNCTION("GOOGLETRANSLATE(F467,""EN"",""JA"")"),"定義された投与間隔 (TAU) における第 1 モーメント曲線の下の領域 (AUMC)。")</f>
        <v>定義された投与間隔 (TAU) における第 1 モーメント曲線の下の領域 (AUMC)。</v>
      </c>
      <c r="K467" s="1" t="str">
        <f>IFERROR(__xludf.DUMMYFUNCTION("GOOGLETRANSLATE(G467,""EN"",""JA"")"),"投与間隔中の第一モーメント曲線下面積")</f>
        <v>投与間隔中の第一モーメント曲線下面積</v>
      </c>
    </row>
    <row r="468" ht="13.5" customHeight="1">
      <c r="A468" s="1" t="s">
        <v>870</v>
      </c>
      <c r="B468" s="1" t="s">
        <v>2444</v>
      </c>
      <c r="C468" s="1" t="s">
        <v>2445</v>
      </c>
      <c r="D468" s="1" t="s">
        <v>2446</v>
      </c>
      <c r="E468" s="1" t="s">
        <v>2446</v>
      </c>
      <c r="F468" s="1" t="s">
        <v>2447</v>
      </c>
      <c r="G468" s="1" t="s">
        <v>2448</v>
      </c>
      <c r="H468" s="1" t="str">
        <f>IFERROR(__xludf.DUMMYFUNCTION("GOOGLETRANSLATE(D468,""EN"",""JA"")"),"AUMC BMI別過剰投与間隔基準")</f>
        <v>AUMC BMI別過剰投与間隔基準</v>
      </c>
      <c r="I468" s="1" t="str">
        <f>IFERROR(__xludf.DUMMYFUNCTION("GOOGLETRANSLATE(E468,""EN"",""JA"")"),"AUMC BMI別過剰投与間隔基準")</f>
        <v>AUMC BMI別過剰投与間隔基準</v>
      </c>
      <c r="J468" s="1" t="str">
        <f>IFERROR(__xludf.DUMMYFUNCTION("GOOGLETRANSLATE(F468,""EN"",""JA"")"),"定義された投与間隔 (TAU) の第一モーメント曲線下面積 (AUMC) をボディマス指数で割ったもの。")</f>
        <v>定義された投与間隔 (TAU) の第一モーメント曲線下面積 (AUMC) をボディマス指数で割ったもの。</v>
      </c>
      <c r="K468" s="1" t="str">
        <f>IFERROR(__xludf.DUMMYFUNCTION("GOOGLETRANSLATE(G468,""EN"",""JA"")"),"AUMC過剰投与間隔（BMIで標準化）")</f>
        <v>AUMC過剰投与間隔（BMIで標準化）</v>
      </c>
    </row>
    <row r="469" ht="13.5" customHeight="1">
      <c r="A469" s="1" t="s">
        <v>870</v>
      </c>
      <c r="B469" s="1" t="s">
        <v>2449</v>
      </c>
      <c r="C469" s="1" t="s">
        <v>2450</v>
      </c>
      <c r="D469" s="1" t="s">
        <v>2451</v>
      </c>
      <c r="E469" s="1" t="s">
        <v>2451</v>
      </c>
      <c r="F469" s="1" t="s">
        <v>2452</v>
      </c>
      <c r="G469" s="1" t="s">
        <v>2453</v>
      </c>
      <c r="H469" s="1" t="str">
        <f>IFERROR(__xludf.DUMMYFUNCTION("GOOGLETRANSLATE(D469,""EN"",""JA"")"),"AUMC 投与量別過剰投与間隔基準")</f>
        <v>AUMC 投与量別過剰投与間隔基準</v>
      </c>
      <c r="I469" s="1" t="str">
        <f>IFERROR(__xludf.DUMMYFUNCTION("GOOGLETRANSLATE(E469,""EN"",""JA"")"),"AUMC 投与量別過剰投与間隔基準")</f>
        <v>AUMC 投与量別過剰投与間隔基準</v>
      </c>
      <c r="J469" s="1" t="str">
        <f>IFERROR(__xludf.DUMMYFUNCTION("GOOGLETRANSLATE(F469,""EN"",""JA"")"),"定義された投与間隔 (TAU) の第一モーメント曲線下面積 (AUMC) を投与量で割った値。")</f>
        <v>定義された投与間隔 (TAU) の第一モーメント曲線下面積 (AUMC) を投与量で割った値。</v>
      </c>
      <c r="K469" s="1" t="str">
        <f>IFERROR(__xludf.DUMMYFUNCTION("GOOGLETRANSLATE(G469,""EN"",""JA"")"),"AUMC過剰投与間隔（投与量別に標準化）")</f>
        <v>AUMC過剰投与間隔（投与量別に標準化）</v>
      </c>
    </row>
    <row r="470" ht="13.5" customHeight="1">
      <c r="A470" s="1" t="s">
        <v>870</v>
      </c>
      <c r="B470" s="1" t="s">
        <v>2454</v>
      </c>
      <c r="C470" s="1" t="s">
        <v>2455</v>
      </c>
      <c r="D470" s="1" t="s">
        <v>2456</v>
      </c>
      <c r="E470" s="1" t="s">
        <v>2456</v>
      </c>
      <c r="F470" s="1" t="s">
        <v>2457</v>
      </c>
      <c r="G470" s="1" t="s">
        <v>2458</v>
      </c>
      <c r="H470" s="1" t="str">
        <f>IFERROR(__xludf.DUMMYFUNCTION("GOOGLETRANSLATE(D470,""EN"",""JA"")"),"AUMC過剰投与間隔基準（SA別）")</f>
        <v>AUMC過剰投与間隔基準（SA別）</v>
      </c>
      <c r="I470" s="1" t="str">
        <f>IFERROR(__xludf.DUMMYFUNCTION("GOOGLETRANSLATE(E470,""EN"",""JA"")"),"AUMC過剰投与間隔基準（SA別）")</f>
        <v>AUMC過剰投与間隔基準（SA別）</v>
      </c>
      <c r="J470" s="1" t="str">
        <f>IFERROR(__xludf.DUMMYFUNCTION("GOOGLETRANSLATE(F470,""EN"",""JA"")"),"定義された投与間隔 (TAU) の第一モーメント曲線の下の面積 (AUMC) を表面積で割ったもの。")</f>
        <v>定義された投与間隔 (TAU) の第一モーメント曲線の下の面積 (AUMC) を表面積で割ったもの。</v>
      </c>
      <c r="K470" s="1" t="str">
        <f>IFERROR(__xludf.DUMMYFUNCTION("GOOGLETRANSLATE(G470,""EN"",""JA"")"),"AUMC過剰投与間隔（表面積で正規化）")</f>
        <v>AUMC過剰投与間隔（表面積で正規化）</v>
      </c>
    </row>
    <row r="471" ht="13.5" customHeight="1">
      <c r="A471" s="1" t="s">
        <v>870</v>
      </c>
      <c r="B471" s="1" t="s">
        <v>2459</v>
      </c>
      <c r="C471" s="1" t="s">
        <v>2460</v>
      </c>
      <c r="D471" s="1" t="s">
        <v>2461</v>
      </c>
      <c r="E471" s="1" t="s">
        <v>2461</v>
      </c>
      <c r="F471" s="1" t="s">
        <v>2462</v>
      </c>
      <c r="G471" s="1" t="s">
        <v>2463</v>
      </c>
      <c r="H471" s="1" t="str">
        <f>IFERROR(__xludf.DUMMYFUNCTION("GOOGLETRANSLATE(D471,""EN"",""JA"")"),"AUMC WT別過剰投与間隔基準")</f>
        <v>AUMC WT別過剰投与間隔基準</v>
      </c>
      <c r="I471" s="1" t="str">
        <f>IFERROR(__xludf.DUMMYFUNCTION("GOOGLETRANSLATE(E471,""EN"",""JA"")"),"AUMC WT別過剰投与間隔基準")</f>
        <v>AUMC WT別過剰投与間隔基準</v>
      </c>
      <c r="J471" s="1" t="str">
        <f>IFERROR(__xludf.DUMMYFUNCTION("GOOGLETRANSLATE(F471,""EN"",""JA"")"),"定義された投与間隔 (TAU) の第一モーメント曲線の下の面積 (AUMC) を体重で割ったもの。")</f>
        <v>定義された投与間隔 (TAU) の第一モーメント曲線の下の面積 (AUMC) を体重で割ったもの。</v>
      </c>
      <c r="K471" s="1" t="str">
        <f>IFERROR(__xludf.DUMMYFUNCTION("GOOGLETRANSLATE(G471,""EN"",""JA"")"),"体重別に標準化したAUMC過剰投与間隔")</f>
        <v>体重別に標準化したAUMC過剰投与間隔</v>
      </c>
    </row>
    <row r="472" ht="13.5" customHeight="1">
      <c r="A472" s="1" t="s">
        <v>870</v>
      </c>
      <c r="B472" s="1" t="s">
        <v>2464</v>
      </c>
      <c r="C472" s="1" t="s">
        <v>2465</v>
      </c>
      <c r="D472" s="1" t="s">
        <v>2466</v>
      </c>
      <c r="E472" s="1" t="s">
        <v>2466</v>
      </c>
      <c r="F472" s="1" t="s">
        <v>2467</v>
      </c>
      <c r="G472" s="1" t="s">
        <v>2468</v>
      </c>
      <c r="H472" s="1" t="str">
        <f>IFERROR(__xludf.DUMMYFUNCTION("GOOGLETRANSLATE(D472,""EN"",""JA"")"),"AURC すべて")</f>
        <v>AURC すべて</v>
      </c>
      <c r="I472" s="1" t="str">
        <f>IFERROR(__xludf.DUMMYFUNCTION("GOOGLETRANSLATE(E472,""EN"",""JA"")"),"AURC すべて")</f>
        <v>AURC すべて</v>
      </c>
      <c r="J472" s="1" t="str">
        <f>IFERROR(__xludf.DUMMYFUNCTION("GOOGLETRANSLATE(F472,""EN"",""JA"")"),"最後の観察が測定可能な濃度であるかどうかに関係なく、時間 0 から最後の観察までの排泄率曲線下面積 (AURC)。")</f>
        <v>最後の観察が測定可能な濃度であるかどうかに関係なく、時間 0 から最後の観察までの排泄率曲線下面積 (AURC)。</v>
      </c>
      <c r="K472" s="1" t="str">
        <f>IFERROR(__xludf.DUMMYFUNCTION("GOOGLETRANSLATE(G472,""EN"",""JA"")"),"排泄率曲線下面積すべて")</f>
        <v>排泄率曲線下面積すべて</v>
      </c>
    </row>
    <row r="473" ht="13.5" customHeight="1">
      <c r="A473" s="1" t="s">
        <v>870</v>
      </c>
      <c r="B473" s="1" t="s">
        <v>2469</v>
      </c>
      <c r="C473" s="1" t="s">
        <v>2470</v>
      </c>
      <c r="D473" s="1" t="s">
        <v>2471</v>
      </c>
      <c r="E473" s="1" t="s">
        <v>2471</v>
      </c>
      <c r="F473" s="1" t="s">
        <v>2472</v>
      </c>
      <c r="G473" s="1" t="s">
        <v>2473</v>
      </c>
      <c r="H473" s="1" t="str">
        <f>IFERROR(__xludf.DUMMYFUNCTION("GOOGLETRANSLATE(D473,""EN"",""JA"")"),"AURC BMIによる全正常値")</f>
        <v>AURC BMIによる全正常値</v>
      </c>
      <c r="I473" s="1" t="str">
        <f>IFERROR(__xludf.DUMMYFUNCTION("GOOGLETRANSLATE(E473,""EN"",""JA"")"),"AURC BMIによる全正常値")</f>
        <v>AURC BMIによる全正常値</v>
      </c>
      <c r="J473" s="1" t="str">
        <f>IFERROR(__xludf.DUMMYFUNCTION("GOOGLETRANSLATE(F473,""EN"",""JA"")"),"排泄率曲線下面積（AURC）を時間ゼロから最後の測定可能な率まで、体格指数で割ったもの。")</f>
        <v>排泄率曲線下面積（AURC）を時間ゼロから最後の測定可能な率まで、体格指数で割ったもの。</v>
      </c>
      <c r="K473" s="1" t="str">
        <f>IFERROR(__xludf.DUMMYFUNCTION("GOOGLETRANSLATE(G473,""EN"",""JA"")"),"AURC すべてボディマス指数で標準化")</f>
        <v>AURC すべてボディマス指数で標準化</v>
      </c>
    </row>
    <row r="474" ht="13.5" customHeight="1">
      <c r="A474" s="1" t="s">
        <v>870</v>
      </c>
      <c r="B474" s="1" t="s">
        <v>2474</v>
      </c>
      <c r="C474" s="1" t="s">
        <v>2475</v>
      </c>
      <c r="D474" s="1" t="s">
        <v>2476</v>
      </c>
      <c r="E474" s="1" t="s">
        <v>2476</v>
      </c>
      <c r="F474" s="1" t="s">
        <v>2477</v>
      </c>
      <c r="G474" s="1" t="s">
        <v>2478</v>
      </c>
      <c r="H474" s="1" t="str">
        <f>IFERROR(__xludf.DUMMYFUNCTION("GOOGLETRANSLATE(D474,""EN"",""JA"")"),"AURC 用量別全正常値")</f>
        <v>AURC 用量別全正常値</v>
      </c>
      <c r="I474" s="1" t="str">
        <f>IFERROR(__xludf.DUMMYFUNCTION("GOOGLETRANSLATE(E474,""EN"",""JA"")"),"AURC 用量別全正常値")</f>
        <v>AURC 用量別全正常値</v>
      </c>
      <c r="J474" s="1" t="str">
        <f>IFERROR(__xludf.DUMMYFUNCTION("GOOGLETRANSLATE(F474,""EN"",""JA"")"),"排泄率曲線下面積（AURC）を時間ゼロから最後の測定可能な速度まで測定し、投与量で割った値。")</f>
        <v>排泄率曲線下面積（AURC）を時間ゼロから最後の測定可能な速度まで測定し、投与量で割った値。</v>
      </c>
      <c r="K474" s="1" t="str">
        <f>IFERROR(__xludf.DUMMYFUNCTION("GOOGLETRANSLATE(G474,""EN"",""JA"")"),"AURC すべて線量で正規化")</f>
        <v>AURC すべて線量で正規化</v>
      </c>
    </row>
    <row r="475" ht="13.5" customHeight="1">
      <c r="A475" s="1" t="s">
        <v>870</v>
      </c>
      <c r="B475" s="1" t="s">
        <v>2479</v>
      </c>
      <c r="C475" s="1" t="s">
        <v>2480</v>
      </c>
      <c r="D475" s="1" t="s">
        <v>2481</v>
      </c>
      <c r="E475" s="1" t="s">
        <v>2481</v>
      </c>
      <c r="F475" s="1" t="s">
        <v>2482</v>
      </c>
      <c r="G475" s="1" t="s">
        <v>2483</v>
      </c>
      <c r="H475" s="1" t="str">
        <f>IFERROR(__xludf.DUMMYFUNCTION("GOOGLETRANSLATE(D475,""EN"",""JA"")"),"AURC All Norm by SA")</f>
        <v>AURC All Norm by SA</v>
      </c>
      <c r="I475" s="1" t="str">
        <f>IFERROR(__xludf.DUMMYFUNCTION("GOOGLETRANSLATE(E475,""EN"",""JA"")"),"AURC All Norm by SA")</f>
        <v>AURC All Norm by SA</v>
      </c>
      <c r="J475" s="1" t="str">
        <f>IFERROR(__xludf.DUMMYFUNCTION("GOOGLETRANSLATE(F475,""EN"",""JA"")"),"排泄速度曲線下面積（AURC）を時間ゼロから最後の測定可能な速度まで表面積で割ったもの。")</f>
        <v>排泄速度曲線下面積（AURC）を時間ゼロから最後の測定可能な速度まで表面積で割ったもの。</v>
      </c>
      <c r="K475" s="1" t="str">
        <f>IFERROR(__xludf.DUMMYFUNCTION("GOOGLETRANSLATE(G475,""EN"",""JA"")"),"AURC すべて表面積で正規化")</f>
        <v>AURC すべて表面積で正規化</v>
      </c>
    </row>
    <row r="476" ht="13.5" customHeight="1">
      <c r="A476" s="1" t="s">
        <v>870</v>
      </c>
      <c r="B476" s="1" t="s">
        <v>2484</v>
      </c>
      <c r="C476" s="1" t="s">
        <v>2485</v>
      </c>
      <c r="D476" s="1" t="s">
        <v>2486</v>
      </c>
      <c r="E476" s="1" t="s">
        <v>2486</v>
      </c>
      <c r="F476" s="1" t="s">
        <v>2487</v>
      </c>
      <c r="G476" s="1" t="s">
        <v>2488</v>
      </c>
      <c r="H476" s="1" t="str">
        <f>IFERROR(__xludf.DUMMYFUNCTION("GOOGLETRANSLATE(D476,""EN"",""JA"")"),"AURC 全規格（WT による）")</f>
        <v>AURC 全規格（WT による）</v>
      </c>
      <c r="I476" s="1" t="str">
        <f>IFERROR(__xludf.DUMMYFUNCTION("GOOGLETRANSLATE(E476,""EN"",""JA"")"),"AURC 全規格（WT による）")</f>
        <v>AURC 全規格（WT による）</v>
      </c>
      <c r="J476" s="1" t="str">
        <f>IFERROR(__xludf.DUMMYFUNCTION("GOOGLETRANSLATE(F476,""EN"",""JA"")"),"排泄率曲線下面積（AURC）を時間ゼロから最後の測定可能な速度まで体重で割ったもの。")</f>
        <v>排泄率曲線下面積（AURC）を時間ゼロから最後の測定可能な速度まで体重で割ったもの。</v>
      </c>
      <c r="K476" s="1" t="str">
        <f>IFERROR(__xludf.DUMMYFUNCTION("GOOGLETRANSLATE(G476,""EN"",""JA"")"),"AURC すべて重量で正規化")</f>
        <v>AURC すべて重量で正規化</v>
      </c>
    </row>
    <row r="477" ht="13.5" customHeight="1">
      <c r="A477" s="1" t="s">
        <v>870</v>
      </c>
      <c r="B477" s="1" t="s">
        <v>2489</v>
      </c>
      <c r="C477" s="1" t="s">
        <v>2490</v>
      </c>
      <c r="D477" s="1" t="s">
        <v>2491</v>
      </c>
      <c r="E477" s="1" t="s">
        <v>2491</v>
      </c>
      <c r="F477" s="1" t="s">
        <v>2492</v>
      </c>
      <c r="G477" s="1" t="s">
        <v>2493</v>
      </c>
      <c r="H477" s="1" t="str">
        <f>IFERROR(__xludf.DUMMYFUNCTION("GOOGLETRANSLATE(D477,""EN"",""JA"")"),"AURC無限観測")</f>
        <v>AURC無限観測</v>
      </c>
      <c r="I477" s="1" t="str">
        <f>IFERROR(__xludf.DUMMYFUNCTION("GOOGLETRANSLATE(E477,""EN"",""JA"")"),"AURC無限観測")</f>
        <v>AURC無限観測</v>
      </c>
      <c r="J477" s="1" t="str">
        <f>IFERROR(__xludf.DUMMYFUNCTION("GOOGLETRANSLATE(F477,""EN"",""JA"")"),"最後の排泄率の観測値を使用して計算された、無限大に外挿された排泄率曲線下面積 (AURC)。")</f>
        <v>最後の排泄率の観測値を使用して計算された、無限大に外挿された排泄率曲線下面積 (AURC)。</v>
      </c>
      <c r="K477" s="1" t="str">
        <f>IFERROR(__xludf.DUMMYFUNCTION("GOOGLETRANSLATE(G477,""EN"",""JA"")"),"排泄率曲線下の観測面積無限大")</f>
        <v>排泄率曲線下の観測面積無限大</v>
      </c>
    </row>
    <row r="478" ht="13.5" customHeight="1">
      <c r="A478" s="1" t="s">
        <v>870</v>
      </c>
      <c r="B478" s="1" t="s">
        <v>2494</v>
      </c>
      <c r="C478" s="1" t="s">
        <v>2495</v>
      </c>
      <c r="D478" s="1" t="s">
        <v>2496</v>
      </c>
      <c r="E478" s="1" t="s">
        <v>2496</v>
      </c>
      <c r="F478" s="1" t="s">
        <v>2497</v>
      </c>
      <c r="G478" s="1" t="s">
        <v>2498</v>
      </c>
      <c r="H478" s="1" t="str">
        <f>IFERROR(__xludf.DUMMYFUNCTION("GOOGLETRANSLATE(D478,""EN"",""JA"")"),"BMIによるAURC無限大観測標準")</f>
        <v>BMIによるAURC無限大観測標準</v>
      </c>
      <c r="I478" s="1" t="str">
        <f>IFERROR(__xludf.DUMMYFUNCTION("GOOGLETRANSLATE(E478,""EN"",""JA"")"),"BMIによるAURC無限大観測標準")</f>
        <v>BMIによるAURC無限大観測標準</v>
      </c>
      <c r="J478" s="1" t="str">
        <f>IFERROR(__xludf.DUMMYFUNCTION("GOOGLETRANSLATE(F478,""EN"",""JA"")"),"最後の排泄率の観測値を使用して計算された、無限大に外挿された排泄率曲線下面積 (AURC) をボディマス指数で割ったもの。")</f>
        <v>最後の排泄率の観測値を使用して計算された、無限大に外挿された排泄率曲線下面積 (AURC) をボディマス指数で割ったもの。</v>
      </c>
      <c r="K478" s="1" t="str">
        <f>IFERROR(__xludf.DUMMYFUNCTION("GOOGLETRANSLATE(G478,""EN"",""JA"")"),"AURC無限大観測値（BMIで正規化）")</f>
        <v>AURC無限大観測値（BMIで正規化）</v>
      </c>
    </row>
    <row r="479" ht="13.5" customHeight="1">
      <c r="A479" s="1" t="s">
        <v>870</v>
      </c>
      <c r="B479" s="1" t="s">
        <v>2499</v>
      </c>
      <c r="C479" s="1" t="s">
        <v>2500</v>
      </c>
      <c r="D479" s="1" t="s">
        <v>2501</v>
      </c>
      <c r="E479" s="1" t="s">
        <v>2501</v>
      </c>
      <c r="F479" s="1" t="s">
        <v>2502</v>
      </c>
      <c r="G479" s="1" t="s">
        <v>2503</v>
      </c>
      <c r="H479" s="1" t="str">
        <f>IFERROR(__xludf.DUMMYFUNCTION("GOOGLETRANSLATE(D479,""EN"",""JA"")"),"AURC 無限大観測基準（線量別）")</f>
        <v>AURC 無限大観測基準（線量別）</v>
      </c>
      <c r="I479" s="1" t="str">
        <f>IFERROR(__xludf.DUMMYFUNCTION("GOOGLETRANSLATE(E479,""EN"",""JA"")"),"AURC 無限大観測基準（線量別）")</f>
        <v>AURC 無限大観測基準（線量別）</v>
      </c>
      <c r="J479" s="1" t="str">
        <f>IFERROR(__xludf.DUMMYFUNCTION("GOOGLETRANSLATE(F479,""EN"",""JA"")"),"最後の排泄率の観測値を使用して計算され、投与量で割った、無限大に外挿された排泄率曲線下面積 (AURC)。")</f>
        <v>最後の排泄率の観測値を使用して計算され、投与量で割った、無限大に外挿された排泄率曲線下面積 (AURC)。</v>
      </c>
      <c r="K479" s="1" t="str">
        <f>IFERROR(__xludf.DUMMYFUNCTION("GOOGLETRANSLATE(G479,""EN"",""JA"")"),"線量で正規化されたAURC無限大観測")</f>
        <v>線量で正規化されたAURC無限大観測</v>
      </c>
    </row>
    <row r="480" ht="13.5" customHeight="1">
      <c r="A480" s="1" t="s">
        <v>870</v>
      </c>
      <c r="B480" s="1" t="s">
        <v>2504</v>
      </c>
      <c r="C480" s="1" t="s">
        <v>2505</v>
      </c>
      <c r="D480" s="1" t="s">
        <v>2506</v>
      </c>
      <c r="E480" s="1" t="s">
        <v>2506</v>
      </c>
      <c r="F480" s="1" t="s">
        <v>2507</v>
      </c>
      <c r="G480" s="1" t="s">
        <v>2508</v>
      </c>
      <c r="H480" s="1" t="str">
        <f>IFERROR(__xludf.DUMMYFUNCTION("GOOGLETRANSLATE(D480,""EN"",""JA"")"),"SAによるAURC無限観測ノルム")</f>
        <v>SAによるAURC無限観測ノルム</v>
      </c>
      <c r="I480" s="1" t="str">
        <f>IFERROR(__xludf.DUMMYFUNCTION("GOOGLETRANSLATE(E480,""EN"",""JA"")"),"SAによるAURC無限観測ノルム")</f>
        <v>SAによるAURC無限観測ノルム</v>
      </c>
      <c r="J480" s="1" t="str">
        <f>IFERROR(__xludf.DUMMYFUNCTION("GOOGLETRANSLATE(F480,""EN"",""JA"")"),"最後の排泄率の観測値を使用して計算され、表面積で割った、無限大に外挿された排泄率曲線の下の面積 (AURC)。")</f>
        <v>最後の排泄率の観測値を使用して計算され、表面積で割った、無限大に外挿された排泄率曲線の下の面積 (AURC)。</v>
      </c>
      <c r="K480" s="1" t="str">
        <f>IFERROR(__xludf.DUMMYFUNCTION("GOOGLETRANSLATE(G480,""EN"",""JA"")"),"AURC無限大観測値（表面積で正規化）")</f>
        <v>AURC無限大観測値（表面積で正規化）</v>
      </c>
    </row>
    <row r="481" ht="13.5" customHeight="1">
      <c r="A481" s="1" t="s">
        <v>870</v>
      </c>
      <c r="B481" s="1" t="s">
        <v>2509</v>
      </c>
      <c r="C481" s="1" t="s">
        <v>2510</v>
      </c>
      <c r="D481" s="1" t="s">
        <v>2511</v>
      </c>
      <c r="E481" s="1" t="s">
        <v>2511</v>
      </c>
      <c r="F481" s="1" t="s">
        <v>2512</v>
      </c>
      <c r="G481" s="1" t="s">
        <v>2513</v>
      </c>
      <c r="H481" s="1" t="str">
        <f>IFERROR(__xludf.DUMMYFUNCTION("GOOGLETRANSLATE(D481,""EN"",""JA"")"),"WTによるAURC無限観測ノルム")</f>
        <v>WTによるAURC無限観測ノルム</v>
      </c>
      <c r="I481" s="1" t="str">
        <f>IFERROR(__xludf.DUMMYFUNCTION("GOOGLETRANSLATE(E481,""EN"",""JA"")"),"WTによるAURC無限観測ノルム")</f>
        <v>WTによるAURC無限観測ノルム</v>
      </c>
      <c r="J481" s="1" t="str">
        <f>IFERROR(__xludf.DUMMYFUNCTION("GOOGLETRANSLATE(F481,""EN"",""JA"")"),"最後の排泄率の観測値を使用して計算され、体重で割った、無限大に外挿された排泄率曲線下面積 (AURC)。")</f>
        <v>最後の排泄率の観測値を使用して計算され、体重で割った、無限大に外挿された排泄率曲線下面積 (AURC)。</v>
      </c>
      <c r="K481" s="1" t="str">
        <f>IFERROR(__xludf.DUMMYFUNCTION("GOOGLETRANSLATE(G481,""EN"",""JA"")"),"AURC無限大観測値（重量で正規化）")</f>
        <v>AURC無限大観測値（重量で正規化）</v>
      </c>
    </row>
    <row r="482" ht="13.5" customHeight="1">
      <c r="A482" s="1" t="s">
        <v>870</v>
      </c>
      <c r="B482" s="1" t="s">
        <v>2514</v>
      </c>
      <c r="C482" s="1" t="s">
        <v>2515</v>
      </c>
      <c r="D482" s="1" t="s">
        <v>2516</v>
      </c>
      <c r="E482" s="1" t="s">
        <v>2516</v>
      </c>
      <c r="F482" s="1" t="s">
        <v>2517</v>
      </c>
      <c r="G482" s="1" t="s">
        <v>2518</v>
      </c>
      <c r="H482" s="1" t="str">
        <f>IFERROR(__xludf.DUMMYFUNCTION("GOOGLETRANSLATE(D482,""EN"",""JA"")"),"AURC インフィニティ プレデター")</f>
        <v>AURC インフィニティ プレデター</v>
      </c>
      <c r="I482" s="1" t="str">
        <f>IFERROR(__xludf.DUMMYFUNCTION("GOOGLETRANSLATE(E482,""EN"",""JA"")"),"AURC インフィニティ プレデター")</f>
        <v>AURC インフィニティ プレデター</v>
      </c>
      <c r="J482" s="1" t="str">
        <f>IFERROR(__xludf.DUMMYFUNCTION("GOOGLETRANSLATE(F482,""EN"",""JA"")"),"最後のゼロ以外の排泄率の予測値を使用して計算された、無限大に外挿された排泄率曲線下面積 (AURC)。")</f>
        <v>最後のゼロ以外の排泄率の予測値を使用して計算された、無限大に外挿された排泄率曲線下面積 (AURC)。</v>
      </c>
      <c r="K482" s="1" t="str">
        <f>IFERROR(__xludf.DUMMYFUNCTION("GOOGLETRANSLATE(G482,""EN"",""JA"")"),"排泄率曲線の予測領域無限大")</f>
        <v>排泄率曲線の予測領域無限大</v>
      </c>
    </row>
    <row r="483" ht="13.5" customHeight="1">
      <c r="A483" s="1" t="s">
        <v>870</v>
      </c>
      <c r="B483" s="1" t="s">
        <v>2519</v>
      </c>
      <c r="C483" s="1" t="s">
        <v>2520</v>
      </c>
      <c r="D483" s="1" t="s">
        <v>2521</v>
      </c>
      <c r="E483" s="1" t="s">
        <v>2521</v>
      </c>
      <c r="F483" s="1" t="s">
        <v>2522</v>
      </c>
      <c r="G483" s="1" t="s">
        <v>2523</v>
      </c>
      <c r="H483" s="1" t="str">
        <f>IFERROR(__xludf.DUMMYFUNCTION("GOOGLETRANSLATE(D483,""EN"",""JA"")"),"AURC Infinity Pred Norm（BMI別）")</f>
        <v>AURC Infinity Pred Norm（BMI別）</v>
      </c>
      <c r="I483" s="1" t="str">
        <f>IFERROR(__xludf.DUMMYFUNCTION("GOOGLETRANSLATE(E483,""EN"",""JA"")"),"AURC Infinity Pred Norm（BMI別）")</f>
        <v>AURC Infinity Pred Norm（BMI別）</v>
      </c>
      <c r="J483" s="1" t="str">
        <f>IFERROR(__xludf.DUMMYFUNCTION("GOOGLETRANSLATE(F483,""EN"",""JA"")"),"排泄率曲線下面積 (AURC) を無限大に外挿したもので、最後のゼロでない排泄率の予測値を使用して計算し、BMI で割った値です。")</f>
        <v>排泄率曲線下面積 (AURC) を無限大に外挿したもので、最後のゼロでない排泄率の予測値を使用して計算し、BMI で割った値です。</v>
      </c>
      <c r="K483" s="1" t="str">
        <f>IFERROR(__xludf.DUMMYFUNCTION("GOOGLETRANSLATE(G483,""EN"",""JA"")"),"AURC無限大予測（BMIで正規化）")</f>
        <v>AURC無限大予測（BMIで正規化）</v>
      </c>
    </row>
    <row r="484" ht="13.5" customHeight="1">
      <c r="A484" s="1" t="s">
        <v>870</v>
      </c>
      <c r="B484" s="1" t="s">
        <v>2524</v>
      </c>
      <c r="C484" s="1" t="s">
        <v>2525</v>
      </c>
      <c r="D484" s="1" t="s">
        <v>2526</v>
      </c>
      <c r="E484" s="1" t="s">
        <v>2526</v>
      </c>
      <c r="F484" s="1" t="s">
        <v>2527</v>
      </c>
      <c r="G484" s="1" t="s">
        <v>2528</v>
      </c>
      <c r="H484" s="1" t="str">
        <f>IFERROR(__xludf.DUMMYFUNCTION("GOOGLETRANSLATE(D484,""EN"",""JA"")"),"AURC Infinity Pred Norm by Dose")</f>
        <v>AURC Infinity Pred Norm by Dose</v>
      </c>
      <c r="I484" s="1" t="str">
        <f>IFERROR(__xludf.DUMMYFUNCTION("GOOGLETRANSLATE(E484,""EN"",""JA"")"),"AURC Infinity Pred Norm by Dose")</f>
        <v>AURC Infinity Pred Norm by Dose</v>
      </c>
      <c r="J484" s="1" t="str">
        <f>IFERROR(__xludf.DUMMYFUNCTION("GOOGLETRANSLATE(F484,""EN"",""JA"")"),"最後の非ゼロ排泄率の予測値を使用して計算され、投与量で割った、無限大に外挿された排泄率曲線下面積 (AURC)。")</f>
        <v>最後の非ゼロ排泄率の予測値を使用して計算され、投与量で割った、無限大に外挿された排泄率曲線下面積 (AURC)。</v>
      </c>
      <c r="K484" s="1" t="str">
        <f>IFERROR(__xludf.DUMMYFUNCTION("GOOGLETRANSLATE(G484,""EN"",""JA"")"),"AURC無限大予測（線量で正規化）")</f>
        <v>AURC無限大予測（線量で正規化）</v>
      </c>
    </row>
    <row r="485" ht="13.5" customHeight="1">
      <c r="A485" s="1" t="s">
        <v>870</v>
      </c>
      <c r="B485" s="1" t="s">
        <v>2529</v>
      </c>
      <c r="C485" s="1" t="s">
        <v>2530</v>
      </c>
      <c r="D485" s="1" t="s">
        <v>2531</v>
      </c>
      <c r="E485" s="1" t="s">
        <v>2531</v>
      </c>
      <c r="F485" s="1" t="s">
        <v>2532</v>
      </c>
      <c r="G485" s="1" t="s">
        <v>2533</v>
      </c>
      <c r="H485" s="1" t="str">
        <f>IFERROR(__xludf.DUMMYFUNCTION("GOOGLETRANSLATE(D485,""EN"",""JA"")"),"SAによるAURC無限予測ノルム")</f>
        <v>SAによるAURC無限予測ノルム</v>
      </c>
      <c r="I485" s="1" t="str">
        <f>IFERROR(__xludf.DUMMYFUNCTION("GOOGLETRANSLATE(E485,""EN"",""JA"")"),"SAによるAURC無限予測ノルム")</f>
        <v>SAによるAURC無限予測ノルム</v>
      </c>
      <c r="J485" s="1" t="str">
        <f>IFERROR(__xludf.DUMMYFUNCTION("GOOGLETRANSLATE(F485,""EN"",""JA"")"),"排泄率曲線下面積 (AURC) を無限大に外挿したもので、最後のゼロ以外の排泄率の予測値を使用して計算し、表面積で割った値です。")</f>
        <v>排泄率曲線下面積 (AURC) を無限大に外挿したもので、最後のゼロ以外の排泄率の予測値を使用して計算し、表面積で割った値です。</v>
      </c>
      <c r="K485" s="1" t="str">
        <f>IFERROR(__xludf.DUMMYFUNCTION("GOOGLETRANSLATE(G485,""EN"",""JA"")"),"AURC無限大予測（表面積で正規化）")</f>
        <v>AURC無限大予測（表面積で正規化）</v>
      </c>
    </row>
    <row r="486" ht="13.5" customHeight="1">
      <c r="A486" s="1" t="s">
        <v>870</v>
      </c>
      <c r="B486" s="1" t="s">
        <v>2534</v>
      </c>
      <c r="C486" s="1" t="s">
        <v>2535</v>
      </c>
      <c r="D486" s="1" t="s">
        <v>2536</v>
      </c>
      <c r="E486" s="1" t="s">
        <v>2536</v>
      </c>
      <c r="F486" s="1" t="s">
        <v>2537</v>
      </c>
      <c r="G486" s="1" t="s">
        <v>2538</v>
      </c>
      <c r="H486" s="1" t="str">
        <f>IFERROR(__xludf.DUMMYFUNCTION("GOOGLETRANSLATE(D486,""EN"",""JA"")"),"WTによるAURC無限予測ノルム")</f>
        <v>WTによるAURC無限予測ノルム</v>
      </c>
      <c r="I486" s="1" t="str">
        <f>IFERROR(__xludf.DUMMYFUNCTION("GOOGLETRANSLATE(E486,""EN"",""JA"")"),"WTによるAURC無限予測ノルム")</f>
        <v>WTによるAURC無限予測ノルム</v>
      </c>
      <c r="J486" s="1" t="str">
        <f>IFERROR(__xludf.DUMMYFUNCTION("GOOGLETRANSLATE(F486,""EN"",""JA"")"),"最後のゼロ以外の排泄率の予測値を使用して計算され、体重で割った、無限大に外挿された排泄率曲線下面積 (AURC)。")</f>
        <v>最後のゼロ以外の排泄率の予測値を使用して計算され、体重で割った、無限大に外挿された排泄率曲線下面積 (AURC)。</v>
      </c>
      <c r="K486" s="1" t="str">
        <f>IFERROR(__xludf.DUMMYFUNCTION("GOOGLETRANSLATE(G486,""EN"",""JA"")"),"AURC無限大予測（重量で正規化）")</f>
        <v>AURC無限大予測（重量で正規化）</v>
      </c>
    </row>
    <row r="487" ht="13.5" customHeight="1">
      <c r="A487" s="1" t="s">
        <v>870</v>
      </c>
      <c r="B487" s="1" t="s">
        <v>2539</v>
      </c>
      <c r="C487" s="1" t="s">
        <v>2540</v>
      </c>
      <c r="D487" s="1" t="s">
        <v>2541</v>
      </c>
      <c r="E487" s="1" t="s">
        <v>2541</v>
      </c>
      <c r="F487" s="1" t="s">
        <v>2542</v>
      </c>
      <c r="G487" s="1" t="s">
        <v>2543</v>
      </c>
      <c r="H487" s="1" t="str">
        <f>IFERROR(__xludf.DUMMYFUNCTION("GOOGLETRANSLATE(D487,""EN"",""JA"")"),"T1からT2へのAURC")</f>
        <v>T1からT2へのAURC</v>
      </c>
      <c r="I487" s="1" t="str">
        <f>IFERROR(__xludf.DUMMYFUNCTION("GOOGLETRANSLATE(E487,""EN"",""JA"")"),"T1からT2へのAURC")</f>
        <v>T1からT2へのAURC</v>
      </c>
      <c r="J487" s="1" t="str">
        <f>IFERROR(__xludf.DUMMYFUNCTION("GOOGLETRANSLATE(F487,""EN"",""JA"")"),"T1 から T2 までの間隔における排泄率曲線下面積 (AURC)。")</f>
        <v>T1 から T2 までの間隔における排泄率曲線下面積 (AURC)。</v>
      </c>
      <c r="K487" s="1" t="str">
        <f>IFERROR(__xludf.DUMMYFUNCTION("GOOGLETRANSLATE(G487,""EN"",""JA"")"),"T1からT2までの排泄速度曲線下面積")</f>
        <v>T1からT2までの排泄速度曲線下面積</v>
      </c>
    </row>
    <row r="488" ht="13.5" customHeight="1">
      <c r="A488" s="1" t="s">
        <v>870</v>
      </c>
      <c r="B488" s="1" t="s">
        <v>2544</v>
      </c>
      <c r="C488" s="1" t="s">
        <v>2545</v>
      </c>
      <c r="D488" s="1" t="s">
        <v>2546</v>
      </c>
      <c r="E488" s="1" t="s">
        <v>2546</v>
      </c>
      <c r="F488" s="1" t="s">
        <v>2547</v>
      </c>
      <c r="G488" s="1" t="s">
        <v>2548</v>
      </c>
      <c r="H488" s="1" t="str">
        <f>IFERROR(__xludf.DUMMYFUNCTION("GOOGLETRANSLATE(D488,""EN"",""JA"")"),"BMIによるT1からT2までのAURC正常値")</f>
        <v>BMIによるT1からT2までのAURC正常値</v>
      </c>
      <c r="I488" s="1" t="str">
        <f>IFERROR(__xludf.DUMMYFUNCTION("GOOGLETRANSLATE(E488,""EN"",""JA"")"),"BMIによるT1からT2までのAURC正常値")</f>
        <v>BMIによるT1からT2までのAURC正常値</v>
      </c>
      <c r="J488" s="1" t="str">
        <f>IFERROR(__xludf.DUMMYFUNCTION("GOOGLETRANSLATE(F488,""EN"",""JA"")"),"T1 から T2 までの間隔における排泄率曲線下面積 (AURC) をボディマス指数で割ったもの。")</f>
        <v>T1 から T2 までの間隔における排泄率曲線下面積 (AURC) をボディマス指数で割ったもの。</v>
      </c>
      <c r="K488" s="1" t="str">
        <f>IFERROR(__xludf.DUMMYFUNCTION("GOOGLETRANSLATE(G488,""EN"",""JA"")"),"ボディマス指数で正規化したT1からT2までのAURC")</f>
        <v>ボディマス指数で正規化したT1からT2までのAURC</v>
      </c>
    </row>
    <row r="489" ht="13.5" customHeight="1">
      <c r="A489" s="1" t="s">
        <v>870</v>
      </c>
      <c r="B489" s="1" t="s">
        <v>2549</v>
      </c>
      <c r="C489" s="1" t="s">
        <v>2550</v>
      </c>
      <c r="D489" s="1" t="s">
        <v>2551</v>
      </c>
      <c r="E489" s="1" t="s">
        <v>2551</v>
      </c>
      <c r="F489" s="1" t="s">
        <v>2552</v>
      </c>
      <c r="G489" s="1" t="s">
        <v>2553</v>
      </c>
      <c r="H489" s="1" t="str">
        <f>IFERROR(__xludf.DUMMYFUNCTION("GOOGLETRANSLATE(D489,""EN"",""JA"")"),"線量によるT1からT2までのAURC正常値")</f>
        <v>線量によるT1からT2までのAURC正常値</v>
      </c>
      <c r="I489" s="1" t="str">
        <f>IFERROR(__xludf.DUMMYFUNCTION("GOOGLETRANSLATE(E489,""EN"",""JA"")"),"線量によるT1からT2までのAURC正常値")</f>
        <v>線量によるT1からT2までのAURC正常値</v>
      </c>
      <c r="J489" s="1" t="str">
        <f>IFERROR(__xludf.DUMMYFUNCTION("GOOGLETRANSLATE(F489,""EN"",""JA"")"),"T1 から T2 までの間隔における排泄率曲線下面積 (AURC) を投与量で割ったもの。")</f>
        <v>T1 から T2 までの間隔における排泄率曲線下面積 (AURC) を投与量で割ったもの。</v>
      </c>
      <c r="K489" s="1" t="str">
        <f>IFERROR(__xludf.DUMMYFUNCTION("GOOGLETRANSLATE(G489,""EN"",""JA"")"),"線量で正規化したT1からT2までのAURC")</f>
        <v>線量で正規化したT1からT2までのAURC</v>
      </c>
    </row>
    <row r="490" ht="13.5" customHeight="1">
      <c r="A490" s="1" t="s">
        <v>870</v>
      </c>
      <c r="B490" s="1" t="s">
        <v>2554</v>
      </c>
      <c r="C490" s="1" t="s">
        <v>2555</v>
      </c>
      <c r="D490" s="1" t="s">
        <v>2556</v>
      </c>
      <c r="E490" s="1" t="s">
        <v>2556</v>
      </c>
      <c r="F490" s="1" t="s">
        <v>2557</v>
      </c>
      <c r="G490" s="1" t="s">
        <v>2558</v>
      </c>
      <c r="H490" s="1" t="str">
        <f>IFERROR(__xludf.DUMMYFUNCTION("GOOGLETRANSLATE(D490,""EN"",""JA"")"),"SAによるT1からT2へのAURCの標準")</f>
        <v>SAによるT1からT2へのAURCの標準</v>
      </c>
      <c r="I490" s="1" t="str">
        <f>IFERROR(__xludf.DUMMYFUNCTION("GOOGLETRANSLATE(E490,""EN"",""JA"")"),"SAによるT1からT2へのAURCの標準")</f>
        <v>SAによるT1からT2へのAURCの標準</v>
      </c>
      <c r="J490" s="1" t="str">
        <f>IFERROR(__xludf.DUMMYFUNCTION("GOOGLETRANSLATE(F490,""EN"",""JA"")"),"T1 から T2 までの間隔における排泄速度曲線下面積 (AURC) を表面積で割ったもの。")</f>
        <v>T1 から T2 までの間隔における排泄速度曲線下面積 (AURC) を表面積で割ったもの。</v>
      </c>
      <c r="K490" s="1" t="str">
        <f>IFERROR(__xludf.DUMMYFUNCTION("GOOGLETRANSLATE(G490,""EN"",""JA"")"),"T1からT2までのAURCを表面積で正規化した値")</f>
        <v>T1からT2までのAURCを表面積で正規化した値</v>
      </c>
    </row>
    <row r="491" ht="13.5" customHeight="1">
      <c r="A491" s="1" t="s">
        <v>870</v>
      </c>
      <c r="B491" s="1" t="s">
        <v>2559</v>
      </c>
      <c r="C491" s="1" t="s">
        <v>2560</v>
      </c>
      <c r="D491" s="1" t="s">
        <v>2561</v>
      </c>
      <c r="E491" s="1" t="s">
        <v>2561</v>
      </c>
      <c r="F491" s="1" t="s">
        <v>2562</v>
      </c>
      <c r="G491" s="1" t="s">
        <v>2563</v>
      </c>
      <c r="H491" s="1" t="str">
        <f>IFERROR(__xludf.DUMMYFUNCTION("GOOGLETRANSLATE(D491,""EN"",""JA"")"),"WTによるT1からT2までのAURCの標準値")</f>
        <v>WTによるT1からT2までのAURCの標準値</v>
      </c>
      <c r="I491" s="1" t="str">
        <f>IFERROR(__xludf.DUMMYFUNCTION("GOOGLETRANSLATE(E491,""EN"",""JA"")"),"WTによるT1からT2までのAURCの標準値")</f>
        <v>WTによるT1からT2までのAURCの標準値</v>
      </c>
      <c r="J491" s="1" t="str">
        <f>IFERROR(__xludf.DUMMYFUNCTION("GOOGLETRANSLATE(F491,""EN"",""JA"")"),"T1 から T2 までの間隔における排泄率曲線下面積 (AURC) を重量で割ったもの。")</f>
        <v>T1 から T2 までの間隔における排泄率曲線下面積 (AURC) を重量で割ったもの。</v>
      </c>
      <c r="K491" s="1" t="str">
        <f>IFERROR(__xludf.DUMMYFUNCTION("GOOGLETRANSLATE(G491,""EN"",""JA"")"),"重量で正規化されたT1からT2までのAURC")</f>
        <v>重量で正規化されたT1からT2までのAURC</v>
      </c>
    </row>
    <row r="492" ht="13.5" customHeight="1">
      <c r="A492" s="1" t="s">
        <v>870</v>
      </c>
      <c r="B492" s="1" t="s">
        <v>2564</v>
      </c>
      <c r="C492" s="1" t="s">
        <v>2565</v>
      </c>
      <c r="D492" s="1" t="s">
        <v>2566</v>
      </c>
      <c r="E492" s="1" t="s">
        <v>2566</v>
      </c>
      <c r="F492" s="1" t="s">
        <v>2567</v>
      </c>
      <c r="G492" s="1" t="s">
        <v>2568</v>
      </c>
      <c r="H492" s="1" t="str">
        <f>IFERROR(__xludf.DUMMYFUNCTION("GOOGLETRANSLATE(D492,""EN"",""JA"")"),"AURCから最後の非ゼロレート")</f>
        <v>AURCから最後の非ゼロレート</v>
      </c>
      <c r="I492" s="1" t="str">
        <f>IFERROR(__xludf.DUMMYFUNCTION("GOOGLETRANSLATE(E492,""EN"",""JA"")"),"AURCから最後の非ゼロレート")</f>
        <v>AURCから最後の非ゼロレート</v>
      </c>
      <c r="J492" s="1" t="str">
        <f>IFERROR(__xludf.DUMMYFUNCTION("GOOGLETRANSLATE(F492,""EN"",""JA"")"),"排泄率曲線下面積 (AURC)、時間ゼロから最後の測定可能な濃度までの時間。")</f>
        <v>排泄率曲線下面積 (AURC)、時間ゼロから最後の測定可能な濃度までの時間。</v>
      </c>
      <c r="K492" s="1" t="str">
        <f>IFERROR(__xludf.DUMMYFUNCTION("GOOGLETRANSLATE(G492,""EN"",""JA"")"),"投与から最終濃度までの排泄速度曲線下面積")</f>
        <v>投与から最終濃度までの排泄速度曲線下面積</v>
      </c>
    </row>
    <row r="493" ht="13.5" customHeight="1">
      <c r="A493" s="1" t="s">
        <v>870</v>
      </c>
      <c r="B493" s="1" t="s">
        <v>2569</v>
      </c>
      <c r="C493" s="1" t="s">
        <v>2570</v>
      </c>
      <c r="D493" s="1" t="s">
        <v>2571</v>
      </c>
      <c r="E493" s="1" t="s">
        <v>2572</v>
      </c>
      <c r="F493" s="1" t="s">
        <v>2573</v>
      </c>
      <c r="G493" s="1" t="s">
        <v>2574</v>
      </c>
      <c r="H493" s="1" t="str">
        <f>IFERROR(__xludf.DUMMYFUNCTION("GOOGLETRANSLATE(D493,""EN"",""JA"")"),"BMIによる最終濃度基準へのAURC投与")</f>
        <v>BMIによる最終濃度基準へのAURC投与</v>
      </c>
      <c r="I493" s="1" t="str">
        <f>IFERROR(__xludf.DUMMYFUNCTION("GOOGLETRANSLATE(E493,""EN"",""JA"")"),"BMIによる最後の非ゼロレート標準に対するAURC")</f>
        <v>BMIによる最後の非ゼロレート標準に対するAURC</v>
      </c>
      <c r="J493" s="1" t="str">
        <f>IFERROR(__xludf.DUMMYFUNCTION("GOOGLETRANSLATE(F493,""EN"",""JA"")"),"排泄率曲線下面積（AURC）を時間ゼロから最後の測定可能な率まで、BMI で割った値。")</f>
        <v>排泄率曲線下面積（AURC）を時間ゼロから最後の測定可能な率まで、BMI で割った値。</v>
      </c>
      <c r="K493" s="1" t="str">
        <f>IFERROR(__xludf.DUMMYFUNCTION("GOOGLETRANSLATE(G493,""EN"",""JA"")"),"AURC投与量（最終濃度）をBMIで標準化")</f>
        <v>AURC投与量（最終濃度）をBMIで標準化</v>
      </c>
    </row>
    <row r="494" ht="13.5" customHeight="1">
      <c r="A494" s="1" t="s">
        <v>870</v>
      </c>
      <c r="B494" s="1" t="s">
        <v>2575</v>
      </c>
      <c r="C494" s="1" t="s">
        <v>2576</v>
      </c>
      <c r="D494" s="1" t="s">
        <v>2577</v>
      </c>
      <c r="E494" s="1" t="s">
        <v>2578</v>
      </c>
      <c r="F494" s="1" t="s">
        <v>2579</v>
      </c>
      <c r="G494" s="1" t="s">
        <v>2580</v>
      </c>
      <c r="H494" s="1" t="str">
        <f>IFERROR(__xludf.DUMMYFUNCTION("GOOGLETRANSLATE(D494,""EN"",""JA"")"),"AURC投与量ごとの最終濃度基準")</f>
        <v>AURC投与量ごとの最終濃度基準</v>
      </c>
      <c r="I494" s="1" t="str">
        <f>IFERROR(__xludf.DUMMYFUNCTION("GOOGLETRANSLATE(E494,""EN"",""JA"")"),"AURCから線量別の最終非ゼロ率基準")</f>
        <v>AURCから線量別の最終非ゼロ率基準</v>
      </c>
      <c r="J494" s="1" t="str">
        <f>IFERROR(__xludf.DUMMYFUNCTION("GOOGLETRANSLATE(F494,""EN"",""JA"")"),"排泄率曲線下面積（AURC）を、時間ゼロから最後の測定可能な速度まで、投与量で割った値。")</f>
        <v>排泄率曲線下面積（AURC）を、時間ゼロから最後の測定可能な速度まで、投与量で割った値。</v>
      </c>
      <c r="K494" s="1" t="str">
        <f>IFERROR(__xludf.DUMMYFUNCTION("GOOGLETRANSLATE(G494,""EN"",""JA"")"),"投与量で正規化された最終濃度までのAURC投与量")</f>
        <v>投与量で正規化された最終濃度までのAURC投与量</v>
      </c>
    </row>
    <row r="495" ht="13.5" customHeight="1">
      <c r="A495" s="1" t="s">
        <v>870</v>
      </c>
      <c r="B495" s="1" t="s">
        <v>2581</v>
      </c>
      <c r="C495" s="1" t="s">
        <v>2582</v>
      </c>
      <c r="D495" s="1" t="s">
        <v>2583</v>
      </c>
      <c r="E495" s="1" t="s">
        <v>2584</v>
      </c>
      <c r="F495" s="1" t="s">
        <v>2585</v>
      </c>
      <c r="G495" s="1" t="s">
        <v>2586</v>
      </c>
      <c r="H495" s="1" t="str">
        <f>IFERROR(__xludf.DUMMYFUNCTION("GOOGLETRANSLATE(D495,""EN"",""JA"")"),"SAによる最終濃度基準へのAURC投与")</f>
        <v>SAによる最終濃度基準へのAURC投与</v>
      </c>
      <c r="I495" s="1" t="str">
        <f>IFERROR(__xludf.DUMMYFUNCTION("GOOGLETRANSLATE(E495,""EN"",""JA"")"),"AURCからSAまでの最後の非ゼロレート基準")</f>
        <v>AURCからSAまでの最後の非ゼロレート基準</v>
      </c>
      <c r="J495" s="1" t="str">
        <f>IFERROR(__xludf.DUMMYFUNCTION("GOOGLETRANSLATE(F495,""EN"",""JA"")"),"排泄速度曲線下面積（AURC）を時間ゼロから最後の測定可能な速度まで表面積で割った値。")</f>
        <v>排泄速度曲線下面積（AURC）を時間ゼロから最後の測定可能な速度まで表面積で割った値。</v>
      </c>
      <c r="K495" s="1" t="str">
        <f>IFERROR(__xludf.DUMMYFUNCTION("GOOGLETRANSLATE(G495,""EN"",""JA"")"),"AURC投与量（最終濃度、表面積で正規化）")</f>
        <v>AURC投与量（最終濃度、表面積で正規化）</v>
      </c>
    </row>
    <row r="496" ht="13.5" customHeight="1">
      <c r="A496" s="1" t="s">
        <v>870</v>
      </c>
      <c r="B496" s="1" t="s">
        <v>2587</v>
      </c>
      <c r="C496" s="1" t="s">
        <v>2588</v>
      </c>
      <c r="D496" s="1" t="s">
        <v>2589</v>
      </c>
      <c r="E496" s="1" t="s">
        <v>2590</v>
      </c>
      <c r="F496" s="1" t="s">
        <v>2591</v>
      </c>
      <c r="G496" s="1" t="s">
        <v>2592</v>
      </c>
      <c r="H496" s="1" t="str">
        <f>IFERROR(__xludf.DUMMYFUNCTION("GOOGLETRANSLATE(D496,""EN"",""JA"")"),"WTによる最終濃度基準へのAURC投与")</f>
        <v>WTによる最終濃度基準へのAURC投与</v>
      </c>
      <c r="I496" s="1" t="str">
        <f>IFERROR(__xludf.DUMMYFUNCTION("GOOGLETRANSLATE(E496,""EN"",""JA"")"),"AURCからWTまでの最後の非ゼロレート基準")</f>
        <v>AURCからWTまでの最後の非ゼロレート基準</v>
      </c>
      <c r="J496" s="1" t="str">
        <f>IFERROR(__xludf.DUMMYFUNCTION("GOOGLETRANSLATE(F496,""EN"",""JA"")"),"排泄率曲線下面積（AURC）を時間ゼロから最後の測定可能な率まで体重で割った値。")</f>
        <v>排泄率曲線下面積（AURC）を時間ゼロから最後の測定可能な率まで体重で割った値。</v>
      </c>
      <c r="K496" s="1" t="str">
        <f>IFERROR(__xludf.DUMMYFUNCTION("GOOGLETRANSLATE(G496,""EN"",""JA"")"),"最終濃度までのAURC投与量を体重で正規化")</f>
        <v>最終濃度までのAURC投与量を体重で正規化</v>
      </c>
    </row>
    <row r="497" ht="13.5" customHeight="1">
      <c r="A497" s="1" t="s">
        <v>870</v>
      </c>
      <c r="B497" s="1" t="s">
        <v>2593</v>
      </c>
      <c r="C497" s="1" t="s">
        <v>2594</v>
      </c>
      <c r="D497" s="1" t="s">
        <v>2595</v>
      </c>
      <c r="E497" s="1" t="s">
        <v>2595</v>
      </c>
      <c r="F497" s="1" t="s">
        <v>2596</v>
      </c>
      <c r="G497" s="1" t="s">
        <v>2597</v>
      </c>
      <c r="H497" s="1" t="str">
        <f>IFERROR(__xludf.DUMMYFUNCTION("GOOGLETRANSLATE(D497,""EN"",""JA"")"),"AURC % 外挿観測")</f>
        <v>AURC % 外挿観測</v>
      </c>
      <c r="I497" s="1" t="str">
        <f>IFERROR(__xludf.DUMMYFUNCTION("GOOGLETRANSLATE(E497,""EN"",""JA"")"),"AURC % 外挿観測")</f>
        <v>AURC % 外挿観測</v>
      </c>
      <c r="J497" s="1" t="str">
        <f>IFERROR(__xludf.DUMMYFUNCTION("GOOGLETRANSLATE(F497,""EN"",""JA"")"),"最後に観測されたゼロ以外の速度値から無限大までの排泄速度曲線下面積 (AURC) を、無限大まで外挿した排泄速度曲線下面積のパーセンテージで表します。")</f>
        <v>最後に観測されたゼロ以外の速度値から無限大までの排泄速度曲線下面積 (AURC) を、無限大まで外挿した排泄速度曲線下面積のパーセンテージで表します。</v>
      </c>
      <c r="K497" s="1" t="str">
        <f>IFERROR(__xludf.DUMMYFUNCTION("GOOGLETRANSLATE(G497,""EN"",""JA"")"),"排泄率曲線下の観測面積パーセント外挿")</f>
        <v>排泄率曲線下の観測面積パーセント外挿</v>
      </c>
    </row>
    <row r="498" ht="13.5" customHeight="1">
      <c r="A498" s="1" t="s">
        <v>870</v>
      </c>
      <c r="B498" s="1" t="s">
        <v>2598</v>
      </c>
      <c r="C498" s="1" t="s">
        <v>2599</v>
      </c>
      <c r="D498" s="1" t="s">
        <v>2600</v>
      </c>
      <c r="E498" s="1" t="s">
        <v>2600</v>
      </c>
      <c r="F498" s="1" t="s">
        <v>2601</v>
      </c>
      <c r="G498" s="1" t="s">
        <v>2602</v>
      </c>
      <c r="H498" s="1" t="str">
        <f>IFERROR(__xludf.DUMMYFUNCTION("GOOGLETRANSLATE(D498,""EN"",""JA"")"),"AURC % 外挿予測")</f>
        <v>AURC % 外挿予測</v>
      </c>
      <c r="I498" s="1" t="str">
        <f>IFERROR(__xludf.DUMMYFUNCTION("GOOGLETRANSLATE(E498,""EN"",""JA"")"),"AURC % 外挿予測")</f>
        <v>AURC % 外挿予測</v>
      </c>
      <c r="J498" s="1" t="str">
        <f>IFERROR(__xludf.DUMMYFUNCTION("GOOGLETRANSLATE(F498,""EN"",""JA"")"),"最後に予測されたゼロ以外の速度値から無限大までの排泄速度曲線下面積 (AURC) を、無限大まで外挿した排泄速度曲線下面積のパーセンテージで表します。")</f>
        <v>最後に予測されたゼロ以外の速度値から無限大までの排泄速度曲線下面積 (AURC) を、無限大まで外挿した排泄速度曲線下面積のパーセンテージで表します。</v>
      </c>
      <c r="K498" s="1" t="str">
        <f>IFERROR(__xludf.DUMMYFUNCTION("GOOGLETRANSLATE(G498,""EN"",""JA"")"),"排泄率曲線下面積の予測値 パーセント外挿")</f>
        <v>排泄率曲線下面積の予測値 パーセント外挿</v>
      </c>
    </row>
    <row r="499" ht="13.5" customHeight="1">
      <c r="A499" s="1" t="s">
        <v>67</v>
      </c>
      <c r="B499" s="1" t="s">
        <v>2603</v>
      </c>
      <c r="C499" s="1" t="s">
        <v>2604</v>
      </c>
      <c r="D499" s="1" t="s">
        <v>2605</v>
      </c>
      <c r="E499" s="1" t="s">
        <v>2605</v>
      </c>
      <c r="F499" s="1" t="s">
        <v>2606</v>
      </c>
      <c r="G499" s="1" t="s">
        <v>2607</v>
      </c>
      <c r="H499" s="1" t="str">
        <f>IFERROR(__xludf.DUMMYFUNCTION("GOOGLETRANSLATE(D499,""EN"",""JA"")"),"エアロコッカス・ウリナエ")</f>
        <v>エアロコッカス・ウリナエ</v>
      </c>
      <c r="I499" s="1" t="str">
        <f>IFERROR(__xludf.DUMMYFUNCTION("GOOGLETRANSLATE(E499,""EN"",""JA"")"),"エアロコッカス・ウリナエ")</f>
        <v>エアロコッカス・ウリナエ</v>
      </c>
      <c r="J499" s="1" t="str">
        <f>IFERROR(__xludf.DUMMYFUNCTION("GOOGLETRANSLATE(F499,""EN"",""JA"")"),"生物標本中の Aerococcus urinae の測定。")</f>
        <v>生物標本中の Aerococcus urinae の測定。</v>
      </c>
      <c r="K499" s="1" t="str">
        <f>IFERROR(__xludf.DUMMYFUNCTION("GOOGLETRANSLATE(G499,""EN"",""JA"")"),"エアロコッカス・ウリナエ測定")</f>
        <v>エアロコッカス・ウリナエ測定</v>
      </c>
    </row>
    <row r="500" ht="13.5" customHeight="1">
      <c r="A500" s="1" t="s">
        <v>67</v>
      </c>
      <c r="B500" s="1" t="s">
        <v>2608</v>
      </c>
      <c r="C500" s="1" t="s">
        <v>2609</v>
      </c>
      <c r="D500" s="1" t="s">
        <v>2610</v>
      </c>
      <c r="E500" s="1" t="s">
        <v>2610</v>
      </c>
      <c r="F500" s="1" t="s">
        <v>2611</v>
      </c>
      <c r="G500" s="1" t="s">
        <v>2612</v>
      </c>
      <c r="H500" s="1" t="str">
        <f>IFERROR(__xludf.DUMMYFUNCTION("GOOGLETRANSLATE(D500,""EN"",""JA"")"),"アシネトバクター・ウルシンギ")</f>
        <v>アシネトバクター・ウルシンギ</v>
      </c>
      <c r="I500" s="1" t="str">
        <f>IFERROR(__xludf.DUMMYFUNCTION("GOOGLETRANSLATE(E500,""EN"",""JA"")"),"アシネトバクター・ウルシンギ")</f>
        <v>アシネトバクター・ウルシンギ</v>
      </c>
      <c r="J500" s="1" t="str">
        <f>IFERROR(__xludf.DUMMYFUNCTION("GOOGLETRANSLATE(F500,""EN"",""JA"")"),"生物標本中の Acinetobacter ursingii の測定。")</f>
        <v>生物標本中の Acinetobacter ursingii の測定。</v>
      </c>
      <c r="K500" s="1" t="str">
        <f>IFERROR(__xludf.DUMMYFUNCTION("GOOGLETRANSLATE(G500,""EN"",""JA"")"),"アシネトバクター・ウルシンギ測定")</f>
        <v>アシネトバクター・ウルシンギ測定</v>
      </c>
    </row>
    <row r="501" ht="13.5" customHeight="1">
      <c r="A501" s="1" t="s">
        <v>842</v>
      </c>
      <c r="B501" s="1" t="s">
        <v>2613</v>
      </c>
      <c r="C501" s="1" t="s">
        <v>2614</v>
      </c>
      <c r="D501" s="1" t="s">
        <v>2615</v>
      </c>
      <c r="E501" s="1" t="s">
        <v>2615</v>
      </c>
      <c r="F501" s="1" t="s">
        <v>2616</v>
      </c>
      <c r="G501" s="1" t="s">
        <v>2615</v>
      </c>
      <c r="H501" s="1" t="str">
        <f>IFERROR(__xludf.DUMMYFUNCTION("GOOGLETRANSLATE(D501,""EN"",""JA"")"),"剖検インジケーター")</f>
        <v>剖検インジケーター</v>
      </c>
      <c r="I501" s="1" t="str">
        <f>IFERROR(__xludf.DUMMYFUNCTION("GOOGLETRANSLATE(E501,""EN"",""JA"")"),"剖検インジケーター")</f>
        <v>剖検インジケーター</v>
      </c>
      <c r="J501" s="1" t="str">
        <f>IFERROR(__xludf.DUMMYFUNCTION("GOOGLETRANSLATE(F501,""EN"",""JA"")"),"剖検が行われたかどうかを示すもの。(NCI)")</f>
        <v>剖検が行われたかどうかを示すもの。(NCI)</v>
      </c>
      <c r="K501" s="1" t="str">
        <f>IFERROR(__xludf.DUMMYFUNCTION("GOOGLETRANSLATE(G501,""EN"",""JA"")"),"剖検インジケーター")</f>
        <v>剖検インジケーター</v>
      </c>
    </row>
    <row r="502" ht="13.5" customHeight="1">
      <c r="A502" s="1" t="s">
        <v>1168</v>
      </c>
      <c r="B502" s="1" t="s">
        <v>2617</v>
      </c>
      <c r="C502" s="1" t="s">
        <v>2618</v>
      </c>
      <c r="D502" s="1" t="s">
        <v>2619</v>
      </c>
      <c r="E502" s="1" t="s">
        <v>2619</v>
      </c>
      <c r="F502" s="1" t="s">
        <v>2620</v>
      </c>
      <c r="G502" s="1" t="s">
        <v>2621</v>
      </c>
      <c r="H502" s="1" t="str">
        <f>IFERROR(__xludf.DUMMYFUNCTION("GOOGLETRANSLATE(D502,""EN"",""JA"")"),"房室伝導")</f>
        <v>房室伝導</v>
      </c>
      <c r="I502" s="1" t="str">
        <f>IFERROR(__xludf.DUMMYFUNCTION("GOOGLETRANSLATE(E502,""EN"",""JA"")"),"房室伝導")</f>
        <v>房室伝導</v>
      </c>
      <c r="J502" s="1" t="str">
        <f>IFERROR(__xludf.DUMMYFUNCTION("GOOGLETRANSLATE(F502,""EN"",""JA"")"),"心臓房室伝導の心電図評価。")</f>
        <v>心臓房室伝導の心電図評価。</v>
      </c>
      <c r="K502" s="1" t="str">
        <f>IFERROR(__xludf.DUMMYFUNCTION("GOOGLETRANSLATE(G502,""EN"",""JA"")"),"房室伝導心電図評価")</f>
        <v>房室伝導心電図評価</v>
      </c>
    </row>
    <row r="503" ht="13.5" customHeight="1">
      <c r="A503" s="1" t="s">
        <v>1168</v>
      </c>
      <c r="B503" s="1" t="s">
        <v>2617</v>
      </c>
      <c r="C503" s="1" t="s">
        <v>2618</v>
      </c>
      <c r="D503" s="1" t="s">
        <v>2619</v>
      </c>
      <c r="E503" s="1" t="s">
        <v>2619</v>
      </c>
      <c r="F503" s="1" t="s">
        <v>2620</v>
      </c>
      <c r="G503" s="1" t="s">
        <v>2621</v>
      </c>
      <c r="H503" s="1" t="str">
        <f>IFERROR(__xludf.DUMMYFUNCTION("GOOGLETRANSLATE(D503,""EN"",""JA"")"),"房室伝導")</f>
        <v>房室伝導</v>
      </c>
      <c r="I503" s="1" t="str">
        <f>IFERROR(__xludf.DUMMYFUNCTION("GOOGLETRANSLATE(E503,""EN"",""JA"")"),"房室伝導")</f>
        <v>房室伝導</v>
      </c>
      <c r="J503" s="1" t="str">
        <f>IFERROR(__xludf.DUMMYFUNCTION("GOOGLETRANSLATE(F503,""EN"",""JA"")"),"心臓房室伝導の心電図評価。")</f>
        <v>心臓房室伝導の心電図評価。</v>
      </c>
      <c r="K503" s="1" t="str">
        <f>IFERROR(__xludf.DUMMYFUNCTION("GOOGLETRANSLATE(G503,""EN"",""JA"")"),"房室伝導心電図評価")</f>
        <v>房室伝導心電図評価</v>
      </c>
    </row>
    <row r="504" ht="13.5" customHeight="1">
      <c r="A504" s="1" t="s">
        <v>1168</v>
      </c>
      <c r="B504" s="1" t="s">
        <v>2617</v>
      </c>
      <c r="C504" s="1" t="s">
        <v>2618</v>
      </c>
      <c r="D504" s="1" t="s">
        <v>2619</v>
      </c>
      <c r="E504" s="1" t="s">
        <v>2619</v>
      </c>
      <c r="F504" s="1" t="s">
        <v>2620</v>
      </c>
      <c r="G504" s="1" t="s">
        <v>2621</v>
      </c>
      <c r="H504" s="1" t="str">
        <f>IFERROR(__xludf.DUMMYFUNCTION("GOOGLETRANSLATE(D504,""EN"",""JA"")"),"房室伝導")</f>
        <v>房室伝導</v>
      </c>
      <c r="I504" s="1" t="str">
        <f>IFERROR(__xludf.DUMMYFUNCTION("GOOGLETRANSLATE(E504,""EN"",""JA"")"),"房室伝導")</f>
        <v>房室伝導</v>
      </c>
      <c r="J504" s="1" t="str">
        <f>IFERROR(__xludf.DUMMYFUNCTION("GOOGLETRANSLATE(F504,""EN"",""JA"")"),"心臓房室伝導の心電図評価。")</f>
        <v>心臓房室伝導の心電図評価。</v>
      </c>
      <c r="K504" s="1" t="str">
        <f>IFERROR(__xludf.DUMMYFUNCTION("GOOGLETRANSLATE(G504,""EN"",""JA"")"),"房室伝導心電図評価")</f>
        <v>房室伝導心電図評価</v>
      </c>
    </row>
    <row r="505" ht="13.5" customHeight="1">
      <c r="A505" s="1" t="s">
        <v>1168</v>
      </c>
      <c r="B505" s="1" t="s">
        <v>2617</v>
      </c>
      <c r="C505" s="1" t="s">
        <v>2618</v>
      </c>
      <c r="D505" s="1" t="s">
        <v>2619</v>
      </c>
      <c r="E505" s="1" t="s">
        <v>2619</v>
      </c>
      <c r="F505" s="1" t="s">
        <v>2620</v>
      </c>
      <c r="G505" s="1" t="s">
        <v>2621</v>
      </c>
      <c r="H505" s="1" t="str">
        <f>IFERROR(__xludf.DUMMYFUNCTION("GOOGLETRANSLATE(D505,""EN"",""JA"")"),"房室伝導")</f>
        <v>房室伝導</v>
      </c>
      <c r="I505" s="1" t="str">
        <f>IFERROR(__xludf.DUMMYFUNCTION("GOOGLETRANSLATE(E505,""EN"",""JA"")"),"房室伝導")</f>
        <v>房室伝導</v>
      </c>
      <c r="J505" s="1" t="str">
        <f>IFERROR(__xludf.DUMMYFUNCTION("GOOGLETRANSLATE(F505,""EN"",""JA"")"),"心臓房室伝導の心電図評価。")</f>
        <v>心臓房室伝導の心電図評価。</v>
      </c>
      <c r="K505" s="1" t="str">
        <f>IFERROR(__xludf.DUMMYFUNCTION("GOOGLETRANSLATE(G505,""EN"",""JA"")"),"房室伝導心電図評価")</f>
        <v>房室伝導心電図評価</v>
      </c>
    </row>
    <row r="506" ht="13.5" customHeight="1">
      <c r="A506" s="1" t="s">
        <v>90</v>
      </c>
      <c r="B506" s="1" t="s">
        <v>2622</v>
      </c>
      <c r="C506" s="1" t="s">
        <v>2623</v>
      </c>
      <c r="D506" s="1" t="s">
        <v>2624</v>
      </c>
      <c r="E506" s="1" t="s">
        <v>2624</v>
      </c>
      <c r="F506" s="1" t="s">
        <v>2625</v>
      </c>
      <c r="G506" s="1" t="s">
        <v>2624</v>
      </c>
      <c r="H506" s="1" t="str">
        <f>IFERROR(__xludf.DUMMYFUNCTION("GOOGLETRANSLATE(D506,""EN"",""JA"")"),"大動脈弁逆流率")</f>
        <v>大動脈弁逆流率</v>
      </c>
      <c r="I506" s="1" t="str">
        <f>IFERROR(__xludf.DUMMYFUNCTION("GOOGLETRANSLATE(E506,""EN"",""JA"")"),"大動脈弁逆流率")</f>
        <v>大動脈弁逆流率</v>
      </c>
      <c r="J506" s="1" t="str">
        <f>IFERROR(__xludf.DUMMYFUNCTION("GOOGLETRANSLATE(F506,""EN"",""JA"")"),"大動脈弁の開口部を通過する逆流血流量の測定値を、順流血流量のパーセンテージとして表します。")</f>
        <v>大動脈弁の開口部を通過する逆流血流量の測定値を、順流血流量のパーセンテージとして表します。</v>
      </c>
      <c r="K506" s="1" t="str">
        <f>IFERROR(__xludf.DUMMYFUNCTION("GOOGLETRANSLATE(G506,""EN"",""JA"")"),"大動脈弁逆流率")</f>
        <v>大動脈弁逆流率</v>
      </c>
    </row>
    <row r="507" ht="13.5" customHeight="1">
      <c r="A507" s="1" t="s">
        <v>90</v>
      </c>
      <c r="B507" s="1" t="s">
        <v>2626</v>
      </c>
      <c r="C507" s="1" t="s">
        <v>2627</v>
      </c>
      <c r="D507" s="1" t="s">
        <v>2628</v>
      </c>
      <c r="E507" s="1" t="s">
        <v>2628</v>
      </c>
      <c r="F507" s="1" t="s">
        <v>2629</v>
      </c>
      <c r="G507" s="1" t="s">
        <v>2628</v>
      </c>
      <c r="H507" s="1" t="str">
        <f>IFERROR(__xludf.DUMMYFUNCTION("GOOGLETRANSLATE(D507,""EN"",""JA"")"),"大動脈弁逆流ジェット幅")</f>
        <v>大動脈弁逆流ジェット幅</v>
      </c>
      <c r="I507" s="1" t="str">
        <f>IFERROR(__xludf.DUMMYFUNCTION("GOOGLETRANSLATE(E507,""EN"",""JA"")"),"大動脈弁逆流ジェット幅")</f>
        <v>大動脈弁逆流ジェット幅</v>
      </c>
      <c r="J507" s="1" t="str">
        <f>IFERROR(__xludf.DUMMYFUNCTION("GOOGLETRANSLATE(F507,""EN"",""JA"")"),"左心室流出路への逆流血液ジェットの測定された幅。")</f>
        <v>左心室流出路への逆流血液ジェットの測定された幅。</v>
      </c>
      <c r="K507" s="1" t="str">
        <f>IFERROR(__xludf.DUMMYFUNCTION("GOOGLETRANSLATE(G507,""EN"",""JA"")"),"大動脈弁逆流ジェット幅")</f>
        <v>大動脈弁逆流ジェット幅</v>
      </c>
    </row>
    <row r="508" ht="13.5" customHeight="1">
      <c r="A508" s="1" t="s">
        <v>90</v>
      </c>
      <c r="B508" s="1" t="s">
        <v>2630</v>
      </c>
      <c r="C508" s="1" t="s">
        <v>2631</v>
      </c>
      <c r="D508" s="1" t="s">
        <v>2632</v>
      </c>
      <c r="E508" s="1" t="s">
        <v>2632</v>
      </c>
      <c r="F508" s="1" t="s">
        <v>2633</v>
      </c>
      <c r="G508" s="1" t="s">
        <v>2632</v>
      </c>
      <c r="H508" s="1" t="str">
        <f>IFERROR(__xludf.DUMMYFUNCTION("GOOGLETRANSLATE(D508,""EN"",""JA"")"),"大動脈弁逆流量")</f>
        <v>大動脈弁逆流量</v>
      </c>
      <c r="I508" s="1" t="str">
        <f>IFERROR(__xludf.DUMMYFUNCTION("GOOGLETRANSLATE(E508,""EN"",""JA"")"),"大動脈弁逆流量")</f>
        <v>大動脈弁逆流量</v>
      </c>
      <c r="J508" s="1" t="str">
        <f>IFERROR(__xludf.DUMMYFUNCTION("GOOGLETRANSLATE(F508,""EN"",""JA"")"),"大動脈弁の開口部を流れる逆流血量の測定。")</f>
        <v>大動脈弁の開口部を流れる逆流血量の測定。</v>
      </c>
      <c r="K508" s="1" t="str">
        <f>IFERROR(__xludf.DUMMYFUNCTION("GOOGLETRANSLATE(G508,""EN"",""JA"")"),"大動脈弁逆流量")</f>
        <v>大動脈弁逆流量</v>
      </c>
    </row>
    <row r="509" ht="13.5" customHeight="1">
      <c r="A509" s="1" t="s">
        <v>90</v>
      </c>
      <c r="B509" s="1" t="s">
        <v>2634</v>
      </c>
      <c r="C509" s="1" t="s">
        <v>2635</v>
      </c>
      <c r="D509" s="1" t="s">
        <v>2636</v>
      </c>
      <c r="E509" s="1" t="s">
        <v>2636</v>
      </c>
      <c r="F509" s="1" t="s">
        <v>2637</v>
      </c>
      <c r="G509" s="1" t="s">
        <v>2636</v>
      </c>
      <c r="H509" s="1" t="str">
        <f>IFERROR(__xludf.DUMMYFUNCTION("GOOGLETRANSLATE(D509,""EN"",""JA"")"),"大動脈弁大静脈収縮領域")</f>
        <v>大動脈弁大静脈収縮領域</v>
      </c>
      <c r="I509" s="1" t="str">
        <f>IFERROR(__xludf.DUMMYFUNCTION("GOOGLETRANSLATE(E509,""EN"",""JA"")"),"大動脈弁大静脈収縮領域")</f>
        <v>大動脈弁大静脈収縮領域</v>
      </c>
      <c r="J509" s="1" t="str">
        <f>IFERROR(__xludf.DUMMYFUNCTION("GOOGLETRANSLATE(F509,""EN"",""JA"")"),"大動脈弁の縮流部領域。")</f>
        <v>大動脈弁の縮流部領域。</v>
      </c>
      <c r="K509" s="1" t="str">
        <f>IFERROR(__xludf.DUMMYFUNCTION("GOOGLETRANSLATE(G509,""EN"",""JA"")"),"大動脈弁大静脈収縮領域")</f>
        <v>大動脈弁大静脈収縮領域</v>
      </c>
    </row>
    <row r="510" ht="13.5" customHeight="1">
      <c r="A510" s="1" t="s">
        <v>90</v>
      </c>
      <c r="B510" s="1" t="s">
        <v>2638</v>
      </c>
      <c r="C510" s="1" t="s">
        <v>2639</v>
      </c>
      <c r="D510" s="1" t="s">
        <v>2640</v>
      </c>
      <c r="E510" s="1" t="s">
        <v>2640</v>
      </c>
      <c r="F510" s="1" t="s">
        <v>2641</v>
      </c>
      <c r="G510" s="1" t="s">
        <v>2640</v>
      </c>
      <c r="H510" s="1" t="str">
        <f>IFERROR(__xludf.DUMMYFUNCTION("GOOGLETRANSLATE(D510,""EN"",""JA"")"),"大動脈弁大静脈収縮幅")</f>
        <v>大動脈弁大静脈収縮幅</v>
      </c>
      <c r="I510" s="1" t="str">
        <f>IFERROR(__xludf.DUMMYFUNCTION("GOOGLETRANSLATE(E510,""EN"",""JA"")"),"大動脈弁大静脈収縮幅")</f>
        <v>大動脈弁大静脈収縮幅</v>
      </c>
      <c r="J510" s="1" t="str">
        <f>IFERROR(__xludf.DUMMYFUNCTION("GOOGLETRANSLATE(F510,""EN"",""JA"")"),"大動脈弁の縮静脈の幅。")</f>
        <v>大動脈弁の縮静脈の幅。</v>
      </c>
      <c r="K510" s="1" t="str">
        <f>IFERROR(__xludf.DUMMYFUNCTION("GOOGLETRANSLATE(G510,""EN"",""JA"")"),"大動脈弁大静脈収縮幅")</f>
        <v>大動脈弁大静脈収縮幅</v>
      </c>
    </row>
    <row r="511" ht="13.5" customHeight="1">
      <c r="A511" s="1" t="s">
        <v>580</v>
      </c>
      <c r="B511" s="1" t="s">
        <v>2642</v>
      </c>
      <c r="C511" s="1" t="s">
        <v>2643</v>
      </c>
      <c r="D511" s="1" t="s">
        <v>2644</v>
      </c>
      <c r="E511" s="1" t="s">
        <v>2644</v>
      </c>
      <c r="F511" s="1" t="s">
        <v>2645</v>
      </c>
      <c r="G511" s="1" t="s">
        <v>2644</v>
      </c>
      <c r="H511" s="1" t="str">
        <f>IFERROR(__xludf.DUMMYFUNCTION("GOOGLETRANSLATE(D511,""EN"",""JA"")"),"気道容積")</f>
        <v>気道容積</v>
      </c>
      <c r="I511" s="1" t="str">
        <f>IFERROR(__xludf.DUMMYFUNCTION("GOOGLETRANSLATE(E511,""EN"",""JA"")"),"気道容積")</f>
        <v>気道容積</v>
      </c>
      <c r="J511" s="1" t="str">
        <f>IFERROR(__xludf.DUMMYFUNCTION("GOOGLETRANSLATE(F511,""EN"",""JA"")"),"呼吸周期の特定の時点における、特定の気道または気道セット内のガスの総量。")</f>
        <v>呼吸周期の特定の時点における、特定の気道または気道セット内のガスの総量。</v>
      </c>
      <c r="K511" s="1" t="str">
        <f>IFERROR(__xludf.DUMMYFUNCTION("GOOGLETRANSLATE(G511,""EN"",""JA"")"),"気道容積")</f>
        <v>気道容積</v>
      </c>
    </row>
    <row r="512" ht="13.5" customHeight="1">
      <c r="A512" s="1" t="s">
        <v>580</v>
      </c>
      <c r="B512" s="1" t="s">
        <v>2646</v>
      </c>
      <c r="C512" s="1" t="s">
        <v>2647</v>
      </c>
      <c r="D512" s="1" t="s">
        <v>2648</v>
      </c>
      <c r="E512" s="1" t="s">
        <v>2648</v>
      </c>
      <c r="F512" s="1" t="s">
        <v>2649</v>
      </c>
      <c r="G512" s="1" t="s">
        <v>2648</v>
      </c>
      <c r="H512" s="1" t="str">
        <f>IFERROR(__xludf.DUMMYFUNCTION("GOOGLETRANSLATE(D512,""EN"",""JA"")"),"予測気道容積の割合")</f>
        <v>予測気道容積の割合</v>
      </c>
      <c r="I512" s="1" t="str">
        <f>IFERROR(__xludf.DUMMYFUNCTION("GOOGLETRANSLATE(E512,""EN"",""JA"")"),"予測気道容積の割合")</f>
        <v>予測気道容積の割合</v>
      </c>
      <c r="J512" s="1" t="str">
        <f>IFERROR(__xludf.DUMMYFUNCTION("GOOGLETRANSLATE(F512,""EN"",""JA"")"),"呼吸周期の特定の時点における特定の気道または気道セット内のガスの総量。予測される正常値の割合として表されます。")</f>
        <v>呼吸周期の特定の時点における特定の気道または気道セット内のガスの総量。予測される正常値の割合として表されます。</v>
      </c>
      <c r="K512" s="1" t="str">
        <f>IFERROR(__xludf.DUMMYFUNCTION("GOOGLETRANSLATE(G512,""EN"",""JA"")"),"予測気道容積の割合")</f>
        <v>予測気道容積の割合</v>
      </c>
    </row>
    <row r="513" ht="13.5" customHeight="1">
      <c r="A513" s="1" t="s">
        <v>580</v>
      </c>
      <c r="B513" s="1" t="s">
        <v>2650</v>
      </c>
      <c r="C513" s="1" t="s">
        <v>2651</v>
      </c>
      <c r="D513" s="1" t="s">
        <v>2652</v>
      </c>
      <c r="E513" s="1" t="s">
        <v>2652</v>
      </c>
      <c r="F513" s="1" t="s">
        <v>2653</v>
      </c>
      <c r="G513" s="1" t="s">
        <v>2652</v>
      </c>
      <c r="H513" s="1" t="str">
        <f>IFERROR(__xludf.DUMMYFUNCTION("GOOGLETRANSLATE(D513,""EN"",""JA"")"),"気道壁容積")</f>
        <v>気道壁容積</v>
      </c>
      <c r="I513" s="1" t="str">
        <f>IFERROR(__xludf.DUMMYFUNCTION("GOOGLETRANSLATE(E513,""EN"",""JA"")"),"気道壁容積")</f>
        <v>気道壁容積</v>
      </c>
      <c r="J513" s="1" t="str">
        <f>IFERROR(__xludf.DUMMYFUNCTION("GOOGLETRANSLATE(F513,""EN"",""JA"")"),"指定された肺内領域における気道組織全体の容積。")</f>
        <v>指定された肺内領域における気道組織全体の容積。</v>
      </c>
      <c r="K513" s="1" t="str">
        <f>IFERROR(__xludf.DUMMYFUNCTION("GOOGLETRANSLATE(G513,""EN"",""JA"")"),"気道壁容積")</f>
        <v>気道壁容積</v>
      </c>
    </row>
    <row r="514" ht="13.5" customHeight="1">
      <c r="A514" s="1" t="s">
        <v>1168</v>
      </c>
      <c r="B514" s="1" t="s">
        <v>2654</v>
      </c>
      <c r="C514" s="1" t="s">
        <v>2655</v>
      </c>
      <c r="D514" s="1" t="s">
        <v>2656</v>
      </c>
      <c r="E514" s="1" t="s">
        <v>2656</v>
      </c>
      <c r="F514" s="1" t="s">
        <v>2657</v>
      </c>
      <c r="G514" s="1" t="s">
        <v>2658</v>
      </c>
      <c r="H514" s="1" t="str">
        <f>IFERROR(__xludf.DUMMYFUNCTION("GOOGLETRANSLATE(D514,""EN"",""JA"")"),"軸と電圧")</f>
        <v>軸と電圧</v>
      </c>
      <c r="I514" s="1" t="str">
        <f>IFERROR(__xludf.DUMMYFUNCTION("GOOGLETRANSLATE(E514,""EN"",""JA"")"),"軸と電圧")</f>
        <v>軸と電圧</v>
      </c>
      <c r="J514" s="1" t="str">
        <f>IFERROR(__xludf.DUMMYFUNCTION("GOOGLETRANSLATE(F514,""EN"",""JA"")"),"平均心臓電気ベクトルと ECG 電圧の心電図評価。")</f>
        <v>平均心臓電気ベクトルと ECG 電圧の心電図評価。</v>
      </c>
      <c r="K514" s="1" t="str">
        <f>IFERROR(__xludf.DUMMYFUNCTION("GOOGLETRANSLATE(G514,""EN"",""JA"")"),"軸と電圧の心電図評価")</f>
        <v>軸と電圧の心電図評価</v>
      </c>
    </row>
    <row r="515" ht="13.5" customHeight="1">
      <c r="A515" s="1" t="s">
        <v>1168</v>
      </c>
      <c r="B515" s="1" t="s">
        <v>2654</v>
      </c>
      <c r="C515" s="1" t="s">
        <v>2655</v>
      </c>
      <c r="D515" s="1" t="s">
        <v>2656</v>
      </c>
      <c r="E515" s="1" t="s">
        <v>2656</v>
      </c>
      <c r="F515" s="1" t="s">
        <v>2657</v>
      </c>
      <c r="G515" s="1" t="s">
        <v>2658</v>
      </c>
      <c r="H515" s="1" t="str">
        <f>IFERROR(__xludf.DUMMYFUNCTION("GOOGLETRANSLATE(D515,""EN"",""JA"")"),"軸と電圧")</f>
        <v>軸と電圧</v>
      </c>
      <c r="I515" s="1" t="str">
        <f>IFERROR(__xludf.DUMMYFUNCTION("GOOGLETRANSLATE(E515,""EN"",""JA"")"),"軸と電圧")</f>
        <v>軸と電圧</v>
      </c>
      <c r="J515" s="1" t="str">
        <f>IFERROR(__xludf.DUMMYFUNCTION("GOOGLETRANSLATE(F515,""EN"",""JA"")"),"平均心臓電気ベクトルと ECG 電圧の心電図評価。")</f>
        <v>平均心臓電気ベクトルと ECG 電圧の心電図評価。</v>
      </c>
      <c r="K515" s="1" t="str">
        <f>IFERROR(__xludf.DUMMYFUNCTION("GOOGLETRANSLATE(G515,""EN"",""JA"")"),"軸と電圧の心電図評価")</f>
        <v>軸と電圧の心電図評価</v>
      </c>
    </row>
    <row r="516" ht="13.5" customHeight="1">
      <c r="A516" s="1" t="s">
        <v>1168</v>
      </c>
      <c r="B516" s="1" t="s">
        <v>2654</v>
      </c>
      <c r="C516" s="1" t="s">
        <v>2655</v>
      </c>
      <c r="D516" s="1" t="s">
        <v>2656</v>
      </c>
      <c r="E516" s="1" t="s">
        <v>2656</v>
      </c>
      <c r="F516" s="1" t="s">
        <v>2657</v>
      </c>
      <c r="G516" s="1" t="s">
        <v>2658</v>
      </c>
      <c r="H516" s="1" t="str">
        <f>IFERROR(__xludf.DUMMYFUNCTION("GOOGLETRANSLATE(D516,""EN"",""JA"")"),"軸と電圧")</f>
        <v>軸と電圧</v>
      </c>
      <c r="I516" s="1" t="str">
        <f>IFERROR(__xludf.DUMMYFUNCTION("GOOGLETRANSLATE(E516,""EN"",""JA"")"),"軸と電圧")</f>
        <v>軸と電圧</v>
      </c>
      <c r="J516" s="1" t="str">
        <f>IFERROR(__xludf.DUMMYFUNCTION("GOOGLETRANSLATE(F516,""EN"",""JA"")"),"平均心臓電気ベクトルと ECG 電圧の心電図評価。")</f>
        <v>平均心臓電気ベクトルと ECG 電圧の心電図評価。</v>
      </c>
      <c r="K516" s="1" t="str">
        <f>IFERROR(__xludf.DUMMYFUNCTION("GOOGLETRANSLATE(G516,""EN"",""JA"")"),"軸と電圧の心電図評価")</f>
        <v>軸と電圧の心電図評価</v>
      </c>
    </row>
    <row r="517" ht="13.5" customHeight="1">
      <c r="A517" s="1" t="s">
        <v>1168</v>
      </c>
      <c r="B517" s="1" t="s">
        <v>2654</v>
      </c>
      <c r="C517" s="1" t="s">
        <v>2655</v>
      </c>
      <c r="D517" s="1" t="s">
        <v>2656</v>
      </c>
      <c r="E517" s="1" t="s">
        <v>2656</v>
      </c>
      <c r="F517" s="1" t="s">
        <v>2657</v>
      </c>
      <c r="G517" s="1" t="s">
        <v>2658</v>
      </c>
      <c r="H517" s="1" t="str">
        <f>IFERROR(__xludf.DUMMYFUNCTION("GOOGLETRANSLATE(D517,""EN"",""JA"")"),"軸と電圧")</f>
        <v>軸と電圧</v>
      </c>
      <c r="I517" s="1" t="str">
        <f>IFERROR(__xludf.DUMMYFUNCTION("GOOGLETRANSLATE(E517,""EN"",""JA"")"),"軸と電圧")</f>
        <v>軸と電圧</v>
      </c>
      <c r="J517" s="1" t="str">
        <f>IFERROR(__xludf.DUMMYFUNCTION("GOOGLETRANSLATE(F517,""EN"",""JA"")"),"平均心臓電気ベクトルと ECG 電圧の心電図評価。")</f>
        <v>平均心臓電気ベクトルと ECG 電圧の心電図評価。</v>
      </c>
      <c r="K517" s="1" t="str">
        <f>IFERROR(__xludf.DUMMYFUNCTION("GOOGLETRANSLATE(G517,""EN"",""JA"")"),"軸と電圧の心電図評価")</f>
        <v>軸と電圧の心電図評価</v>
      </c>
    </row>
    <row r="518" ht="13.5" customHeight="1">
      <c r="A518" s="1" t="s">
        <v>11</v>
      </c>
      <c r="B518" s="1" t="s">
        <v>2659</v>
      </c>
      <c r="C518" s="1" t="s">
        <v>2660</v>
      </c>
      <c r="D518" s="1" t="s">
        <v>2661</v>
      </c>
      <c r="E518" s="1" t="s">
        <v>2662</v>
      </c>
      <c r="F518" s="1" t="s">
        <v>2663</v>
      </c>
      <c r="G518" s="1" t="s">
        <v>2664</v>
      </c>
      <c r="H518" s="1" t="str">
        <f>IFERROR(__xludf.DUMMYFUNCTION("GOOGLETRANSLATE(D518,""EN"",""JA"")"),"AXL受容体チロシンキナーゼ")</f>
        <v>AXL受容体チロシンキナーゼ</v>
      </c>
      <c r="I518" s="1" t="str">
        <f>IFERROR(__xludf.DUMMYFUNCTION("GOOGLETRANSLATE(E518,""EN"",""JA"")"),"ARK; AXL受容体チロシンキナーゼ; JTK11; Tyro7; UFO")</f>
        <v>ARK; AXL受容体チロシンキナーゼ; JTK11; Tyro7; UFO</v>
      </c>
      <c r="J518" s="1" t="str">
        <f>IFERROR(__xludf.DUMMYFUNCTION("GOOGLETRANSLATE(F518,""EN"",""JA"")"),"生物標本中の AXL 受容体チロシンキナーゼの測定。")</f>
        <v>生物標本中の AXL 受容体チロシンキナーゼの測定。</v>
      </c>
      <c r="K518" s="1" t="str">
        <f>IFERROR(__xludf.DUMMYFUNCTION("GOOGLETRANSLATE(G518,""EN"",""JA"")"),"AXL受容体チロシンキナーゼ測定")</f>
        <v>AXL受容体チロシンキナーゼ測定</v>
      </c>
    </row>
    <row r="519" ht="13.5" customHeight="1">
      <c r="A519" s="1" t="s">
        <v>67</v>
      </c>
      <c r="B519" s="1" t="s">
        <v>2665</v>
      </c>
      <c r="C519" s="1" t="s">
        <v>2666</v>
      </c>
      <c r="D519" s="1" t="s">
        <v>2667</v>
      </c>
      <c r="E519" s="1" t="s">
        <v>2667</v>
      </c>
      <c r="F519" s="1" t="s">
        <v>2668</v>
      </c>
      <c r="G519" s="1" t="s">
        <v>2669</v>
      </c>
      <c r="H519" s="1" t="str">
        <f>IFERROR(__xludf.DUMMYFUNCTION("GOOGLETRANSLATE(D519,""EN"",""JA"")"),"アクロモバクター・キシロスオキシダンス")</f>
        <v>アクロモバクター・キシロスオキシダンス</v>
      </c>
      <c r="I519" s="1" t="str">
        <f>IFERROR(__xludf.DUMMYFUNCTION("GOOGLETRANSLATE(E519,""EN"",""JA"")"),"アクロモバクター・キシロスオキシダンス")</f>
        <v>アクロモバクター・キシロスオキシダンス</v>
      </c>
      <c r="J519" s="1" t="str">
        <f>IFERROR(__xludf.DUMMYFUNCTION("GOOGLETRANSLATE(F519,""EN"",""JA"")"),"生物標本中の Achromobacter xylosoxidans の測定。")</f>
        <v>生物標本中の Achromobacter xylosoxidans の測定。</v>
      </c>
      <c r="K519" s="1" t="str">
        <f>IFERROR(__xludf.DUMMYFUNCTION("GOOGLETRANSLATE(G519,""EN"",""JA"")"),"アクロモバクター・キシロスオキシダンス測定")</f>
        <v>アクロモバクター・キシロスオキシダンス測定</v>
      </c>
    </row>
    <row r="520" ht="13.5" customHeight="1">
      <c r="A520" s="1" t="s">
        <v>11</v>
      </c>
      <c r="B520" s="1" t="s">
        <v>2670</v>
      </c>
      <c r="C520" s="1" t="s">
        <v>2671</v>
      </c>
      <c r="D520" s="1" t="s">
        <v>2672</v>
      </c>
      <c r="E520" s="1" t="s">
        <v>2673</v>
      </c>
      <c r="F520" s="1" t="s">
        <v>2674</v>
      </c>
      <c r="G520" s="1" t="s">
        <v>2675</v>
      </c>
      <c r="H520" s="1" t="str">
        <f>IFERROR(__xludf.DUMMYFUNCTION("GOOGLETRANSLATE(D520,""EN"",""JA"")"),"アズール顆粒")</f>
        <v>アズール顆粒</v>
      </c>
      <c r="I520" s="1" t="str">
        <f>IFERROR(__xludf.DUMMYFUNCTION("GOOGLETRANSLATE(E520,""EN"",""JA"")"),"アズール顆粒; アズール顆粒")</f>
        <v>アズール顆粒; アズール顆粒</v>
      </c>
      <c r="J520" s="1" t="str">
        <f>IFERROR(__xludf.DUMMYFUNCTION("GOOGLETRANSLATE(F520,""EN"",""JA"")"),"生物標本におけるアズール顆粒の観察。")</f>
        <v>生物標本におけるアズール顆粒の観察。</v>
      </c>
      <c r="K520" s="1" t="str">
        <f>IFERROR(__xludf.DUMMYFUNCTION("GOOGLETRANSLATE(G520,""EN"",""JA"")"),"アズール顆粒測定")</f>
        <v>アズール顆粒測定</v>
      </c>
    </row>
    <row r="521" ht="13.5" customHeight="1">
      <c r="A521" s="1" t="s">
        <v>67</v>
      </c>
      <c r="B521" s="1" t="s">
        <v>2676</v>
      </c>
      <c r="C521" s="1" t="s">
        <v>2677</v>
      </c>
      <c r="D521" s="1" t="s">
        <v>2678</v>
      </c>
      <c r="E521" s="1" t="s">
        <v>2678</v>
      </c>
      <c r="F521" s="1" t="s">
        <v>2679</v>
      </c>
      <c r="G521" s="1" t="s">
        <v>2680</v>
      </c>
      <c r="H521" s="1" t="str">
        <f>IFERROR(__xludf.DUMMYFUNCTION("GOOGLETRANSLATE(D521,""EN"",""JA"")"),"ヒトパルボウイルスB19")</f>
        <v>ヒトパルボウイルスB19</v>
      </c>
      <c r="I521" s="1" t="str">
        <f>IFERROR(__xludf.DUMMYFUNCTION("GOOGLETRANSLATE(E521,""EN"",""JA"")"),"ヒトパルボウイルスB19")</f>
        <v>ヒトパルボウイルスB19</v>
      </c>
      <c r="J521" s="1" t="str">
        <f>IFERROR(__xludf.DUMMYFUNCTION("GOOGLETRANSLATE(F521,""EN"",""JA"")"),"生物標本中のヒトパルボウイルス B19 の測定。")</f>
        <v>生物標本中のヒトパルボウイルス B19 の測定。</v>
      </c>
      <c r="K521" s="1" t="str">
        <f>IFERROR(__xludf.DUMMYFUNCTION("GOOGLETRANSLATE(G521,""EN"",""JA"")"),"ヒトパルボウイルスB19の測定")</f>
        <v>ヒトパルボウイルスB19の測定</v>
      </c>
    </row>
    <row r="522" ht="13.5" customHeight="1">
      <c r="A522" s="1" t="s">
        <v>67</v>
      </c>
      <c r="B522" s="1" t="s">
        <v>2681</v>
      </c>
      <c r="C522" s="1" t="s">
        <v>2682</v>
      </c>
      <c r="D522" s="1" t="s">
        <v>2683</v>
      </c>
      <c r="E522" s="1" t="s">
        <v>2683</v>
      </c>
      <c r="F522" s="1" t="s">
        <v>2684</v>
      </c>
      <c r="G522" s="1" t="s">
        <v>2685</v>
      </c>
      <c r="H522" s="1" t="str">
        <f>IFERROR(__xludf.DUMMYFUNCTION("GOOGLETRANSLATE(D522,""EN"",""JA"")"),"ヒトパルボウイルスB19 DNA")</f>
        <v>ヒトパルボウイルスB19 DNA</v>
      </c>
      <c r="I522" s="1" t="str">
        <f>IFERROR(__xludf.DUMMYFUNCTION("GOOGLETRANSLATE(E522,""EN"",""JA"")"),"ヒトパルボウイルスB19 DNA")</f>
        <v>ヒトパルボウイルスB19 DNA</v>
      </c>
      <c r="J522" s="1" t="str">
        <f>IFERROR(__xludf.DUMMYFUNCTION("GOOGLETRANSLATE(F522,""EN"",""JA"")"),"生物標本中のヒトパルボウイルス B19 DNA の測定。")</f>
        <v>生物標本中のヒトパルボウイルス B19 DNA の測定。</v>
      </c>
      <c r="K522" s="1" t="str">
        <f>IFERROR(__xludf.DUMMYFUNCTION("GOOGLETRANSLATE(G522,""EN"",""JA"")"),"ヒトパルボウイルスB19のDNA測定")</f>
        <v>ヒトパルボウイルスB19のDNA測定</v>
      </c>
    </row>
    <row r="523" ht="13.5" customHeight="1">
      <c r="A523" s="1" t="s">
        <v>11</v>
      </c>
      <c r="B523" s="1" t="s">
        <v>2686</v>
      </c>
      <c r="C523" s="1" t="s">
        <v>2687</v>
      </c>
      <c r="D523" s="1" t="s">
        <v>2688</v>
      </c>
      <c r="E523" s="1" t="s">
        <v>2689</v>
      </c>
      <c r="F523" s="1" t="s">
        <v>2690</v>
      </c>
      <c r="G523" s="1" t="s">
        <v>2691</v>
      </c>
      <c r="H523" s="1" t="str">
        <f>IFERROR(__xludf.DUMMYFUNCTION("GOOGLETRANSLATE(D523,""EN"",""JA"")"),"ベータ1B糖タンパク質")</f>
        <v>ベータ1B糖タンパク質</v>
      </c>
      <c r="I523" s="1" t="str">
        <f>IFERROR(__xludf.DUMMYFUNCTION("GOOGLETRANSLATE(E523,""EN"",""JA"")"),"ベータ1B糖タンパク質; ヘモペキシン; HPX")</f>
        <v>ベータ1B糖タンパク質; ヘモペキシン; HPX</v>
      </c>
      <c r="J523" s="1" t="str">
        <f>IFERROR(__xludf.DUMMYFUNCTION("GOOGLETRANSLATE(F523,""EN"",""JA"")"),"生物標本中のベータ 1B 糖タンパク質の測定。")</f>
        <v>生物標本中のベータ 1B 糖タンパク質の測定。</v>
      </c>
      <c r="K523" s="1" t="str">
        <f>IFERROR(__xludf.DUMMYFUNCTION("GOOGLETRANSLATE(G523,""EN"",""JA"")"),"ベータ1B糖タンパク質測定")</f>
        <v>ベータ1B糖タンパク質測定</v>
      </c>
    </row>
    <row r="524" ht="13.5" customHeight="1">
      <c r="A524" s="1" t="s">
        <v>11</v>
      </c>
      <c r="B524" s="1" t="s">
        <v>2692</v>
      </c>
      <c r="C524" s="1" t="s">
        <v>2693</v>
      </c>
      <c r="D524" s="1" t="s">
        <v>2694</v>
      </c>
      <c r="E524" s="1" t="s">
        <v>2694</v>
      </c>
      <c r="F524" s="1" t="s">
        <v>2695</v>
      </c>
      <c r="G524" s="1" t="s">
        <v>2696</v>
      </c>
      <c r="H524" s="1" t="str">
        <f>IFERROR(__xludf.DUMMYFUNCTION("GOOGLETRANSLATE(D524,""EN"",""JA"")"),"β2ミクログロブリン/クレアチニン")</f>
        <v>β2ミクログロブリン/クレアチニン</v>
      </c>
      <c r="I524" s="1" t="str">
        <f>IFERROR(__xludf.DUMMYFUNCTION("GOOGLETRANSLATE(E524,""EN"",""JA"")"),"β2ミクログロブリン/クレアチニン")</f>
        <v>β2ミクログロブリン/クレアチニン</v>
      </c>
      <c r="J524" s="1" t="str">
        <f>IFERROR(__xludf.DUMMYFUNCTION("GOOGLETRANSLATE(F524,""EN"",""JA"")"),"生物学的標本中のベータ 2 ミクログロブリンとクレアチニンの相対的な測定値 (比率)。")</f>
        <v>生物学的標本中のベータ 2 ミクログロブリンとクレアチニンの相対的な測定値 (比率)。</v>
      </c>
      <c r="K524" s="1" t="str">
        <f>IFERROR(__xludf.DUMMYFUNCTION("GOOGLETRANSLATE(G524,""EN"",""JA"")"),"ベータ2ミクログロブリン対クレアチニン比測定")</f>
        <v>ベータ2ミクログロブリン対クレアチニン比測定</v>
      </c>
    </row>
    <row r="525" ht="13.5" customHeight="1">
      <c r="A525" s="1" t="s">
        <v>11</v>
      </c>
      <c r="B525" s="1" t="s">
        <v>2697</v>
      </c>
      <c r="C525" s="1" t="s">
        <v>2698</v>
      </c>
      <c r="D525" s="1" t="s">
        <v>2699</v>
      </c>
      <c r="E525" s="1" t="s">
        <v>2699</v>
      </c>
      <c r="F525" s="1" t="s">
        <v>2700</v>
      </c>
      <c r="G525" s="1" t="s">
        <v>2701</v>
      </c>
      <c r="H525" s="1" t="str">
        <f>IFERROR(__xludf.DUMMYFUNCTION("GOOGLETRANSLATE(D525,""EN"",""JA"")"),"ベータ2ミクログロブリン")</f>
        <v>ベータ2ミクログロブリン</v>
      </c>
      <c r="I525" s="1" t="str">
        <f>IFERROR(__xludf.DUMMYFUNCTION("GOOGLETRANSLATE(E525,""EN"",""JA"")"),"ベータ2ミクログロブリン")</f>
        <v>ベータ2ミクログロブリン</v>
      </c>
      <c r="J525" s="1" t="str">
        <f>IFERROR(__xludf.DUMMYFUNCTION("GOOGLETRANSLATE(F525,""EN"",""JA"")"),"生物標本中のベータ 2 ミクログロブリンの測定。")</f>
        <v>生物標本中のベータ 2 ミクログロブリンの測定。</v>
      </c>
      <c r="K525" s="1" t="str">
        <f>IFERROR(__xludf.DUMMYFUNCTION("GOOGLETRANSLATE(G525,""EN"",""JA"")"),"ベータ2ミクログロブリン測定")</f>
        <v>ベータ2ミクログロブリン測定</v>
      </c>
    </row>
    <row r="526" ht="13.5" customHeight="1">
      <c r="A526" s="1" t="s">
        <v>67</v>
      </c>
      <c r="B526" s="1" t="s">
        <v>2702</v>
      </c>
      <c r="C526" s="1" t="s">
        <v>2703</v>
      </c>
      <c r="D526" s="1" t="s">
        <v>2704</v>
      </c>
      <c r="E526" s="1" t="s">
        <v>2704</v>
      </c>
      <c r="F526" s="1" t="s">
        <v>2705</v>
      </c>
      <c r="G526" s="1" t="s">
        <v>2706</v>
      </c>
      <c r="H526" s="1" t="str">
        <f>IFERROR(__xludf.DUMMYFUNCTION("GOOGLETRANSLATE(D526,""EN"",""JA"")"),"バベシアDNA")</f>
        <v>バベシアDNA</v>
      </c>
      <c r="I526" s="1" t="str">
        <f>IFERROR(__xludf.DUMMYFUNCTION("GOOGLETRANSLATE(E526,""EN"",""JA"")"),"バベシアDNA")</f>
        <v>バベシアDNA</v>
      </c>
      <c r="J526" s="1" t="str">
        <f>IFERROR(__xludf.DUMMYFUNCTION("GOOGLETRANSLATE(F526,""EN"",""JA"")"),"生物標本中のバベシア属の任意のメンバーの DNA の測定。")</f>
        <v>生物標本中のバベシア属の任意のメンバーの DNA の測定。</v>
      </c>
      <c r="K526" s="1" t="str">
        <f>IFERROR(__xludf.DUMMYFUNCTION("GOOGLETRANSLATE(G526,""EN"",""JA"")"),"バベシアDNA測定")</f>
        <v>バベシアDNA測定</v>
      </c>
    </row>
    <row r="527" ht="13.5" customHeight="1">
      <c r="A527" s="1" t="s">
        <v>67</v>
      </c>
      <c r="B527" s="1" t="s">
        <v>2707</v>
      </c>
      <c r="C527" s="1" t="s">
        <v>2708</v>
      </c>
      <c r="D527" s="1" t="s">
        <v>2709</v>
      </c>
      <c r="E527" s="1" t="s">
        <v>2709</v>
      </c>
      <c r="F527" s="1" t="s">
        <v>2710</v>
      </c>
      <c r="G527" s="1" t="s">
        <v>2711</v>
      </c>
      <c r="H527" s="1" t="str">
        <f>IFERROR(__xludf.DUMMYFUNCTION("GOOGLETRANSLATE(D527,""EN"",""JA"")"),"細菌性β-ラクタマーゼ")</f>
        <v>細菌性β-ラクタマーゼ</v>
      </c>
      <c r="I527" s="1" t="str">
        <f>IFERROR(__xludf.DUMMYFUNCTION("GOOGLETRANSLATE(E527,""EN"",""JA"")"),"細菌性β-ラクタマーゼ")</f>
        <v>細菌性β-ラクタマーゼ</v>
      </c>
      <c r="J527" s="1" t="str">
        <f>IFERROR(__xludf.DUMMYFUNCTION("GOOGLETRANSLATE(F527,""EN"",""JA"")"),"生物標本中の細菌酵素ベータラクタマーゼの測定。")</f>
        <v>生物標本中の細菌酵素ベータラクタマーゼの測定。</v>
      </c>
      <c r="K527" s="1" t="str">
        <f>IFERROR(__xludf.DUMMYFUNCTION("GOOGLETRANSLATE(G527,""EN"",""JA"")"),"細菌性β-ラクタマーゼ測定")</f>
        <v>細菌性β-ラクタマーゼ測定</v>
      </c>
    </row>
    <row r="528" ht="13.5" customHeight="1">
      <c r="A528" s="1" t="s">
        <v>67</v>
      </c>
      <c r="B528" s="1" t="s">
        <v>2712</v>
      </c>
      <c r="C528" s="1" t="s">
        <v>2713</v>
      </c>
      <c r="D528" s="1" t="s">
        <v>2714</v>
      </c>
      <c r="E528" s="1" t="s">
        <v>2714</v>
      </c>
      <c r="F528" s="1" t="s">
        <v>2715</v>
      </c>
      <c r="G528" s="1" t="s">
        <v>2716</v>
      </c>
      <c r="H528" s="1" t="str">
        <f>IFERROR(__xludf.DUMMYFUNCTION("GOOGLETRANSLATE(D528,""EN"",""JA"")"),"桿菌/白血球")</f>
        <v>桿菌/白血球</v>
      </c>
      <c r="I528" s="1" t="str">
        <f>IFERROR(__xludf.DUMMYFUNCTION("GOOGLETRANSLATE(E528,""EN"",""JA"")"),"桿菌/白血球")</f>
        <v>桿菌/白血球</v>
      </c>
      <c r="J528" s="1" t="str">
        <f>IFERROR(__xludf.DUMMYFUNCTION("GOOGLETRANSLATE(F528,""EN"",""JA"")"),"生物標本中の桿菌と白血球の相対的な測定値（比率またはパーセンテージ）。")</f>
        <v>生物標本中の桿菌と白血球の相対的な測定値（比率またはパーセンテージ）。</v>
      </c>
      <c r="K528" s="1" t="str">
        <f>IFERROR(__xludf.DUMMYFUNCTION("GOOGLETRANSLATE(G528,""EN"",""JA"")"),"桿菌対白血球比測定")</f>
        <v>桿菌対白血球比測定</v>
      </c>
    </row>
    <row r="529" ht="13.5" customHeight="1">
      <c r="A529" s="1" t="s">
        <v>67</v>
      </c>
      <c r="B529" s="1" t="s">
        <v>2717</v>
      </c>
      <c r="C529" s="1" t="s">
        <v>2718</v>
      </c>
      <c r="D529" s="1" t="s">
        <v>2719</v>
      </c>
      <c r="E529" s="1" t="s">
        <v>2720</v>
      </c>
      <c r="F529" s="1" t="s">
        <v>2721</v>
      </c>
      <c r="G529" s="1" t="s">
        <v>2722</v>
      </c>
      <c r="H529" s="1" t="str">
        <f>IFERROR(__xludf.DUMMYFUNCTION("GOOGLETRANSLATE(D529,""EN"",""JA"")"),"バチルス")</f>
        <v>バチルス</v>
      </c>
      <c r="I529" s="1" t="str">
        <f>IFERROR(__xludf.DUMMYFUNCTION("GOOGLETRANSLATE(E529,""EN"",""JA"")"),"バチルス; 桿菌")</f>
        <v>バチルス; 桿菌</v>
      </c>
      <c r="J529" s="1" t="str">
        <f>IFERROR(__xludf.DUMMYFUNCTION("GOOGLETRANSLATE(F529,""EN"",""JA"")"),"生物標本中の桿菌の測定。")</f>
        <v>生物標本中の桿菌の測定。</v>
      </c>
      <c r="K529" s="1" t="str">
        <f>IFERROR(__xludf.DUMMYFUNCTION("GOOGLETRANSLATE(G529,""EN"",""JA"")"),"バチルス測定")</f>
        <v>バチルス測定</v>
      </c>
    </row>
    <row r="530" ht="13.5" customHeight="1">
      <c r="A530" s="1" t="s">
        <v>67</v>
      </c>
      <c r="B530" s="1" t="s">
        <v>2723</v>
      </c>
      <c r="C530" s="1" t="s">
        <v>2724</v>
      </c>
      <c r="D530" s="1" t="s">
        <v>2725</v>
      </c>
      <c r="E530" s="1" t="s">
        <v>2725</v>
      </c>
      <c r="F530" s="1" t="s">
        <v>2726</v>
      </c>
      <c r="G530" s="1" t="s">
        <v>2727</v>
      </c>
      <c r="H530" s="1" t="str">
        <f>IFERROR(__xludf.DUMMYFUNCTION("GOOGLETRANSLATE(D530,""EN"",""JA"")"),"バシロタ")</f>
        <v>バシロタ</v>
      </c>
      <c r="I530" s="1" t="str">
        <f>IFERROR(__xludf.DUMMYFUNCTION("GOOGLETRANSLATE(E530,""EN"",""JA"")"),"バシロタ")</f>
        <v>バシロタ</v>
      </c>
      <c r="J530" s="1" t="str">
        <f>IFERROR(__xludf.DUMMYFUNCTION("GOOGLETRANSLATE(F530,""EN"",""JA"")"),"生物標本において、種レベルには割り当てられていないが、バシロタ門レベルに割り当てられている生物の測定値。")</f>
        <v>生物標本において、種レベルには割り当てられていないが、バシロタ門レベルに割り当てられている生物の測定値。</v>
      </c>
      <c r="K530" s="1" t="str">
        <f>IFERROR(__xludf.DUMMYFUNCTION("GOOGLETRANSLATE(G530,""EN"",""JA"")"),"バシロタ測定")</f>
        <v>バシロタ測定</v>
      </c>
    </row>
    <row r="531" ht="13.5" customHeight="1">
      <c r="A531" s="1" t="s">
        <v>67</v>
      </c>
      <c r="B531" s="1" t="s">
        <v>2728</v>
      </c>
      <c r="C531" s="1" t="s">
        <v>2729</v>
      </c>
      <c r="D531" s="1" t="s">
        <v>2730</v>
      </c>
      <c r="E531" s="1" t="s">
        <v>2730</v>
      </c>
      <c r="F531" s="1" t="s">
        <v>2731</v>
      </c>
      <c r="G531" s="1" t="s">
        <v>2732</v>
      </c>
      <c r="H531" s="1" t="str">
        <f>IFERROR(__xludf.DUMMYFUNCTION("GOOGLETRANSLATE(D531,""EN"",""JA"")"),"細菌性リポ多糖抗原")</f>
        <v>細菌性リポ多糖抗原</v>
      </c>
      <c r="I531" s="1" t="str">
        <f>IFERROR(__xludf.DUMMYFUNCTION("GOOGLETRANSLATE(E531,""EN"",""JA"")"),"細菌性リポ多糖抗原")</f>
        <v>細菌性リポ多糖抗原</v>
      </c>
      <c r="J531" s="1" t="str">
        <f>IFERROR(__xludf.DUMMYFUNCTION("GOOGLETRANSLATE(F531,""EN"",""JA"")"),"生物標本中の細菌からのリポ多糖抗原の測定。")</f>
        <v>生物標本中の細菌からのリポ多糖抗原の測定。</v>
      </c>
      <c r="K531" s="1" t="str">
        <f>IFERROR(__xludf.DUMMYFUNCTION("GOOGLETRANSLATE(G531,""EN"",""JA"")"),"細菌リポ多糖抗原測定")</f>
        <v>細菌リポ多糖抗原測定</v>
      </c>
    </row>
    <row r="532" ht="13.5" customHeight="1">
      <c r="A532" s="1" t="s">
        <v>67</v>
      </c>
      <c r="B532" s="1" t="s">
        <v>2733</v>
      </c>
      <c r="C532" s="1" t="s">
        <v>2734</v>
      </c>
      <c r="D532" s="1" t="s">
        <v>2735</v>
      </c>
      <c r="E532" s="1" t="s">
        <v>2735</v>
      </c>
      <c r="F532" s="1" t="s">
        <v>2736</v>
      </c>
      <c r="G532" s="1" t="s">
        <v>2737</v>
      </c>
      <c r="H532" s="1" t="str">
        <f>IFERROR(__xludf.DUMMYFUNCTION("GOOGLETRANSLATE(D532,""EN"",""JA"")"),"細菌")</f>
        <v>細菌</v>
      </c>
      <c r="I532" s="1" t="str">
        <f>IFERROR(__xludf.DUMMYFUNCTION("GOOGLETRANSLATE(E532,""EN"",""JA"")"),"細菌")</f>
        <v>細菌</v>
      </c>
      <c r="J532" s="1" t="str">
        <f>IFERROR(__xludf.DUMMYFUNCTION("GOOGLETRANSLATE(F532,""EN"",""JA"")"),"生物標本内の細菌の測定。")</f>
        <v>生物標本内の細菌の測定。</v>
      </c>
      <c r="K532" s="1" t="str">
        <f>IFERROR(__xludf.DUMMYFUNCTION("GOOGLETRANSLATE(G532,""EN"",""JA"")"),"細菌数")</f>
        <v>細菌数</v>
      </c>
    </row>
    <row r="533" ht="13.5" customHeight="1">
      <c r="A533" s="1" t="s">
        <v>11</v>
      </c>
      <c r="B533" s="1" t="s">
        <v>2733</v>
      </c>
      <c r="C533" s="1" t="s">
        <v>2734</v>
      </c>
      <c r="D533" s="1" t="s">
        <v>2735</v>
      </c>
      <c r="E533" s="1" t="s">
        <v>2735</v>
      </c>
      <c r="F533" s="1" t="s">
        <v>2736</v>
      </c>
      <c r="G533" s="1" t="s">
        <v>2737</v>
      </c>
      <c r="H533" s="1" t="str">
        <f>IFERROR(__xludf.DUMMYFUNCTION("GOOGLETRANSLATE(D533,""EN"",""JA"")"),"細菌")</f>
        <v>細菌</v>
      </c>
      <c r="I533" s="1" t="str">
        <f>IFERROR(__xludf.DUMMYFUNCTION("GOOGLETRANSLATE(E533,""EN"",""JA"")"),"細菌")</f>
        <v>細菌</v>
      </c>
      <c r="J533" s="1" t="str">
        <f>IFERROR(__xludf.DUMMYFUNCTION("GOOGLETRANSLATE(F533,""EN"",""JA"")"),"生物標本内の細菌の測定。")</f>
        <v>生物標本内の細菌の測定。</v>
      </c>
      <c r="K533" s="1" t="str">
        <f>IFERROR(__xludf.DUMMYFUNCTION("GOOGLETRANSLATE(G533,""EN"",""JA"")"),"細菌数")</f>
        <v>細菌数</v>
      </c>
    </row>
    <row r="534" ht="13.5" customHeight="1">
      <c r="A534" s="1" t="s">
        <v>67</v>
      </c>
      <c r="B534" s="1" t="s">
        <v>2738</v>
      </c>
      <c r="C534" s="1" t="s">
        <v>2739</v>
      </c>
      <c r="D534" s="1" t="s">
        <v>2740</v>
      </c>
      <c r="E534" s="1" t="s">
        <v>2740</v>
      </c>
      <c r="F534" s="1" t="s">
        <v>2741</v>
      </c>
      <c r="G534" s="1" t="s">
        <v>2742</v>
      </c>
      <c r="H534" s="1" t="str">
        <f>IFERROR(__xludf.DUMMYFUNCTION("GOOGLETRANSLATE(D534,""EN"",""JA"")"),"バクテロイジア")</f>
        <v>バクテロイジア</v>
      </c>
      <c r="I534" s="1" t="str">
        <f>IFERROR(__xludf.DUMMYFUNCTION("GOOGLETRANSLATE(E534,""EN"",""JA"")"),"バクテロイジア")</f>
        <v>バクテロイジア</v>
      </c>
      <c r="J534" s="1" t="str">
        <f>IFERROR(__xludf.DUMMYFUNCTION("GOOGLETRANSLATE(F534,""EN"",""JA"")"),"生物標本において、種レベルには割り当てられていないが、バクテロイジア門レベルに割り当てられている生物の測定値。")</f>
        <v>生物標本において、種レベルには割り当てられていないが、バクテロイジア門レベルに割り当てられている生物の測定値。</v>
      </c>
      <c r="K534" s="1" t="str">
        <f>IFERROR(__xludf.DUMMYFUNCTION("GOOGLETRANSLATE(G534,""EN"",""JA"")"),"バクテロイデス測定")</f>
        <v>バクテロイデス測定</v>
      </c>
    </row>
    <row r="535" ht="13.5" customHeight="1">
      <c r="A535" s="1" t="s">
        <v>11</v>
      </c>
      <c r="B535" s="1" t="s">
        <v>2743</v>
      </c>
      <c r="C535" s="1" t="s">
        <v>2744</v>
      </c>
      <c r="D535" s="1" t="s">
        <v>2745</v>
      </c>
      <c r="E535" s="1" t="s">
        <v>2745</v>
      </c>
      <c r="F535" s="1" t="s">
        <v>2746</v>
      </c>
      <c r="G535" s="1" t="s">
        <v>2747</v>
      </c>
      <c r="H535" s="1" t="str">
        <f>IFERROR(__xludf.DUMMYFUNCTION("GOOGLETRANSLATE(D535,""EN"",""JA"")"),"B細胞活性化因子")</f>
        <v>B細胞活性化因子</v>
      </c>
      <c r="I535" s="1" t="str">
        <f>IFERROR(__xludf.DUMMYFUNCTION("GOOGLETRANSLATE(E535,""EN"",""JA"")"),"B細胞活性化因子")</f>
        <v>B細胞活性化因子</v>
      </c>
      <c r="J535" s="1" t="str">
        <f>IFERROR(__xludf.DUMMYFUNCTION("GOOGLETRANSLATE(F535,""EN"",""JA"")"),"生物学的標本中の B 細胞活性化因子の測定。")</f>
        <v>生物学的標本中の B 細胞活性化因子の測定。</v>
      </c>
      <c r="K535" s="1" t="str">
        <f>IFERROR(__xludf.DUMMYFUNCTION("GOOGLETRANSLATE(G535,""EN"",""JA"")"),"B細胞活性化因子測定")</f>
        <v>B細胞活性化因子測定</v>
      </c>
    </row>
    <row r="536" ht="13.5" customHeight="1">
      <c r="A536" s="1" t="s">
        <v>11</v>
      </c>
      <c r="B536" s="1" t="s">
        <v>2748</v>
      </c>
      <c r="C536" s="1" t="s">
        <v>2749</v>
      </c>
      <c r="D536" s="1" t="s">
        <v>2750</v>
      </c>
      <c r="E536" s="1" t="s">
        <v>2750</v>
      </c>
      <c r="F536" s="1" t="s">
        <v>2751</v>
      </c>
      <c r="G536" s="1" t="s">
        <v>2752</v>
      </c>
      <c r="H536" s="1" t="str">
        <f>IFERROR(__xludf.DUMMYFUNCTION("GOOGLETRANSLATE(D536,""EN"",""JA"")"),"ベータアラニン")</f>
        <v>ベータアラニン</v>
      </c>
      <c r="I536" s="1" t="str">
        <f>IFERROR(__xludf.DUMMYFUNCTION("GOOGLETRANSLATE(E536,""EN"",""JA"")"),"ベータアラニン")</f>
        <v>ベータアラニン</v>
      </c>
      <c r="J536" s="1" t="str">
        <f>IFERROR(__xludf.DUMMYFUNCTION("GOOGLETRANSLATE(F536,""EN"",""JA"")"),"生物標本中のベータアラニンの測定。")</f>
        <v>生物標本中のベータアラニンの測定。</v>
      </c>
      <c r="K536" s="1" t="str">
        <f>IFERROR(__xludf.DUMMYFUNCTION("GOOGLETRANSLATE(G536,""EN"",""JA"")"),"ベータアラニン測定")</f>
        <v>ベータアラニン測定</v>
      </c>
    </row>
    <row r="537" ht="13.5" customHeight="1">
      <c r="A537" s="1" t="s">
        <v>67</v>
      </c>
      <c r="B537" s="1" t="s">
        <v>2753</v>
      </c>
      <c r="C537" s="1" t="s">
        <v>2754</v>
      </c>
      <c r="D537" s="1" t="s">
        <v>2755</v>
      </c>
      <c r="E537" s="1" t="s">
        <v>2755</v>
      </c>
      <c r="F537" s="1" t="s">
        <v>2756</v>
      </c>
      <c r="G537" s="1" t="s">
        <v>2757</v>
      </c>
      <c r="H537" s="1" t="str">
        <f>IFERROR(__xludf.DUMMYFUNCTION("GOOGLETRANSLATE(D537,""EN"",""JA"")"),"ブルクホルデリア・アンビファリア")</f>
        <v>ブルクホルデリア・アンビファリア</v>
      </c>
      <c r="I537" s="1" t="str">
        <f>IFERROR(__xludf.DUMMYFUNCTION("GOOGLETRANSLATE(E537,""EN"",""JA"")"),"ブルクホルデリア・アンビファリア")</f>
        <v>ブルクホルデリア・アンビファリア</v>
      </c>
      <c r="J537" s="1" t="str">
        <f>IFERROR(__xludf.DUMMYFUNCTION("GOOGLETRANSLATE(F537,""EN"",""JA"")"),"生物標本中の Burkholderia ambifaria の測定。")</f>
        <v>生物標本中の Burkholderia ambifaria の測定。</v>
      </c>
      <c r="K537" s="1" t="str">
        <f>IFERROR(__xludf.DUMMYFUNCTION("GOOGLETRANSLATE(G537,""EN"",""JA"")"),"Burkholderia ambifaria 測定")</f>
        <v>Burkholderia ambifaria 測定</v>
      </c>
    </row>
    <row r="538" ht="13.5" customHeight="1">
      <c r="A538" s="1" t="s">
        <v>11</v>
      </c>
      <c r="B538" s="1" t="s">
        <v>2758</v>
      </c>
      <c r="C538" s="1" t="s">
        <v>2759</v>
      </c>
      <c r="D538" s="1" t="s">
        <v>2760</v>
      </c>
      <c r="E538" s="1" t="s">
        <v>2761</v>
      </c>
      <c r="F538" s="1" t="s">
        <v>2762</v>
      </c>
      <c r="G538" s="1" t="s">
        <v>2763</v>
      </c>
      <c r="H538" s="1" t="str">
        <f>IFERROR(__xludf.DUMMYFUNCTION("GOOGLETRANSLATE(D538,""EN"",""JA"")"),"β-アミノ酪酸")</f>
        <v>β-アミノ酪酸</v>
      </c>
      <c r="I538" s="1" t="str">
        <f>IFERROR(__xludf.DUMMYFUNCTION("GOOGLETRANSLATE(E538,""EN"",""JA"")"),"BABA; β-アミノ酪酸; β-アミノ酪酸")</f>
        <v>BABA; β-アミノ酪酸; β-アミノ酪酸</v>
      </c>
      <c r="J538" s="1" t="str">
        <f>IFERROR(__xludf.DUMMYFUNCTION("GOOGLETRANSLATE(F538,""EN"",""JA"")"),"生物標本中のβ-アミノ酪酸の測定。")</f>
        <v>生物標本中のβ-アミノ酪酸の測定。</v>
      </c>
      <c r="K538" s="1" t="str">
        <f>IFERROR(__xludf.DUMMYFUNCTION("GOOGLETRANSLATE(G538,""EN"",""JA"")"),"β-アミノ酪酸測定")</f>
        <v>β-アミノ酪酸測定</v>
      </c>
    </row>
    <row r="539" ht="13.5" customHeight="1">
      <c r="A539" s="1" t="s">
        <v>67</v>
      </c>
      <c r="B539" s="1" t="s">
        <v>2764</v>
      </c>
      <c r="C539" s="1" t="s">
        <v>2765</v>
      </c>
      <c r="D539" s="1" t="s">
        <v>2766</v>
      </c>
      <c r="E539" s="1" t="s">
        <v>2766</v>
      </c>
      <c r="F539" s="1" t="s">
        <v>2767</v>
      </c>
      <c r="G539" s="1" t="s">
        <v>2768</v>
      </c>
      <c r="H539" s="1" t="str">
        <f>IFERROR(__xludf.DUMMYFUNCTION("GOOGLETRANSLATE(D539,""EN"",""JA"")"),"ブルクホルデリア・アンティナ")</f>
        <v>ブルクホルデリア・アンティナ</v>
      </c>
      <c r="I539" s="1" t="str">
        <f>IFERROR(__xludf.DUMMYFUNCTION("GOOGLETRANSLATE(E539,""EN"",""JA"")"),"ブルクホルデリア・アンティナ")</f>
        <v>ブルクホルデリア・アンティナ</v>
      </c>
      <c r="J539" s="1" t="str">
        <f>IFERROR(__xludf.DUMMYFUNCTION("GOOGLETRANSLATE(F539,""EN"",""JA"")"),"生物標本中の Burkholderia anthina の測定。")</f>
        <v>生物標本中の Burkholderia anthina の測定。</v>
      </c>
      <c r="K539" s="1" t="str">
        <f>IFERROR(__xludf.DUMMYFUNCTION("GOOGLETRANSLATE(G539,""EN"",""JA"")"),"バークホルデリア・アンティナの測定")</f>
        <v>バークホルデリア・アンティナの測定</v>
      </c>
    </row>
    <row r="540" ht="13.5" customHeight="1">
      <c r="A540" s="1" t="s">
        <v>134</v>
      </c>
      <c r="B540" s="1" t="s">
        <v>2769</v>
      </c>
      <c r="C540" s="1" t="s">
        <v>2770</v>
      </c>
      <c r="D540" s="1" t="s">
        <v>2771</v>
      </c>
      <c r="E540" s="1" t="s">
        <v>2771</v>
      </c>
      <c r="F540" s="1" t="s">
        <v>2772</v>
      </c>
      <c r="G540" s="1" t="s">
        <v>2773</v>
      </c>
      <c r="H540" s="1" t="str">
        <f>IFERROR(__xludf.DUMMYFUNCTION("GOOGLETRANSLATE(D540,""EN"",""JA"")"),"バンフ診断カテゴリー腎臓")</f>
        <v>バンフ診断カテゴリー腎臓</v>
      </c>
      <c r="I540" s="1" t="str">
        <f>IFERROR(__xludf.DUMMYFUNCTION("GOOGLETRANSLATE(E540,""EN"",""JA"")"),"バンフ診断カテゴリー腎臓")</f>
        <v>バンフ診断カテゴリー腎臓</v>
      </c>
      <c r="J540" s="1" t="str">
        <f>IFERROR(__xludf.DUMMYFUNCTION("GOOGLETRANSLATE(F540,""EN"",""JA"")"),"腎生検とバンフ移植病理学財団によるバンフ作業分類に基づいた腎移植拒絶反応の種類の組織学的評価と診断。(NCI)")</f>
        <v>腎生検とバンフ移植病理学財団によるバンフ作業分類に基づいた腎移植拒絶反応の種類の組織学的評価と診断。(NCI)</v>
      </c>
      <c r="K540" s="1" t="str">
        <f>IFERROR(__xludf.DUMMYFUNCTION("GOOGLETRANSLATE(G540,""EN"",""JA"")"),"バンフ腎臓診断カテゴリー評価")</f>
        <v>バンフ腎臓診断カテゴリー評価</v>
      </c>
    </row>
    <row r="541" ht="13.5" customHeight="1">
      <c r="A541" s="1" t="s">
        <v>11</v>
      </c>
      <c r="B541" s="1" t="s">
        <v>2774</v>
      </c>
      <c r="C541" s="1" t="s">
        <v>2775</v>
      </c>
      <c r="D541" s="1" t="s">
        <v>2776</v>
      </c>
      <c r="E541" s="1" t="s">
        <v>2776</v>
      </c>
      <c r="F541" s="1" t="s">
        <v>2777</v>
      </c>
      <c r="G541" s="1" t="s">
        <v>2778</v>
      </c>
      <c r="H541" s="1" t="str">
        <f>IFERROR(__xludf.DUMMYFUNCTION("GOOGLETRANSLATE(D541,""EN"",""JA"")"),"バルビツール酸")</f>
        <v>バルビツール酸</v>
      </c>
      <c r="I541" s="1" t="str">
        <f>IFERROR(__xludf.DUMMYFUNCTION("GOOGLETRANSLATE(E541,""EN"",""JA"")"),"バルビツール酸")</f>
        <v>バルビツール酸</v>
      </c>
      <c r="J541" s="1" t="str">
        <f>IFERROR(__xludf.DUMMYFUNCTION("GOOGLETRANSLATE(F541,""EN"",""JA"")"),"生物学的標本中に存在するバルビツール酸系薬物の測定。")</f>
        <v>生物学的標本中に存在するバルビツール酸系薬物の測定。</v>
      </c>
      <c r="K541" s="1" t="str">
        <f>IFERROR(__xludf.DUMMYFUNCTION("GOOGLETRANSLATE(G541,""EN"",""JA"")"),"バルビツール酸系薬物クラスの測定")</f>
        <v>バルビツール酸系薬物クラスの測定</v>
      </c>
    </row>
    <row r="542" ht="13.5" customHeight="1">
      <c r="A542" s="1" t="s">
        <v>11</v>
      </c>
      <c r="B542" s="1" t="s">
        <v>2779</v>
      </c>
      <c r="C542" s="1" t="s">
        <v>2780</v>
      </c>
      <c r="D542" s="1" t="s">
        <v>2781</v>
      </c>
      <c r="E542" s="1" t="s">
        <v>2781</v>
      </c>
      <c r="F542" s="1" t="s">
        <v>2782</v>
      </c>
      <c r="G542" s="1" t="s">
        <v>2781</v>
      </c>
      <c r="H542" s="1" t="str">
        <f>IFERROR(__xludf.DUMMYFUNCTION("GOOGLETRANSLATE(D542,""EN"",""JA"")"),"基地赤字")</f>
        <v>基地赤字</v>
      </c>
      <c r="I542" s="1" t="str">
        <f>IFERROR(__xludf.DUMMYFUNCTION("GOOGLETRANSLATE(E542,""EN"",""JA"")"),"基地赤字")</f>
        <v>基地赤字</v>
      </c>
      <c r="J542" s="1" t="str">
        <f>IFERROR(__xludf.DUMMYFUNCTION("GOOGLETRANSLATE(F542,""EN"",""JA"")"),"標準条件下で生物学的標本を正常な pH に戻すために必要なアルカリの量の測定値。")</f>
        <v>標準条件下で生物学的標本を正常な pH に戻すために必要なアルカリの量の測定値。</v>
      </c>
      <c r="K542" s="1" t="str">
        <f>IFERROR(__xludf.DUMMYFUNCTION("GOOGLETRANSLATE(G542,""EN"",""JA"")"),"基地赤字")</f>
        <v>基地赤字</v>
      </c>
    </row>
    <row r="543" ht="13.5" customHeight="1">
      <c r="A543" s="1" t="s">
        <v>11</v>
      </c>
      <c r="B543" s="1" t="s">
        <v>2783</v>
      </c>
      <c r="C543" s="1" t="s">
        <v>2784</v>
      </c>
      <c r="D543" s="1" t="s">
        <v>2785</v>
      </c>
      <c r="E543" s="1" t="s">
        <v>2786</v>
      </c>
      <c r="F543" s="1" t="s">
        <v>2787</v>
      </c>
      <c r="G543" s="1" t="s">
        <v>2788</v>
      </c>
      <c r="H543" s="1" t="str">
        <f>IFERROR(__xludf.DUMMYFUNCTION("GOOGLETRANSLATE(D543,""EN"",""JA"")"),"ベースエクセス")</f>
        <v>ベースエクセス</v>
      </c>
      <c r="I543" s="1" t="str">
        <f>IFERROR(__xludf.DUMMYFUNCTION("GOOGLETRANSLATE(E543,""EN"",""JA"")"),"実際の基礎超過額; 基礎超過額")</f>
        <v>実際の基礎超過額; 基礎超過額</v>
      </c>
      <c r="J543" s="1" t="str">
        <f>IFERROR(__xludf.DUMMYFUNCTION("GOOGLETRANSLATE(F543,""EN"",""JA"")"),"標準条件下で血液を正常な pH に戻すために必要な酸の量を計算して測定した値。")</f>
        <v>標準条件下で血液を正常な pH に戻すために必要な酸の量を計算して測定した値。</v>
      </c>
      <c r="K543" s="1" t="str">
        <f>IFERROR(__xludf.DUMMYFUNCTION("GOOGLETRANSLATE(G543,""EN"",""JA"")"),"ベース超過測定")</f>
        <v>ベース超過測定</v>
      </c>
    </row>
    <row r="544" ht="13.5" customHeight="1">
      <c r="A544" s="1" t="s">
        <v>11</v>
      </c>
      <c r="B544" s="1" t="s">
        <v>2789</v>
      </c>
      <c r="C544" s="1" t="s">
        <v>2790</v>
      </c>
      <c r="D544" s="1" t="s">
        <v>2791</v>
      </c>
      <c r="E544" s="1" t="s">
        <v>2791</v>
      </c>
      <c r="F544" s="1" t="s">
        <v>2792</v>
      </c>
      <c r="G544" s="1" t="s">
        <v>2793</v>
      </c>
      <c r="H544" s="1" t="str">
        <f>IFERROR(__xludf.DUMMYFUNCTION("GOOGLETRANSLATE(D544,""EN"",""JA"")"),"好塩基球")</f>
        <v>好塩基球</v>
      </c>
      <c r="I544" s="1" t="str">
        <f>IFERROR(__xludf.DUMMYFUNCTION("GOOGLETRANSLATE(E544,""EN"",""JA"")"),"好塩基球")</f>
        <v>好塩基球</v>
      </c>
      <c r="J544" s="1" t="str">
        <f>IFERROR(__xludf.DUMMYFUNCTION("GOOGLETRANSLATE(F544,""EN"",""JA"")"),"生物標本中の好塩基球の測定。")</f>
        <v>生物標本中の好塩基球の測定。</v>
      </c>
      <c r="K544" s="1" t="str">
        <f>IFERROR(__xludf.DUMMYFUNCTION("GOOGLETRANSLATE(G544,""EN"",""JA"")"),"絶対好塩基球数")</f>
        <v>絶対好塩基球数</v>
      </c>
    </row>
    <row r="545" ht="13.5" customHeight="1">
      <c r="A545" s="1" t="s">
        <v>11</v>
      </c>
      <c r="B545" s="1" t="s">
        <v>2794</v>
      </c>
      <c r="C545" s="1" t="s">
        <v>2795</v>
      </c>
      <c r="D545" s="1" t="s">
        <v>2796</v>
      </c>
      <c r="E545" s="1" t="s">
        <v>2796</v>
      </c>
      <c r="F545" s="1" t="s">
        <v>2797</v>
      </c>
      <c r="G545" s="1" t="s">
        <v>2798</v>
      </c>
      <c r="H545" s="1" t="str">
        <f>IFERROR(__xludf.DUMMYFUNCTION("GOOGLETRANSLATE(D545,""EN"",""JA"")"),"好塩基球桿体")</f>
        <v>好塩基球桿体</v>
      </c>
      <c r="I545" s="1" t="str">
        <f>IFERROR(__xludf.DUMMYFUNCTION("GOOGLETRANSLATE(E545,""EN"",""JA"")"),"好塩基球桿体")</f>
        <v>好塩基球桿体</v>
      </c>
      <c r="J545" s="1" t="str">
        <f>IFERROR(__xludf.DUMMYFUNCTION("GOOGLETRANSLATE(F545,""EN"",""JA"")"),"生物標本中のバンド状好塩基球の測定。")</f>
        <v>生物標本中のバンド状好塩基球の測定。</v>
      </c>
      <c r="K545" s="1" t="str">
        <f>IFERROR(__xludf.DUMMYFUNCTION("GOOGLETRANSLATE(G545,""EN"",""JA"")"),"好塩基球桿体数")</f>
        <v>好塩基球桿体数</v>
      </c>
    </row>
    <row r="546" ht="13.5" customHeight="1">
      <c r="A546" s="1" t="s">
        <v>11</v>
      </c>
      <c r="B546" s="1" t="s">
        <v>2799</v>
      </c>
      <c r="C546" s="1" t="s">
        <v>2800</v>
      </c>
      <c r="D546" s="1" t="s">
        <v>2801</v>
      </c>
      <c r="E546" s="1" t="s">
        <v>2801</v>
      </c>
      <c r="F546" s="1" t="s">
        <v>2802</v>
      </c>
      <c r="G546" s="1" t="s">
        <v>2803</v>
      </c>
      <c r="H546" s="1" t="str">
        <f>IFERROR(__xludf.DUMMYFUNCTION("GOOGLETRANSLATE(D546,""EN"",""JA"")"),"好塩基球桿体/白血球")</f>
        <v>好塩基球桿体/白血球</v>
      </c>
      <c r="I546" s="1" t="str">
        <f>IFERROR(__xludf.DUMMYFUNCTION("GOOGLETRANSLATE(E546,""EN"",""JA"")"),"好塩基球桿体/白血球")</f>
        <v>好塩基球桿体/白血球</v>
      </c>
      <c r="J546" s="1" t="str">
        <f>IFERROR(__xludf.DUMMYFUNCTION("GOOGLETRANSLATE(F546,""EN"",""JA"")"),"生物標本中の白血球に対するバンド状の好塩基球の相対的な測定値（比率またはパーセンテージ）。")</f>
        <v>生物標本中の白血球に対するバンド状の好塩基球の相対的な測定値（比率またはパーセンテージ）。</v>
      </c>
      <c r="K546" s="1" t="str">
        <f>IFERROR(__xludf.DUMMYFUNCTION("GOOGLETRANSLATE(G546,""EN"",""JA"")"),"好塩基球桿体と白血球の比率測定")</f>
        <v>好塩基球桿体と白血球の比率測定</v>
      </c>
    </row>
    <row r="547" ht="13.5" customHeight="1">
      <c r="A547" s="1" t="s">
        <v>134</v>
      </c>
      <c r="B547" s="1" t="s">
        <v>2804</v>
      </c>
      <c r="C547" s="1" t="s">
        <v>2805</v>
      </c>
      <c r="D547" s="1" t="s">
        <v>2806</v>
      </c>
      <c r="E547" s="1" t="s">
        <v>2806</v>
      </c>
      <c r="F547" s="1" t="s">
        <v>2807</v>
      </c>
      <c r="G547" s="1" t="s">
        <v>2808</v>
      </c>
      <c r="H547" s="1" t="str">
        <f>IFERROR(__xludf.DUMMYFUNCTION("GOOGLETRANSLATE(D547,""EN"",""JA"")"),"好塩基球/総細胞数")</f>
        <v>好塩基球/総細胞数</v>
      </c>
      <c r="I547" s="1" t="str">
        <f>IFERROR(__xludf.DUMMYFUNCTION("GOOGLETRANSLATE(E547,""EN"",""JA"")"),"好塩基球/総細胞数")</f>
        <v>好塩基球/総細胞数</v>
      </c>
      <c r="J547" s="1" t="str">
        <f>IFERROR(__xludf.DUMMYFUNCTION("GOOGLETRANSLATE(F547,""EN"",""JA"")"),"生物学的標本（骨髄標本など）内の好塩基球と総細胞の相対的な測定値（比率またはパーセンテージ）。")</f>
        <v>生物学的標本（骨髄標本など）内の好塩基球と総細胞の相対的な測定値（比率またはパーセンテージ）。</v>
      </c>
      <c r="K547" s="1" t="str">
        <f>IFERROR(__xludf.DUMMYFUNCTION("GOOGLETRANSLATE(G547,""EN"",""JA"")"),"好塩基球対総細胞比測定")</f>
        <v>好塩基球対総細胞比測定</v>
      </c>
    </row>
    <row r="548" ht="13.5" customHeight="1">
      <c r="A548" s="1" t="s">
        <v>11</v>
      </c>
      <c r="B548" s="1" t="s">
        <v>2804</v>
      </c>
      <c r="C548" s="1" t="s">
        <v>2805</v>
      </c>
      <c r="D548" s="1" t="s">
        <v>2806</v>
      </c>
      <c r="E548" s="1" t="s">
        <v>2806</v>
      </c>
      <c r="F548" s="1" t="s">
        <v>2807</v>
      </c>
      <c r="G548" s="1" t="s">
        <v>2808</v>
      </c>
      <c r="H548" s="1" t="str">
        <f>IFERROR(__xludf.DUMMYFUNCTION("GOOGLETRANSLATE(D548,""EN"",""JA"")"),"好塩基球/総細胞数")</f>
        <v>好塩基球/総細胞数</v>
      </c>
      <c r="I548" s="1" t="str">
        <f>IFERROR(__xludf.DUMMYFUNCTION("GOOGLETRANSLATE(E548,""EN"",""JA"")"),"好塩基球/総細胞数")</f>
        <v>好塩基球/総細胞数</v>
      </c>
      <c r="J548" s="1" t="str">
        <f>IFERROR(__xludf.DUMMYFUNCTION("GOOGLETRANSLATE(F548,""EN"",""JA"")"),"生物学的標本（骨髄標本など）内の好塩基球と総細胞の相対的な測定値（比率またはパーセンテージ）。")</f>
        <v>生物学的標本（骨髄標本など）内の好塩基球と総細胞の相対的な測定値（比率またはパーセンテージ）。</v>
      </c>
      <c r="K548" s="1" t="str">
        <f>IFERROR(__xludf.DUMMYFUNCTION("GOOGLETRANSLATE(G548,""EN"",""JA"")"),"好塩基球対総細胞比測定")</f>
        <v>好塩基球対総細胞比測定</v>
      </c>
    </row>
    <row r="549" ht="13.5" customHeight="1">
      <c r="A549" s="1" t="s">
        <v>11</v>
      </c>
      <c r="B549" s="1" t="s">
        <v>2809</v>
      </c>
      <c r="C549" s="1" t="s">
        <v>2810</v>
      </c>
      <c r="D549" s="1" t="s">
        <v>2811</v>
      </c>
      <c r="E549" s="1" t="s">
        <v>2811</v>
      </c>
      <c r="F549" s="1" t="s">
        <v>2812</v>
      </c>
      <c r="G549" s="1" t="s">
        <v>2813</v>
      </c>
      <c r="H549" s="1" t="str">
        <f>IFERROR(__xludf.DUMMYFUNCTION("GOOGLETRANSLATE(D549,""EN"",""JA"")"),"未熟な好塩基球")</f>
        <v>未熟な好塩基球</v>
      </c>
      <c r="I549" s="1" t="str">
        <f>IFERROR(__xludf.DUMMYFUNCTION("GOOGLETRANSLATE(E549,""EN"",""JA"")"),"未熟な好塩基球")</f>
        <v>未熟な好塩基球</v>
      </c>
      <c r="J549" s="1" t="str">
        <f>IFERROR(__xludf.DUMMYFUNCTION("GOOGLETRANSLATE(F549,""EN"",""JA"")"),"生物標本中の未熟好塩基球の測定。")</f>
        <v>生物標本中の未熟好塩基球の測定。</v>
      </c>
      <c r="K549" s="1" t="str">
        <f>IFERROR(__xludf.DUMMYFUNCTION("GOOGLETRANSLATE(G549,""EN"",""JA"")"),"未熟好塩基球数")</f>
        <v>未熟好塩基球数</v>
      </c>
    </row>
    <row r="550" ht="13.5" customHeight="1">
      <c r="A550" s="1" t="s">
        <v>11</v>
      </c>
      <c r="B550" s="1" t="s">
        <v>2814</v>
      </c>
      <c r="C550" s="1" t="s">
        <v>2815</v>
      </c>
      <c r="D550" s="1" t="s">
        <v>2816</v>
      </c>
      <c r="E550" s="1" t="s">
        <v>2816</v>
      </c>
      <c r="F550" s="1" t="s">
        <v>2817</v>
      </c>
      <c r="G550" s="1" t="s">
        <v>2818</v>
      </c>
      <c r="H550" s="1" t="str">
        <f>IFERROR(__xludf.DUMMYFUNCTION("GOOGLETRANSLATE(D550,""EN"",""JA"")"),"未熟な好塩基球/白血球")</f>
        <v>未熟な好塩基球/白血球</v>
      </c>
      <c r="I550" s="1" t="str">
        <f>IFERROR(__xludf.DUMMYFUNCTION("GOOGLETRANSLATE(E550,""EN"",""JA"")"),"未熟な好塩基球/白血球")</f>
        <v>未熟な好塩基球/白血球</v>
      </c>
      <c r="J550" s="1" t="str">
        <f>IFERROR(__xludf.DUMMYFUNCTION("GOOGLETRANSLATE(F550,""EN"",""JA"")"),"生物標本中の全白血球に対する未熟好塩基球の相対的な測定値（比率またはパーセンテージ）。")</f>
        <v>生物標本中の全白血球に対する未熟好塩基球の相対的な測定値（比率またはパーセンテージ）。</v>
      </c>
      <c r="K550" s="1" t="str">
        <f>IFERROR(__xludf.DUMMYFUNCTION("GOOGLETRANSLATE(G550,""EN"",""JA"")"),"未熟好塩基球と白血球の比の測定")</f>
        <v>未熟好塩基球と白血球の比の測定</v>
      </c>
    </row>
    <row r="551" ht="13.5" customHeight="1">
      <c r="A551" s="1" t="s">
        <v>11</v>
      </c>
      <c r="B551" s="1" t="s">
        <v>2819</v>
      </c>
      <c r="C551" s="1" t="s">
        <v>2820</v>
      </c>
      <c r="D551" s="1" t="s">
        <v>2821</v>
      </c>
      <c r="E551" s="1" t="s">
        <v>2821</v>
      </c>
      <c r="F551" s="1" t="s">
        <v>2822</v>
      </c>
      <c r="G551" s="1" t="s">
        <v>2823</v>
      </c>
      <c r="H551" s="1" t="str">
        <f>IFERROR(__xludf.DUMMYFUNCTION("GOOGLETRANSLATE(D551,""EN"",""JA"")"),"好塩基球/白血球")</f>
        <v>好塩基球/白血球</v>
      </c>
      <c r="I551" s="1" t="str">
        <f>IFERROR(__xludf.DUMMYFUNCTION("GOOGLETRANSLATE(E551,""EN"",""JA"")"),"好塩基球/白血球")</f>
        <v>好塩基球/白血球</v>
      </c>
      <c r="J551" s="1" t="str">
        <f>IFERROR(__xludf.DUMMYFUNCTION("GOOGLETRANSLATE(F551,""EN"",""JA"")"),"生物標本中の好塩基球と白血球の相対的な測定値（比率またはパーセンテージ）。")</f>
        <v>生物標本中の好塩基球と白血球の相対的な測定値（比率またはパーセンテージ）。</v>
      </c>
      <c r="K551" s="1" t="str">
        <f>IFERROR(__xludf.DUMMYFUNCTION("GOOGLETRANSLATE(G551,""EN"",""JA"")"),"好塩基球対白血球比")</f>
        <v>好塩基球対白血球比</v>
      </c>
    </row>
    <row r="552" ht="13.5" customHeight="1">
      <c r="A552" s="1" t="s">
        <v>11</v>
      </c>
      <c r="B552" s="1" t="s">
        <v>2824</v>
      </c>
      <c r="C552" s="1" t="s">
        <v>2825</v>
      </c>
      <c r="D552" s="1" t="s">
        <v>2826</v>
      </c>
      <c r="E552" s="1" t="s">
        <v>2826</v>
      </c>
      <c r="F552" s="1" t="s">
        <v>2827</v>
      </c>
      <c r="G552" s="1" t="s">
        <v>2828</v>
      </c>
      <c r="H552" s="1" t="str">
        <f>IFERROR(__xludf.DUMMYFUNCTION("GOOGLETRANSLATE(D552,""EN"",""JA"")"),"好塩基性後骨髄球")</f>
        <v>好塩基性後骨髄球</v>
      </c>
      <c r="I552" s="1" t="str">
        <f>IFERROR(__xludf.DUMMYFUNCTION("GOOGLETRANSLATE(E552,""EN"",""JA"")"),"好塩基性後骨髄球")</f>
        <v>好塩基性後骨髄球</v>
      </c>
      <c r="J552" s="1" t="str">
        <f>IFERROR(__xludf.DUMMYFUNCTION("GOOGLETRANSLATE(F552,""EN"",""JA"")"),"生物標本中の好塩基性骨髄球の測定。")</f>
        <v>生物標本中の好塩基性骨髄球の測定。</v>
      </c>
      <c r="K552" s="1" t="str">
        <f>IFERROR(__xludf.DUMMYFUNCTION("GOOGLETRANSLATE(G552,""EN"",""JA"")"),"好塩基性骨髄球数")</f>
        <v>好塩基性骨髄球数</v>
      </c>
    </row>
    <row r="553" ht="13.5" customHeight="1">
      <c r="A553" s="1" t="s">
        <v>11</v>
      </c>
      <c r="B553" s="1" t="s">
        <v>2829</v>
      </c>
      <c r="C553" s="1" t="s">
        <v>2830</v>
      </c>
      <c r="D553" s="1" t="s">
        <v>2831</v>
      </c>
      <c r="E553" s="1" t="s">
        <v>2831</v>
      </c>
      <c r="F553" s="1" t="s">
        <v>2832</v>
      </c>
      <c r="G553" s="1" t="s">
        <v>2833</v>
      </c>
      <c r="H553" s="1" t="str">
        <f>IFERROR(__xludf.DUMMYFUNCTION("GOOGLETRANSLATE(D553,""EN"",""JA"")"),"好塩基性骨髄球")</f>
        <v>好塩基性骨髄球</v>
      </c>
      <c r="I553" s="1" t="str">
        <f>IFERROR(__xludf.DUMMYFUNCTION("GOOGLETRANSLATE(E553,""EN"",""JA"")"),"好塩基性骨髄球")</f>
        <v>好塩基性骨髄球</v>
      </c>
      <c r="J553" s="1" t="str">
        <f>IFERROR(__xludf.DUMMYFUNCTION("GOOGLETRANSLATE(F553,""EN"",""JA"")"),"生物標本中の好塩基性骨髄球の測定。")</f>
        <v>生物標本中の好塩基性骨髄球の測定。</v>
      </c>
      <c r="K553" s="1" t="str">
        <f>IFERROR(__xludf.DUMMYFUNCTION("GOOGLETRANSLATE(G553,""EN"",""JA"")"),"好塩基性骨髄球数")</f>
        <v>好塩基性骨髄球数</v>
      </c>
    </row>
    <row r="554" ht="13.5" customHeight="1">
      <c r="A554" s="1" t="s">
        <v>11</v>
      </c>
      <c r="B554" s="1" t="s">
        <v>2834</v>
      </c>
      <c r="C554" s="1" t="s">
        <v>2835</v>
      </c>
      <c r="D554" s="1" t="s">
        <v>2836</v>
      </c>
      <c r="E554" s="1" t="s">
        <v>2836</v>
      </c>
      <c r="F554" s="1" t="s">
        <v>2837</v>
      </c>
      <c r="G554" s="1" t="s">
        <v>2838</v>
      </c>
      <c r="H554" s="1" t="str">
        <f>IFERROR(__xludf.DUMMYFUNCTION("GOOGLETRANSLATE(D554,""EN"",""JA"")"),"好塩基性骨髄球/リンパ球")</f>
        <v>好塩基性骨髄球/リンパ球</v>
      </c>
      <c r="I554" s="1" t="str">
        <f>IFERROR(__xludf.DUMMYFUNCTION("GOOGLETRANSLATE(E554,""EN"",""JA"")"),"好塩基性骨髄球/リンパ球")</f>
        <v>好塩基性骨髄球/リンパ球</v>
      </c>
      <c r="J554" s="1" t="str">
        <f>IFERROR(__xludf.DUMMYFUNCTION("GOOGLETRANSLATE(F554,""EN"",""JA"")"),"生物学的標本（骨髄標本など）中の好塩基性骨髄球とリンパ球の相対的な測定値（比率またはパーセンテージ）。")</f>
        <v>生物学的標本（骨髄標本など）中の好塩基性骨髄球とリンパ球の相対的な測定値（比率またはパーセンテージ）。</v>
      </c>
      <c r="K554" s="1" t="str">
        <f>IFERROR(__xludf.DUMMYFUNCTION("GOOGLETRANSLATE(G554,""EN"",""JA"")"),"好塩基性骨髄球とリンパ球の比率測定")</f>
        <v>好塩基性骨髄球とリンパ球の比率測定</v>
      </c>
    </row>
    <row r="555" ht="13.5" customHeight="1">
      <c r="A555" s="1" t="s">
        <v>11</v>
      </c>
      <c r="B555" s="1" t="s">
        <v>2839</v>
      </c>
      <c r="C555" s="1" t="s">
        <v>2840</v>
      </c>
      <c r="D555" s="1" t="s">
        <v>2841</v>
      </c>
      <c r="E555" s="1" t="s">
        <v>2841</v>
      </c>
      <c r="F555" s="1" t="s">
        <v>2842</v>
      </c>
      <c r="G555" s="1" t="s">
        <v>2843</v>
      </c>
      <c r="H555" s="1" t="str">
        <f>IFERROR(__xludf.DUMMYFUNCTION("GOOGLETRANSLATE(D555,""EN"",""JA"")"),"好塩基球、分節")</f>
        <v>好塩基球、分節</v>
      </c>
      <c r="I555" s="1" t="str">
        <f>IFERROR(__xludf.DUMMYFUNCTION("GOOGLETRANSLATE(E555,""EN"",""JA"")"),"好塩基球、分節")</f>
        <v>好塩基球、分節</v>
      </c>
      <c r="J555" s="1" t="str">
        <f>IFERROR(__xludf.DUMMYFUNCTION("GOOGLETRANSLATE(F555,""EN"",""JA"")"),"生物標本中の分節好塩基球の測定。")</f>
        <v>生物標本中の分節好塩基球の測定。</v>
      </c>
      <c r="K555" s="1" t="str">
        <f>IFERROR(__xludf.DUMMYFUNCTION("GOOGLETRANSLATE(G555,""EN"",""JA"")"),"分節好塩基球数")</f>
        <v>分節好塩基球数</v>
      </c>
    </row>
    <row r="556" ht="13.5" customHeight="1">
      <c r="A556" s="1" t="s">
        <v>67</v>
      </c>
      <c r="B556" s="1" t="s">
        <v>2844</v>
      </c>
      <c r="C556" s="1" t="s">
        <v>2845</v>
      </c>
      <c r="D556" s="1" t="s">
        <v>2846</v>
      </c>
      <c r="E556" s="1" t="s">
        <v>2846</v>
      </c>
      <c r="F556" s="1" t="s">
        <v>2847</v>
      </c>
      <c r="G556" s="1" t="s">
        <v>2848</v>
      </c>
      <c r="H556" s="1" t="str">
        <f>IFERROR(__xludf.DUMMYFUNCTION("GOOGLETRANSLATE(D556,""EN"",""JA"")"),"ブルクホルデリア・セノセパシア")</f>
        <v>ブルクホルデリア・セノセパシア</v>
      </c>
      <c r="I556" s="1" t="str">
        <f>IFERROR(__xludf.DUMMYFUNCTION("GOOGLETRANSLATE(E556,""EN"",""JA"")"),"ブルクホルデリア・セノセパシア")</f>
        <v>ブルクホルデリア・セノセパシア</v>
      </c>
      <c r="J556" s="1" t="str">
        <f>IFERROR(__xludf.DUMMYFUNCTION("GOOGLETRANSLATE(F556,""EN"",""JA"")"),"生物標本中の Burkholderia cenocepacia の測定。")</f>
        <v>生物標本中の Burkholderia cenocepacia の測定。</v>
      </c>
      <c r="K556" s="1" t="str">
        <f>IFERROR(__xludf.DUMMYFUNCTION("GOOGLETRANSLATE(G556,""EN"",""JA"")"),"Burkholderia cenocepacia 測定")</f>
        <v>Burkholderia cenocepacia 測定</v>
      </c>
    </row>
    <row r="557" ht="13.5" customHeight="1">
      <c r="A557" s="1" t="s">
        <v>11</v>
      </c>
      <c r="B557" s="1" t="s">
        <v>2849</v>
      </c>
      <c r="C557" s="1" t="s">
        <v>2850</v>
      </c>
      <c r="D557" s="1" t="s">
        <v>2851</v>
      </c>
      <c r="E557" s="1" t="s">
        <v>2851</v>
      </c>
      <c r="F557" s="1" t="s">
        <v>2852</v>
      </c>
      <c r="G557" s="1" t="s">
        <v>2853</v>
      </c>
      <c r="H557" s="1" t="str">
        <f>IFERROR(__xludf.DUMMYFUNCTION("GOOGLETRANSLATE(D557,""EN"",""JA"")"),"ベータ細胞機能")</f>
        <v>ベータ細胞機能</v>
      </c>
      <c r="I557" s="1" t="str">
        <f>IFERROR(__xludf.DUMMYFUNCTION("GOOGLETRANSLATE(E557,""EN"",""JA"")"),"ベータ細胞機能")</f>
        <v>ベータ細胞機能</v>
      </c>
      <c r="J557" s="1" t="str">
        <f>IFERROR(__xludf.DUMMYFUNCTION("GOOGLETRANSLATE(F557,""EN"",""JA"")"),"生物標本におけるベータ細胞機能（インスリンの生成と分泌）の測定。")</f>
        <v>生物標本におけるベータ細胞機能（インスリンの生成と分泌）の測定。</v>
      </c>
      <c r="K557" s="1" t="str">
        <f>IFERROR(__xludf.DUMMYFUNCTION("GOOGLETRANSLATE(G557,""EN"",""JA"")"),"β細胞機能測定")</f>
        <v>β細胞機能測定</v>
      </c>
    </row>
    <row r="558" ht="13.5" customHeight="1">
      <c r="A558" s="1" t="s">
        <v>67</v>
      </c>
      <c r="B558" s="1" t="s">
        <v>2854</v>
      </c>
      <c r="C558" s="1" t="s">
        <v>2855</v>
      </c>
      <c r="D558" s="1" t="s">
        <v>2856</v>
      </c>
      <c r="E558" s="1" t="s">
        <v>2857</v>
      </c>
      <c r="F558" s="1" t="s">
        <v>2858</v>
      </c>
      <c r="G558" s="1" t="s">
        <v>2859</v>
      </c>
      <c r="H558" s="1" t="str">
        <f>IFERROR(__xludf.DUMMYFUNCTION("GOOGLETRANSLATE(D558,""EN"",""JA"")"),"ブルクホルデリア・セパシア")</f>
        <v>ブルクホルデリア・セパシア</v>
      </c>
      <c r="I558" s="1" t="str">
        <f>IFERROR(__xludf.DUMMYFUNCTION("GOOGLETRANSLATE(E558,""EN"",""JA"")"),"B. cepacia; Burkholderia cepacia; Pseudomonas cepacia")</f>
        <v>B. cepacia; Burkholderia cepacia; Pseudomonas cepacia</v>
      </c>
      <c r="J558" s="1" t="str">
        <f>IFERROR(__xludf.DUMMYFUNCTION("GOOGLETRANSLATE(F558,""EN"",""JA"")"),"生物標本中の Burkholderia cepacia の測定。")</f>
        <v>生物標本中の Burkholderia cepacia の測定。</v>
      </c>
      <c r="K558" s="1" t="str">
        <f>IFERROR(__xludf.DUMMYFUNCTION("GOOGLETRANSLATE(G558,""EN"",""JA"")"),"Burkholderia cepaciaの測定")</f>
        <v>Burkholderia cepaciaの測定</v>
      </c>
    </row>
    <row r="559" ht="13.5" customHeight="1">
      <c r="A559" s="1" t="s">
        <v>134</v>
      </c>
      <c r="B559" s="1" t="s">
        <v>2860</v>
      </c>
      <c r="C559" s="1" t="s">
        <v>2861</v>
      </c>
      <c r="D559" s="1" t="s">
        <v>2861</v>
      </c>
      <c r="E559" s="1" t="s">
        <v>2862</v>
      </c>
      <c r="F559" s="1" t="s">
        <v>2863</v>
      </c>
      <c r="G559" s="1" t="s">
        <v>2864</v>
      </c>
      <c r="H559" s="1" t="str">
        <f>IFERROR(__xludf.DUMMYFUNCTION("GOOGLETRANSLATE(D559,""EN"",""JA"")"),"BCL2")</f>
        <v>BCL2</v>
      </c>
      <c r="I559" s="1" t="str">
        <f>IFERROR(__xludf.DUMMYFUNCTION("GOOGLETRANSLATE(E559,""EN"",""JA"")"),"アポトーシス制御因子 BCL-2; B細胞リンパ腫2; BCL-2; Bcl-2; BCL2")</f>
        <v>アポトーシス制御因子 BCL-2; B細胞リンパ腫2; BCL-2; Bcl-2; BCL2</v>
      </c>
      <c r="J559" s="1" t="str">
        <f>IFERROR(__xludf.DUMMYFUNCTION("GOOGLETRANSLATE(F559,""EN"",""JA"")"),"生物標本中の BCL2 の測定。")</f>
        <v>生物標本中の BCL2 の測定。</v>
      </c>
      <c r="K559" s="1" t="str">
        <f>IFERROR(__xludf.DUMMYFUNCTION("GOOGLETRANSLATE(G559,""EN"",""JA"")"),"B細胞リンパ腫2の測定")</f>
        <v>B細胞リンパ腫2の測定</v>
      </c>
    </row>
    <row r="560" ht="13.5" customHeight="1">
      <c r="A560" s="1" t="s">
        <v>134</v>
      </c>
      <c r="B560" s="1" t="s">
        <v>2865</v>
      </c>
      <c r="C560" s="1" t="s">
        <v>2866</v>
      </c>
      <c r="D560" s="1" t="s">
        <v>2866</v>
      </c>
      <c r="E560" s="1" t="s">
        <v>2867</v>
      </c>
      <c r="F560" s="1" t="s">
        <v>2868</v>
      </c>
      <c r="G560" s="1" t="s">
        <v>2869</v>
      </c>
      <c r="H560" s="1" t="str">
        <f>IFERROR(__xludf.DUMMYFUNCTION("GOOGLETRANSLATE(D560,""EN"",""JA"")"),"BCL6")</f>
        <v>BCL6</v>
      </c>
      <c r="I560" s="1" t="str">
        <f>IFERROR(__xludf.DUMMYFUNCTION("GOOGLETRANSLATE(E560,""EN"",""JA"")"),"B細胞リンパ腫6; BCL-6; Bcl-6; BCL5; BCL6; BCL6転写抑制因子; ジンクフィンガーおよびBTBドメイン含有タンパク質27; ジンクフィンガータンパク質51")</f>
        <v>B細胞リンパ腫6; BCL-6; Bcl-6; BCL5; BCL6; BCL6転写抑制因子; ジンクフィンガーおよびBTBドメイン含有タンパク質27; ジンクフィンガータンパク質51</v>
      </c>
      <c r="J560" s="1" t="str">
        <f>IFERROR(__xludf.DUMMYFUNCTION("GOOGLETRANSLATE(F560,""EN"",""JA"")"),"生物学的標本中の B 細胞リンパ腫 6 タンパク質の測定。")</f>
        <v>生物学的標本中の B 細胞リンパ腫 6 タンパク質の測定。</v>
      </c>
      <c r="K560" s="1" t="str">
        <f>IFERROR(__xludf.DUMMYFUNCTION("GOOGLETRANSLATE(G560,""EN"",""JA"")"),"B細胞リンパ腫6タンパク質測定")</f>
        <v>B細胞リンパ腫6タンパク質測定</v>
      </c>
    </row>
    <row r="561" ht="13.5" customHeight="1">
      <c r="A561" s="1" t="s">
        <v>129</v>
      </c>
      <c r="B561" s="1" t="s">
        <v>2870</v>
      </c>
      <c r="C561" s="1" t="s">
        <v>2871</v>
      </c>
      <c r="D561" s="1" t="s">
        <v>2872</v>
      </c>
      <c r="E561" s="1" t="s">
        <v>2872</v>
      </c>
      <c r="F561" s="1" t="s">
        <v>2873</v>
      </c>
      <c r="G561" s="1" t="s">
        <v>2874</v>
      </c>
      <c r="H561" s="1" t="str">
        <f>IFERROR(__xludf.DUMMYFUNCTION("GOOGLETRANSLATE(D561,""EN"",""JA"")"),"体細胞量")</f>
        <v>体細胞量</v>
      </c>
      <c r="I561" s="1" t="str">
        <f>IFERROR(__xludf.DUMMYFUNCTION("GOOGLETRANSLATE(E561,""EN"",""JA"")"),"体細胞量")</f>
        <v>体細胞量</v>
      </c>
      <c r="J561" s="1" t="str">
        <f>IFERROR(__xludf.DUMMYFUNCTION("GOOGLETRANSLATE(F561,""EN"",""JA"")"),"体内の代謝活性細胞の総質量の推定測定値。")</f>
        <v>体内の代謝活性細胞の総質量の推定測定値。</v>
      </c>
      <c r="K561" s="1" t="str">
        <f>IFERROR(__xludf.DUMMYFUNCTION("GOOGLETRANSLATE(G561,""EN"",""JA"")"),"体細胞質量測定")</f>
        <v>体細胞質量測定</v>
      </c>
    </row>
    <row r="562" ht="13.5" customHeight="1">
      <c r="A562" s="1" t="s">
        <v>11</v>
      </c>
      <c r="B562" s="1" t="s">
        <v>2875</v>
      </c>
      <c r="C562" s="1" t="s">
        <v>2876</v>
      </c>
      <c r="D562" s="1" t="s">
        <v>2877</v>
      </c>
      <c r="E562" s="1" t="s">
        <v>2878</v>
      </c>
      <c r="F562" s="1" t="s">
        <v>2879</v>
      </c>
      <c r="G562" s="1" t="s">
        <v>2880</v>
      </c>
      <c r="H562" s="1" t="str">
        <f>IFERROR(__xludf.DUMMYFUNCTION("GOOGLETRANSLATE(D562,""EN"",""JA"")"),"可溶性B細胞成熟抗原")</f>
        <v>可溶性B細胞成熟抗原</v>
      </c>
      <c r="I562" s="1" t="str">
        <f>IFERROR(__xludf.DUMMYFUNCTION("GOOGLETRANSLATE(E562,""EN"",""JA"")"),"可溶性B細胞成熟抗原; 可溶性BCM; 可溶性BCMA; 可溶性CD269; 可溶性TNF受容体スーパーファミリーメンバー17; 可溶性TNFRSF13A")</f>
        <v>可溶性B細胞成熟抗原; 可溶性BCM; 可溶性BCMA; 可溶性CD269; 可溶性TNF受容体スーパーファミリーメンバー17; 可溶性TNFRSF13A</v>
      </c>
      <c r="J562" s="1" t="str">
        <f>IFERROR(__xludf.DUMMYFUNCTION("GOOGLETRANSLATE(F562,""EN"",""JA"")"),"生物学的標本中の可溶性 B 細胞成熟抗原の測定。")</f>
        <v>生物学的標本中の可溶性 B 細胞成熟抗原の測定。</v>
      </c>
      <c r="K562" s="1" t="str">
        <f>IFERROR(__xludf.DUMMYFUNCTION("GOOGLETRANSLATE(G562,""EN"",""JA"")"),"可溶性B細胞成熟抗原測定")</f>
        <v>可溶性B細胞成熟抗原測定</v>
      </c>
    </row>
    <row r="563" ht="13.5" customHeight="1">
      <c r="A563" s="1" t="s">
        <v>160</v>
      </c>
      <c r="B563" s="1" t="s">
        <v>2881</v>
      </c>
      <c r="C563" s="1" t="s">
        <v>2882</v>
      </c>
      <c r="D563" s="1" t="s">
        <v>2883</v>
      </c>
      <c r="E563" s="1" t="s">
        <v>2883</v>
      </c>
      <c r="F563" s="1" t="s">
        <v>2884</v>
      </c>
      <c r="G563" s="1" t="s">
        <v>2883</v>
      </c>
      <c r="H563" s="1" t="str">
        <f>IFERROR(__xludf.DUMMYFUNCTION("GOOGLETRANSLATE(D563,""EN"",""JA"")"),"避妊方法")</f>
        <v>避妊方法</v>
      </c>
      <c r="I563" s="1" t="str">
        <f>IFERROR(__xludf.DUMMYFUNCTION("GOOGLETRANSLATE(E563,""EN"",""JA"")"),"避妊方法")</f>
        <v>避妊方法</v>
      </c>
      <c r="J563" s="1" t="str">
        <f>IFERROR(__xludf.DUMMYFUNCTION("GOOGLETRANSLATE(F563,""EN"",""JA"")"),"受胎または妊娠を防ぐ方法。")</f>
        <v>受胎または妊娠を防ぐ方法。</v>
      </c>
      <c r="K563" s="1" t="str">
        <f>IFERROR(__xludf.DUMMYFUNCTION("GOOGLETRANSLATE(G563,""EN"",""JA"")"),"避妊方法")</f>
        <v>避妊方法</v>
      </c>
    </row>
    <row r="564" ht="13.5" customHeight="1">
      <c r="A564" s="1" t="s">
        <v>67</v>
      </c>
      <c r="B564" s="1" t="s">
        <v>2885</v>
      </c>
      <c r="C564" s="1" t="s">
        <v>2886</v>
      </c>
      <c r="D564" s="1" t="s">
        <v>2887</v>
      </c>
      <c r="E564" s="1" t="s">
        <v>2887</v>
      </c>
      <c r="F564" s="1" t="s">
        <v>2888</v>
      </c>
      <c r="G564" s="1" t="s">
        <v>2889</v>
      </c>
      <c r="H564" s="1" t="str">
        <f>IFERROR(__xludf.DUMMYFUNCTION("GOOGLETRANSLATE(D564,""EN"",""JA"")"),"細菌シアリダーゼ")</f>
        <v>細菌シアリダーゼ</v>
      </c>
      <c r="I564" s="1" t="str">
        <f>IFERROR(__xludf.DUMMYFUNCTION("GOOGLETRANSLATE(E564,""EN"",""JA"")"),"細菌シアリダーゼ")</f>
        <v>細菌シアリダーゼ</v>
      </c>
      <c r="J564" s="1" t="str">
        <f>IFERROR(__xludf.DUMMYFUNCTION("GOOGLETRANSLATE(F564,""EN"",""JA"")"),"生物標本中の細菌シアリダーゼ酵素の測定。")</f>
        <v>生物標本中の細菌シアリダーゼ酵素の測定。</v>
      </c>
      <c r="K564" s="1" t="str">
        <f>IFERROR(__xludf.DUMMYFUNCTION("GOOGLETRANSLATE(G564,""EN"",""JA"")"),"細菌シアリダーゼ測定")</f>
        <v>細菌シアリダーゼ測定</v>
      </c>
    </row>
    <row r="565" ht="13.5" customHeight="1">
      <c r="A565" s="1" t="s">
        <v>134</v>
      </c>
      <c r="B565" s="1" t="s">
        <v>2890</v>
      </c>
      <c r="C565" s="1" t="s">
        <v>2891</v>
      </c>
      <c r="D565" s="1" t="s">
        <v>2892</v>
      </c>
      <c r="E565" s="1" t="s">
        <v>2892</v>
      </c>
      <c r="F565" s="1" t="s">
        <v>2893</v>
      </c>
      <c r="G565" s="1" t="s">
        <v>2894</v>
      </c>
      <c r="H565" s="1" t="str">
        <f>IFERROR(__xludf.DUMMYFUNCTION("GOOGLETRANSLATE(D565,""EN"",""JA"")"),"ベータデフェンシン1")</f>
        <v>ベータデフェンシン1</v>
      </c>
      <c r="I565" s="1" t="str">
        <f>IFERROR(__xludf.DUMMYFUNCTION("GOOGLETRANSLATE(E565,""EN"",""JA"")"),"ベータデフェンシン1")</f>
        <v>ベータデフェンシン1</v>
      </c>
      <c r="J565" s="1" t="str">
        <f>IFERROR(__xludf.DUMMYFUNCTION("GOOGLETRANSLATE(F565,""EN"",""JA"")"),"生物標本中のベータディフェンシン 1 の測定。")</f>
        <v>生物標本中のベータディフェンシン 1 の測定。</v>
      </c>
      <c r="K565" s="1" t="str">
        <f>IFERROR(__xludf.DUMMYFUNCTION("GOOGLETRANSLATE(G565,""EN"",""JA"")"),"ベータデフェンシン1測定")</f>
        <v>ベータデフェンシン1測定</v>
      </c>
    </row>
    <row r="566" ht="13.5" customHeight="1">
      <c r="A566" s="1" t="s">
        <v>134</v>
      </c>
      <c r="B566" s="1" t="s">
        <v>2895</v>
      </c>
      <c r="C566" s="1" t="s">
        <v>2896</v>
      </c>
      <c r="D566" s="1" t="s">
        <v>2897</v>
      </c>
      <c r="E566" s="1" t="s">
        <v>2897</v>
      </c>
      <c r="F566" s="1" t="s">
        <v>2898</v>
      </c>
      <c r="G566" s="1" t="s">
        <v>2899</v>
      </c>
      <c r="H566" s="1" t="str">
        <f>IFERROR(__xludf.DUMMYFUNCTION("GOOGLETRANSLATE(D566,""EN"",""JA"")"),"ベータデフェンシン2")</f>
        <v>ベータデフェンシン2</v>
      </c>
      <c r="I566" s="1" t="str">
        <f>IFERROR(__xludf.DUMMYFUNCTION("GOOGLETRANSLATE(E566,""EN"",""JA"")"),"ベータデフェンシン2")</f>
        <v>ベータデフェンシン2</v>
      </c>
      <c r="J566" s="1" t="str">
        <f>IFERROR(__xludf.DUMMYFUNCTION("GOOGLETRANSLATE(F566,""EN"",""JA"")"),"生物標本中のベータディフェンシン 2 の測定。")</f>
        <v>生物標本中のベータディフェンシン 2 の測定。</v>
      </c>
      <c r="K566" s="1" t="str">
        <f>IFERROR(__xludf.DUMMYFUNCTION("GOOGLETRANSLATE(G566,""EN"",""JA"")"),"ベータデフェンシン2測定")</f>
        <v>ベータデフェンシン2測定</v>
      </c>
    </row>
    <row r="567" ht="13.5" customHeight="1">
      <c r="A567" s="1" t="s">
        <v>11</v>
      </c>
      <c r="B567" s="1" t="s">
        <v>2895</v>
      </c>
      <c r="C567" s="1" t="s">
        <v>2896</v>
      </c>
      <c r="D567" s="1" t="s">
        <v>2897</v>
      </c>
      <c r="E567" s="1" t="s">
        <v>2897</v>
      </c>
      <c r="F567" s="1" t="s">
        <v>2898</v>
      </c>
      <c r="G567" s="1" t="s">
        <v>2899</v>
      </c>
      <c r="H567" s="1" t="str">
        <f>IFERROR(__xludf.DUMMYFUNCTION("GOOGLETRANSLATE(D567,""EN"",""JA"")"),"ベータデフェンシン2")</f>
        <v>ベータデフェンシン2</v>
      </c>
      <c r="I567" s="1" t="str">
        <f>IFERROR(__xludf.DUMMYFUNCTION("GOOGLETRANSLATE(E567,""EN"",""JA"")"),"ベータデフェンシン2")</f>
        <v>ベータデフェンシン2</v>
      </c>
      <c r="J567" s="1" t="str">
        <f>IFERROR(__xludf.DUMMYFUNCTION("GOOGLETRANSLATE(F567,""EN"",""JA"")"),"生物標本中のベータディフェンシン 2 の測定。")</f>
        <v>生物標本中のベータディフェンシン 2 の測定。</v>
      </c>
      <c r="K567" s="1" t="str">
        <f>IFERROR(__xludf.DUMMYFUNCTION("GOOGLETRANSLATE(G567,""EN"",""JA"")"),"ベータデフェンシン2測定")</f>
        <v>ベータデフェンシン2測定</v>
      </c>
    </row>
    <row r="568" ht="13.5" customHeight="1">
      <c r="A568" s="1" t="s">
        <v>134</v>
      </c>
      <c r="B568" s="1" t="s">
        <v>2900</v>
      </c>
      <c r="C568" s="1" t="s">
        <v>2901</v>
      </c>
      <c r="D568" s="1" t="s">
        <v>2902</v>
      </c>
      <c r="E568" s="1" t="s">
        <v>2903</v>
      </c>
      <c r="F568" s="1" t="s">
        <v>2904</v>
      </c>
      <c r="G568" s="1" t="s">
        <v>2905</v>
      </c>
      <c r="H568" s="1" t="str">
        <f>IFERROR(__xludf.DUMMYFUNCTION("GOOGLETRANSLATE(D568,""EN"",""JA"")"),"ブラジキニン受容体B1")</f>
        <v>ブラジキニン受容体B1</v>
      </c>
      <c r="I568" s="1" t="str">
        <f>IFERROR(__xludf.DUMMYFUNCTION("GOOGLETRANSLATE(E568,""EN"",""JA"")"),"BK-1受容体; ブラジキニン受容体B1")</f>
        <v>BK-1受容体; ブラジキニン受容体B1</v>
      </c>
      <c r="J568" s="1" t="str">
        <f>IFERROR(__xludf.DUMMYFUNCTION("GOOGLETRANSLATE(F568,""EN"",""JA"")"),"生物標本中のブラジキニン受容体 B1 の測定。")</f>
        <v>生物標本中のブラジキニン受容体 B1 の測定。</v>
      </c>
      <c r="K568" s="1" t="str">
        <f>IFERROR(__xludf.DUMMYFUNCTION("GOOGLETRANSLATE(G568,""EN"",""JA"")"),"ブラジキニン受容体B1測定")</f>
        <v>ブラジキニン受容体B1測定</v>
      </c>
    </row>
    <row r="569" ht="13.5" customHeight="1">
      <c r="A569" s="1" t="s">
        <v>11</v>
      </c>
      <c r="B569" s="1" t="s">
        <v>2906</v>
      </c>
      <c r="C569" s="1" t="s">
        <v>2907</v>
      </c>
      <c r="D569" s="1" t="s">
        <v>2908</v>
      </c>
      <c r="E569" s="1" t="s">
        <v>2908</v>
      </c>
      <c r="F569" s="1" t="s">
        <v>2909</v>
      </c>
      <c r="G569" s="1" t="s">
        <v>2910</v>
      </c>
      <c r="H569" s="1" t="str">
        <f>IFERROR(__xludf.DUMMYFUNCTION("GOOGLETRANSLATE(D569,""EN"",""JA"")"),"脳由来神経栄養因子")</f>
        <v>脳由来神経栄養因子</v>
      </c>
      <c r="I569" s="1" t="str">
        <f>IFERROR(__xludf.DUMMYFUNCTION("GOOGLETRANSLATE(E569,""EN"",""JA"")"),"脳由来神経栄養因子")</f>
        <v>脳由来神経栄養因子</v>
      </c>
      <c r="J569" s="1" t="str">
        <f>IFERROR(__xludf.DUMMYFUNCTION("GOOGLETRANSLATE(F569,""EN"",""JA"")"),"生物標本中の脳由来神経栄養因子の測定。")</f>
        <v>生物標本中の脳由来神経栄養因子の測定。</v>
      </c>
      <c r="K569" s="1" t="str">
        <f>IFERROR(__xludf.DUMMYFUNCTION("GOOGLETRANSLATE(G569,""EN"",""JA"")"),"脳由来神経栄養因子測定")</f>
        <v>脳由来神経栄養因子測定</v>
      </c>
    </row>
    <row r="570" ht="13.5" customHeight="1">
      <c r="A570" s="1" t="s">
        <v>67</v>
      </c>
      <c r="B570" s="1" t="s">
        <v>2911</v>
      </c>
      <c r="C570" s="1" t="s">
        <v>2912</v>
      </c>
      <c r="D570" s="1" t="s">
        <v>2913</v>
      </c>
      <c r="E570" s="1" t="s">
        <v>2913</v>
      </c>
      <c r="F570" s="1" t="s">
        <v>2914</v>
      </c>
      <c r="G570" s="1" t="s">
        <v>2915</v>
      </c>
      <c r="H570" s="1" t="str">
        <f>IFERROR(__xludf.DUMMYFUNCTION("GOOGLETRANSLATE(D570,""EN"",""JA"")"),"バークホルデリア・ドロサ")</f>
        <v>バークホルデリア・ドロサ</v>
      </c>
      <c r="I570" s="1" t="str">
        <f>IFERROR(__xludf.DUMMYFUNCTION("GOOGLETRANSLATE(E570,""EN"",""JA"")"),"バークホルデリア・ドロサ")</f>
        <v>バークホルデリア・ドロサ</v>
      </c>
      <c r="J570" s="1" t="str">
        <f>IFERROR(__xludf.DUMMYFUNCTION("GOOGLETRANSLATE(F570,""EN"",""JA"")"),"生物標本中の Burkholderia dolosa の測定。")</f>
        <v>生物標本中の Burkholderia dolosa の測定。</v>
      </c>
      <c r="K570" s="1" t="str">
        <f>IFERROR(__xludf.DUMMYFUNCTION("GOOGLETRANSLATE(G570,""EN"",""JA"")"),"Burkholderia dolosaの測定")</f>
        <v>Burkholderia dolosaの測定</v>
      </c>
    </row>
    <row r="571" ht="13.5" customHeight="1">
      <c r="A571" s="1" t="s">
        <v>11</v>
      </c>
      <c r="B571" s="1" t="s">
        <v>2916</v>
      </c>
      <c r="C571" s="1" t="s">
        <v>2917</v>
      </c>
      <c r="D571" s="1" t="s">
        <v>2918</v>
      </c>
      <c r="E571" s="1" t="s">
        <v>2918</v>
      </c>
      <c r="F571" s="1" t="s">
        <v>2919</v>
      </c>
      <c r="G571" s="1" t="s">
        <v>2920</v>
      </c>
      <c r="H571" s="1" t="str">
        <f>IFERROR(__xludf.DUMMYFUNCTION("GOOGLETRANSLATE(D571,""EN"",""JA"")"),"ベンゼン")</f>
        <v>ベンゼン</v>
      </c>
      <c r="I571" s="1" t="str">
        <f>IFERROR(__xludf.DUMMYFUNCTION("GOOGLETRANSLATE(E571,""EN"",""JA"")"),"ベンゼン")</f>
        <v>ベンゼン</v>
      </c>
      <c r="J571" s="1" t="str">
        <f>IFERROR(__xludf.DUMMYFUNCTION("GOOGLETRANSLATE(F571,""EN"",""JA"")"),"標本中のベンゼンの測定。")</f>
        <v>標本中のベンゼンの測定。</v>
      </c>
      <c r="K571" s="1" t="str">
        <f>IFERROR(__xludf.DUMMYFUNCTION("GOOGLETRANSLATE(G571,""EN"",""JA"")"),"ベンゼン測定")</f>
        <v>ベンゼン測定</v>
      </c>
    </row>
    <row r="572" ht="13.5" customHeight="1">
      <c r="A572" s="1" t="s">
        <v>1342</v>
      </c>
      <c r="B572" s="1" t="s">
        <v>2921</v>
      </c>
      <c r="C572" s="1" t="s">
        <v>2922</v>
      </c>
      <c r="D572" s="1" t="s">
        <v>2923</v>
      </c>
      <c r="E572" s="1" t="s">
        <v>2924</v>
      </c>
      <c r="F572" s="1" t="s">
        <v>2925</v>
      </c>
      <c r="G572" s="1" t="s">
        <v>2923</v>
      </c>
      <c r="H572" s="1" t="str">
        <f>IFERROR(__xludf.DUMMYFUNCTION("GOOGLETRANSLATE(D572,""EN"",""JA"")"),"最高の総合的回答")</f>
        <v>最高の総合的回答</v>
      </c>
      <c r="I572" s="1" t="str">
        <f>IFERROR(__xludf.DUMMYFUNCTION("GOOGLETRANSLATE(E572,""EN"",""JA"")"),"最優秀総合回答; 最優秀回答")</f>
        <v>最優秀総合回答; 最優秀回答</v>
      </c>
      <c r="J572" s="1" t="str">
        <f>IFERROR(__xludf.DUMMYFUNCTION("GOOGLETRANSLATE(F572,""EN"",""JA"")"),"治療に対する疾患の全体的な反応の中で最も臨床的に好ましいものを評価します。")</f>
        <v>治療に対する疾患の全体的な反応の中で最も臨床的に好ましいものを評価します。</v>
      </c>
      <c r="K572" s="1" t="str">
        <f>IFERROR(__xludf.DUMMYFUNCTION("GOOGLETRANSLATE(G572,""EN"",""JA"")"),"最高の総合的回答")</f>
        <v>最高の総合的回答</v>
      </c>
    </row>
    <row r="573" ht="13.5" customHeight="1">
      <c r="A573" s="1" t="s">
        <v>1034</v>
      </c>
      <c r="B573" s="1" t="s">
        <v>2926</v>
      </c>
      <c r="C573" s="1" t="s">
        <v>2927</v>
      </c>
      <c r="D573" s="1" t="s">
        <v>2928</v>
      </c>
      <c r="E573" s="1" t="s">
        <v>2929</v>
      </c>
      <c r="F573" s="1" t="s">
        <v>2930</v>
      </c>
      <c r="G573" s="1" t="s">
        <v>2931</v>
      </c>
      <c r="H573" s="1" t="str">
        <f>IFERROR(__xludf.DUMMYFUNCTION("GOOGLETRANSLATE(D573,""EN"",""JA"")"),"ベータ角")</f>
        <v>ベータ角</v>
      </c>
      <c r="I573" s="1" t="str">
        <f>IFERROR(__xludf.DUMMYFUNCTION("GOOGLETRANSLATE(E573,""EN"",""JA"")"),"ベータ角; 股関節のベータ角")</f>
        <v>ベータ角; 股関節のベータ角</v>
      </c>
      <c r="J573" s="1" t="str">
        <f>IFERROR(__xludf.DUMMYFUNCTION("GOOGLETRANSLATE(F573,""EN"",""JA"")"),"腸骨の軟骨屋根と腸骨の垂直皮質によって形成される角度の測定値。")</f>
        <v>腸骨の軟骨屋根と腸骨の垂直皮質によって形成される角度の測定値。</v>
      </c>
      <c r="K573" s="1" t="str">
        <f>IFERROR(__xludf.DUMMYFUNCTION("GOOGLETRANSLATE(G573,""EN"",""JA"")"),"股関節のベータ角")</f>
        <v>股関節のベータ角</v>
      </c>
    </row>
    <row r="574" ht="13.5" customHeight="1">
      <c r="A574" s="1" t="s">
        <v>11</v>
      </c>
      <c r="B574" s="1" t="s">
        <v>2932</v>
      </c>
      <c r="C574" s="1" t="s">
        <v>2933</v>
      </c>
      <c r="D574" s="1" t="s">
        <v>2934</v>
      </c>
      <c r="E574" s="1" t="s">
        <v>2935</v>
      </c>
      <c r="F574" s="1" t="s">
        <v>2936</v>
      </c>
      <c r="G574" s="1" t="s">
        <v>2937</v>
      </c>
      <c r="H574" s="1" t="str">
        <f>IFERROR(__xludf.DUMMYFUNCTION("GOOGLETRANSLATE(D574,""EN"",""JA"")"),"ベータカロチン")</f>
        <v>ベータカロチン</v>
      </c>
      <c r="I574" s="1" t="str">
        <f>IFERROR(__xludf.DUMMYFUNCTION("GOOGLETRANSLATE(E574,""EN"",""JA"")"),"b-カロテン;ベータカロテン;ベータカロチン")</f>
        <v>b-カロテン;ベータカロテン;ベータカロチン</v>
      </c>
      <c r="J574" s="1" t="str">
        <f>IFERROR(__xludf.DUMMYFUNCTION("GOOGLETRANSLATE(F574,""EN"",""JA"")"),"生物標本中のベータカロチンの測定。")</f>
        <v>生物標本中のベータカロチンの測定。</v>
      </c>
      <c r="K574" s="1" t="str">
        <f>IFERROR(__xludf.DUMMYFUNCTION("GOOGLETRANSLATE(G574,""EN"",""JA"")"),"ベータカロチン測定")</f>
        <v>ベータカロチン測定</v>
      </c>
    </row>
    <row r="575" ht="13.5" customHeight="1">
      <c r="A575" s="1" t="s">
        <v>11</v>
      </c>
      <c r="B575" s="1" t="s">
        <v>2938</v>
      </c>
      <c r="C575" s="1" t="s">
        <v>2939</v>
      </c>
      <c r="D575" s="1" t="s">
        <v>2940</v>
      </c>
      <c r="E575" s="1" t="s">
        <v>2940</v>
      </c>
      <c r="F575" s="1" t="s">
        <v>2941</v>
      </c>
      <c r="G575" s="1" t="s">
        <v>2942</v>
      </c>
      <c r="H575" s="1" t="str">
        <f>IFERROR(__xludf.DUMMYFUNCTION("GOOGLETRANSLATE(D575,""EN"",""JA"")"),"ベタイン")</f>
        <v>ベタイン</v>
      </c>
      <c r="I575" s="1" t="str">
        <f>IFERROR(__xludf.DUMMYFUNCTION("GOOGLETRANSLATE(E575,""EN"",""JA"")"),"ベタイン")</f>
        <v>ベタイン</v>
      </c>
      <c r="J575" s="1" t="str">
        <f>IFERROR(__xludf.DUMMYFUNCTION("GOOGLETRANSLATE(F575,""EN"",""JA"")"),"生物標本中のベタイン類化合物の測定。")</f>
        <v>生物標本中のベタイン類化合物の測定。</v>
      </c>
      <c r="K575" s="1" t="str">
        <f>IFERROR(__xludf.DUMMYFUNCTION("GOOGLETRANSLATE(G575,""EN"",""JA"")"),"ベタイン測定")</f>
        <v>ベタイン測定</v>
      </c>
    </row>
    <row r="576" ht="13.5" customHeight="1">
      <c r="A576" s="1" t="s">
        <v>11</v>
      </c>
      <c r="B576" s="1" t="s">
        <v>2943</v>
      </c>
      <c r="C576" s="1" t="s">
        <v>2944</v>
      </c>
      <c r="D576" s="1" t="s">
        <v>2945</v>
      </c>
      <c r="E576" s="1" t="s">
        <v>2945</v>
      </c>
      <c r="F576" s="1" t="s">
        <v>2946</v>
      </c>
      <c r="G576" s="1" t="s">
        <v>2947</v>
      </c>
      <c r="H576" s="1" t="str">
        <f>IFERROR(__xludf.DUMMYFUNCTION("GOOGLETRANSLATE(D576,""EN"",""JA"")"),"ブフォテニン")</f>
        <v>ブフォテニン</v>
      </c>
      <c r="I576" s="1" t="str">
        <f>IFERROR(__xludf.DUMMYFUNCTION("GOOGLETRANSLATE(E576,""EN"",""JA"")"),"ブフォテニン")</f>
        <v>ブフォテニン</v>
      </c>
      <c r="J576" s="1" t="str">
        <f>IFERROR(__xludf.DUMMYFUNCTION("GOOGLETRANSLATE(F576,""EN"",""JA"")"),"生物標本中のブフォテニンの測定。")</f>
        <v>生物標本中のブフォテニンの測定。</v>
      </c>
      <c r="K576" s="1" t="str">
        <f>IFERROR(__xludf.DUMMYFUNCTION("GOOGLETRANSLATE(G576,""EN"",""JA"")"),"ブフォテニン測定")</f>
        <v>ブフォテニン測定</v>
      </c>
    </row>
    <row r="577" ht="13.5" customHeight="1">
      <c r="A577" s="1" t="s">
        <v>11</v>
      </c>
      <c r="B577" s="1" t="s">
        <v>2948</v>
      </c>
      <c r="C577" s="1" t="s">
        <v>2949</v>
      </c>
      <c r="D577" s="1" t="s">
        <v>2950</v>
      </c>
      <c r="E577" s="1" t="s">
        <v>2951</v>
      </c>
      <c r="F577" s="1" t="s">
        <v>2952</v>
      </c>
      <c r="G577" s="1" t="s">
        <v>2953</v>
      </c>
      <c r="H577" s="1" t="str">
        <f>IFERROR(__xludf.DUMMYFUNCTION("GOOGLETRANSLATE(D577,""EN"",""JA"")"),"ベータ+ガンマトコフェロール")</f>
        <v>ベータ+ガンマトコフェロール</v>
      </c>
      <c r="I577" s="1" t="str">
        <f>IFERROR(__xludf.DUMMYFUNCTION("GOOGLETRANSLATE(E577,""EN"",""JA"")"),"ベータおよびガンマトコフェロール; ベータ+ガンマトコフェロール")</f>
        <v>ベータおよびガンマトコフェロール; ベータ+ガンマトコフェロール</v>
      </c>
      <c r="J577" s="1" t="str">
        <f>IFERROR(__xludf.DUMMYFUNCTION("GOOGLETRANSLATE(F577,""EN"",""JA"")"),"生物標本中のベータおよびガンマトコフェロールの測定。")</f>
        <v>生物標本中のベータおよびガンマトコフェロールの測定。</v>
      </c>
      <c r="K577" s="1" t="str">
        <f>IFERROR(__xludf.DUMMYFUNCTION("GOOGLETRANSLATE(G577,""EN"",""JA"")"),"ベータおよびガンマトコフェロール測定")</f>
        <v>ベータおよびガンマトコフェロール測定</v>
      </c>
    </row>
    <row r="578" ht="13.5" customHeight="1">
      <c r="A578" s="1" t="s">
        <v>11</v>
      </c>
      <c r="B578" s="1" t="s">
        <v>2954</v>
      </c>
      <c r="C578" s="1" t="s">
        <v>2955</v>
      </c>
      <c r="D578" s="1" t="s">
        <v>2956</v>
      </c>
      <c r="E578" s="1" t="s">
        <v>2956</v>
      </c>
      <c r="F578" s="1" t="s">
        <v>2957</v>
      </c>
      <c r="G578" s="1" t="s">
        <v>2958</v>
      </c>
      <c r="H578" s="1" t="str">
        <f>IFERROR(__xludf.DUMMYFUNCTION("GOOGLETRANSLATE(D578,""EN"",""JA"")"),"β-ヒドロキシ酪酸/アセト酢酸")</f>
        <v>β-ヒドロキシ酪酸/アセト酢酸</v>
      </c>
      <c r="I578" s="1" t="str">
        <f>IFERROR(__xludf.DUMMYFUNCTION("GOOGLETRANSLATE(E578,""EN"",""JA"")"),"β-ヒドロキシ酪酸/アセト酢酸")</f>
        <v>β-ヒドロキシ酪酸/アセト酢酸</v>
      </c>
      <c r="J578" s="1" t="str">
        <f>IFERROR(__xludf.DUMMYFUNCTION("GOOGLETRANSLATE(F578,""EN"",""JA"")"),"生物標本中のβ-ヒドロキシ酪酸とアセト酢酸の相対測定値（比率）。")</f>
        <v>生物標本中のβ-ヒドロキシ酪酸とアセト酢酸の相対測定値（比率）。</v>
      </c>
      <c r="K578" s="1" t="str">
        <f>IFERROR(__xludf.DUMMYFUNCTION("GOOGLETRANSLATE(G578,""EN"",""JA"")"),"β-ヒドロキシ酪酸とアセト酢酸の比率測定")</f>
        <v>β-ヒドロキシ酪酸とアセト酢酸の比率測定</v>
      </c>
    </row>
    <row r="579" ht="13.5" customHeight="1">
      <c r="A579" s="1" t="s">
        <v>11</v>
      </c>
      <c r="B579" s="1" t="s">
        <v>2959</v>
      </c>
      <c r="C579" s="1" t="s">
        <v>2960</v>
      </c>
      <c r="D579" s="1" t="s">
        <v>2961</v>
      </c>
      <c r="E579" s="1" t="s">
        <v>2962</v>
      </c>
      <c r="F579" s="1" t="s">
        <v>2963</v>
      </c>
      <c r="G579" s="1" t="s">
        <v>2964</v>
      </c>
      <c r="H579" s="1" t="str">
        <f>IFERROR(__xludf.DUMMYFUNCTION("GOOGLETRANSLATE(D579,""EN"",""JA"")"),"β-ヒドロキシ酪酸排泄率")</f>
        <v>β-ヒドロキシ酪酸排泄率</v>
      </c>
      <c r="I579" s="1" t="str">
        <f>IFERROR(__xludf.DUMMYFUNCTION("GOOGLETRANSLATE(E579,""EN"",""JA"")"),"3-ヒドロキシ酪酸排泄率; β-ヒドロキシ酪酸排泄率; β-ヒドロキシ酪酸排泄率; BHB排泄率")</f>
        <v>3-ヒドロキシ酪酸排泄率; β-ヒドロキシ酪酸排泄率; β-ヒドロキシ酪酸排泄率; BHB排泄率</v>
      </c>
      <c r="J579" s="1" t="str">
        <f>IFERROR(__xludf.DUMMYFUNCTION("GOOGLETRANSLATE(F579,""EN"",""JA"")"),"定義された期間（例：1 時間）にわたって生物学的標本中に排出されるベータヒドロキシ酪酸の量を測定します。")</f>
        <v>定義された期間（例：1 時間）にわたって生物学的標本中に排出されるベータヒドロキシ酪酸の量を測定します。</v>
      </c>
      <c r="K579" s="1" t="str">
        <f>IFERROR(__xludf.DUMMYFUNCTION("GOOGLETRANSLATE(G579,""EN"",""JA"")"),"β-ヒドロキシ酪酸排泄率測定")</f>
        <v>β-ヒドロキシ酪酸排泄率測定</v>
      </c>
    </row>
    <row r="580" ht="13.5" customHeight="1">
      <c r="A580" s="1" t="s">
        <v>67</v>
      </c>
      <c r="B580" s="1" t="s">
        <v>2965</v>
      </c>
      <c r="C580" s="1" t="s">
        <v>2966</v>
      </c>
      <c r="D580" s="1" t="s">
        <v>2967</v>
      </c>
      <c r="E580" s="1" t="s">
        <v>2967</v>
      </c>
      <c r="F580" s="1" t="s">
        <v>2968</v>
      </c>
      <c r="G580" s="1" t="s">
        <v>2969</v>
      </c>
      <c r="H580" s="1" t="str">
        <f>IFERROR(__xludf.DUMMYFUNCTION("GOOGLETRANSLATE(D580,""EN"",""JA"")"),"ブラストシスティス・ホミニスDNA")</f>
        <v>ブラストシスティス・ホミニスDNA</v>
      </c>
      <c r="I580" s="1" t="str">
        <f>IFERROR(__xludf.DUMMYFUNCTION("GOOGLETRANSLATE(E580,""EN"",""JA"")"),"ブラストシスティス・ホミニスDNA")</f>
        <v>ブラストシスティス・ホミニスDNA</v>
      </c>
      <c r="J580" s="1" t="str">
        <f>IFERROR(__xludf.DUMMYFUNCTION("GOOGLETRANSLATE(F580,""EN"",""JA"")"),"生物標本中の Blastocystis hominis DNA の測定。")</f>
        <v>生物標本中の Blastocystis hominis DNA の測定。</v>
      </c>
      <c r="K580" s="1" t="str">
        <f>IFERROR(__xludf.DUMMYFUNCTION("GOOGLETRANSLATE(G580,""EN"",""JA"")"),"Blastocystis hominis DNA測定")</f>
        <v>Blastocystis hominis DNA測定</v>
      </c>
    </row>
    <row r="581" ht="13.5" customHeight="1">
      <c r="A581" s="1" t="s">
        <v>11</v>
      </c>
      <c r="B581" s="1" t="s">
        <v>2970</v>
      </c>
      <c r="C581" s="1" t="s">
        <v>2971</v>
      </c>
      <c r="D581" s="1" t="s">
        <v>2972</v>
      </c>
      <c r="E581" s="1" t="s">
        <v>2973</v>
      </c>
      <c r="F581" s="1" t="s">
        <v>2974</v>
      </c>
      <c r="G581" s="1" t="s">
        <v>2975</v>
      </c>
      <c r="H581" s="1" t="str">
        <f>IFERROR(__xludf.DUMMYFUNCTION("GOOGLETRANSLATE(D581,""EN"",""JA"")"),"β-ヒドロキシ酪酸")</f>
        <v>β-ヒドロキシ酪酸</v>
      </c>
      <c r="I581" s="1" t="str">
        <f>IFERROR(__xludf.DUMMYFUNCTION("GOOGLETRANSLATE(E581,""EN"",""JA"")"),"3-ヒドロキシ酪酸; β-ヒドロキシ酪酸; β-ヒドロキシ酪酸; β-ヒドロキシ酪酸; BHB")</f>
        <v>3-ヒドロキシ酪酸; β-ヒドロキシ酪酸; β-ヒドロキシ酪酸; β-ヒドロキシ酪酸; BHB</v>
      </c>
      <c r="J581" s="1" t="str">
        <f>IFERROR(__xludf.DUMMYFUNCTION("GOOGLETRANSLATE(F581,""EN"",""JA"")"),"生物標本中の総β-ヒドロキシ酪酸の測定。")</f>
        <v>生物標本中の総β-ヒドロキシ酪酸の測定。</v>
      </c>
      <c r="K581" s="1" t="str">
        <f>IFERROR(__xludf.DUMMYFUNCTION("GOOGLETRANSLATE(G581,""EN"",""JA"")"),"β-ヒドロキシ酪酸測定")</f>
        <v>β-ヒドロキシ酪酸測定</v>
      </c>
    </row>
    <row r="582" ht="13.5" customHeight="1">
      <c r="A582" s="1" t="s">
        <v>134</v>
      </c>
      <c r="B582" s="1" t="s">
        <v>2976</v>
      </c>
      <c r="C582" s="1" t="s">
        <v>2977</v>
      </c>
      <c r="D582" s="1" t="s">
        <v>2978</v>
      </c>
      <c r="E582" s="1" t="s">
        <v>2978</v>
      </c>
      <c r="F582" s="1" t="s">
        <v>2979</v>
      </c>
      <c r="G582" s="1" t="s">
        <v>2978</v>
      </c>
      <c r="H582" s="1" t="str">
        <f>IFERROR(__xludf.DUMMYFUNCTION("GOOGLETRANSLATE(D582,""EN"",""JA"")"),"影響を受ける生検標本の数")</f>
        <v>影響を受ける生検標本の数</v>
      </c>
      <c r="I582" s="1" t="str">
        <f>IFERROR(__xludf.DUMMYFUNCTION("GOOGLETRANSLATE(E582,""EN"",""JA"")"),"影響を受ける生検標本の数")</f>
        <v>影響を受ける生検標本の数</v>
      </c>
      <c r="J582" s="1" t="str">
        <f>IFERROR(__xludf.DUMMYFUNCTION("GOOGLETRANSLATE(F582,""EN"",""JA"")"),"所見が観察された生検標本の総数。")</f>
        <v>所見が観察された生検標本の総数。</v>
      </c>
      <c r="K582" s="1" t="str">
        <f>IFERROR(__xludf.DUMMYFUNCTION("GOOGLETRANSLATE(G582,""EN"",""JA"")"),"影響を受ける生検標本の数")</f>
        <v>影響を受ける生検標本の数</v>
      </c>
    </row>
    <row r="583" ht="13.5" customHeight="1">
      <c r="A583" s="1" t="s">
        <v>11</v>
      </c>
      <c r="B583" s="1" t="s">
        <v>2980</v>
      </c>
      <c r="C583" s="1" t="s">
        <v>2981</v>
      </c>
      <c r="D583" s="1" t="s">
        <v>2982</v>
      </c>
      <c r="E583" s="1" t="s">
        <v>2983</v>
      </c>
      <c r="F583" s="1" t="s">
        <v>2984</v>
      </c>
      <c r="G583" s="1" t="s">
        <v>2985</v>
      </c>
      <c r="H583" s="1" t="str">
        <f>IFERROR(__xludf.DUMMYFUNCTION("GOOGLETRANSLATE(D583,""EN"",""JA"")"),"重炭酸塩")</f>
        <v>重炭酸塩</v>
      </c>
      <c r="I583" s="1" t="str">
        <f>IFERROR(__xludf.DUMMYFUNCTION("GOOGLETRANSLATE(E583,""EN"",""JA"")"),"重炭酸塩; HCO3")</f>
        <v>重炭酸塩; HCO3</v>
      </c>
      <c r="J583" s="1" t="str">
        <f>IFERROR(__xludf.DUMMYFUNCTION("GOOGLETRANSLATE(F583,""EN"",""JA"")"),"生物標本中の重炭酸塩の測定。")</f>
        <v>生物標本中の重炭酸塩の測定。</v>
      </c>
      <c r="K583" s="1" t="str">
        <f>IFERROR(__xludf.DUMMYFUNCTION("GOOGLETRANSLATE(G583,""EN"",""JA"")"),"重炭酸塩測定")</f>
        <v>重炭酸塩測定</v>
      </c>
    </row>
    <row r="584" ht="13.5" customHeight="1">
      <c r="A584" s="1" t="s">
        <v>11</v>
      </c>
      <c r="B584" s="1" t="s">
        <v>2986</v>
      </c>
      <c r="C584" s="1" t="s">
        <v>2987</v>
      </c>
      <c r="D584" s="1" t="s">
        <v>2988</v>
      </c>
      <c r="E584" s="1" t="s">
        <v>2989</v>
      </c>
      <c r="F584" s="1" t="s">
        <v>2990</v>
      </c>
      <c r="G584" s="1" t="s">
        <v>2991</v>
      </c>
      <c r="H584" s="1" t="str">
        <f>IFERROR(__xludf.DUMMYFUNCTION("GOOGLETRANSLATE(D584,""EN"",""JA"")"),"デルタビリルビン")</f>
        <v>デルタビリルビン</v>
      </c>
      <c r="I584" s="1" t="str">
        <f>IFERROR(__xludf.DUMMYFUNCTION("GOOGLETRANSLATE(E584,""EN"",""JA"")"),"アルブミン結合ビリルビン、ビリタンパク質、デルタビリルビン、デルタ分画")</f>
        <v>アルブミン結合ビリルビン、ビリタンパク質、デルタビリルビン、デルタ分画</v>
      </c>
      <c r="J584" s="1" t="str">
        <f>IFERROR(__xludf.DUMMYFUNCTION("GOOGLETRANSLATE(F584,""EN"",""JA"")"),"生物学的標本中のアルブミン結合ビリルビンの測定。")</f>
        <v>生物学的標本中のアルブミン結合ビリルビンの測定。</v>
      </c>
      <c r="K584" s="1" t="str">
        <f>IFERROR(__xludf.DUMMYFUNCTION("GOOGLETRANSLATE(G584,""EN"",""JA"")"),"デルタビリルビン測定")</f>
        <v>デルタビリルビン測定</v>
      </c>
    </row>
    <row r="585" ht="13.5" customHeight="1">
      <c r="A585" s="1" t="s">
        <v>11</v>
      </c>
      <c r="B585" s="1" t="s">
        <v>2992</v>
      </c>
      <c r="C585" s="1" t="s">
        <v>2993</v>
      </c>
      <c r="D585" s="1" t="s">
        <v>2994</v>
      </c>
      <c r="E585" s="1" t="s">
        <v>2995</v>
      </c>
      <c r="F585" s="1" t="s">
        <v>2996</v>
      </c>
      <c r="G585" s="1" t="s">
        <v>2997</v>
      </c>
      <c r="H585" s="1" t="str">
        <f>IFERROR(__xludf.DUMMYFUNCTION("GOOGLETRANSLATE(D585,""EN"",""JA"")"),"直接ビリルビン")</f>
        <v>直接ビリルビン</v>
      </c>
      <c r="I585" s="1" t="str">
        <f>IFERROR(__xludf.DUMMYFUNCTION("GOOGLETRANSLATE(E585,""EN"",""JA"")"),"抱合型ビリルビン + アルブミン結合ビリルビン; 抱合型ビリルビン + デルタビリルビン; 直接ビリルビン")</f>
        <v>抱合型ビリルビン + アルブミン結合ビリルビン; 抱合型ビリルビン + デルタビリルビン; 直接ビリルビン</v>
      </c>
      <c r="J585" s="1" t="str">
        <f>IFERROR(__xludf.DUMMYFUNCTION("GOOGLETRANSLATE(F585,""EN"",""JA"")"),"生物学的標本中のグルクロン酸抱合ビリルビンおよびアルブミン結合ビリルビンの測定。")</f>
        <v>生物学的標本中のグルクロン酸抱合ビリルビンおよびアルブミン結合ビリルビンの測定。</v>
      </c>
      <c r="K585" s="1" t="str">
        <f>IFERROR(__xludf.DUMMYFUNCTION("GOOGLETRANSLATE(G585,""EN"",""JA"")"),"直接ビリルビン測定")</f>
        <v>直接ビリルビン測定</v>
      </c>
    </row>
    <row r="586" ht="13.5" customHeight="1">
      <c r="A586" s="1" t="s">
        <v>11</v>
      </c>
      <c r="B586" s="1" t="s">
        <v>2998</v>
      </c>
      <c r="C586" s="1" t="s">
        <v>2999</v>
      </c>
      <c r="D586" s="1" t="s">
        <v>3000</v>
      </c>
      <c r="E586" s="1" t="s">
        <v>3000</v>
      </c>
      <c r="F586" s="1" t="s">
        <v>3001</v>
      </c>
      <c r="G586" s="1" t="s">
        <v>3002</v>
      </c>
      <c r="H586" s="1" t="str">
        <f>IFERROR(__xludf.DUMMYFUNCTION("GOOGLETRANSLATE(D586,""EN"",""JA"")"),"直接ビリルビン/ビリルビン")</f>
        <v>直接ビリルビン/ビリルビン</v>
      </c>
      <c r="I586" s="1" t="str">
        <f>IFERROR(__xludf.DUMMYFUNCTION("GOOGLETRANSLATE(E586,""EN"",""JA"")"),"直接ビリルビン/ビリルビン")</f>
        <v>直接ビリルビン/ビリルビン</v>
      </c>
      <c r="J586" s="1" t="str">
        <f>IFERROR(__xludf.DUMMYFUNCTION("GOOGLETRANSLATE(F586,""EN"",""JA"")"),"生物学的標本中の総ビリルビンに対する直接ビリルビンの相対的な測定値（比率またはパーセンテージ）。")</f>
        <v>生物学的標本中の総ビリルビンに対する直接ビリルビンの相対的な測定値（比率またはパーセンテージ）。</v>
      </c>
      <c r="K586" s="1" t="str">
        <f>IFERROR(__xludf.DUMMYFUNCTION("GOOGLETRANSLATE(G586,""EN"",""JA"")"),"直接ビリルビン対ビリルビン比測定")</f>
        <v>直接ビリルビン対ビリルビン比測定</v>
      </c>
    </row>
    <row r="587" ht="13.5" customHeight="1">
      <c r="A587" s="1" t="s">
        <v>11</v>
      </c>
      <c r="B587" s="1" t="s">
        <v>3003</v>
      </c>
      <c r="C587" s="1" t="s">
        <v>3004</v>
      </c>
      <c r="D587" s="1" t="s">
        <v>3005</v>
      </c>
      <c r="E587" s="1" t="s">
        <v>3006</v>
      </c>
      <c r="F587" s="1" t="s">
        <v>3007</v>
      </c>
      <c r="G587" s="1" t="s">
        <v>3008</v>
      </c>
      <c r="H587" s="1" t="str">
        <f>IFERROR(__xludf.DUMMYFUNCTION("GOOGLETRANSLATE(D587,""EN"",""JA"")"),"胆汁酸")</f>
        <v>胆汁酸</v>
      </c>
      <c r="I587" s="1" t="str">
        <f>IFERROR(__xludf.DUMMYFUNCTION("GOOGLETRANSLATE(E587,""EN"",""JA"")"),"胆汁酸; 胆汁酸類; 胆汁酸塩; 胆汁酸塩")</f>
        <v>胆汁酸; 胆汁酸類; 胆汁酸塩; 胆汁酸塩</v>
      </c>
      <c r="J587" s="1" t="str">
        <f>IFERROR(__xludf.DUMMYFUNCTION("GOOGLETRANSLATE(F587,""EN"",""JA"")"),"生物標本中の総胆汁酸の測定。")</f>
        <v>生物標本中の総胆汁酸の測定。</v>
      </c>
      <c r="K587" s="1" t="str">
        <f>IFERROR(__xludf.DUMMYFUNCTION("GOOGLETRANSLATE(G587,""EN"",""JA"")"),"胆汁酸測定")</f>
        <v>胆汁酸測定</v>
      </c>
    </row>
    <row r="588" ht="13.5" customHeight="1">
      <c r="A588" s="1" t="s">
        <v>11</v>
      </c>
      <c r="B588" s="1" t="s">
        <v>3009</v>
      </c>
      <c r="C588" s="1" t="s">
        <v>3010</v>
      </c>
      <c r="D588" s="1" t="s">
        <v>3011</v>
      </c>
      <c r="E588" s="1" t="s">
        <v>3012</v>
      </c>
      <c r="F588" s="1" t="s">
        <v>3013</v>
      </c>
      <c r="G588" s="1" t="s">
        <v>3014</v>
      </c>
      <c r="H588" s="1" t="str">
        <f>IFERROR(__xludf.DUMMYFUNCTION("GOOGLETRANSLATE(D588,""EN"",""JA"")"),"グルクロン酸抱合ビリルビン")</f>
        <v>グルクロン酸抱合ビリルビン</v>
      </c>
      <c r="I588" s="1" t="str">
        <f>IFERROR(__xludf.DUMMYFUNCTION("GOOGLETRANSLATE(E588,""EN"",""JA"")"),"抱合型ビリルビン；グルクロン酸抱合型ビリルビン")</f>
        <v>抱合型ビリルビン；グルクロン酸抱合型ビリルビン</v>
      </c>
      <c r="J588" s="1" t="str">
        <f>IFERROR(__xludf.DUMMYFUNCTION("GOOGLETRANSLATE(F588,""EN"",""JA"")"),"生物標本中のグルクロン酸抱合ビリルビン（水溶性）の測定。")</f>
        <v>生物標本中のグルクロン酸抱合ビリルビン（水溶性）の測定。</v>
      </c>
      <c r="K588" s="1" t="str">
        <f>IFERROR(__xludf.DUMMYFUNCTION("GOOGLETRANSLATE(G588,""EN"",""JA"")"),"グルクロン酸抱合ビリルビン測定")</f>
        <v>グルクロン酸抱合ビリルビン測定</v>
      </c>
    </row>
    <row r="589" ht="13.5" customHeight="1">
      <c r="A589" s="1" t="s">
        <v>11</v>
      </c>
      <c r="B589" s="1" t="s">
        <v>3015</v>
      </c>
      <c r="C589" s="1" t="s">
        <v>3016</v>
      </c>
      <c r="D589" s="1" t="s">
        <v>3017</v>
      </c>
      <c r="E589" s="1" t="s">
        <v>3018</v>
      </c>
      <c r="F589" s="1" t="s">
        <v>3019</v>
      </c>
      <c r="G589" s="1" t="s">
        <v>3020</v>
      </c>
      <c r="H589" s="1" t="str">
        <f>IFERROR(__xludf.DUMMYFUNCTION("GOOGLETRANSLATE(D589,""EN"",""JA"")"),"ビリルビン")</f>
        <v>ビリルビン</v>
      </c>
      <c r="I589" s="1" t="str">
        <f>IFERROR(__xludf.DUMMYFUNCTION("GOOGLETRANSLATE(E589,""EN"",""JA"")"),"ビリルビン; 総ビリルビン")</f>
        <v>ビリルビン; 総ビリルビン</v>
      </c>
      <c r="J589" s="1" t="str">
        <f>IFERROR(__xludf.DUMMYFUNCTION("GOOGLETRANSLATE(F589,""EN"",""JA"")"),"生物標本中の総ビリルビンの測定。")</f>
        <v>生物標本中の総ビリルビンの測定。</v>
      </c>
      <c r="K589" s="1" t="str">
        <f>IFERROR(__xludf.DUMMYFUNCTION("GOOGLETRANSLATE(G589,""EN"",""JA"")"),"総ビリルビン測定")</f>
        <v>総ビリルビン測定</v>
      </c>
    </row>
    <row r="590" ht="13.5" customHeight="1">
      <c r="A590" s="1" t="s">
        <v>11</v>
      </c>
      <c r="B590" s="1" t="s">
        <v>3021</v>
      </c>
      <c r="C590" s="1" t="s">
        <v>3022</v>
      </c>
      <c r="D590" s="1" t="s">
        <v>3023</v>
      </c>
      <c r="E590" s="1" t="s">
        <v>3024</v>
      </c>
      <c r="F590" s="1" t="s">
        <v>3025</v>
      </c>
      <c r="G590" s="1" t="s">
        <v>3026</v>
      </c>
      <c r="H590" s="1" t="str">
        <f>IFERROR(__xludf.DUMMYFUNCTION("GOOGLETRANSLATE(D590,""EN"",""JA"")"),"間接ビリルビン")</f>
        <v>間接ビリルビン</v>
      </c>
      <c r="I590" s="1" t="str">
        <f>IFERROR(__xludf.DUMMYFUNCTION("GOOGLETRANSLATE(E590,""EN"",""JA"")"),"間接ビリルビン、非グルクロン酸抱合ビリルビン、非抱合型ビリルビン")</f>
        <v>間接ビリルビン、非グルクロン酸抱合ビリルビン、非抱合型ビリルビン</v>
      </c>
      <c r="J590" s="1" t="str">
        <f>IFERROR(__xludf.DUMMYFUNCTION("GOOGLETRANSLATE(F590,""EN"",""JA"")"),"生物学的標本中の非抱合型または非水溶性ビリルビンの測定値。")</f>
        <v>生物学的標本中の非抱合型または非水溶性ビリルビンの測定値。</v>
      </c>
      <c r="K590" s="1" t="str">
        <f>IFERROR(__xludf.DUMMYFUNCTION("GOOGLETRANSLATE(G590,""EN"",""JA"")"),"間接ビリルビン測定")</f>
        <v>間接ビリルビン測定</v>
      </c>
    </row>
    <row r="591" ht="13.5" customHeight="1">
      <c r="A591" s="1" t="s">
        <v>601</v>
      </c>
      <c r="B591" s="1" t="s">
        <v>3027</v>
      </c>
      <c r="C591" s="1" t="s">
        <v>3028</v>
      </c>
      <c r="D591" s="1" t="s">
        <v>3029</v>
      </c>
      <c r="E591" s="1" t="s">
        <v>3030</v>
      </c>
      <c r="F591" s="1" t="s">
        <v>3031</v>
      </c>
      <c r="G591" s="1" t="s">
        <v>3032</v>
      </c>
      <c r="H591" s="1" t="str">
        <f>IFERROR(__xludf.DUMMYFUNCTION("GOOGLETRANSLATE(D591,""EN"",""JA"")"),"1度目の血縁者数")</f>
        <v>1度目の血縁者数</v>
      </c>
      <c r="I591" s="1" t="str">
        <f>IFERROR(__xludf.DUMMYFUNCTION("GOOGLETRANSLATE(E591,""EN"",""JA"")"),"生物学的第一度近親者数; 生物学的第一度近親者数")</f>
        <v>生物学的第一度近親者数; 生物学的第一度近親者数</v>
      </c>
      <c r="J591" s="1" t="str">
        <f>IFERROR(__xludf.DUMMYFUNCTION("GOOGLETRANSLATE(F591,""EN"",""JA"")"),"対象者と生物学的に関係のある第一度近親者の数。")</f>
        <v>対象者と生物学的に関係のある第一度近親者の数。</v>
      </c>
      <c r="K591" s="1" t="str">
        <f>IFERROR(__xludf.DUMMYFUNCTION("GOOGLETRANSLATE(G591,""EN"",""JA"")"),"第一親等血縁者の数")</f>
        <v>第一親等血縁者の数</v>
      </c>
    </row>
    <row r="592" ht="13.5" customHeight="1">
      <c r="A592" s="1" t="s">
        <v>601</v>
      </c>
      <c r="B592" s="1" t="s">
        <v>3033</v>
      </c>
      <c r="C592" s="1" t="s">
        <v>3034</v>
      </c>
      <c r="D592" s="1" t="s">
        <v>3035</v>
      </c>
      <c r="E592" s="1" t="s">
        <v>3035</v>
      </c>
      <c r="F592" s="1" t="s">
        <v>3036</v>
      </c>
      <c r="G592" s="1" t="s">
        <v>3037</v>
      </c>
      <c r="H592" s="1" t="str">
        <f>IFERROR(__xludf.DUMMYFUNCTION("GOOGLETRANSLATE(D592,""EN"",""JA"")"),"兄弟の数（生物学的）")</f>
        <v>兄弟の数（生物学的）</v>
      </c>
      <c r="I592" s="1" t="str">
        <f>IFERROR(__xludf.DUMMYFUNCTION("GOOGLETRANSLATE(E592,""EN"",""JA"")"),"兄弟の数（生物学的）")</f>
        <v>兄弟の数（生物学的）</v>
      </c>
      <c r="J592" s="1" t="str">
        <f>IFERROR(__xludf.DUMMYFUNCTION("GOOGLETRANSLATE(F592,""EN"",""JA"")"),"被験者と生物学的に関係のある兄弟の数。(NCI)")</f>
        <v>被験者と生物学的に関係のある兄弟の数。(NCI)</v>
      </c>
      <c r="K592" s="1" t="str">
        <f>IFERROR(__xludf.DUMMYFUNCTION("GOOGLETRANSLATE(G592,""EN"",""JA"")"),"実の兄弟の数")</f>
        <v>実の兄弟の数</v>
      </c>
    </row>
    <row r="593" ht="13.5" customHeight="1">
      <c r="A593" s="1" t="s">
        <v>601</v>
      </c>
      <c r="B593" s="1" t="s">
        <v>3038</v>
      </c>
      <c r="C593" s="1" t="s">
        <v>3039</v>
      </c>
      <c r="D593" s="1" t="s">
        <v>3040</v>
      </c>
      <c r="E593" s="1" t="s">
        <v>3040</v>
      </c>
      <c r="F593" s="1" t="s">
        <v>3041</v>
      </c>
      <c r="G593" s="1" t="s">
        <v>3042</v>
      </c>
      <c r="H593" s="1" t="str">
        <f>IFERROR(__xludf.DUMMYFUNCTION("GOOGLETRANSLATE(D593,""EN"",""JA"")"),"生物学的姉妹の数")</f>
        <v>生物学的姉妹の数</v>
      </c>
      <c r="I593" s="1" t="str">
        <f>IFERROR(__xludf.DUMMYFUNCTION("GOOGLETRANSLATE(E593,""EN"",""JA"")"),"生物学的姉妹の数")</f>
        <v>生物学的姉妹の数</v>
      </c>
      <c r="J593" s="1" t="str">
        <f>IFERROR(__xludf.DUMMYFUNCTION("GOOGLETRANSLATE(F593,""EN"",""JA"")"),"被験者と生物学的に関係のある姉妹の数。(NCI)")</f>
        <v>被験者と生物学的に関係のある姉妹の数。(NCI)</v>
      </c>
      <c r="K593" s="1" t="str">
        <f>IFERROR(__xludf.DUMMYFUNCTION("GOOGLETRANSLATE(G593,""EN"",""JA"")"),"実の姉妹の数")</f>
        <v>実の姉妹の数</v>
      </c>
    </row>
    <row r="594" ht="13.5" customHeight="1">
      <c r="A594" s="1" t="s">
        <v>11</v>
      </c>
      <c r="B594" s="1" t="s">
        <v>3043</v>
      </c>
      <c r="C594" s="1" t="s">
        <v>3044</v>
      </c>
      <c r="D594" s="1" t="s">
        <v>3045</v>
      </c>
      <c r="E594" s="1" t="s">
        <v>3045</v>
      </c>
      <c r="F594" s="1" t="s">
        <v>3046</v>
      </c>
      <c r="G594" s="1" t="s">
        <v>3047</v>
      </c>
      <c r="H594" s="1" t="str">
        <f>IFERROR(__xludf.DUMMYFUNCTION("GOOGLETRANSLATE(D594,""EN"",""JA"")"),"咬合細胞")</f>
        <v>咬合細胞</v>
      </c>
      <c r="I594" s="1" t="str">
        <f>IFERROR(__xludf.DUMMYFUNCTION("GOOGLETRANSLATE(E594,""EN"",""JA"")"),"咬合細胞")</f>
        <v>咬合細胞</v>
      </c>
      <c r="J594" s="1" t="str">
        <f>IFERROR(__xludf.DUMMYFUNCTION("GOOGLETRANSLATE(F594,""EN"",""JA"")"),"生物標本中の咬合細胞（酸化溶血により咬合部分が除去されたように見える赤血球）の測定。")</f>
        <v>生物標本中の咬合細胞（酸化溶血により咬合部分が除去されたように見える赤血球）の測定。</v>
      </c>
      <c r="K594" s="1" t="str">
        <f>IFERROR(__xludf.DUMMYFUNCTION("GOOGLETRANSLATE(G594,""EN"",""JA"")"),"咬合細胞数")</f>
        <v>咬合細胞数</v>
      </c>
    </row>
    <row r="595" ht="13.5" customHeight="1">
      <c r="A595" s="1" t="s">
        <v>11</v>
      </c>
      <c r="B595" s="1" t="s">
        <v>3048</v>
      </c>
      <c r="C595" s="1" t="s">
        <v>3049</v>
      </c>
      <c r="D595" s="1" t="s">
        <v>3050</v>
      </c>
      <c r="E595" s="1" t="s">
        <v>3050</v>
      </c>
      <c r="F595" s="1" t="s">
        <v>3051</v>
      </c>
      <c r="G595" s="1" t="s">
        <v>3052</v>
      </c>
      <c r="H595" s="1" t="str">
        <f>IFERROR(__xludf.DUMMYFUNCTION("GOOGLETRANSLATE(D595,""EN"",""JA"")"),"ベンス・ジョーンズ・プロテイン")</f>
        <v>ベンス・ジョーンズ・プロテイン</v>
      </c>
      <c r="I595" s="1" t="str">
        <f>IFERROR(__xludf.DUMMYFUNCTION("GOOGLETRANSLATE(E595,""EN"",""JA"")"),"ベンス・ジョーンズ・プロテイン")</f>
        <v>ベンス・ジョーンズ・プロテイン</v>
      </c>
      <c r="J595" s="1" t="str">
        <f>IFERROR(__xludf.DUMMYFUNCTION("GOOGLETRANSLATE(F595,""EN"",""JA"")"),"生物標本中のベンス・ジョーンズタンパク質の総量の測定。")</f>
        <v>生物標本中のベンス・ジョーンズタンパク質の総量の測定。</v>
      </c>
      <c r="K595" s="1" t="str">
        <f>IFERROR(__xludf.DUMMYFUNCTION("GOOGLETRANSLATE(G595,""EN"",""JA"")"),"ベンス・ジョーンズタンパク質測定")</f>
        <v>ベンス・ジョーンズタンパク質測定</v>
      </c>
    </row>
    <row r="596" ht="13.5" customHeight="1">
      <c r="A596" s="1" t="s">
        <v>129</v>
      </c>
      <c r="B596" s="1" t="s">
        <v>3053</v>
      </c>
      <c r="C596" s="1" t="s">
        <v>3054</v>
      </c>
      <c r="D596" s="1" t="s">
        <v>3055</v>
      </c>
      <c r="E596" s="1" t="s">
        <v>3055</v>
      </c>
      <c r="F596" s="1" t="s">
        <v>3056</v>
      </c>
      <c r="G596" s="1" t="s">
        <v>3055</v>
      </c>
      <c r="H596" s="1" t="str">
        <f>IFERROR(__xludf.DUMMYFUNCTION("GOOGLETRANSLATE(D596,""EN"",""JA"")"),"年齢別体長パーセンタイル")</f>
        <v>年齢別体長パーセンタイル</v>
      </c>
      <c r="I596" s="1" t="str">
        <f>IFERROR(__xludf.DUMMYFUNCTION("GOOGLETRANSLATE(E596,""EN"",""JA"")"),"年齢別体長パーセンタイル")</f>
        <v>年齢別体長パーセンタイル</v>
      </c>
      <c r="J596" s="1" t="str">
        <f>IFERROR(__xludf.DUMMYFUNCTION("GOOGLETRANSLATE(F596,""EN"",""JA"")"),"個人の体長と年齢と参照集団のそれらとの関係を評価し、パーセンタイルとして表します。")</f>
        <v>個人の体長と年齢と参照集団のそれらとの関係を評価し、パーセンタイルとして表します。</v>
      </c>
      <c r="K596" s="1" t="str">
        <f>IFERROR(__xludf.DUMMYFUNCTION("GOOGLETRANSLATE(G596,""EN"",""JA"")"),"年齢別体長パーセンタイル")</f>
        <v>年齢別体長パーセンタイル</v>
      </c>
    </row>
    <row r="597" ht="13.5" customHeight="1">
      <c r="A597" s="1" t="s">
        <v>11</v>
      </c>
      <c r="B597" s="1" t="s">
        <v>3057</v>
      </c>
      <c r="C597" s="1" t="s">
        <v>3058</v>
      </c>
      <c r="D597" s="1" t="s">
        <v>3059</v>
      </c>
      <c r="E597" s="1" t="s">
        <v>3059</v>
      </c>
      <c r="F597" s="1" t="s">
        <v>3060</v>
      </c>
      <c r="G597" s="1" t="s">
        <v>3061</v>
      </c>
      <c r="H597" s="1" t="str">
        <f>IFERROR(__xludf.DUMMYFUNCTION("GOOGLETRANSLATE(D597,""EN"",""JA"")"),"爆発")</f>
        <v>爆発</v>
      </c>
      <c r="I597" s="1" t="str">
        <f>IFERROR(__xludf.DUMMYFUNCTION("GOOGLETRANSLATE(E597,""EN"",""JA"")"),"爆発")</f>
        <v>爆発</v>
      </c>
      <c r="J597" s="1" t="str">
        <f>IFERROR(__xludf.DUMMYFUNCTION("GOOGLETRANSLATE(F597,""EN"",""JA"")"),"生物標本内の芽球細胞の測定。")</f>
        <v>生物標本内の芽球細胞の測定。</v>
      </c>
      <c r="K597" s="1" t="str">
        <f>IFERROR(__xludf.DUMMYFUNCTION("GOOGLETRANSLATE(G597,""EN"",""JA"")"),"爆発数")</f>
        <v>爆発数</v>
      </c>
    </row>
    <row r="598" ht="13.5" customHeight="1">
      <c r="A598" s="1" t="s">
        <v>134</v>
      </c>
      <c r="B598" s="1" t="s">
        <v>3062</v>
      </c>
      <c r="C598" s="1" t="s">
        <v>3063</v>
      </c>
      <c r="D598" s="1" t="s">
        <v>3064</v>
      </c>
      <c r="E598" s="1" t="s">
        <v>3064</v>
      </c>
      <c r="F598" s="1" t="s">
        <v>3065</v>
      </c>
      <c r="G598" s="1" t="s">
        <v>3066</v>
      </c>
      <c r="H598" s="1" t="str">
        <f>IFERROR(__xludf.DUMMYFUNCTION("GOOGLETRANSLATE(D598,""EN"",""JA"")"),"芽球/総細胞数")</f>
        <v>芽球/総細胞数</v>
      </c>
      <c r="I598" s="1" t="str">
        <f>IFERROR(__xludf.DUMMYFUNCTION("GOOGLETRANSLATE(E598,""EN"",""JA"")"),"芽球/総細胞数")</f>
        <v>芽球/総細胞数</v>
      </c>
      <c r="J598" s="1" t="str">
        <f>IFERROR(__xludf.DUMMYFUNCTION("GOOGLETRANSLATE(F598,""EN"",""JA"")"),"生物標本内の全細胞に対する芽球の相対的な測定値（比率またはパーセンテージ）。")</f>
        <v>生物標本内の全細胞に対する芽球の相対的な測定値（比率またはパーセンテージ）。</v>
      </c>
      <c r="K598" s="1" t="str">
        <f>IFERROR(__xludf.DUMMYFUNCTION("GOOGLETRANSLATE(G598,""EN"",""JA"")"),"芽球対総細胞比測定")</f>
        <v>芽球対総細胞比測定</v>
      </c>
    </row>
    <row r="599" ht="13.5" customHeight="1">
      <c r="A599" s="1" t="s">
        <v>11</v>
      </c>
      <c r="B599" s="1" t="s">
        <v>3062</v>
      </c>
      <c r="C599" s="1" t="s">
        <v>3063</v>
      </c>
      <c r="D599" s="1" t="s">
        <v>3064</v>
      </c>
      <c r="E599" s="1" t="s">
        <v>3064</v>
      </c>
      <c r="F599" s="1" t="s">
        <v>3065</v>
      </c>
      <c r="G599" s="1" t="s">
        <v>3066</v>
      </c>
      <c r="H599" s="1" t="str">
        <f>IFERROR(__xludf.DUMMYFUNCTION("GOOGLETRANSLATE(D599,""EN"",""JA"")"),"芽球/総細胞数")</f>
        <v>芽球/総細胞数</v>
      </c>
      <c r="I599" s="1" t="str">
        <f>IFERROR(__xludf.DUMMYFUNCTION("GOOGLETRANSLATE(E599,""EN"",""JA"")"),"芽球/総細胞数")</f>
        <v>芽球/総細胞数</v>
      </c>
      <c r="J599" s="1" t="str">
        <f>IFERROR(__xludf.DUMMYFUNCTION("GOOGLETRANSLATE(F599,""EN"",""JA"")"),"生物標本内の全細胞に対する芽球の相対的な測定値（比率またはパーセンテージ）。")</f>
        <v>生物標本内の全細胞に対する芽球の相対的な測定値（比率またはパーセンテージ）。</v>
      </c>
      <c r="K599" s="1" t="str">
        <f>IFERROR(__xludf.DUMMYFUNCTION("GOOGLETRANSLATE(G599,""EN"",""JA"")"),"芽球対総細胞比測定")</f>
        <v>芽球対総細胞比測定</v>
      </c>
    </row>
    <row r="600" ht="13.5" customHeight="1">
      <c r="A600" s="1" t="s">
        <v>11</v>
      </c>
      <c r="B600" s="1" t="s">
        <v>3067</v>
      </c>
      <c r="C600" s="1" t="s">
        <v>3068</v>
      </c>
      <c r="D600" s="1" t="s">
        <v>3069</v>
      </c>
      <c r="E600" s="1" t="s">
        <v>3069</v>
      </c>
      <c r="F600" s="1" t="s">
        <v>3070</v>
      </c>
      <c r="G600" s="1" t="s">
        <v>3071</v>
      </c>
      <c r="H600" s="1" t="str">
        <f>IFERROR(__xludf.DUMMYFUNCTION("GOOGLETRANSLATE(D600,""EN"",""JA"")"),"好塩基性赤芽球")</f>
        <v>好塩基性赤芽球</v>
      </c>
      <c r="I600" s="1" t="str">
        <f>IFERROR(__xludf.DUMMYFUNCTION("GOOGLETRANSLATE(E600,""EN"",""JA"")"),"好塩基性赤芽球")</f>
        <v>好塩基性赤芽球</v>
      </c>
      <c r="J600" s="1" t="str">
        <f>IFERROR(__xludf.DUMMYFUNCTION("GOOGLETRANSLATE(F600,""EN"",""JA"")"),"ヒト以外の生物から採取した生物標本中の好塩基性赤芽球の測定。")</f>
        <v>ヒト以外の生物から採取した生物標本中の好塩基性赤芽球の測定。</v>
      </c>
      <c r="K600" s="1" t="str">
        <f>IFERROR(__xludf.DUMMYFUNCTION("GOOGLETRANSLATE(G600,""EN"",""JA"")"),"好塩基球赤芽球数")</f>
        <v>好塩基球赤芽球数</v>
      </c>
    </row>
    <row r="601" ht="13.5" customHeight="1">
      <c r="A601" s="1" t="s">
        <v>11</v>
      </c>
      <c r="B601" s="1" t="s">
        <v>3072</v>
      </c>
      <c r="C601" s="1" t="s">
        <v>3073</v>
      </c>
      <c r="D601" s="1" t="s">
        <v>3074</v>
      </c>
      <c r="E601" s="1" t="s">
        <v>3075</v>
      </c>
      <c r="F601" s="1" t="s">
        <v>3076</v>
      </c>
      <c r="G601" s="1" t="s">
        <v>3077</v>
      </c>
      <c r="H601" s="1" t="str">
        <f>IFERROR(__xludf.DUMMYFUNCTION("GOOGLETRANSLATE(D601,""EN"",""JA"")"),"免疫芽球")</f>
        <v>免疫芽球</v>
      </c>
      <c r="I601" s="1" t="str">
        <f>IFERROR(__xludf.DUMMYFUNCTION("GOOGLETRANSLATE(E601,""EN"",""JA"")"),"免疫芽球リンパ球; 免疫芽球")</f>
        <v>免疫芽球リンパ球; 免疫芽球</v>
      </c>
      <c r="J601" s="1" t="str">
        <f>IFERROR(__xludf.DUMMYFUNCTION("GOOGLETRANSLATE(F601,""EN"",""JA"")"),"生物標本中の免疫芽細胞の測定。")</f>
        <v>生物標本中の免疫芽細胞の測定。</v>
      </c>
      <c r="K601" s="1" t="str">
        <f>IFERROR(__xludf.DUMMYFUNCTION("GOOGLETRANSLATE(G601,""EN"",""JA"")"),"免疫芽球数")</f>
        <v>免疫芽球数</v>
      </c>
    </row>
    <row r="602" ht="13.5" customHeight="1">
      <c r="A602" s="1" t="s">
        <v>11</v>
      </c>
      <c r="B602" s="1" t="s">
        <v>3078</v>
      </c>
      <c r="C602" s="1" t="s">
        <v>3079</v>
      </c>
      <c r="D602" s="1" t="s">
        <v>3080</v>
      </c>
      <c r="E602" s="1" t="s">
        <v>3080</v>
      </c>
      <c r="F602" s="1" t="s">
        <v>3081</v>
      </c>
      <c r="G602" s="1" t="s">
        <v>3082</v>
      </c>
      <c r="H602" s="1" t="str">
        <f>IFERROR(__xludf.DUMMYFUNCTION("GOOGLETRANSLATE(D602,""EN"",""JA"")"),"芽球/白血球")</f>
        <v>芽球/白血球</v>
      </c>
      <c r="I602" s="1" t="str">
        <f>IFERROR(__xludf.DUMMYFUNCTION("GOOGLETRANSLATE(E602,""EN"",""JA"")"),"芽球/白血球")</f>
        <v>芽球/白血球</v>
      </c>
      <c r="J602" s="1" t="str">
        <f>IFERROR(__xludf.DUMMYFUNCTION("GOOGLETRANSLATE(F602,""EN"",""JA"")"),"生物標本中の芽球と白血球の相対的な測定値（比率またはパーセンテージ）。")</f>
        <v>生物標本中の芽球と白血球の相対的な測定値（比率またはパーセンテージ）。</v>
      </c>
      <c r="K602" s="1" t="str">
        <f>IFERROR(__xludf.DUMMYFUNCTION("GOOGLETRANSLATE(G602,""EN"",""JA"")"),"芽球対白血球比")</f>
        <v>芽球対白血球比</v>
      </c>
    </row>
    <row r="603" ht="13.5" customHeight="1">
      <c r="A603" s="1" t="s">
        <v>11</v>
      </c>
      <c r="B603" s="1" t="s">
        <v>3083</v>
      </c>
      <c r="C603" s="1" t="s">
        <v>3084</v>
      </c>
      <c r="D603" s="1" t="s">
        <v>3085</v>
      </c>
      <c r="E603" s="1" t="s">
        <v>3085</v>
      </c>
      <c r="F603" s="1" t="s">
        <v>3086</v>
      </c>
      <c r="G603" s="1" t="s">
        <v>3087</v>
      </c>
      <c r="H603" s="1" t="str">
        <f>IFERROR(__xludf.DUMMYFUNCTION("GOOGLETRANSLATE(D603,""EN"",""JA"")"),"白血病性芽球")</f>
        <v>白血病性芽球</v>
      </c>
      <c r="I603" s="1" t="str">
        <f>IFERROR(__xludf.DUMMYFUNCTION("GOOGLETRANSLATE(E603,""EN"",""JA"")"),"白血病性芽球")</f>
        <v>白血病性芽球</v>
      </c>
      <c r="J603" s="1" t="str">
        <f>IFERROR(__xludf.DUMMYFUNCTION("GOOGLETRANSLATE(F603,""EN"",""JA"")"),"生物標本中の白血病芽球（骨髄の外でも未熟な状態のままであるリンパ芽球および/または骨髄芽球）の測定。")</f>
        <v>生物標本中の白血病芽球（骨髄の外でも未熟な状態のままであるリンパ芽球および/または骨髄芽球）の測定。</v>
      </c>
      <c r="K603" s="1" t="str">
        <f>IFERROR(__xludf.DUMMYFUNCTION("GOOGLETRANSLATE(G603,""EN"",""JA"")"),"白血病芽球数")</f>
        <v>白血病芽球数</v>
      </c>
    </row>
    <row r="604" ht="13.5" customHeight="1">
      <c r="A604" s="1" t="s">
        <v>11</v>
      </c>
      <c r="B604" s="1" t="s">
        <v>3088</v>
      </c>
      <c r="C604" s="1" t="s">
        <v>3089</v>
      </c>
      <c r="D604" s="1" t="s">
        <v>3090</v>
      </c>
      <c r="E604" s="1" t="s">
        <v>3091</v>
      </c>
      <c r="F604" s="1" t="s">
        <v>3092</v>
      </c>
      <c r="G604" s="1" t="s">
        <v>3093</v>
      </c>
      <c r="H604" s="1" t="str">
        <f>IFERROR(__xludf.DUMMYFUNCTION("GOOGLETRANSLATE(D604,""EN"",""JA"")"),"ルブリブラスト")</f>
        <v>ルブリブラスト</v>
      </c>
      <c r="I604" s="1" t="str">
        <f>IFERROR(__xludf.DUMMYFUNCTION("GOOGLETRANSLATE(E604,""EN"",""JA"")"),"前赤芽球;前正常芽細胞。ルブリブラスト")</f>
        <v>前赤芽球;前正常芽細胞。ルブリブラスト</v>
      </c>
      <c r="J604" s="1" t="str">
        <f>IFERROR(__xludf.DUMMYFUNCTION("GOOGLETRANSLATE(F604,""EN"",""JA"")"),"生物標本内の赤芽球細胞の測定。")</f>
        <v>生物標本内の赤芽球細胞の測定。</v>
      </c>
      <c r="K604" s="1" t="str">
        <f>IFERROR(__xludf.DUMMYFUNCTION("GOOGLETRANSLATE(G604,""EN"",""JA"")"),"前赤芽球測定")</f>
        <v>前赤芽球測定</v>
      </c>
    </row>
    <row r="605" ht="13.5" customHeight="1">
      <c r="A605" s="1" t="s">
        <v>3094</v>
      </c>
      <c r="B605" s="1" t="s">
        <v>3095</v>
      </c>
      <c r="C605" s="1" t="s">
        <v>3096</v>
      </c>
      <c r="D605" s="1" t="s">
        <v>3097</v>
      </c>
      <c r="E605" s="1" t="s">
        <v>3097</v>
      </c>
      <c r="F605" s="1" t="s">
        <v>3098</v>
      </c>
      <c r="G605" s="1" t="s">
        <v>3097</v>
      </c>
      <c r="H605" s="1" t="str">
        <f>IFERROR(__xludf.DUMMYFUNCTION("GOOGLETRANSLATE(D605,""EN"",""JA"")"),"血流量")</f>
        <v>血流量</v>
      </c>
      <c r="I605" s="1" t="str">
        <f>IFERROR(__xludf.DUMMYFUNCTION("GOOGLETRANSLATE(E605,""EN"",""JA"")"),"血流量")</f>
        <v>血流量</v>
      </c>
      <c r="J605" s="1" t="str">
        <f>IFERROR(__xludf.DUMMYFUNCTION("GOOGLETRANSLATE(F605,""EN"",""JA"")"),"血管の一点や臓器全体など、特定の場所を通過する単位時間あたりの血液の量。")</f>
        <v>血管の一点や臓器全体など、特定の場所を通過する単位時間あたりの血液の量。</v>
      </c>
      <c r="K605" s="1" t="str">
        <f>IFERROR(__xludf.DUMMYFUNCTION("GOOGLETRANSLATE(G605,""EN"",""JA"")"),"血流量")</f>
        <v>血流量</v>
      </c>
    </row>
    <row r="606" ht="13.5" customHeight="1">
      <c r="A606" s="1" t="s">
        <v>580</v>
      </c>
      <c r="B606" s="1" t="s">
        <v>3095</v>
      </c>
      <c r="C606" s="1" t="s">
        <v>3096</v>
      </c>
      <c r="D606" s="1" t="s">
        <v>3097</v>
      </c>
      <c r="E606" s="1" t="s">
        <v>3097</v>
      </c>
      <c r="F606" s="1" t="s">
        <v>3098</v>
      </c>
      <c r="G606" s="1" t="s">
        <v>3097</v>
      </c>
      <c r="H606" s="1" t="str">
        <f>IFERROR(__xludf.DUMMYFUNCTION("GOOGLETRANSLATE(D606,""EN"",""JA"")"),"血流量")</f>
        <v>血流量</v>
      </c>
      <c r="I606" s="1" t="str">
        <f>IFERROR(__xludf.DUMMYFUNCTION("GOOGLETRANSLATE(E606,""EN"",""JA"")"),"血流量")</f>
        <v>血流量</v>
      </c>
      <c r="J606" s="1" t="str">
        <f>IFERROR(__xludf.DUMMYFUNCTION("GOOGLETRANSLATE(F606,""EN"",""JA"")"),"血管の一点や臓器全体など、特定の場所を通過する単位時間あたりの血液の量。")</f>
        <v>血管の一点や臓器全体など、特定の場所を通過する単位時間あたりの血液の量。</v>
      </c>
      <c r="K606" s="1" t="str">
        <f>IFERROR(__xludf.DUMMYFUNCTION("GOOGLETRANSLATE(G606,""EN"",""JA"")"),"血流量")</f>
        <v>血流量</v>
      </c>
    </row>
    <row r="607" ht="13.5" customHeight="1">
      <c r="A607" s="1" t="s">
        <v>90</v>
      </c>
      <c r="B607" s="1" t="s">
        <v>3095</v>
      </c>
      <c r="C607" s="1" t="s">
        <v>3096</v>
      </c>
      <c r="D607" s="1" t="s">
        <v>3097</v>
      </c>
      <c r="E607" s="1" t="s">
        <v>3097</v>
      </c>
      <c r="F607" s="1" t="s">
        <v>3098</v>
      </c>
      <c r="G607" s="1" t="s">
        <v>3097</v>
      </c>
      <c r="H607" s="1" t="str">
        <f>IFERROR(__xludf.DUMMYFUNCTION("GOOGLETRANSLATE(D607,""EN"",""JA"")"),"血流量")</f>
        <v>血流量</v>
      </c>
      <c r="I607" s="1" t="str">
        <f>IFERROR(__xludf.DUMMYFUNCTION("GOOGLETRANSLATE(E607,""EN"",""JA"")"),"血流量")</f>
        <v>血流量</v>
      </c>
      <c r="J607" s="1" t="str">
        <f>IFERROR(__xludf.DUMMYFUNCTION("GOOGLETRANSLATE(F607,""EN"",""JA"")"),"血管の一点や臓器全体など、特定の場所を通過する単位時間あたりの血液の量。")</f>
        <v>血管の一点や臓器全体など、特定の場所を通過する単位時間あたりの血液の量。</v>
      </c>
      <c r="K607" s="1" t="str">
        <f>IFERROR(__xludf.DUMMYFUNCTION("GOOGLETRANSLATE(G607,""EN"",""JA"")"),"血流量")</f>
        <v>血流量</v>
      </c>
    </row>
    <row r="608" ht="13.5" customHeight="1">
      <c r="A608" s="1" t="s">
        <v>176</v>
      </c>
      <c r="B608" s="1" t="s">
        <v>3095</v>
      </c>
      <c r="C608" s="1" t="s">
        <v>3096</v>
      </c>
      <c r="D608" s="1" t="s">
        <v>3097</v>
      </c>
      <c r="E608" s="1" t="s">
        <v>3097</v>
      </c>
      <c r="F608" s="1" t="s">
        <v>3098</v>
      </c>
      <c r="G608" s="1" t="s">
        <v>3097</v>
      </c>
      <c r="H608" s="1" t="str">
        <f>IFERROR(__xludf.DUMMYFUNCTION("GOOGLETRANSLATE(D608,""EN"",""JA"")"),"血流量")</f>
        <v>血流量</v>
      </c>
      <c r="I608" s="1" t="str">
        <f>IFERROR(__xludf.DUMMYFUNCTION("GOOGLETRANSLATE(E608,""EN"",""JA"")"),"血流量")</f>
        <v>血流量</v>
      </c>
      <c r="J608" s="1" t="str">
        <f>IFERROR(__xludf.DUMMYFUNCTION("GOOGLETRANSLATE(F608,""EN"",""JA"")"),"血管の一点や臓器全体など、特定の場所を通過する単位時間あたりの血液の量。")</f>
        <v>血管の一点や臓器全体など、特定の場所を通過する単位時間あたりの血液の量。</v>
      </c>
      <c r="K608" s="1" t="str">
        <f>IFERROR(__xludf.DUMMYFUNCTION("GOOGLETRANSLATE(G608,""EN"",""JA"")"),"血流量")</f>
        <v>血流量</v>
      </c>
    </row>
    <row r="609" ht="13.5" customHeight="1">
      <c r="A609" s="1" t="s">
        <v>160</v>
      </c>
      <c r="B609" s="1" t="s">
        <v>3099</v>
      </c>
      <c r="C609" s="1" t="s">
        <v>3100</v>
      </c>
      <c r="D609" s="1" t="s">
        <v>3101</v>
      </c>
      <c r="E609" s="1" t="s">
        <v>3101</v>
      </c>
      <c r="F609" s="1" t="s">
        <v>3102</v>
      </c>
      <c r="G609" s="1" t="s">
        <v>3103</v>
      </c>
      <c r="H609" s="1" t="str">
        <f>IFERROR(__xludf.DUMMYFUNCTION("GOOGLETRANSLATE(D609,""EN"",""JA"")"),"出血/斑点の連続日数")</f>
        <v>出血/斑点の連続日数</v>
      </c>
      <c r="I609" s="1" t="str">
        <f>IFERROR(__xludf.DUMMYFUNCTION("GOOGLETRANSLATE(E609,""EN"",""JA"")"),"出血/斑点の連続日数")</f>
        <v>出血/斑点の連続日数</v>
      </c>
      <c r="J609" s="1" t="str">
        <f>IFERROR(__xludf.DUMMYFUNCTION("GOOGLETRANSLATE(F609,""EN"",""JA"")"),"継続的な月経出血および/または少量の出血を経験した日数。")</f>
        <v>継続的な月経出血および/または少量の出血を経験した日数。</v>
      </c>
      <c r="K609" s="1" t="str">
        <f>IFERROR(__xludf.DUMMYFUNCTION("GOOGLETRANSLATE(G609,""EN"",""JA"")"),"月経出血および/または少量の出血の連続日数")</f>
        <v>月経出血および/または少量の出血の連続日数</v>
      </c>
    </row>
    <row r="610" ht="13.5" customHeight="1">
      <c r="A610" s="1" t="s">
        <v>134</v>
      </c>
      <c r="B610" s="1" t="s">
        <v>3104</v>
      </c>
      <c r="C610" s="1" t="s">
        <v>3105</v>
      </c>
      <c r="D610" s="1" t="s">
        <v>3106</v>
      </c>
      <c r="E610" s="1" t="s">
        <v>3106</v>
      </c>
      <c r="F610" s="1" t="s">
        <v>3107</v>
      </c>
      <c r="G610" s="1" t="s">
        <v>3106</v>
      </c>
      <c r="H610" s="1" t="str">
        <f>IFERROR(__xludf.DUMMYFUNCTION("GOOGLETRANSLATE(D610,""EN"",""JA"")"),"血管密度")</f>
        <v>血管密度</v>
      </c>
      <c r="I610" s="1" t="str">
        <f>IFERROR(__xludf.DUMMYFUNCTION("GOOGLETRANSLATE(E610,""EN"",""JA"")"),"血管密度")</f>
        <v>血管密度</v>
      </c>
      <c r="J610" s="1" t="str">
        <f>IFERROR(__xludf.DUMMYFUNCTION("GOOGLETRANSLATE(F610,""EN"",""JA"")"),"生物標本における血管密度の評価。")</f>
        <v>生物標本における血管密度の評価。</v>
      </c>
      <c r="K610" s="1" t="str">
        <f>IFERROR(__xludf.DUMMYFUNCTION("GOOGLETRANSLATE(G610,""EN"",""JA"")"),"血管密度")</f>
        <v>血管密度</v>
      </c>
    </row>
    <row r="611" ht="13.5" customHeight="1">
      <c r="A611" s="1" t="s">
        <v>160</v>
      </c>
      <c r="B611" s="1" t="s">
        <v>3108</v>
      </c>
      <c r="C611" s="1" t="s">
        <v>3109</v>
      </c>
      <c r="D611" s="1" t="s">
        <v>3110</v>
      </c>
      <c r="E611" s="1" t="s">
        <v>3110</v>
      </c>
      <c r="F611" s="1" t="s">
        <v>3111</v>
      </c>
      <c r="G611" s="1" t="s">
        <v>3110</v>
      </c>
      <c r="H611" s="1" t="str">
        <f>IFERROR(__xludf.DUMMYFUNCTION("GOOGLETRANSLATE(D611,""EN"",""JA"")"),"異常出血指標")</f>
        <v>異常出血指標</v>
      </c>
      <c r="I611" s="1" t="str">
        <f>IFERROR(__xludf.DUMMYFUNCTION("GOOGLETRANSLATE(E611,""EN"",""JA"")"),"異常出血指標")</f>
        <v>異常出血指標</v>
      </c>
      <c r="J611" s="1" t="str">
        <f>IFERROR(__xludf.DUMMYFUNCTION("GOOGLETRANSLATE(F611,""EN"",""JA"")"),"異常出血の有無を示します。")</f>
        <v>異常出血の有無を示します。</v>
      </c>
      <c r="K611" s="1" t="str">
        <f>IFERROR(__xludf.DUMMYFUNCTION("GOOGLETRANSLATE(G611,""EN"",""JA"")"),"異常出血指標")</f>
        <v>異常出血指標</v>
      </c>
    </row>
    <row r="612" ht="13.5" customHeight="1">
      <c r="A612" s="1" t="s">
        <v>11</v>
      </c>
      <c r="B612" s="1" t="s">
        <v>3112</v>
      </c>
      <c r="C612" s="1" t="s">
        <v>3113</v>
      </c>
      <c r="D612" s="1" t="s">
        <v>3114</v>
      </c>
      <c r="E612" s="1" t="s">
        <v>3115</v>
      </c>
      <c r="F612" s="1" t="s">
        <v>3116</v>
      </c>
      <c r="G612" s="1" t="s">
        <v>3114</v>
      </c>
      <c r="H612" s="1" t="str">
        <f>IFERROR(__xludf.DUMMYFUNCTION("GOOGLETRANSLATE(D612,""EN"",""JA"")"),"出血時間")</f>
        <v>出血時間</v>
      </c>
      <c r="I612" s="1" t="str">
        <f>IFERROR(__xludf.DUMMYFUNCTION("GOOGLETRANSLATE(E612,""EN"",""JA"")"),"出血時間; 凝固時間の恒常性")</f>
        <v>出血時間; 凝固時間の恒常性</v>
      </c>
      <c r="J612" s="1" t="str">
        <f>IFERROR(__xludf.DUMMYFUNCTION("GOOGLETRANSLATE(F612,""EN"",""JA"")"),"誘発出血の開始から停止までの時間を測定します。")</f>
        <v>誘発出血の開始から停止までの時間を測定します。</v>
      </c>
      <c r="K612" s="1" t="str">
        <f>IFERROR(__xludf.DUMMYFUNCTION("GOOGLETRANSLATE(G612,""EN"",""JA"")"),"出血時間")</f>
        <v>出血時間</v>
      </c>
    </row>
    <row r="613" ht="13.5" customHeight="1">
      <c r="A613" s="1" t="s">
        <v>11</v>
      </c>
      <c r="B613" s="1" t="s">
        <v>3117</v>
      </c>
      <c r="C613" s="1" t="s">
        <v>3118</v>
      </c>
      <c r="D613" s="1" t="s">
        <v>3119</v>
      </c>
      <c r="E613" s="1" t="s">
        <v>3119</v>
      </c>
      <c r="F613" s="1" t="s">
        <v>3120</v>
      </c>
      <c r="G613" s="1" t="s">
        <v>3121</v>
      </c>
      <c r="H613" s="1" t="str">
        <f>IFERROR(__xludf.DUMMYFUNCTION("GOOGLETRANSLATE(D613,""EN"",""JA"")"),"ブリスターセル")</f>
        <v>ブリスターセル</v>
      </c>
      <c r="I613" s="1" t="str">
        <f>IFERROR(__xludf.DUMMYFUNCTION("GOOGLETRANSLATE(E613,""EN"",""JA"")"),"ブリスターセル")</f>
        <v>ブリスターセル</v>
      </c>
      <c r="J613" s="1" t="str">
        <f>IFERROR(__xludf.DUMMYFUNCTION("GOOGLETRANSLATE(F613,""EN"",""JA"")"),"生物標本内の水疱細胞の測定。")</f>
        <v>生物標本内の水疱細胞の測定。</v>
      </c>
      <c r="K613" s="1" t="str">
        <f>IFERROR(__xludf.DUMMYFUNCTION("GOOGLETRANSLATE(G613,""EN"",""JA"")"),"水疱細胞数")</f>
        <v>水疱細胞数</v>
      </c>
    </row>
    <row r="614" ht="13.5" customHeight="1">
      <c r="A614" s="1" t="s">
        <v>1970</v>
      </c>
      <c r="B614" s="1" t="s">
        <v>3122</v>
      </c>
      <c r="C614" s="1" t="s">
        <v>3123</v>
      </c>
      <c r="D614" s="1" t="s">
        <v>3124</v>
      </c>
      <c r="E614" s="1" t="s">
        <v>3124</v>
      </c>
      <c r="F614" s="1" t="s">
        <v>3125</v>
      </c>
      <c r="G614" s="1" t="s">
        <v>3124</v>
      </c>
      <c r="H614" s="1" t="str">
        <f>IFERROR(__xludf.DUMMYFUNCTION("GOOGLETRANSLATE(D614,""EN"",""JA"")"),"水ぶくれインジケーター")</f>
        <v>水ぶくれインジケーター</v>
      </c>
      <c r="I614" s="1" t="str">
        <f>IFERROR(__xludf.DUMMYFUNCTION("GOOGLETRANSLATE(E614,""EN"",""JA"")"),"水ぶくれインジケーター")</f>
        <v>水ぶくれインジケーター</v>
      </c>
      <c r="J614" s="1" t="str">
        <f>IFERROR(__xludf.DUMMYFUNCTION("GOOGLETRANSLATE(F614,""EN"",""JA"")"),"水ぶくれが発生したかどうかを示します。")</f>
        <v>水ぶくれが発生したかどうかを示します。</v>
      </c>
      <c r="K614" s="1" t="str">
        <f>IFERROR(__xludf.DUMMYFUNCTION("GOOGLETRANSLATE(G614,""EN"",""JA"")"),"水ぶくれインジケーター")</f>
        <v>水ぶくれインジケーター</v>
      </c>
    </row>
    <row r="615" ht="13.5" customHeight="1">
      <c r="A615" s="1" t="s">
        <v>160</v>
      </c>
      <c r="B615" s="1" t="s">
        <v>3122</v>
      </c>
      <c r="C615" s="1" t="s">
        <v>3123</v>
      </c>
      <c r="D615" s="1" t="s">
        <v>3124</v>
      </c>
      <c r="E615" s="1" t="s">
        <v>3124</v>
      </c>
      <c r="F615" s="1" t="s">
        <v>3125</v>
      </c>
      <c r="G615" s="1" t="s">
        <v>3124</v>
      </c>
      <c r="H615" s="1" t="str">
        <f>IFERROR(__xludf.DUMMYFUNCTION("GOOGLETRANSLATE(D615,""EN"",""JA"")"),"水ぶくれインジケーター")</f>
        <v>水ぶくれインジケーター</v>
      </c>
      <c r="I615" s="1" t="str">
        <f>IFERROR(__xludf.DUMMYFUNCTION("GOOGLETRANSLATE(E615,""EN"",""JA"")"),"水ぶくれインジケーター")</f>
        <v>水ぶくれインジケーター</v>
      </c>
      <c r="J615" s="1" t="str">
        <f>IFERROR(__xludf.DUMMYFUNCTION("GOOGLETRANSLATE(F615,""EN"",""JA"")"),"水ぶくれが発生したかどうかを示します。")</f>
        <v>水ぶくれが発生したかどうかを示します。</v>
      </c>
      <c r="K615" s="1" t="str">
        <f>IFERROR(__xludf.DUMMYFUNCTION("GOOGLETRANSLATE(G615,""EN"",""JA"")"),"水ぶくれインジケーター")</f>
        <v>水ぶくれインジケーター</v>
      </c>
    </row>
    <row r="616" ht="13.5" customHeight="1">
      <c r="A616" s="1" t="s">
        <v>67</v>
      </c>
      <c r="B616" s="1" t="s">
        <v>3126</v>
      </c>
      <c r="C616" s="1" t="s">
        <v>3127</v>
      </c>
      <c r="D616" s="1" t="s">
        <v>3128</v>
      </c>
      <c r="E616" s="1" t="s">
        <v>3128</v>
      </c>
      <c r="F616" s="1" t="s">
        <v>3129</v>
      </c>
      <c r="G616" s="1" t="s">
        <v>3130</v>
      </c>
      <c r="H616" s="1" t="str">
        <f>IFERROR(__xludf.DUMMYFUNCTION("GOOGLETRANSLATE(D616,""EN"",""JA"")"),"ベータラクタマーゼ陰性細菌")</f>
        <v>ベータラクタマーゼ陰性細菌</v>
      </c>
      <c r="I616" s="1" t="str">
        <f>IFERROR(__xludf.DUMMYFUNCTION("GOOGLETRANSLATE(E616,""EN"",""JA"")"),"ベータラクタマーゼ陰性細菌")</f>
        <v>ベータラクタマーゼ陰性細菌</v>
      </c>
      <c r="J616" s="1" t="str">
        <f>IFERROR(__xludf.DUMMYFUNCTION("GOOGLETRANSLATE(F616,""EN"",""JA"")"),"生物標本中のベータラクタマーゼ陰性細菌の測定。")</f>
        <v>生物標本中のベータラクタマーゼ陰性細菌の測定。</v>
      </c>
      <c r="K616" s="1" t="str">
        <f>IFERROR(__xludf.DUMMYFUNCTION("GOOGLETRANSLATE(G616,""EN"",""JA"")"),"ベータラクタマーゼ陰性細菌測定")</f>
        <v>ベータラクタマーゼ陰性細菌測定</v>
      </c>
    </row>
    <row r="617" ht="13.5" customHeight="1">
      <c r="A617" s="1" t="s">
        <v>67</v>
      </c>
      <c r="B617" s="1" t="s">
        <v>3131</v>
      </c>
      <c r="C617" s="1" t="s">
        <v>3132</v>
      </c>
      <c r="D617" s="1" t="s">
        <v>3133</v>
      </c>
      <c r="E617" s="1" t="s">
        <v>3133</v>
      </c>
      <c r="F617" s="1" t="s">
        <v>3134</v>
      </c>
      <c r="G617" s="1" t="s">
        <v>3135</v>
      </c>
      <c r="H617" s="1" t="str">
        <f>IFERROR(__xludf.DUMMYFUNCTION("GOOGLETRANSLATE(D617,""EN"",""JA"")"),"ベータラクタマーゼ陽性細菌")</f>
        <v>ベータラクタマーゼ陽性細菌</v>
      </c>
      <c r="I617" s="1" t="str">
        <f>IFERROR(__xludf.DUMMYFUNCTION("GOOGLETRANSLATE(E617,""EN"",""JA"")"),"ベータラクタマーゼ陽性細菌")</f>
        <v>ベータラクタマーゼ陽性細菌</v>
      </c>
      <c r="J617" s="1" t="str">
        <f>IFERROR(__xludf.DUMMYFUNCTION("GOOGLETRANSLATE(F617,""EN"",""JA"")"),"生物標本中のベータラクタマーゼ陽性細菌の測定。")</f>
        <v>生物標本中のベータラクタマーゼ陽性細菌の測定。</v>
      </c>
      <c r="K617" s="1" t="str">
        <f>IFERROR(__xludf.DUMMYFUNCTION("GOOGLETRANSLATE(G617,""EN"",""JA"")"),"ベータラクタマーゼ陽性細菌測定")</f>
        <v>ベータラクタマーゼ陽性細菌測定</v>
      </c>
    </row>
    <row r="618" ht="13.5" customHeight="1">
      <c r="A618" s="1" t="s">
        <v>11</v>
      </c>
      <c r="B618" s="1" t="s">
        <v>3136</v>
      </c>
      <c r="C618" s="1" t="s">
        <v>3137</v>
      </c>
      <c r="D618" s="1" t="s">
        <v>3138</v>
      </c>
      <c r="E618" s="1" t="s">
        <v>3139</v>
      </c>
      <c r="F618" s="1" t="s">
        <v>3140</v>
      </c>
      <c r="G618" s="1" t="s">
        <v>3141</v>
      </c>
      <c r="H618" s="1" t="str">
        <f>IFERROR(__xludf.DUMMYFUNCTION("GOOGLETRANSLATE(D618,""EN"",""JA"")"),"免疫芽球/リンパ球")</f>
        <v>免疫芽球/リンパ球</v>
      </c>
      <c r="I618" s="1" t="str">
        <f>IFERROR(__xludf.DUMMYFUNCTION("GOOGLETRANSLATE(E618,""EN"",""JA"")"),"免疫芽球/リンパ球; リンパ球、免疫芽球/リンパ球")</f>
        <v>免疫芽球/リンパ球; リンパ球、免疫芽球/リンパ球</v>
      </c>
      <c r="J618" s="1" t="str">
        <f>IFERROR(__xludf.DUMMYFUNCTION("GOOGLETRANSLATE(F618,""EN"",""JA"")"),"サンプル中に存在するすべてのリンパ球に対する免疫芽球の相対的な測定値 (比率またはパーセンテージ)。")</f>
        <v>サンプル中に存在するすべてのリンパ球に対する免疫芽球の相対的な測定値 (比率またはパーセンテージ)。</v>
      </c>
      <c r="K618" s="1" t="str">
        <f>IFERROR(__xludf.DUMMYFUNCTION("GOOGLETRANSLATE(G618,""EN"",""JA"")"),"免疫芽球とリンパ球の比率測定")</f>
        <v>免疫芽球とリンパ球の比率測定</v>
      </c>
    </row>
    <row r="619" ht="13.5" customHeight="1">
      <c r="A619" s="1" t="s">
        <v>11</v>
      </c>
      <c r="B619" s="1" t="s">
        <v>3142</v>
      </c>
      <c r="C619" s="1" t="s">
        <v>3143</v>
      </c>
      <c r="D619" s="1" t="s">
        <v>3144</v>
      </c>
      <c r="E619" s="1" t="s">
        <v>3144</v>
      </c>
      <c r="F619" s="1" t="s">
        <v>3145</v>
      </c>
      <c r="G619" s="1" t="s">
        <v>3146</v>
      </c>
      <c r="H619" s="1" t="str">
        <f>IFERROR(__xludf.DUMMYFUNCTION("GOOGLETRANSLATE(D619,""EN"",""JA"")"),"白血病性芽球/リンパ球")</f>
        <v>白血病性芽球/リンパ球</v>
      </c>
      <c r="I619" s="1" t="str">
        <f>IFERROR(__xludf.DUMMYFUNCTION("GOOGLETRANSLATE(E619,""EN"",""JA"")"),"白血病性芽球/リンパ球")</f>
        <v>白血病性芽球/リンパ球</v>
      </c>
      <c r="J619" s="1" t="str">
        <f>IFERROR(__xludf.DUMMYFUNCTION("GOOGLETRANSLATE(F619,""EN"",""JA"")"),"生物標本中の白血病芽球（未熟リンパ芽球および/または骨髄芽球）と成熟リンパ球の相対的な測定値（比率またはパーセンテージ）。")</f>
        <v>生物標本中の白血病芽球（未熟リンパ芽球および/または骨髄芽球）と成熟リンパ球の相対的な測定値（比率またはパーセンテージ）。</v>
      </c>
      <c r="K619" s="1" t="str">
        <f>IFERROR(__xludf.DUMMYFUNCTION("GOOGLETRANSLATE(G619,""EN"",""JA"")"),"白血病性芽球対リンパ球比測定")</f>
        <v>白血病性芽球対リンパ球比測定</v>
      </c>
    </row>
    <row r="620" ht="13.5" customHeight="1">
      <c r="A620" s="1" t="s">
        <v>11</v>
      </c>
      <c r="B620" s="1" t="s">
        <v>3147</v>
      </c>
      <c r="C620" s="1" t="s">
        <v>3148</v>
      </c>
      <c r="D620" s="1" t="s">
        <v>3149</v>
      </c>
      <c r="E620" s="1" t="s">
        <v>3150</v>
      </c>
      <c r="F620" s="1" t="s">
        <v>3151</v>
      </c>
      <c r="G620" s="1" t="s">
        <v>3152</v>
      </c>
      <c r="H620" s="1" t="str">
        <f>IFERROR(__xludf.DUMMYFUNCTION("GOOGLETRANSLATE(D620,""EN"",""JA"")"),"リンパ芽球")</f>
        <v>リンパ芽球</v>
      </c>
      <c r="I620" s="1" t="str">
        <f>IFERROR(__xludf.DUMMYFUNCTION("GOOGLETRANSLATE(E620,""EN"",""JA"")"),"リンパ芽球")</f>
        <v>リンパ芽球</v>
      </c>
      <c r="J620" s="1" t="str">
        <f>IFERROR(__xludf.DUMMYFUNCTION("GOOGLETRANSLATE(F620,""EN"",""JA"")"),"生物学的標本中のリンパ芽球（リンパ球を形成するために分化する未熟な細胞）の測定。")</f>
        <v>生物学的標本中のリンパ芽球（リンパ球を形成するために分化する未熟な細胞）の測定。</v>
      </c>
      <c r="K620" s="1" t="str">
        <f>IFERROR(__xludf.DUMMYFUNCTION("GOOGLETRANSLATE(G620,""EN"",""JA"")"),"リンパ芽球数")</f>
        <v>リンパ芽球数</v>
      </c>
    </row>
    <row r="621" ht="13.5" customHeight="1">
      <c r="A621" s="1" t="s">
        <v>11</v>
      </c>
      <c r="B621" s="1" t="s">
        <v>3153</v>
      </c>
      <c r="C621" s="1" t="s">
        <v>3154</v>
      </c>
      <c r="D621" s="1" t="s">
        <v>3155</v>
      </c>
      <c r="E621" s="1" t="s">
        <v>3155</v>
      </c>
      <c r="F621" s="1" t="s">
        <v>3156</v>
      </c>
      <c r="G621" s="1" t="s">
        <v>3157</v>
      </c>
      <c r="H621" s="1" t="str">
        <f>IFERROR(__xludf.DUMMYFUNCTION("GOOGLETRANSLATE(D621,""EN"",""JA"")"),"リンパ芽球/白血球")</f>
        <v>リンパ芽球/白血球</v>
      </c>
      <c r="I621" s="1" t="str">
        <f>IFERROR(__xludf.DUMMYFUNCTION("GOOGLETRANSLATE(E621,""EN"",""JA"")"),"リンパ芽球/白血球")</f>
        <v>リンパ芽球/白血球</v>
      </c>
      <c r="J621" s="1" t="str">
        <f>IFERROR(__xludf.DUMMYFUNCTION("GOOGLETRANSLATE(F621,""EN"",""JA"")"),"生物標本中のリンパ芽球と白血球の相対的な測定値（比率またはパーセンテージ）。")</f>
        <v>生物標本中のリンパ芽球と白血球の相対的な測定値（比率またはパーセンテージ）。</v>
      </c>
      <c r="K621" s="1" t="str">
        <f>IFERROR(__xludf.DUMMYFUNCTION("GOOGLETRANSLATE(G621,""EN"",""JA"")"),"リンパ芽球対白血球比測定")</f>
        <v>リンパ芽球対白血球比測定</v>
      </c>
    </row>
    <row r="622" ht="13.5" customHeight="1">
      <c r="A622" s="1" t="s">
        <v>11</v>
      </c>
      <c r="B622" s="1" t="s">
        <v>3158</v>
      </c>
      <c r="C622" s="1" t="s">
        <v>3159</v>
      </c>
      <c r="D622" s="1" t="s">
        <v>3160</v>
      </c>
      <c r="E622" s="1" t="s">
        <v>3160</v>
      </c>
      <c r="F622" s="1" t="s">
        <v>3161</v>
      </c>
      <c r="G622" s="1" t="s">
        <v>3162</v>
      </c>
      <c r="H622" s="1" t="str">
        <f>IFERROR(__xludf.DUMMYFUNCTION("GOOGLETRANSLATE(D622,""EN"",""JA"")"),"リンパ芽球/リンパ球")</f>
        <v>リンパ芽球/リンパ球</v>
      </c>
      <c r="I622" s="1" t="str">
        <f>IFERROR(__xludf.DUMMYFUNCTION("GOOGLETRANSLATE(E622,""EN"",""JA"")"),"リンパ芽球/リンパ球")</f>
        <v>リンパ芽球/リンパ球</v>
      </c>
      <c r="J622" s="1" t="str">
        <f>IFERROR(__xludf.DUMMYFUNCTION("GOOGLETRANSLATE(F622,""EN"",""JA"")"),"生物標本中のリンパ球に対するリンパ芽球の相対的な測定値（比率またはパーセンテージ）。")</f>
        <v>生物標本中のリンパ球に対するリンパ芽球の相対的な測定値（比率またはパーセンテージ）。</v>
      </c>
      <c r="K622" s="1" t="str">
        <f>IFERROR(__xludf.DUMMYFUNCTION("GOOGLETRANSLATE(G622,""EN"",""JA"")"),"リンパ芽球対リンパ球比測定")</f>
        <v>リンパ芽球対リンパ球比測定</v>
      </c>
    </row>
    <row r="623" ht="13.5" customHeight="1">
      <c r="A623" s="1" t="s">
        <v>134</v>
      </c>
      <c r="B623" s="1" t="s">
        <v>3163</v>
      </c>
      <c r="C623" s="1" t="s">
        <v>3164</v>
      </c>
      <c r="D623" s="1" t="s">
        <v>3165</v>
      </c>
      <c r="E623" s="1" t="s">
        <v>3165</v>
      </c>
      <c r="F623" s="1" t="s">
        <v>3166</v>
      </c>
      <c r="G623" s="1" t="s">
        <v>3167</v>
      </c>
      <c r="H623" s="1" t="str">
        <f>IFERROR(__xludf.DUMMYFUNCTION("GOOGLETRANSLATE(D623,""EN"",""JA"")"),"骨髄芽球/総細胞")</f>
        <v>骨髄芽球/総細胞</v>
      </c>
      <c r="I623" s="1" t="str">
        <f>IFERROR(__xludf.DUMMYFUNCTION("GOOGLETRANSLATE(E623,""EN"",""JA"")"),"骨髄芽球/総細胞")</f>
        <v>骨髄芽球/総細胞</v>
      </c>
      <c r="J623" s="1" t="str">
        <f>IFERROR(__xludf.DUMMYFUNCTION("GOOGLETRANSLATE(F623,""EN"",""JA"")"),"生物学的標本（骨髄標本など）内の骨髄芽球と総細胞の相対的な測定値（比率またはパーセンテージ）。")</f>
        <v>生物学的標本（骨髄標本など）内の骨髄芽球と総細胞の相対的な測定値（比率またはパーセンテージ）。</v>
      </c>
      <c r="K623" s="1" t="str">
        <f>IFERROR(__xludf.DUMMYFUNCTION("GOOGLETRANSLATE(G623,""EN"",""JA"")"),"骨髄芽球と総細胞比の測定")</f>
        <v>骨髄芽球と総細胞比の測定</v>
      </c>
    </row>
    <row r="624" ht="13.5" customHeight="1">
      <c r="A624" s="1" t="s">
        <v>11</v>
      </c>
      <c r="B624" s="1" t="s">
        <v>3163</v>
      </c>
      <c r="C624" s="1" t="s">
        <v>3164</v>
      </c>
      <c r="D624" s="1" t="s">
        <v>3165</v>
      </c>
      <c r="E624" s="1" t="s">
        <v>3165</v>
      </c>
      <c r="F624" s="1" t="s">
        <v>3166</v>
      </c>
      <c r="G624" s="1" t="s">
        <v>3167</v>
      </c>
      <c r="H624" s="1" t="str">
        <f>IFERROR(__xludf.DUMMYFUNCTION("GOOGLETRANSLATE(D624,""EN"",""JA"")"),"骨髄芽球/総細胞")</f>
        <v>骨髄芽球/総細胞</v>
      </c>
      <c r="I624" s="1" t="str">
        <f>IFERROR(__xludf.DUMMYFUNCTION("GOOGLETRANSLATE(E624,""EN"",""JA"")"),"骨髄芽球/総細胞")</f>
        <v>骨髄芽球/総細胞</v>
      </c>
      <c r="J624" s="1" t="str">
        <f>IFERROR(__xludf.DUMMYFUNCTION("GOOGLETRANSLATE(F624,""EN"",""JA"")"),"生物学的標本（骨髄標本など）内の骨髄芽球と総細胞の相対的な測定値（比率またはパーセンテージ）。")</f>
        <v>生物学的標本（骨髄標本など）内の骨髄芽球と総細胞の相対的な測定値（比率またはパーセンテージ）。</v>
      </c>
      <c r="K624" s="1" t="str">
        <f>IFERROR(__xludf.DUMMYFUNCTION("GOOGLETRANSLATE(G624,""EN"",""JA"")"),"骨髄芽球と総細胞比の測定")</f>
        <v>骨髄芽球と総細胞比の測定</v>
      </c>
    </row>
    <row r="625" ht="13.5" customHeight="1">
      <c r="A625" s="1" t="s">
        <v>11</v>
      </c>
      <c r="B625" s="1" t="s">
        <v>3168</v>
      </c>
      <c r="C625" s="1" t="s">
        <v>3169</v>
      </c>
      <c r="D625" s="1" t="s">
        <v>3170</v>
      </c>
      <c r="E625" s="1" t="s">
        <v>3170</v>
      </c>
      <c r="F625" s="1" t="s">
        <v>3171</v>
      </c>
      <c r="G625" s="1" t="s">
        <v>3172</v>
      </c>
      <c r="H625" s="1" t="str">
        <f>IFERROR(__xludf.DUMMYFUNCTION("GOOGLETRANSLATE(D625,""EN"",""JA"")"),"巨核芽球")</f>
        <v>巨核芽球</v>
      </c>
      <c r="I625" s="1" t="str">
        <f>IFERROR(__xludf.DUMMYFUNCTION("GOOGLETRANSLATE(E625,""EN"",""JA"")"),"巨核芽球")</f>
        <v>巨核芽球</v>
      </c>
      <c r="J625" s="1" t="str">
        <f>IFERROR(__xludf.DUMMYFUNCTION("GOOGLETRANSLATE(F625,""EN"",""JA"")"),"生物標本中の巨核芽球の測定。")</f>
        <v>生物標本中の巨核芽球の測定。</v>
      </c>
      <c r="K625" s="1" t="str">
        <f>IFERROR(__xludf.DUMMYFUNCTION("GOOGLETRANSLATE(G625,""EN"",""JA"")"),"巨核芽球細胞数")</f>
        <v>巨核芽球細胞数</v>
      </c>
    </row>
    <row r="626" ht="13.5" customHeight="1">
      <c r="A626" s="1" t="s">
        <v>134</v>
      </c>
      <c r="B626" s="1" t="s">
        <v>3173</v>
      </c>
      <c r="C626" s="1" t="s">
        <v>3174</v>
      </c>
      <c r="D626" s="1" t="s">
        <v>3175</v>
      </c>
      <c r="E626" s="1" t="s">
        <v>3175</v>
      </c>
      <c r="F626" s="1" t="s">
        <v>3176</v>
      </c>
      <c r="G626" s="1" t="s">
        <v>3177</v>
      </c>
      <c r="H626" s="1" t="str">
        <f>IFERROR(__xludf.DUMMYFUNCTION("GOOGLETRANSLATE(D626,""EN"",""JA"")"),"巨核芽球／総細胞数")</f>
        <v>巨核芽球／総細胞数</v>
      </c>
      <c r="I626" s="1" t="str">
        <f>IFERROR(__xludf.DUMMYFUNCTION("GOOGLETRANSLATE(E626,""EN"",""JA"")"),"巨核芽球／総細胞数")</f>
        <v>巨核芽球／総細胞数</v>
      </c>
      <c r="J626" s="1" t="str">
        <f>IFERROR(__xludf.DUMMYFUNCTION("GOOGLETRANSLATE(F626,""EN"",""JA"")"),"生物学的標本（骨髄標本など）内の総細胞に対する巨核芽球の相対的な測定値（比率またはパーセンテージ）。")</f>
        <v>生物学的標本（骨髄標本など）内の総細胞に対する巨核芽球の相対的な測定値（比率またはパーセンテージ）。</v>
      </c>
      <c r="K626" s="1" t="str">
        <f>IFERROR(__xludf.DUMMYFUNCTION("GOOGLETRANSLATE(G626,""EN"",""JA"")"),"巨核芽球と総細胞比の測定")</f>
        <v>巨核芽球と総細胞比の測定</v>
      </c>
    </row>
    <row r="627" ht="13.5" customHeight="1">
      <c r="A627" s="1" t="s">
        <v>11</v>
      </c>
      <c r="B627" s="1" t="s">
        <v>3173</v>
      </c>
      <c r="C627" s="1" t="s">
        <v>3174</v>
      </c>
      <c r="D627" s="1" t="s">
        <v>3175</v>
      </c>
      <c r="E627" s="1" t="s">
        <v>3175</v>
      </c>
      <c r="F627" s="1" t="s">
        <v>3176</v>
      </c>
      <c r="G627" s="1" t="s">
        <v>3177</v>
      </c>
      <c r="H627" s="1" t="str">
        <f>IFERROR(__xludf.DUMMYFUNCTION("GOOGLETRANSLATE(D627,""EN"",""JA"")"),"巨核芽球／総細胞数")</f>
        <v>巨核芽球／総細胞数</v>
      </c>
      <c r="I627" s="1" t="str">
        <f>IFERROR(__xludf.DUMMYFUNCTION("GOOGLETRANSLATE(E627,""EN"",""JA"")"),"巨核芽球／総細胞数")</f>
        <v>巨核芽球／総細胞数</v>
      </c>
      <c r="J627" s="1" t="str">
        <f>IFERROR(__xludf.DUMMYFUNCTION("GOOGLETRANSLATE(F627,""EN"",""JA"")"),"生物学的標本（骨髄標本など）内の総細胞に対する巨核芽球の相対的な測定値（比率またはパーセンテージ）。")</f>
        <v>生物学的標本（骨髄標本など）内の総細胞に対する巨核芽球の相対的な測定値（比率またはパーセンテージ）。</v>
      </c>
      <c r="K627" s="1" t="str">
        <f>IFERROR(__xludf.DUMMYFUNCTION("GOOGLETRANSLATE(G627,""EN"",""JA"")"),"巨核芽球と総細胞比の測定")</f>
        <v>巨核芽球と総細胞比の測定</v>
      </c>
    </row>
    <row r="628" ht="13.5" customHeight="1">
      <c r="A628" s="1" t="s">
        <v>11</v>
      </c>
      <c r="B628" s="1" t="s">
        <v>3178</v>
      </c>
      <c r="C628" s="1" t="s">
        <v>3179</v>
      </c>
      <c r="D628" s="1" t="s">
        <v>3180</v>
      </c>
      <c r="E628" s="1" t="s">
        <v>3180</v>
      </c>
      <c r="F628" s="1" t="s">
        <v>3181</v>
      </c>
      <c r="G628" s="1" t="s">
        <v>3182</v>
      </c>
      <c r="H628" s="1" t="str">
        <f>IFERROR(__xludf.DUMMYFUNCTION("GOOGLETRANSLATE(D628,""EN"",""JA"")"),"巨核芽球/白血球")</f>
        <v>巨核芽球/白血球</v>
      </c>
      <c r="I628" s="1" t="str">
        <f>IFERROR(__xludf.DUMMYFUNCTION("GOOGLETRANSLATE(E628,""EN"",""JA"")"),"巨核芽球/白血球")</f>
        <v>巨核芽球/白血球</v>
      </c>
      <c r="J628" s="1" t="str">
        <f>IFERROR(__xludf.DUMMYFUNCTION("GOOGLETRANSLATE(F628,""EN"",""JA"")"),"生物標本中の白血球総数に対する巨核芽球数の相対的な測定値（比率またはパーセンテージ）。")</f>
        <v>生物標本中の白血球総数に対する巨核芽球数の相対的な測定値（比率またはパーセンテージ）。</v>
      </c>
      <c r="K628" s="1" t="str">
        <f>IFERROR(__xludf.DUMMYFUNCTION("GOOGLETRANSLATE(G628,""EN"",""JA"")"),"巨核芽球と白血球の比率測定")</f>
        <v>巨核芽球と白血球の比率測定</v>
      </c>
    </row>
    <row r="629" ht="13.5" customHeight="1">
      <c r="A629" s="1" t="s">
        <v>11</v>
      </c>
      <c r="B629" s="1" t="s">
        <v>3183</v>
      </c>
      <c r="C629" s="1" t="s">
        <v>3184</v>
      </c>
      <c r="D629" s="1" t="s">
        <v>3185</v>
      </c>
      <c r="E629" s="1" t="s">
        <v>3185</v>
      </c>
      <c r="F629" s="1" t="s">
        <v>3186</v>
      </c>
      <c r="G629" s="1" t="s">
        <v>3187</v>
      </c>
      <c r="H629" s="1" t="str">
        <f>IFERROR(__xludf.DUMMYFUNCTION("GOOGLETRANSLATE(D629,""EN"",""JA"")"),"正芽球")</f>
        <v>正芽球</v>
      </c>
      <c r="I629" s="1" t="str">
        <f>IFERROR(__xludf.DUMMYFUNCTION("GOOGLETRANSLATE(E629,""EN"",""JA"")"),"正芽球")</f>
        <v>正芽球</v>
      </c>
      <c r="J629" s="1" t="str">
        <f>IFERROR(__xludf.DUMMYFUNCTION("GOOGLETRANSLATE(F629,""EN"",""JA"")"),"生物標本内の正芽球の測定。")</f>
        <v>生物標本内の正芽球の測定。</v>
      </c>
      <c r="K629" s="1" t="str">
        <f>IFERROR(__xludf.DUMMYFUNCTION("GOOGLETRANSLATE(G629,""EN"",""JA"")"),"ノーモブラスト数")</f>
        <v>ノーモブラスト数</v>
      </c>
    </row>
    <row r="630" ht="13.5" customHeight="1">
      <c r="A630" s="1" t="s">
        <v>11</v>
      </c>
      <c r="B630" s="1" t="s">
        <v>3188</v>
      </c>
      <c r="C630" s="1" t="s">
        <v>3189</v>
      </c>
      <c r="D630" s="1" t="s">
        <v>3190</v>
      </c>
      <c r="E630" s="1" t="s">
        <v>3190</v>
      </c>
      <c r="F630" s="1" t="s">
        <v>3191</v>
      </c>
      <c r="G630" s="1" t="s">
        <v>3192</v>
      </c>
      <c r="H630" s="1" t="str">
        <f>IFERROR(__xludf.DUMMYFUNCTION("GOOGLETRANSLATE(D630,""EN"",""JA"")"),"正芽球/総細胞数")</f>
        <v>正芽球/総細胞数</v>
      </c>
      <c r="I630" s="1" t="str">
        <f>IFERROR(__xludf.DUMMYFUNCTION("GOOGLETRANSLATE(E630,""EN"",""JA"")"),"正芽球/総細胞数")</f>
        <v>正芽球/総細胞数</v>
      </c>
      <c r="J630" s="1" t="str">
        <f>IFERROR(__xludf.DUMMYFUNCTION("GOOGLETRANSLATE(F630,""EN"",""JA"")"),"生物学的標本（骨髄標本など）内の全細胞に対する正芽球の相対的な測定値（比率またはパーセンテージ）。")</f>
        <v>生物学的標本（骨髄標本など）内の全細胞に対する正芽球の相対的な測定値（比率またはパーセンテージ）。</v>
      </c>
      <c r="K630" s="1" t="str">
        <f>IFERROR(__xludf.DUMMYFUNCTION("GOOGLETRANSLATE(G630,""EN"",""JA"")"),"正芽球細胞と全細胞比の測定")</f>
        <v>正芽球細胞と全細胞比の測定</v>
      </c>
    </row>
    <row r="631" ht="13.5" customHeight="1">
      <c r="A631" s="1" t="s">
        <v>11</v>
      </c>
      <c r="B631" s="1" t="s">
        <v>3193</v>
      </c>
      <c r="C631" s="1" t="s">
        <v>3194</v>
      </c>
      <c r="D631" s="1" t="s">
        <v>3195</v>
      </c>
      <c r="E631" s="1" t="s">
        <v>3196</v>
      </c>
      <c r="F631" s="1" t="s">
        <v>3197</v>
      </c>
      <c r="G631" s="1" t="s">
        <v>3198</v>
      </c>
      <c r="H631" s="1" t="str">
        <f>IFERROR(__xludf.DUMMYFUNCTION("GOOGLETRANSLATE(D631,""EN"",""JA"")"),"ルブリブラスト/総細胞")</f>
        <v>ルブリブラスト/総細胞</v>
      </c>
      <c r="I631" s="1" t="str">
        <f>IFERROR(__xludf.DUMMYFUNCTION("GOOGLETRANSLATE(E631,""EN"",""JA"")"),"前赤芽球/総細胞数; 前正芽球/総細胞数; 赤芽球/総細胞数")</f>
        <v>前赤芽球/総細胞数; 前正芽球/総細胞数; 赤芽球/総細胞数</v>
      </c>
      <c r="J631" s="1" t="str">
        <f>IFERROR(__xludf.DUMMYFUNCTION("GOOGLETRANSLATE(F631,""EN"",""JA"")"),"生物学的標本（骨髄標本など）内の赤芽球と総細胞の相対的な測定値（比率またはパーセンテージ）。")</f>
        <v>生物学的標本（骨髄標本など）内の赤芽球と総細胞の相対的な測定値（比率またはパーセンテージ）。</v>
      </c>
      <c r="K631" s="1" t="str">
        <f>IFERROR(__xludf.DUMMYFUNCTION("GOOGLETRANSLATE(G631,""EN"",""JA"")"),"前正常芽球と全細胞比の測定")</f>
        <v>前正常芽球と全細胞比の測定</v>
      </c>
    </row>
    <row r="632" ht="13.5" customHeight="1">
      <c r="A632" s="1" t="s">
        <v>11</v>
      </c>
      <c r="B632" s="1" t="s">
        <v>3199</v>
      </c>
      <c r="C632" s="1" t="s">
        <v>3200</v>
      </c>
      <c r="D632" s="1" t="s">
        <v>3201</v>
      </c>
      <c r="E632" s="1" t="s">
        <v>3201</v>
      </c>
      <c r="F632" s="1" t="s">
        <v>3202</v>
      </c>
      <c r="G632" s="1" t="s">
        <v>3203</v>
      </c>
      <c r="H632" s="1" t="str">
        <f>IFERROR(__xludf.DUMMYFUNCTION("GOOGLETRANSLATE(D632,""EN"",""JA"")"),"環状鉄芽球")</f>
        <v>環状鉄芽球</v>
      </c>
      <c r="I632" s="1" t="str">
        <f>IFERROR(__xludf.DUMMYFUNCTION("GOOGLETRANSLATE(E632,""EN"",""JA"")"),"環状鉄芽球")</f>
        <v>環状鉄芽球</v>
      </c>
      <c r="J632" s="1" t="str">
        <f>IFERROR(__xludf.DUMMYFUNCTION("GOOGLETRANSLATE(F632,""EN"",""JA"")"),"生物標本中の環状鉄芽球（核周囲のミトコンドリアに多数の鉄沈着物があり、核の周りにリングを形成する異常な核赤芽球）の測定。")</f>
        <v>生物標本中の環状鉄芽球（核周囲のミトコンドリアに多数の鉄沈着物があり、核の周りにリングを形成する異常な核赤芽球）の測定。</v>
      </c>
      <c r="K632" s="1" t="str">
        <f>IFERROR(__xludf.DUMMYFUNCTION("GOOGLETRANSLATE(G632,""EN"",""JA"")"),"リング状鉄芽球測定")</f>
        <v>リング状鉄芽球測定</v>
      </c>
    </row>
    <row r="633" ht="13.5" customHeight="1">
      <c r="A633" s="1" t="s">
        <v>11</v>
      </c>
      <c r="B633" s="1" t="s">
        <v>3204</v>
      </c>
      <c r="C633" s="1" t="s">
        <v>3205</v>
      </c>
      <c r="D633" s="1" t="s">
        <v>3206</v>
      </c>
      <c r="E633" s="1" t="s">
        <v>3206</v>
      </c>
      <c r="F633" s="1" t="s">
        <v>3207</v>
      </c>
      <c r="G633" s="1" t="s">
        <v>3208</v>
      </c>
      <c r="H633" s="1" t="str">
        <f>IFERROR(__xludf.DUMMYFUNCTION("GOOGLETRANSLATE(D633,""EN"",""JA"")"),"シデロブラスト")</f>
        <v>シデロブラスト</v>
      </c>
      <c r="I633" s="1" t="str">
        <f>IFERROR(__xludf.DUMMYFUNCTION("GOOGLETRANSLATE(E633,""EN"",""JA"")"),"シデロブラスト")</f>
        <v>シデロブラスト</v>
      </c>
      <c r="J633" s="1" t="str">
        <f>IFERROR(__xludf.DUMMYFUNCTION("GOOGLETRANSLATE(F633,""EN"",""JA"")"),"生物標本中の鉄芽球（細胞質内に鉄顆粒を持つ核のある赤芽球）の測定。")</f>
        <v>生物標本中の鉄芽球（細胞質内に鉄顆粒を持つ核のある赤芽球）の測定。</v>
      </c>
      <c r="K633" s="1" t="str">
        <f>IFERROR(__xludf.DUMMYFUNCTION("GOOGLETRANSLATE(G633,""EN"",""JA"")"),"シデロブラスト測定")</f>
        <v>シデロブラスト測定</v>
      </c>
    </row>
    <row r="634" ht="13.5" customHeight="1">
      <c r="A634" s="1" t="s">
        <v>11</v>
      </c>
      <c r="B634" s="1" t="s">
        <v>3209</v>
      </c>
      <c r="C634" s="1" t="s">
        <v>3210</v>
      </c>
      <c r="D634" s="1" t="s">
        <v>3211</v>
      </c>
      <c r="E634" s="1" t="s">
        <v>3212</v>
      </c>
      <c r="F634" s="1" t="s">
        <v>3213</v>
      </c>
      <c r="G634" s="1" t="s">
        <v>3214</v>
      </c>
      <c r="H634" s="1" t="str">
        <f>IFERROR(__xludf.DUMMYFUNCTION("GOOGLETRANSLATE(D634,""EN"",""JA"")"),"Bリンパ球")</f>
        <v>Bリンパ球</v>
      </c>
      <c r="I634" s="1" t="str">
        <f>IFERROR(__xludf.DUMMYFUNCTION("GOOGLETRANSLATE(E634,""EN"",""JA"")"),"B細胞; B細胞リンパ球; B細胞; Bリンパ球")</f>
        <v>B細胞; B細胞リンパ球; B細胞; Bリンパ球</v>
      </c>
      <c r="J634" s="1" t="str">
        <f>IFERROR(__xludf.DUMMYFUNCTION("GOOGLETRANSLATE(F634,""EN"",""JA"")"),"生物学的標本中の B リンパ球の測定。")</f>
        <v>生物学的標本中の B リンパ球の測定。</v>
      </c>
      <c r="K634" s="1" t="str">
        <f>IFERROR(__xludf.DUMMYFUNCTION("GOOGLETRANSLATE(G634,""EN"",""JA"")"),"Bリンパ球数")</f>
        <v>Bリンパ球数</v>
      </c>
    </row>
    <row r="635" ht="13.5" customHeight="1">
      <c r="A635" s="1" t="s">
        <v>11</v>
      </c>
      <c r="B635" s="1" t="s">
        <v>3215</v>
      </c>
      <c r="C635" s="1" t="s">
        <v>3216</v>
      </c>
      <c r="D635" s="1" t="s">
        <v>3217</v>
      </c>
      <c r="E635" s="1" t="s">
        <v>3217</v>
      </c>
      <c r="F635" s="1" t="s">
        <v>3218</v>
      </c>
      <c r="G635" s="1" t="s">
        <v>3219</v>
      </c>
      <c r="H635" s="1" t="str">
        <f>IFERROR(__xludf.DUMMYFUNCTION("GOOGLETRANSLATE(D635,""EN"",""JA"")"),"Bリンパ球/総細胞")</f>
        <v>Bリンパ球/総細胞</v>
      </c>
      <c r="I635" s="1" t="str">
        <f>IFERROR(__xludf.DUMMYFUNCTION("GOOGLETRANSLATE(E635,""EN"",""JA"")"),"Bリンパ球/総細胞")</f>
        <v>Bリンパ球/総細胞</v>
      </c>
      <c r="J635" s="1" t="str">
        <f>IFERROR(__xludf.DUMMYFUNCTION("GOOGLETRANSLATE(F635,""EN"",""JA"")"),"生物標本中の全細胞に対する B リンパ球の相対的な測定値 (比率またはパーセンテージ)。")</f>
        <v>生物標本中の全細胞に対する B リンパ球の相対的な測定値 (比率またはパーセンテージ)。</v>
      </c>
      <c r="K635" s="1" t="str">
        <f>IFERROR(__xludf.DUMMYFUNCTION("GOOGLETRANSLATE(G635,""EN"",""JA"")"),"Bリンパ球と総細胞数の比率測定")</f>
        <v>Bリンパ球と総細胞数の比率測定</v>
      </c>
    </row>
    <row r="636" ht="13.5" customHeight="1">
      <c r="A636" s="1" t="s">
        <v>11</v>
      </c>
      <c r="B636" s="1" t="s">
        <v>3220</v>
      </c>
      <c r="C636" s="1" t="s">
        <v>3221</v>
      </c>
      <c r="D636" s="1" t="s">
        <v>3222</v>
      </c>
      <c r="E636" s="1" t="s">
        <v>3223</v>
      </c>
      <c r="F636" s="1" t="s">
        <v>3224</v>
      </c>
      <c r="G636" s="1" t="s">
        <v>3225</v>
      </c>
      <c r="H636" s="1" t="str">
        <f>IFERROR(__xludf.DUMMYFUNCTION("GOOGLETRANSLATE(D636,""EN"",""JA"")"),"Bリンパ球/白血球")</f>
        <v>Bリンパ球/白血球</v>
      </c>
      <c r="I636" s="1" t="str">
        <f>IFERROR(__xludf.DUMMYFUNCTION("GOOGLETRANSLATE(E636,""EN"",""JA"")"),"B細胞/白血球; Bリンパ球/白血球; BLym/Leuk")</f>
        <v>B細胞/白血球; Bリンパ球/白血球; BLym/Leuk</v>
      </c>
      <c r="J636" s="1" t="str">
        <f>IFERROR(__xludf.DUMMYFUNCTION("GOOGLETRANSLATE(F636,""EN"",""JA"")"),"生物標本中の白血球に対する B リンパ球の相対的な測定値 (比率またはパーセンテージ)。")</f>
        <v>生物標本中の白血球に対する B リンパ球の相対的な測定値 (比率またはパーセンテージ)。</v>
      </c>
      <c r="K636" s="1" t="str">
        <f>IFERROR(__xludf.DUMMYFUNCTION("GOOGLETRANSLATE(G636,""EN"",""JA"")"),"Bリンパ球と白血球の比率測定")</f>
        <v>Bリンパ球と白血球の比率測定</v>
      </c>
    </row>
    <row r="637" ht="13.5" customHeight="1">
      <c r="A637" s="1" t="s">
        <v>11</v>
      </c>
      <c r="B637" s="1" t="s">
        <v>3226</v>
      </c>
      <c r="C637" s="1" t="s">
        <v>3227</v>
      </c>
      <c r="D637" s="1" t="s">
        <v>3228</v>
      </c>
      <c r="E637" s="1" t="s">
        <v>3228</v>
      </c>
      <c r="F637" s="1" t="s">
        <v>3229</v>
      </c>
      <c r="G637" s="1" t="s">
        <v>3230</v>
      </c>
      <c r="H637" s="1" t="str">
        <f>IFERROR(__xludf.DUMMYFUNCTION("GOOGLETRANSLATE(D637,""EN"",""JA"")"),"Bリンパ球/リンパ球")</f>
        <v>Bリンパ球/リンパ球</v>
      </c>
      <c r="I637" s="1" t="str">
        <f>IFERROR(__xludf.DUMMYFUNCTION("GOOGLETRANSLATE(E637,""EN"",""JA"")"),"Bリンパ球/リンパ球")</f>
        <v>Bリンパ球/リンパ球</v>
      </c>
      <c r="J637" s="1" t="str">
        <f>IFERROR(__xludf.DUMMYFUNCTION("GOOGLETRANSLATE(F637,""EN"",""JA"")"),"生物学的標本中のリンパ球総数に対する B リンパ球の相対的な測定値 (比率またはパーセンテージ)。")</f>
        <v>生物学的標本中のリンパ球総数に対する B リンパ球の相対的な測定値 (比率またはパーセンテージ)。</v>
      </c>
      <c r="K637" s="1" t="str">
        <f>IFERROR(__xludf.DUMMYFUNCTION("GOOGLETRANSLATE(G637,""EN"",""JA"")"),"Bリンパ球対リンパ球比測定")</f>
        <v>Bリンパ球対リンパ球比測定</v>
      </c>
    </row>
    <row r="638" ht="13.5" customHeight="1">
      <c r="A638" s="1" t="s">
        <v>11</v>
      </c>
      <c r="B638" s="1" t="s">
        <v>3231</v>
      </c>
      <c r="C638" s="1" t="s">
        <v>3232</v>
      </c>
      <c r="D638" s="1" t="s">
        <v>3233</v>
      </c>
      <c r="E638" s="1" t="s">
        <v>3233</v>
      </c>
      <c r="F638" s="1" t="s">
        <v>3234</v>
      </c>
      <c r="G638" s="1" t="s">
        <v>3235</v>
      </c>
      <c r="H638" s="1" t="str">
        <f>IFERROR(__xludf.DUMMYFUNCTION("GOOGLETRANSLATE(D638,""EN"",""JA"")"),"Bリンパ球交差適合試験")</f>
        <v>Bリンパ球交差適合試験</v>
      </c>
      <c r="I638" s="1" t="str">
        <f>IFERROR(__xludf.DUMMYFUNCTION("GOOGLETRANSLATE(E638,""EN"",""JA"")"),"Bリンパ球交差適合試験")</f>
        <v>Bリンパ球交差適合試験</v>
      </c>
      <c r="J638" s="1" t="str">
        <f>IFERROR(__xludf.DUMMYFUNCTION("GOOGLETRANSLATE(F638,""EN"",""JA"")"),"ドナーBリンパ球上に発現するヒト白血球抗原（HLA）に対するレシピエントの抗HLA抗体反応の有無を調べることによって、レシピエントとドナー間のHLA組織適合性を決定する測定。")</f>
        <v>ドナーBリンパ球上に発現するヒト白血球抗原（HLA）に対するレシピエントの抗HLA抗体反応の有無を調べることによって、レシピエントとドナー間のHLA組織適合性を決定する測定。</v>
      </c>
      <c r="K638" s="1" t="str">
        <f>IFERROR(__xludf.DUMMYFUNCTION("GOOGLETRANSLATE(G638,""EN"",""JA"")"),"Bリンパ球交差適合試験")</f>
        <v>Bリンパ球交差適合試験</v>
      </c>
    </row>
    <row r="639" ht="13.5" customHeight="1">
      <c r="A639" s="1" t="s">
        <v>1034</v>
      </c>
      <c r="B639" s="1" t="s">
        <v>3236</v>
      </c>
      <c r="C639" s="1" t="s">
        <v>3237</v>
      </c>
      <c r="D639" s="1" t="s">
        <v>3238</v>
      </c>
      <c r="E639" s="1" t="s">
        <v>3239</v>
      </c>
      <c r="F639" s="1" t="s">
        <v>3240</v>
      </c>
      <c r="G639" s="1" t="s">
        <v>3238</v>
      </c>
      <c r="H639" s="1" t="str">
        <f>IFERROR(__xludf.DUMMYFUNCTION("GOOGLETRANSLATE(D639,""EN"",""JA"")"),"骨ミネラル含有量")</f>
        <v>骨ミネラル含有量</v>
      </c>
      <c r="I639" s="1" t="str">
        <f>IFERROR(__xludf.DUMMYFUNCTION("GOOGLETRANSLATE(E639,""EN"",""JA"")"),"骨量; 骨ミネラル含有量; 骨ミネラル量")</f>
        <v>骨量; 骨ミネラル含有量; 骨ミネラル量</v>
      </c>
      <c r="J639" s="1" t="str">
        <f>IFERROR(__xludf.DUMMYFUNCTION("GOOGLETRANSLATE(F639,""EN"",""JA"")"),"特定の骨または骨片内のミネラルの量の評価。")</f>
        <v>特定の骨または骨片内のミネラルの量の評価。</v>
      </c>
      <c r="K639" s="1" t="str">
        <f>IFERROR(__xludf.DUMMYFUNCTION("GOOGLETRANSLATE(G639,""EN"",""JA"")"),"骨ミネラル含有量")</f>
        <v>骨ミネラル含有量</v>
      </c>
    </row>
    <row r="640" ht="13.5" customHeight="1">
      <c r="A640" s="1" t="s">
        <v>1034</v>
      </c>
      <c r="B640" s="1" t="s">
        <v>3241</v>
      </c>
      <c r="C640" s="1" t="s">
        <v>3242</v>
      </c>
      <c r="D640" s="1" t="s">
        <v>3243</v>
      </c>
      <c r="E640" s="1" t="s">
        <v>3243</v>
      </c>
      <c r="F640" s="1" t="s">
        <v>3244</v>
      </c>
      <c r="G640" s="1" t="s">
        <v>3245</v>
      </c>
      <c r="H640" s="1" t="str">
        <f>IFERROR(__xludf.DUMMYFUNCTION("GOOGLETRANSLATE(D640,""EN"",""JA"")"),"骨密度")</f>
        <v>骨密度</v>
      </c>
      <c r="I640" s="1" t="str">
        <f>IFERROR(__xludf.DUMMYFUNCTION("GOOGLETRANSLATE(E640,""EN"",""JA"")"),"骨密度")</f>
        <v>骨密度</v>
      </c>
      <c r="J640" s="1" t="str">
        <f>IFERROR(__xludf.DUMMYFUNCTION("GOOGLETRANSLATE(F640,""EN"",""JA"")"),"骨または骨片の特定の体積または領域に含まれるミネラルの量の測定値。")</f>
        <v>骨または骨片の特定の体積または領域に含まれるミネラルの量の測定値。</v>
      </c>
      <c r="K640" s="1" t="str">
        <f>IFERROR(__xludf.DUMMYFUNCTION("GOOGLETRANSLATE(G640,""EN"",""JA"")"),"骨密度検査")</f>
        <v>骨密度検査</v>
      </c>
    </row>
    <row r="641" ht="13.5" customHeight="1">
      <c r="A641" s="1" t="s">
        <v>1034</v>
      </c>
      <c r="B641" s="1" t="s">
        <v>3246</v>
      </c>
      <c r="C641" s="1" t="s">
        <v>3247</v>
      </c>
      <c r="D641" s="1" t="s">
        <v>3248</v>
      </c>
      <c r="E641" s="1" t="s">
        <v>3248</v>
      </c>
      <c r="F641" s="1" t="s">
        <v>3249</v>
      </c>
      <c r="G641" s="1" t="s">
        <v>3248</v>
      </c>
      <c r="H641" s="1" t="str">
        <f>IFERROR(__xludf.DUMMYFUNCTION("GOOGLETRANSLATE(D641,""EN"",""JA"")"),"骨密度Tスコア")</f>
        <v>骨密度Tスコア</v>
      </c>
      <c r="I641" s="1" t="str">
        <f>IFERROR(__xludf.DUMMYFUNCTION("GOOGLETRANSLATE(E641,""EN"",""JA"")"),"骨密度Tスコア")</f>
        <v>骨密度Tスコア</v>
      </c>
      <c r="J641" s="1" t="str">
        <f>IFERROR(__xludf.DUMMYFUNCTION("GOOGLETRANSLATE(F641,""EN"",""JA"")"),"健康な 30 歳の成人の正常な骨密度と比較した被験者の骨密度スコアの標準偏差。")</f>
        <v>健康な 30 歳の成人の正常な骨密度と比較した被験者の骨密度スコアの標準偏差。</v>
      </c>
      <c r="K641" s="1" t="str">
        <f>IFERROR(__xludf.DUMMYFUNCTION("GOOGLETRANSLATE(G641,""EN"",""JA"")"),"骨密度Tスコア")</f>
        <v>骨密度Tスコア</v>
      </c>
    </row>
    <row r="642" ht="13.5" customHeight="1">
      <c r="A642" s="1" t="s">
        <v>1034</v>
      </c>
      <c r="B642" s="1" t="s">
        <v>3250</v>
      </c>
      <c r="C642" s="1" t="s">
        <v>3251</v>
      </c>
      <c r="D642" s="1" t="s">
        <v>3252</v>
      </c>
      <c r="E642" s="1" t="s">
        <v>3252</v>
      </c>
      <c r="F642" s="1" t="s">
        <v>3253</v>
      </c>
      <c r="G642" s="1" t="s">
        <v>3252</v>
      </c>
      <c r="H642" s="1" t="str">
        <f>IFERROR(__xludf.DUMMYFUNCTION("GOOGLETRANSLATE(D642,""EN"",""JA"")"),"骨密度Zスコア")</f>
        <v>骨密度Zスコア</v>
      </c>
      <c r="I642" s="1" t="str">
        <f>IFERROR(__xludf.DUMMYFUNCTION("GOOGLETRANSLATE(E642,""EN"",""JA"")"),"骨密度Zスコア")</f>
        <v>骨密度Zスコア</v>
      </c>
      <c r="J642" s="1" t="str">
        <f>IFERROR(__xludf.DUMMYFUNCTION("GOOGLETRANSLATE(F642,""EN"",""JA"")"),"年齢、性別、体重、人種に基づいて個人の骨密度に対して予測される標準偏差の上または下の数を表す統計スコア。")</f>
        <v>年齢、性別、体重、人種に基づいて個人の骨密度に対して予測される標準偏差の上または下の数を表す統計スコア。</v>
      </c>
      <c r="K642" s="1" t="str">
        <f>IFERROR(__xludf.DUMMYFUNCTION("GOOGLETRANSLATE(G642,""EN"",""JA"")"),"骨密度Zスコア")</f>
        <v>骨密度Zスコア</v>
      </c>
    </row>
    <row r="643" ht="13.5" customHeight="1">
      <c r="A643" s="1" t="s">
        <v>129</v>
      </c>
      <c r="B643" s="1" t="s">
        <v>3254</v>
      </c>
      <c r="C643" s="1" t="s">
        <v>3255</v>
      </c>
      <c r="D643" s="1" t="s">
        <v>3256</v>
      </c>
      <c r="E643" s="1" t="s">
        <v>3256</v>
      </c>
      <c r="F643" s="1" t="s">
        <v>3257</v>
      </c>
      <c r="G643" s="1" t="s">
        <v>3256</v>
      </c>
      <c r="H643" s="1" t="str">
        <f>IFERROR(__xludf.DUMMYFUNCTION("GOOGLETRANSLATE(D643,""EN"",""JA"")"),"ボディマス指数")</f>
        <v>ボディマス指数</v>
      </c>
      <c r="I643" s="1" t="str">
        <f>IFERROR(__xludf.DUMMYFUNCTION("GOOGLETRANSLATE(E643,""EN"",""JA"")"),"ボディマス指数")</f>
        <v>ボディマス指数</v>
      </c>
      <c r="J643" s="1" t="str">
        <f>IFERROR(__xludf.DUMMYFUNCTION("GOOGLETRANSLATE(F643,""EN"",""JA"")"),"体重と身長の比率に基づいて個人が保有している体脂肪の一般的な指標。(NCI)")</f>
        <v>体重と身長の比率に基づいて個人が保有している体脂肪の一般的な指標。(NCI)</v>
      </c>
      <c r="K643" s="1" t="str">
        <f>IFERROR(__xludf.DUMMYFUNCTION("GOOGLETRANSLATE(G643,""EN"",""JA"")"),"ボディマス指数")</f>
        <v>ボディマス指数</v>
      </c>
    </row>
    <row r="644" ht="13.5" customHeight="1">
      <c r="A644" s="1" t="s">
        <v>129</v>
      </c>
      <c r="B644" s="1" t="s">
        <v>3258</v>
      </c>
      <c r="C644" s="1" t="s">
        <v>3259</v>
      </c>
      <c r="D644" s="1" t="s">
        <v>3260</v>
      </c>
      <c r="E644" s="1" t="s">
        <v>3260</v>
      </c>
      <c r="F644" s="1" t="s">
        <v>3261</v>
      </c>
      <c r="G644" s="1" t="s">
        <v>3260</v>
      </c>
      <c r="H644" s="1" t="str">
        <f>IFERROR(__xludf.DUMMYFUNCTION("GOOGLETRANSLATE(D644,""EN"",""JA"")"),"年齢別BMIパーセンタイル")</f>
        <v>年齢別BMIパーセンタイル</v>
      </c>
      <c r="I644" s="1" t="str">
        <f>IFERROR(__xludf.DUMMYFUNCTION("GOOGLETRANSLATE(E644,""EN"",""JA"")"),"年齢別BMIパーセンタイル")</f>
        <v>年齢別BMIパーセンタイル</v>
      </c>
      <c r="J644" s="1" t="str">
        <f>IFERROR(__xludf.DUMMYFUNCTION("GOOGLETRANSLATE(F644,""EN"",""JA"")"),"個人のボディマス指数と年齢と参照人口の関係を評価し、パーセンタイルで表します。")</f>
        <v>個人のボディマス指数と年齢と参照人口の関係を評価し、パーセンタイルで表します。</v>
      </c>
      <c r="K644" s="1" t="str">
        <f>IFERROR(__xludf.DUMMYFUNCTION("GOOGLETRANSLATE(G644,""EN"",""JA"")"),"年齢別BMIパーセンタイル")</f>
        <v>年齢別BMIパーセンタイル</v>
      </c>
    </row>
    <row r="645" ht="13.5" customHeight="1">
      <c r="A645" s="1" t="s">
        <v>1342</v>
      </c>
      <c r="B645" s="1" t="s">
        <v>3262</v>
      </c>
      <c r="C645" s="1" t="s">
        <v>3263</v>
      </c>
      <c r="D645" s="1" t="s">
        <v>3264</v>
      </c>
      <c r="E645" s="1" t="s">
        <v>3264</v>
      </c>
      <c r="F645" s="1" t="s">
        <v>3265</v>
      </c>
      <c r="G645" s="1" t="s">
        <v>3266</v>
      </c>
      <c r="H645" s="1" t="str">
        <f>IFERROR(__xludf.DUMMYFUNCTION("GOOGLETRANSLATE(D645,""EN"",""JA"")"),"骨髄浸潤指標")</f>
        <v>骨髄浸潤指標</v>
      </c>
      <c r="I645" s="1" t="str">
        <f>IFERROR(__xludf.DUMMYFUNCTION("GOOGLETRANSLATE(E645,""EN"",""JA"")"),"骨髄浸潤指標")</f>
        <v>骨髄浸潤指標</v>
      </c>
      <c r="J645" s="1" t="str">
        <f>IFERROR(__xludf.DUMMYFUNCTION("GOOGLETRANSLATE(F645,""EN"",""JA"")"),"骨髄に病気が存在するかどうかを示す指標。")</f>
        <v>骨髄に病気が存在するかどうかを示す指標。</v>
      </c>
      <c r="K645" s="1" t="str">
        <f>IFERROR(__xludf.DUMMYFUNCTION("GOOGLETRANSLATE(G645,""EN"",""JA"")"),"骨髄疾患関与指標")</f>
        <v>骨髄疾患関与指標</v>
      </c>
    </row>
    <row r="646" ht="13.5" customHeight="1">
      <c r="A646" s="1" t="s">
        <v>1034</v>
      </c>
      <c r="B646" s="1" t="s">
        <v>3267</v>
      </c>
      <c r="C646" s="1" t="s">
        <v>3268</v>
      </c>
      <c r="D646" s="1" t="s">
        <v>3269</v>
      </c>
      <c r="E646" s="1" t="s">
        <v>3270</v>
      </c>
      <c r="F646" s="1" t="s">
        <v>3271</v>
      </c>
      <c r="G646" s="1" t="s">
        <v>3272</v>
      </c>
      <c r="H646" s="1" t="str">
        <f>IFERROR(__xludf.DUMMYFUNCTION("GOOGLETRANSLATE(D646,""EN"",""JA"")"),"ブルック mMRC MMT スコア、拉致")</f>
        <v>ブルック mMRC MMT スコア、拉致</v>
      </c>
      <c r="I646" s="1" t="str">
        <f>IFERROR(__xludf.DUMMYFUNCTION("GOOGLETRANSLATE(E646,""EN"",""JA"")"),"Brooke mMRC MMTスコア、外転; Brooke修正医学研究評議会徒手筋力テストスコア、外転")</f>
        <v>Brooke mMRC MMTスコア、外転; Brooke修正医学研究評議会徒手筋力テストスコア、外転</v>
      </c>
      <c r="J646" s="1" t="str">
        <f>IFERROR(__xludf.DUMMYFUNCTION("GOOGLETRANSLATE(F646,""EN"",""JA"")"),"ブルック修正医学研究評議会徒手筋力テストに基づく、外転時の筋力と機能の臨床評価の結果を表す数値。（ブルックMH、グリッグスRC、メンデルJR、フェニチェルGM、他）")</f>
        <v>ブルック修正医学研究評議会徒手筋力テストに基づく、外転時の筋力と機能の臨床評価の結果を表す数値。（ブルックMH、グリッグスRC、メンデルJR、フェニチェルGM、他）</v>
      </c>
      <c r="K646" s="1" t="str">
        <f>IFERROR(__xludf.DUMMYFUNCTION("GOOGLETRANSLATE(G646,""EN"",""JA"")"),"ブルック修正医学研究評議会徒手筋力テストスコア、外転")</f>
        <v>ブルック修正医学研究評議会徒手筋力テストスコア、外転</v>
      </c>
    </row>
    <row r="647" ht="13.5" customHeight="1">
      <c r="A647" s="1" t="s">
        <v>1034</v>
      </c>
      <c r="B647" s="1" t="s">
        <v>3273</v>
      </c>
      <c r="C647" s="1" t="s">
        <v>3274</v>
      </c>
      <c r="D647" s="1" t="s">
        <v>3275</v>
      </c>
      <c r="E647" s="1" t="s">
        <v>3276</v>
      </c>
      <c r="F647" s="1" t="s">
        <v>3277</v>
      </c>
      <c r="G647" s="1" t="s">
        <v>3278</v>
      </c>
      <c r="H647" s="1" t="str">
        <f>IFERROR(__xludf.DUMMYFUNCTION("GOOGLETRANSLATE(D647,""EN"",""JA"")"),"ブルック mMRC MMT スコア、背屈")</f>
        <v>ブルック mMRC MMT スコア、背屈</v>
      </c>
      <c r="I647" s="1" t="str">
        <f>IFERROR(__xludf.DUMMYFUNCTION("GOOGLETRANSLATE(E647,""EN"",""JA"")"),"Brooke mMRC MMTスコア、背屈; Brooke修正医学研究評議会徒手筋力検査スコア、背屈")</f>
        <v>Brooke mMRC MMTスコア、背屈; Brooke修正医学研究評議会徒手筋力検査スコア、背屈</v>
      </c>
      <c r="J647" s="1" t="str">
        <f>IFERROR(__xludf.DUMMYFUNCTION("GOOGLETRANSLATE(F647,""EN"",""JA"")"),"ブルック修正医学研究評議会徒手筋力テストに基づく、背屈時の筋力と機能の臨床評価の結果を表す数値。（ブルックMH、グリッグスRC、メンデルJR、フェニチェルGM、e")</f>
        <v>ブルック修正医学研究評議会徒手筋力テストに基づく、背屈時の筋力と機能の臨床評価の結果を表す数値。（ブルックMH、グリッグスRC、メンデルJR、フェニチェルGM、e</v>
      </c>
      <c r="K647" s="1" t="str">
        <f>IFERROR(__xludf.DUMMYFUNCTION("GOOGLETRANSLATE(G647,""EN"",""JA"")"),"ブルック修正医学研究評議会徒手筋力検査スコア、背屈")</f>
        <v>ブルック修正医学研究評議会徒手筋力検査スコア、背屈</v>
      </c>
    </row>
    <row r="648" ht="13.5" customHeight="1">
      <c r="A648" s="1" t="s">
        <v>1034</v>
      </c>
      <c r="B648" s="1" t="s">
        <v>3279</v>
      </c>
      <c r="C648" s="1" t="s">
        <v>3280</v>
      </c>
      <c r="D648" s="1" t="s">
        <v>3281</v>
      </c>
      <c r="E648" s="1" t="s">
        <v>3282</v>
      </c>
      <c r="F648" s="1" t="s">
        <v>3283</v>
      </c>
      <c r="G648" s="1" t="s">
        <v>3284</v>
      </c>
      <c r="H648" s="1" t="str">
        <f>IFERROR(__xludf.DUMMYFUNCTION("GOOGLETRANSLATE(D648,""EN"",""JA"")"),"ブルック mMRC MMT スコア、外転")</f>
        <v>ブルック mMRC MMT スコア、外転</v>
      </c>
      <c r="I648" s="1" t="str">
        <f>IFERROR(__xludf.DUMMYFUNCTION("GOOGLETRANSLATE(E648,""EN"",""JA"")"),"Brooke mMRC MMTスコア、外反; Brooke修正医学研究評議会徒手筋力検査スコア、外反")</f>
        <v>Brooke mMRC MMTスコア、外反; Brooke修正医学研究評議会徒手筋力検査スコア、外反</v>
      </c>
      <c r="J648" s="1" t="str">
        <f>IFERROR(__xludf.DUMMYFUNCTION("GOOGLETRANSLATE(F648,""EN"",""JA"")"),"ブルック修正医学研究評議会徒手筋力テストに基づく、外反時の筋力と機能の臨床評価の結果を表す数値。（ブルックMH、グリッグスRC、メンデルJR、フェニチェルGM、他）")</f>
        <v>ブルック修正医学研究評議会徒手筋力テストに基づく、外反時の筋力と機能の臨床評価の結果を表す数値。（ブルックMH、グリッグスRC、メンデルJR、フェニチェルGM、他）</v>
      </c>
      <c r="K648" s="1" t="str">
        <f>IFERROR(__xludf.DUMMYFUNCTION("GOOGLETRANSLATE(G648,""EN"",""JA"")"),"ブルック修正医学研究評議会徒手筋力検査スコア、外反")</f>
        <v>ブルック修正医学研究評議会徒手筋力検査スコア、外反</v>
      </c>
    </row>
    <row r="649" ht="13.5" customHeight="1">
      <c r="A649" s="1" t="s">
        <v>1034</v>
      </c>
      <c r="B649" s="1" t="s">
        <v>3285</v>
      </c>
      <c r="C649" s="1" t="s">
        <v>3286</v>
      </c>
      <c r="D649" s="1" t="s">
        <v>3287</v>
      </c>
      <c r="E649" s="1" t="s">
        <v>3288</v>
      </c>
      <c r="F649" s="1" t="s">
        <v>3289</v>
      </c>
      <c r="G649" s="1" t="s">
        <v>3290</v>
      </c>
      <c r="H649" s="1" t="str">
        <f>IFERROR(__xludf.DUMMYFUNCTION("GOOGLETRANSLATE(D649,""EN"",""JA"")"),"ブルック mMRC MMT スコア、拡張")</f>
        <v>ブルック mMRC MMT スコア、拡張</v>
      </c>
      <c r="I649" s="1" t="str">
        <f>IFERROR(__xludf.DUMMYFUNCTION("GOOGLETRANSLATE(E649,""EN"",""JA"")"),"Brooke mMRC MMTスコア、拡張版；Brooke修正医学研究評議会徒手筋力テストスコア、拡張版")</f>
        <v>Brooke mMRC MMTスコア、拡張版；Brooke修正医学研究評議会徒手筋力テストスコア、拡張版</v>
      </c>
      <c r="J649" s="1" t="str">
        <f>IFERROR(__xludf.DUMMYFUNCTION("GOOGLETRANSLATE(F649,""EN"",""JA"")"),"ブルック修正医学研究評議会徒手筋力テストに基づく、伸展時の筋力と機能の臨床評価の結果を表す数値。（ブルックMH、グリッグスRC、メンデルJR、フェニチェルGM、他）")</f>
        <v>ブルック修正医学研究評議会徒手筋力テストに基づく、伸展時の筋力と機能の臨床評価の結果を表す数値。（ブルックMH、グリッグスRC、メンデルJR、フェニチェルGM、他）</v>
      </c>
      <c r="K649" s="1" t="str">
        <f>IFERROR(__xludf.DUMMYFUNCTION("GOOGLETRANSLATE(G649,""EN"",""JA"")"),"ブルック修正医学研究評議会徒手筋力テストスコア、伸展")</f>
        <v>ブルック修正医学研究評議会徒手筋力テストスコア、伸展</v>
      </c>
    </row>
    <row r="650" ht="13.5" customHeight="1">
      <c r="A650" s="1" t="s">
        <v>1034</v>
      </c>
      <c r="B650" s="1" t="s">
        <v>3291</v>
      </c>
      <c r="C650" s="1" t="s">
        <v>3292</v>
      </c>
      <c r="D650" s="1" t="s">
        <v>3293</v>
      </c>
      <c r="E650" s="1" t="s">
        <v>3294</v>
      </c>
      <c r="F650" s="1" t="s">
        <v>3295</v>
      </c>
      <c r="G650" s="1" t="s">
        <v>3296</v>
      </c>
      <c r="H650" s="1" t="str">
        <f>IFERROR(__xludf.DUMMYFUNCTION("GOOGLETRANSLATE(D650,""EN"",""JA"")"),"ブルック mMRC MMT スコア、屈曲")</f>
        <v>ブルック mMRC MMT スコア、屈曲</v>
      </c>
      <c r="I650" s="1" t="str">
        <f>IFERROR(__xludf.DUMMYFUNCTION("GOOGLETRANSLATE(E650,""EN"",""JA"")"),"Brooke mMRC MMTスコア、屈曲；Brooke修正医学研究評議会徒手筋力検査スコア、屈曲")</f>
        <v>Brooke mMRC MMTスコア、屈曲；Brooke修正医学研究評議会徒手筋力検査スコア、屈曲</v>
      </c>
      <c r="J650" s="1" t="str">
        <f>IFERROR(__xludf.DUMMYFUNCTION("GOOGLETRANSLATE(F650,""EN"",""JA"")"),"ブルック修正医学研究評議会徒手筋力テストに基づく、屈曲時の筋力と機能の臨床評価の結果を表す数値。(Brooke MH、Griggs RC、Mendell JR、Fenichel GM、他)")</f>
        <v>ブルック修正医学研究評議会徒手筋力テストに基づく、屈曲時の筋力と機能の臨床評価の結果を表す数値。(Brooke MH、Griggs RC、Mendell JR、Fenichel GM、他)</v>
      </c>
      <c r="K650" s="1" t="str">
        <f>IFERROR(__xludf.DUMMYFUNCTION("GOOGLETRANSLATE(G650,""EN"",""JA"")"),"ブルック修正医学研究評議会徒手筋力検査スコア、屈曲")</f>
        <v>ブルック修正医学研究評議会徒手筋力検査スコア、屈曲</v>
      </c>
    </row>
    <row r="651" ht="13.5" customHeight="1">
      <c r="A651" s="1" t="s">
        <v>1034</v>
      </c>
      <c r="B651" s="1" t="s">
        <v>3297</v>
      </c>
      <c r="C651" s="1" t="s">
        <v>3298</v>
      </c>
      <c r="D651" s="1" t="s">
        <v>3299</v>
      </c>
      <c r="E651" s="1" t="s">
        <v>3300</v>
      </c>
      <c r="F651" s="1" t="s">
        <v>3301</v>
      </c>
      <c r="G651" s="1" t="s">
        <v>3302</v>
      </c>
      <c r="H651" s="1" t="str">
        <f>IFERROR(__xludf.DUMMYFUNCTION("GOOGLETRANSLATE(D651,""EN"",""JA"")"),"ブルック mMRC MMT スコア、反転")</f>
        <v>ブルック mMRC MMT スコア、反転</v>
      </c>
      <c r="I651" s="1" t="str">
        <f>IFERROR(__xludf.DUMMYFUNCTION("GOOGLETRANSLATE(E651,""EN"",""JA"")"),"Brooke mMRC MMTスコア、反転；Brooke修正医学研究評議会徒手筋力テストスコア、反転")</f>
        <v>Brooke mMRC MMTスコア、反転；Brooke修正医学研究評議会徒手筋力テストスコア、反転</v>
      </c>
      <c r="J651" s="1" t="str">
        <f>IFERROR(__xludf.DUMMYFUNCTION("GOOGLETRANSLATE(F651,""EN"",""JA"")"),"ブルック修正医学研究評議会徒手筋力テストに基づく、反転中の筋力と機能の臨床評価の結果を表す数値。（ブルックMH、グリッグスRC、メンデルJR、フェニチェルGM、他）")</f>
        <v>ブルック修正医学研究評議会徒手筋力テストに基づく、反転中の筋力と機能の臨床評価の結果を表す数値。（ブルックMH、グリッグスRC、メンデルJR、フェニチェルGM、他）</v>
      </c>
      <c r="K651" s="1" t="str">
        <f>IFERROR(__xludf.DUMMYFUNCTION("GOOGLETRANSLATE(G651,""EN"",""JA"")"),"ブルック修正医学研究評議会徒手筋力テストスコア、反転")</f>
        <v>ブルック修正医学研究評議会徒手筋力テストスコア、反転</v>
      </c>
    </row>
    <row r="652" ht="13.5" customHeight="1">
      <c r="A652" s="1" t="s">
        <v>1034</v>
      </c>
      <c r="B652" s="1" t="s">
        <v>3303</v>
      </c>
      <c r="C652" s="1" t="s">
        <v>3304</v>
      </c>
      <c r="D652" s="1" t="s">
        <v>3305</v>
      </c>
      <c r="E652" s="1" t="s">
        <v>3306</v>
      </c>
      <c r="F652" s="1" t="s">
        <v>3307</v>
      </c>
      <c r="G652" s="1" t="s">
        <v>3308</v>
      </c>
      <c r="H652" s="1" t="str">
        <f>IFERROR(__xludf.DUMMYFUNCTION("GOOGLETRANSLATE(D652,""EN"",""JA"")"),"Brooke mMRC MMT スコア、緯度回転。")</f>
        <v>Brooke mMRC MMT スコア、緯度回転。</v>
      </c>
      <c r="I652" s="1" t="str">
        <f>IFERROR(__xludf.DUMMYFUNCTION("GOOGLETRANSLATE(E652,""EN"",""JA"")"),"Brooke mMRC MMTスコア、側方回旋; Brooke修正医学研究評議会徒手筋力テストスコア、側方回旋")</f>
        <v>Brooke mMRC MMTスコア、側方回旋; Brooke修正医学研究評議会徒手筋力テストスコア、側方回旋</v>
      </c>
      <c r="J652" s="1" t="str">
        <f>IFERROR(__xludf.DUMMYFUNCTION("GOOGLETRANSLATE(F652,""EN"",""JA"")"),"ブルック修正医学研究評議会徒手筋力テストに基づく、外側回転時の筋力と機能の臨床評価の結果を表す数値。（ブルックMH、グリッグスRC、メンデルJR、フェニチェルG")</f>
        <v>ブルック修正医学研究評議会徒手筋力テストに基づく、外側回転時の筋力と機能の臨床評価の結果を表す数値。（ブルックMH、グリッグスRC、メンデルJR、フェニチェルG</v>
      </c>
      <c r="K652" s="1" t="str">
        <f>IFERROR(__xludf.DUMMYFUNCTION("GOOGLETRANSLATE(G652,""EN"",""JA"")"),"ブルック修正医学研究評議会徒手筋力テストスコア、外側回転")</f>
        <v>ブルック修正医学研究評議会徒手筋力テストスコア、外側回転</v>
      </c>
    </row>
    <row r="653" ht="13.5" customHeight="1">
      <c r="A653" s="1" t="s">
        <v>1034</v>
      </c>
      <c r="B653" s="1" t="s">
        <v>3309</v>
      </c>
      <c r="C653" s="1" t="s">
        <v>3310</v>
      </c>
      <c r="D653" s="1" t="s">
        <v>3311</v>
      </c>
      <c r="E653" s="1" t="s">
        <v>3312</v>
      </c>
      <c r="F653" s="1" t="s">
        <v>3313</v>
      </c>
      <c r="G653" s="1" t="s">
        <v>3314</v>
      </c>
      <c r="H653" s="1" t="str">
        <f>IFERROR(__xludf.DUMMYFUNCTION("GOOGLETRANSLATE(D653,""EN"",""JA"")"),"ブルック mMRC MMT スコア、足底屈曲")</f>
        <v>ブルック mMRC MMT スコア、足底屈曲</v>
      </c>
      <c r="I653" s="1" t="str">
        <f>IFERROR(__xludf.DUMMYFUNCTION("GOOGLETRANSLATE(E653,""EN"",""JA"")"),"Brooke mMRC MMTスコア、足底屈曲；Brooke修正医学研究評議会徒手筋力検査スコア、足底屈曲")</f>
        <v>Brooke mMRC MMTスコア、足底屈曲；Brooke修正医学研究評議会徒手筋力検査スコア、足底屈曲</v>
      </c>
      <c r="J653" s="1" t="str">
        <f>IFERROR(__xludf.DUMMYFUNCTION("GOOGLETRANSLATE(F653,""EN"",""JA"")"),"ブルック修正医学研究評議会徒手筋力テストに基づく、足底屈曲時の筋力と機能の臨床評価の結果を表す数値。（ブルックMH、グリッグスRC、メンデルJR、フェニチェルGM")</f>
        <v>ブルック修正医学研究評議会徒手筋力テストに基づく、足底屈曲時の筋力と機能の臨床評価の結果を表す数値。（ブルックMH、グリッグスRC、メンデルJR、フェニチェルGM</v>
      </c>
      <c r="K653" s="1" t="str">
        <f>IFERROR(__xludf.DUMMYFUNCTION("GOOGLETRANSLATE(G653,""EN"",""JA"")"),"ブルック修正医学研究評議会徒手筋力テストスコア、足底屈曲")</f>
        <v>ブルック修正医学研究評議会徒手筋力テストスコア、足底屈曲</v>
      </c>
    </row>
    <row r="654" ht="13.5" customHeight="1">
      <c r="A654" s="1" t="s">
        <v>129</v>
      </c>
      <c r="B654" s="1" t="s">
        <v>3315</v>
      </c>
      <c r="C654" s="1" t="s">
        <v>3316</v>
      </c>
      <c r="D654" s="1" t="s">
        <v>3317</v>
      </c>
      <c r="E654" s="1" t="s">
        <v>3317</v>
      </c>
      <c r="F654" s="1" t="s">
        <v>3318</v>
      </c>
      <c r="G654" s="1" t="s">
        <v>3317</v>
      </c>
      <c r="H654" s="1" t="str">
        <f>IFERROR(__xludf.DUMMYFUNCTION("GOOGLETRANSLATE(D654,""EN"",""JA"")"),"基礎代謝率")</f>
        <v>基礎代謝率</v>
      </c>
      <c r="I654" s="1" t="str">
        <f>IFERROR(__xludf.DUMMYFUNCTION("GOOGLETRANSLATE(E654,""EN"",""JA"")"),"基礎代謝率")</f>
        <v>基礎代謝率</v>
      </c>
      <c r="J654" s="1" t="str">
        <f>IFERROR(__xludf.DUMMYFUNCTION("GOOGLETRANSLATE(F654,""EN"",""JA"")"),"被験者の安静時のエネルギー消費量の測定。")</f>
        <v>被験者の安静時のエネルギー消費量の測定。</v>
      </c>
      <c r="K654" s="1" t="str">
        <f>IFERROR(__xludf.DUMMYFUNCTION("GOOGLETRANSLATE(G654,""EN"",""JA"")"),"基礎代謝率")</f>
        <v>基礎代謝率</v>
      </c>
    </row>
    <row r="655" ht="13.5" customHeight="1">
      <c r="A655" s="1" t="s">
        <v>1342</v>
      </c>
      <c r="B655" s="1" t="s">
        <v>3319</v>
      </c>
      <c r="C655" s="1" t="s">
        <v>3320</v>
      </c>
      <c r="D655" s="1" t="s">
        <v>3321</v>
      </c>
      <c r="E655" s="1" t="s">
        <v>3321</v>
      </c>
      <c r="F655" s="1" t="s">
        <v>3322</v>
      </c>
      <c r="G655" s="1" t="s">
        <v>3321</v>
      </c>
      <c r="H655" s="1" t="str">
        <f>IFERROR(__xludf.DUMMYFUNCTION("GOOGLETRANSLATE(D655,""EN"",""JA"")"),"骨髄反応")</f>
        <v>骨髄反応</v>
      </c>
      <c r="I655" s="1" t="str">
        <f>IFERROR(__xludf.DUMMYFUNCTION("GOOGLETRANSLATE(E655,""EN"",""JA"")"),"骨髄反応")</f>
        <v>骨髄反応</v>
      </c>
      <c r="J655" s="1" t="str">
        <f>IFERROR(__xludf.DUMMYFUNCTION("GOOGLETRANSLATE(F655,""EN"",""JA"")"),"骨髄内での治療に対する疾患反応の評価。")</f>
        <v>骨髄内での治療に対する疾患反応の評価。</v>
      </c>
      <c r="K655" s="1" t="str">
        <f>IFERROR(__xludf.DUMMYFUNCTION("GOOGLETRANSLATE(G655,""EN"",""JA"")"),"骨髄反応")</f>
        <v>骨髄反応</v>
      </c>
    </row>
    <row r="656" ht="13.5" customHeight="1">
      <c r="A656" s="1" t="s">
        <v>1342</v>
      </c>
      <c r="B656" s="1" t="s">
        <v>3323</v>
      </c>
      <c r="C656" s="1" t="s">
        <v>3324</v>
      </c>
      <c r="D656" s="1" t="s">
        <v>3325</v>
      </c>
      <c r="E656" s="1" t="s">
        <v>3326</v>
      </c>
      <c r="F656" s="1" t="s">
        <v>3327</v>
      </c>
      <c r="G656" s="1" t="s">
        <v>3328</v>
      </c>
      <c r="H656" s="1" t="str">
        <f>IFERROR(__xludf.DUMMYFUNCTION("GOOGLETRANSLATE(D656,""EN"",""JA"")"),"骨髄の状態")</f>
        <v>骨髄の状態</v>
      </c>
      <c r="I656" s="1" t="str">
        <f>IFERROR(__xludf.DUMMYFUNCTION("GOOGLETRANSLATE(E656,""EN"",""JA"")"),"BMの状態; 骨髄の状態")</f>
        <v>BMの状態; 骨髄の状態</v>
      </c>
      <c r="J656" s="1" t="str">
        <f>IFERROR(__xludf.DUMMYFUNCTION("GOOGLETRANSLATE(F656,""EN"",""JA"")"),"治療に対する疾患の反応の状態として、評価またはスケールで測定される骨髄の評価。")</f>
        <v>治療に対する疾患の反応の状態として、評価またはスケールで測定される骨髄の評価。</v>
      </c>
      <c r="K656" s="1" t="str">
        <f>IFERROR(__xludf.DUMMYFUNCTION("GOOGLETRANSLATE(G656,""EN"",""JA"")"),"骨髄疾患反応状態評価")</f>
        <v>骨髄疾患反応状態評価</v>
      </c>
    </row>
    <row r="657" ht="13.5" customHeight="1">
      <c r="A657" s="1" t="s">
        <v>67</v>
      </c>
      <c r="B657" s="1" t="s">
        <v>3329</v>
      </c>
      <c r="C657" s="1" t="s">
        <v>3330</v>
      </c>
      <c r="D657" s="1" t="s">
        <v>3331</v>
      </c>
      <c r="E657" s="1" t="s">
        <v>3331</v>
      </c>
      <c r="F657" s="1" t="s">
        <v>3332</v>
      </c>
      <c r="G657" s="1" t="s">
        <v>3333</v>
      </c>
      <c r="H657" s="1" t="str">
        <f>IFERROR(__xludf.DUMMYFUNCTION("GOOGLETRANSLATE(D657,""EN"",""JA"")"),"ブルクホルデリア・マルチボランス")</f>
        <v>ブルクホルデリア・マルチボランス</v>
      </c>
      <c r="I657" s="1" t="str">
        <f>IFERROR(__xludf.DUMMYFUNCTION("GOOGLETRANSLATE(E657,""EN"",""JA"")"),"ブルクホルデリア・マルチボランス")</f>
        <v>ブルクホルデリア・マルチボランス</v>
      </c>
      <c r="J657" s="1" t="str">
        <f>IFERROR(__xludf.DUMMYFUNCTION("GOOGLETRANSLATE(F657,""EN"",""JA"")"),"生物標本中の Burkholderia multivorans の測定。")</f>
        <v>生物標本中の Burkholderia multivorans の測定。</v>
      </c>
      <c r="K657" s="1" t="str">
        <f>IFERROR(__xludf.DUMMYFUNCTION("GOOGLETRANSLATE(G657,""EN"",""JA"")"),"Burkholderia multivorans 測定")</f>
        <v>Burkholderia multivorans 測定</v>
      </c>
    </row>
    <row r="658" ht="13.5" customHeight="1">
      <c r="A658" s="1" t="s">
        <v>233</v>
      </c>
      <c r="B658" s="1" t="s">
        <v>3334</v>
      </c>
      <c r="C658" s="1" t="s">
        <v>3335</v>
      </c>
      <c r="D658" s="1" t="s">
        <v>3336</v>
      </c>
      <c r="E658" s="1" t="s">
        <v>3336</v>
      </c>
      <c r="F658" s="1" t="s">
        <v>3337</v>
      </c>
      <c r="G658" s="1" t="s">
        <v>3336</v>
      </c>
      <c r="H658" s="1" t="str">
        <f>IFERROR(__xludf.DUMMYFUNCTION("GOOGLETRANSLATE(D658,""EN"",""JA"")"),"骨髄トレーサー取り込み")</f>
        <v>骨髄トレーサー取り込み</v>
      </c>
      <c r="I658" s="1" t="str">
        <f>IFERROR(__xludf.DUMMYFUNCTION("GOOGLETRANSLATE(E658,""EN"",""JA"")"),"骨髄トレーサー取り込み")</f>
        <v>骨髄トレーサー取り込み</v>
      </c>
      <c r="J658" s="1" t="str">
        <f>IFERROR(__xludf.DUMMYFUNCTION("GOOGLETRANSLATE(F658,""EN"",""JA"")"),"骨髄内のトレーサー取り込みの範囲と強度を視覚的に評価した組み合わせ。")</f>
        <v>骨髄内のトレーサー取り込みの範囲と強度を視覚的に評価した組み合わせ。</v>
      </c>
      <c r="K658" s="1" t="str">
        <f>IFERROR(__xludf.DUMMYFUNCTION("GOOGLETRANSLATE(G658,""EN"",""JA"")"),"骨髄トレーサー取り込み")</f>
        <v>骨髄トレーサー取り込み</v>
      </c>
    </row>
    <row r="659" ht="13.5" customHeight="1">
      <c r="A659" s="1" t="s">
        <v>233</v>
      </c>
      <c r="B659" s="1" t="s">
        <v>3338</v>
      </c>
      <c r="C659" s="1" t="s">
        <v>3339</v>
      </c>
      <c r="D659" s="1" t="s">
        <v>3340</v>
      </c>
      <c r="E659" s="1" t="s">
        <v>3340</v>
      </c>
      <c r="F659" s="1" t="s">
        <v>3341</v>
      </c>
      <c r="G659" s="1" t="s">
        <v>3340</v>
      </c>
      <c r="H659" s="1" t="str">
        <f>IFERROR(__xludf.DUMMYFUNCTION("GOOGLETRANSLATE(D659,""EN"",""JA"")"),"骨病変の数")</f>
        <v>骨病変の数</v>
      </c>
      <c r="I659" s="1" t="str">
        <f>IFERROR(__xludf.DUMMYFUNCTION("GOOGLETRANSLATE(E659,""EN"",""JA"")"),"骨病変の数")</f>
        <v>骨病変の数</v>
      </c>
      <c r="J659" s="1" t="str">
        <f>IFERROR(__xludf.DUMMYFUNCTION("GOOGLETRANSLATE(F659,""EN"",""JA"")"),"骨内の病変の数。")</f>
        <v>骨内の病変の数。</v>
      </c>
      <c r="K659" s="1" t="str">
        <f>IFERROR(__xludf.DUMMYFUNCTION("GOOGLETRANSLATE(G659,""EN"",""JA"")"),"骨病変の数")</f>
        <v>骨病変の数</v>
      </c>
    </row>
    <row r="660" ht="13.5" customHeight="1">
      <c r="A660" s="1" t="s">
        <v>11</v>
      </c>
      <c r="B660" s="1" t="s">
        <v>3342</v>
      </c>
      <c r="C660" s="1" t="s">
        <v>3343</v>
      </c>
      <c r="D660" s="1" t="s">
        <v>3344</v>
      </c>
      <c r="E660" s="1" t="s">
        <v>3345</v>
      </c>
      <c r="F660" s="1" t="s">
        <v>3346</v>
      </c>
      <c r="G660" s="1" t="s">
        <v>3347</v>
      </c>
      <c r="H660" s="1" t="str">
        <f>IFERROR(__xludf.DUMMYFUNCTION("GOOGLETRANSLATE(D660,""EN"",""JA"")"),"脳性ナトリウム利尿ペプチド")</f>
        <v>脳性ナトリウム利尿ペプチド</v>
      </c>
      <c r="I660" s="1" t="str">
        <f>IFERROR(__xludf.DUMMYFUNCTION("GOOGLETRANSLATE(E660,""EN"",""JA"")"),"B型ナトリウム利尿ペプチド; 脳性ナトリウム利尿ペプチド")</f>
        <v>B型ナトリウム利尿ペプチド; 脳性ナトリウム利尿ペプチド</v>
      </c>
      <c r="J660" s="1" t="str">
        <f>IFERROR(__xludf.DUMMYFUNCTION("GOOGLETRANSLATE(F660,""EN"",""JA"")"),"生物学的標本中の脳（B 型）ナトリウム利尿ペプチドの測定。")</f>
        <v>生物学的標本中の脳（B 型）ナトリウム利尿ペプチドの測定。</v>
      </c>
      <c r="K660" s="1" t="str">
        <f>IFERROR(__xludf.DUMMYFUNCTION("GOOGLETRANSLATE(G660,""EN"",""JA"")"),"脳性ナトリウム利尿ペプチド測定")</f>
        <v>脳性ナトリウム利尿ペプチド測定</v>
      </c>
    </row>
    <row r="661" ht="13.5" customHeight="1">
      <c r="A661" s="1" t="s">
        <v>11</v>
      </c>
      <c r="B661" s="1" t="s">
        <v>3348</v>
      </c>
      <c r="C661" s="1" t="s">
        <v>3349</v>
      </c>
      <c r="D661" s="1" t="s">
        <v>3350</v>
      </c>
      <c r="E661" s="1" t="s">
        <v>3351</v>
      </c>
      <c r="F661" s="1" t="s">
        <v>3352</v>
      </c>
      <c r="G661" s="1" t="s">
        <v>3353</v>
      </c>
      <c r="H661" s="1" t="str">
        <f>IFERROR(__xludf.DUMMYFUNCTION("GOOGLETRANSLATE(D661,""EN"",""JA"")"),"ProB型ナトリウム利尿ペプチド")</f>
        <v>ProB型ナトリウム利尿ペプチド</v>
      </c>
      <c r="I661" s="1" t="str">
        <f>IFERROR(__xludf.DUMMYFUNCTION("GOOGLETRANSLATE(E661,""EN"",""JA"")"),"プロ脳性ナトリウム利尿ペプチド; プロB型ナトリウム利尿ペプチド; プロBNP")</f>
        <v>プロ脳性ナトリウム利尿ペプチド; プロB型ナトリウム利尿ペプチド; プロBNP</v>
      </c>
      <c r="J661" s="1" t="str">
        <f>IFERROR(__xludf.DUMMYFUNCTION("GOOGLETRANSLATE(F661,""EN"",""JA"")"),"生物標本中の proB 型ナトリウム利尿ペプチドの測定。")</f>
        <v>生物標本中の proB 型ナトリウム利尿ペプチドの測定。</v>
      </c>
      <c r="K661" s="1" t="str">
        <f>IFERROR(__xludf.DUMMYFUNCTION("GOOGLETRANSLATE(G661,""EN"",""JA"")"),"ProB型ナトリウム利尿ペプチド測定")</f>
        <v>ProB型ナトリウム利尿ペプチド測定</v>
      </c>
    </row>
    <row r="662" ht="13.5" customHeight="1">
      <c r="A662" s="1" t="s">
        <v>11</v>
      </c>
      <c r="B662" s="1" t="s">
        <v>3354</v>
      </c>
      <c r="C662" s="1" t="s">
        <v>3355</v>
      </c>
      <c r="D662" s="1" t="s">
        <v>3356</v>
      </c>
      <c r="E662" s="1" t="s">
        <v>3357</v>
      </c>
      <c r="F662" s="1" t="s">
        <v>3358</v>
      </c>
      <c r="G662" s="1" t="s">
        <v>3359</v>
      </c>
      <c r="H662" s="1" t="str">
        <f>IFERROR(__xludf.DUMMYFUNCTION("GOOGLETRANSLATE(D662,""EN"",""JA"")"),"N末端ProB型ナトリウム利尿ペプチド")</f>
        <v>N末端ProB型ナトリウム利尿ペプチド</v>
      </c>
      <c r="I662" s="1" t="str">
        <f>IFERROR(__xludf.DUMMYFUNCTION("GOOGLETRANSLATE(E662,""EN"",""JA"")"),"N末端プロ脳性ナトリウム利尿ペプチド；N末端プロB型ナトリウム利尿ペプチド；NTプロBNP II")</f>
        <v>N末端プロ脳性ナトリウム利尿ペプチド；N末端プロB型ナトリウム利尿ペプチド；NTプロBNP II</v>
      </c>
      <c r="J662" s="1" t="str">
        <f>IFERROR(__xludf.DUMMYFUNCTION("GOOGLETRANSLATE(F662,""EN"",""JA"")"),"生物学的標本中の N 末端 proB 型ナトリウム利尿ペプチドの測定。")</f>
        <v>生物学的標本中の N 末端 proB 型ナトリウム利尿ペプチドの測定。</v>
      </c>
      <c r="K662" s="1" t="str">
        <f>IFERROR(__xludf.DUMMYFUNCTION("GOOGLETRANSLATE(G662,""EN"",""JA"")"),"N末端ProB型ナトリウム利尿ペプチド測定")</f>
        <v>N末端ProB型ナトリウム利尿ペプチド測定</v>
      </c>
    </row>
    <row r="663" ht="13.5" customHeight="1">
      <c r="A663" s="1" t="s">
        <v>11</v>
      </c>
      <c r="B663" s="1" t="s">
        <v>3360</v>
      </c>
      <c r="C663" s="1" t="s">
        <v>3361</v>
      </c>
      <c r="D663" s="1" t="s">
        <v>3362</v>
      </c>
      <c r="E663" s="1" t="s">
        <v>3362</v>
      </c>
      <c r="F663" s="1" t="s">
        <v>3363</v>
      </c>
      <c r="G663" s="1" t="s">
        <v>3364</v>
      </c>
      <c r="H663" s="1" t="str">
        <f>IFERROR(__xludf.DUMMYFUNCTION("GOOGLETRANSLATE(D663,""EN"",""JA"")"),"ベンゾジアゼピン")</f>
        <v>ベンゾジアゼピン</v>
      </c>
      <c r="I663" s="1" t="str">
        <f>IFERROR(__xludf.DUMMYFUNCTION("GOOGLETRANSLATE(E663,""EN"",""JA"")"),"ベンゾジアゼピン")</f>
        <v>ベンゾジアゼピン</v>
      </c>
      <c r="J663" s="1" t="str">
        <f>IFERROR(__xludf.DUMMYFUNCTION("GOOGLETRANSLATE(F663,""EN"",""JA"")"),"生物学的標本中に存在するベンゾジアゼピン系薬物の測定。")</f>
        <v>生物学的標本中に存在するベンゾジアゼピン系薬物の測定。</v>
      </c>
      <c r="K663" s="1" t="str">
        <f>IFERROR(__xludf.DUMMYFUNCTION("GOOGLETRANSLATE(G663,""EN"",""JA"")"),"ベンゾジアゼピン測定")</f>
        <v>ベンゾジアゼピン測定</v>
      </c>
    </row>
    <row r="664" ht="13.5" customHeight="1">
      <c r="A664" s="1" t="s">
        <v>11</v>
      </c>
      <c r="B664" s="1" t="s">
        <v>3365</v>
      </c>
      <c r="C664" s="1" t="s">
        <v>3366</v>
      </c>
      <c r="D664" s="1" t="s">
        <v>3367</v>
      </c>
      <c r="E664" s="1" t="s">
        <v>3367</v>
      </c>
      <c r="F664" s="1" t="s">
        <v>3368</v>
      </c>
      <c r="G664" s="1" t="s">
        <v>3369</v>
      </c>
      <c r="H664" s="1" t="str">
        <f>IFERROR(__xludf.DUMMYFUNCTION("GOOGLETRANSLATE(D664,""EN"",""JA"")"),"ベンゾイルエクゴニン")</f>
        <v>ベンゾイルエクゴニン</v>
      </c>
      <c r="I664" s="1" t="str">
        <f>IFERROR(__xludf.DUMMYFUNCTION("GOOGLETRANSLATE(E664,""EN"",""JA"")"),"ベンゾイルエクゴニン")</f>
        <v>ベンゾイルエクゴニン</v>
      </c>
      <c r="J664" s="1" t="str">
        <f>IFERROR(__xludf.DUMMYFUNCTION("GOOGLETRANSLATE(F664,""EN"",""JA"")"),"生物標本中のベンゾイルエクゴニンの測定。")</f>
        <v>生物標本中のベンゾイルエクゴニンの測定。</v>
      </c>
      <c r="K664" s="1" t="str">
        <f>IFERROR(__xludf.DUMMYFUNCTION("GOOGLETRANSLATE(G664,""EN"",""JA"")"),"ベンゾイルエクゴニン測定")</f>
        <v>ベンゾイルエクゴニン測定</v>
      </c>
    </row>
    <row r="665" ht="13.5" customHeight="1">
      <c r="A665" s="1" t="s">
        <v>129</v>
      </c>
      <c r="B665" s="1" t="s">
        <v>3370</v>
      </c>
      <c r="C665" s="1" t="s">
        <v>3371</v>
      </c>
      <c r="D665" s="1" t="s">
        <v>3372</v>
      </c>
      <c r="E665" s="1" t="s">
        <v>3372</v>
      </c>
      <c r="F665" s="1" t="s">
        <v>3373</v>
      </c>
      <c r="G665" s="1" t="s">
        <v>3374</v>
      </c>
      <c r="H665" s="1" t="str">
        <f>IFERROR(__xludf.DUMMYFUNCTION("GOOGLETRANSLATE(D665,""EN"",""JA"")"),"体長")</f>
        <v>体長</v>
      </c>
      <c r="I665" s="1" t="str">
        <f>IFERROR(__xludf.DUMMYFUNCTION("GOOGLETRANSLATE(E665,""EN"",""JA"")"),"体長")</f>
        <v>体長</v>
      </c>
      <c r="J665" s="1" t="str">
        <f>IFERROR(__xludf.DUMMYFUNCTION("GOOGLETRANSLATE(F665,""EN"",""JA"")"),"物体の一端から他端までの空間内の直線範囲、または物体の始まりから終わりまでの範囲。")</f>
        <v>物体の一端から他端までの空間内の直線範囲、または物体の始まりから終わりまでの範囲。</v>
      </c>
      <c r="K665" s="1" t="str">
        <f>IFERROR(__xludf.DUMMYFUNCTION("GOOGLETRANSLATE(G665,""EN"",""JA"")"),"全長")</f>
        <v>全長</v>
      </c>
    </row>
    <row r="666" ht="13.5" customHeight="1">
      <c r="A666" s="1" t="s">
        <v>176</v>
      </c>
      <c r="B666" s="1" t="s">
        <v>3375</v>
      </c>
      <c r="C666" s="1" t="s">
        <v>3376</v>
      </c>
      <c r="D666" s="1" t="s">
        <v>3377</v>
      </c>
      <c r="E666" s="1" t="s">
        <v>3377</v>
      </c>
      <c r="F666" s="1" t="s">
        <v>3378</v>
      </c>
      <c r="G666" s="1" t="s">
        <v>3379</v>
      </c>
      <c r="H666" s="1" t="str">
        <f>IFERROR(__xludf.DUMMYFUNCTION("GOOGLETRANSLATE(D666,""EN"",""JA"")"),"体の動き")</f>
        <v>体の動き</v>
      </c>
      <c r="I666" s="1" t="str">
        <f>IFERROR(__xludf.DUMMYFUNCTION("GOOGLETRANSLATE(E666,""EN"",""JA"")"),"体の動き")</f>
        <v>体の動き</v>
      </c>
      <c r="J666" s="1" t="str">
        <f>IFERROR(__xludf.DUMMYFUNCTION("GOOGLETRANSLATE(F666,""EN"",""JA"")"),"明らかな原因の有無にかかわらず発生する身体の動きを評価します。")</f>
        <v>明らかな原因の有無にかかわらず発生する身体の動きを評価します。</v>
      </c>
      <c r="K666" s="1" t="str">
        <f>IFERROR(__xludf.DUMMYFUNCTION("GOOGLETRANSLATE(G666,""EN"",""JA"")"),"身体動作評価")</f>
        <v>身体動作評価</v>
      </c>
    </row>
    <row r="667" ht="13.5" customHeight="1">
      <c r="A667" s="1" t="s">
        <v>176</v>
      </c>
      <c r="B667" s="1" t="s">
        <v>3380</v>
      </c>
      <c r="C667" s="1" t="s">
        <v>3381</v>
      </c>
      <c r="D667" s="1" t="s">
        <v>3382</v>
      </c>
      <c r="E667" s="1" t="s">
        <v>3383</v>
      </c>
      <c r="F667" s="1" t="s">
        <v>3384</v>
      </c>
      <c r="G667" s="1" t="s">
        <v>3385</v>
      </c>
      <c r="H667" s="1" t="str">
        <f>IFERROR(__xludf.DUMMYFUNCTION("GOOGLETRANSLATE(D667,""EN"",""JA"")"),"自発的な体の動き")</f>
        <v>自発的な体の動き</v>
      </c>
      <c r="I667" s="1" t="str">
        <f>IFERROR(__xludf.DUMMYFUNCTION("GOOGLETRANSLATE(E667,""EN"",""JA"")"),"不随意運動；自発運動")</f>
        <v>不随意運動；自発運動</v>
      </c>
      <c r="J667" s="1" t="str">
        <f>IFERROR(__xludf.DUMMYFUNCTION("GOOGLETRANSLATE(F667,""EN"",""JA"")"),"明らかな外的原因なく発生する身体の動きを評価します。")</f>
        <v>明らかな外的原因なく発生する身体の動きを評価します。</v>
      </c>
      <c r="K667" s="1" t="str">
        <f>IFERROR(__xludf.DUMMYFUNCTION("GOOGLETRANSLATE(G667,""EN"",""JA"")"),"自発的な身体運動の評価")</f>
        <v>自発的な身体運動の評価</v>
      </c>
    </row>
    <row r="668" ht="13.5" customHeight="1">
      <c r="A668" s="1" t="s">
        <v>129</v>
      </c>
      <c r="B668" s="1" t="s">
        <v>3386</v>
      </c>
      <c r="C668" s="1" t="s">
        <v>3387</v>
      </c>
      <c r="D668" s="1" t="s">
        <v>3388</v>
      </c>
      <c r="E668" s="1" t="s">
        <v>3388</v>
      </c>
      <c r="F668" s="1" t="s">
        <v>3389</v>
      </c>
      <c r="G668" s="1" t="s">
        <v>3388</v>
      </c>
      <c r="H668" s="1" t="str">
        <f>IFERROR(__xludf.DUMMYFUNCTION("GOOGLETRANSLATE(D668,""EN"",""JA"")"),"体脂肪測定")</f>
        <v>体脂肪測定</v>
      </c>
      <c r="I668" s="1" t="str">
        <f>IFERROR(__xludf.DUMMYFUNCTION("GOOGLETRANSLATE(E668,""EN"",""JA"")"),"体脂肪測定")</f>
        <v>体脂肪測定</v>
      </c>
      <c r="J668" s="1" t="str">
        <f>IFERROR(__xludf.DUMMYFUNCTION("GOOGLETRANSLATE(F668,""EN"",""JA"")"),"被験者の体内の総脂肪量の測定値。(NCI)")</f>
        <v>被験者の体内の総脂肪量の測定値。(NCI)</v>
      </c>
      <c r="K668" s="1" t="str">
        <f>IFERROR(__xludf.DUMMYFUNCTION("GOOGLETRANSLATE(G668,""EN"",""JA"")"),"体脂肪測定")</f>
        <v>体脂肪測定</v>
      </c>
    </row>
    <row r="669" ht="13.5" customHeight="1">
      <c r="A669" s="1" t="s">
        <v>1034</v>
      </c>
      <c r="B669" s="1" t="s">
        <v>3390</v>
      </c>
      <c r="C669" s="1" t="s">
        <v>3391</v>
      </c>
      <c r="D669" s="1" t="s">
        <v>3392</v>
      </c>
      <c r="E669" s="1" t="s">
        <v>3392</v>
      </c>
      <c r="F669" s="1" t="s">
        <v>3393</v>
      </c>
      <c r="G669" s="1" t="s">
        <v>3392</v>
      </c>
      <c r="H669" s="1" t="str">
        <f>IFERROR(__xludf.DUMMYFUNCTION("GOOGLETRANSLATE(D669,""EN"",""JA"")"),"体脂肪率")</f>
        <v>体脂肪率</v>
      </c>
      <c r="I669" s="1" t="str">
        <f>IFERROR(__xludf.DUMMYFUNCTION("GOOGLETRANSLATE(E669,""EN"",""JA"")"),"体脂肪率")</f>
        <v>体脂肪率</v>
      </c>
      <c r="J669" s="1" t="str">
        <f>IFERROR(__xludf.DUMMYFUNCTION("GOOGLETRANSLATE(F669,""EN"",""JA"")"),"個人の体重全体のうち脂肪の割合をパーセントで表したもの。")</f>
        <v>個人の体重全体のうち脂肪の割合をパーセントで表したもの。</v>
      </c>
      <c r="K669" s="1" t="str">
        <f>IFERROR(__xludf.DUMMYFUNCTION("GOOGLETRANSLATE(G669,""EN"",""JA"")"),"体脂肪率")</f>
        <v>体脂肪率</v>
      </c>
    </row>
    <row r="670" ht="13.5" customHeight="1">
      <c r="A670" s="1" t="s">
        <v>11</v>
      </c>
      <c r="B670" s="1" t="s">
        <v>3394</v>
      </c>
      <c r="C670" s="1" t="s">
        <v>3395</v>
      </c>
      <c r="D670" s="1" t="s">
        <v>3396</v>
      </c>
      <c r="E670" s="1" t="s">
        <v>3396</v>
      </c>
      <c r="F670" s="1" t="s">
        <v>3397</v>
      </c>
      <c r="G670" s="1" t="s">
        <v>3398</v>
      </c>
      <c r="H670" s="1" t="str">
        <f>IFERROR(__xludf.DUMMYFUNCTION("GOOGLETRANSLATE(D670,""EN"",""JA"")"),"ボルデノン")</f>
        <v>ボルデノン</v>
      </c>
      <c r="I670" s="1" t="str">
        <f>IFERROR(__xludf.DUMMYFUNCTION("GOOGLETRANSLATE(E670,""EN"",""JA"")"),"ボルデノン")</f>
        <v>ボルデノン</v>
      </c>
      <c r="J670" s="1" t="str">
        <f>IFERROR(__xludf.DUMMYFUNCTION("GOOGLETRANSLATE(F670,""EN"",""JA"")"),"生物標本中のボルデノンの測定。")</f>
        <v>生物標本中のボルデノンの測定。</v>
      </c>
      <c r="K670" s="1" t="str">
        <f>IFERROR(__xludf.DUMMYFUNCTION("GOOGLETRANSLATE(G670,""EN"",""JA"")"),"ボルデノン測定")</f>
        <v>ボルデノン測定</v>
      </c>
    </row>
    <row r="671" ht="13.5" customHeight="1">
      <c r="A671" s="1" t="s">
        <v>11</v>
      </c>
      <c r="B671" s="1" t="s">
        <v>3399</v>
      </c>
      <c r="C671" s="1" t="s">
        <v>3400</v>
      </c>
      <c r="D671" s="1" t="s">
        <v>3401</v>
      </c>
      <c r="E671" s="1" t="s">
        <v>3401</v>
      </c>
      <c r="F671" s="1" t="s">
        <v>3402</v>
      </c>
      <c r="G671" s="1" t="s">
        <v>3403</v>
      </c>
      <c r="H671" s="1" t="str">
        <f>IFERROR(__xludf.DUMMYFUNCTION("GOOGLETRANSLATE(D671,""EN"",""JA"")"),"ボラステロン")</f>
        <v>ボラステロン</v>
      </c>
      <c r="I671" s="1" t="str">
        <f>IFERROR(__xludf.DUMMYFUNCTION("GOOGLETRANSLATE(E671,""EN"",""JA"")"),"ボラステロン")</f>
        <v>ボラステロン</v>
      </c>
      <c r="J671" s="1" t="str">
        <f>IFERROR(__xludf.DUMMYFUNCTION("GOOGLETRANSLATE(F671,""EN"",""JA"")"),"生物標本中のボラステロンの測定。")</f>
        <v>生物標本中のボラステロンの測定。</v>
      </c>
      <c r="K671" s="1" t="str">
        <f>IFERROR(__xludf.DUMMYFUNCTION("GOOGLETRANSLATE(G671,""EN"",""JA"")"),"ボラステロン測定")</f>
        <v>ボラステロン測定</v>
      </c>
    </row>
    <row r="672" ht="13.5" customHeight="1">
      <c r="A672" s="1" t="s">
        <v>1342</v>
      </c>
      <c r="B672" s="1" t="s">
        <v>3404</v>
      </c>
      <c r="C672" s="1" t="s">
        <v>3405</v>
      </c>
      <c r="D672" s="1" t="s">
        <v>3406</v>
      </c>
      <c r="E672" s="1" t="s">
        <v>3406</v>
      </c>
      <c r="F672" s="1" t="s">
        <v>3407</v>
      </c>
      <c r="G672" s="1" t="s">
        <v>3406</v>
      </c>
      <c r="H672" s="1" t="str">
        <f>IFERROR(__xludf.DUMMYFUNCTION("GOOGLETRANSLATE(D672,""EN"",""JA"")"),"骨反応")</f>
        <v>骨反応</v>
      </c>
      <c r="I672" s="1" t="str">
        <f>IFERROR(__xludf.DUMMYFUNCTION("GOOGLETRANSLATE(E672,""EN"",""JA"")"),"骨反応")</f>
        <v>骨反応</v>
      </c>
      <c r="J672" s="1" t="str">
        <f>IFERROR(__xludf.DUMMYFUNCTION("GOOGLETRANSLATE(F672,""EN"",""JA"")"),"治療に対する疾患の骨反応の評価。")</f>
        <v>治療に対する疾患の骨反応の評価。</v>
      </c>
      <c r="K672" s="1" t="str">
        <f>IFERROR(__xludf.DUMMYFUNCTION("GOOGLETRANSLATE(G672,""EN"",""JA"")"),"骨反応")</f>
        <v>骨反応</v>
      </c>
    </row>
    <row r="673" ht="13.5" customHeight="1">
      <c r="A673" s="1" t="s">
        <v>67</v>
      </c>
      <c r="B673" s="1" t="s">
        <v>3408</v>
      </c>
      <c r="C673" s="1" t="s">
        <v>3409</v>
      </c>
      <c r="D673" s="1" t="s">
        <v>3410</v>
      </c>
      <c r="E673" s="1" t="s">
        <v>3410</v>
      </c>
      <c r="F673" s="1" t="s">
        <v>3411</v>
      </c>
      <c r="G673" s="1" t="s">
        <v>3412</v>
      </c>
      <c r="H673" s="1" t="str">
        <f>IFERROR(__xludf.DUMMYFUNCTION("GOOGLETRANSLATE(D673,""EN"",""JA"")"),"ボレリアDNA")</f>
        <v>ボレリアDNA</v>
      </c>
      <c r="I673" s="1" t="str">
        <f>IFERROR(__xludf.DUMMYFUNCTION("GOOGLETRANSLATE(E673,""EN"",""JA"")"),"ボレリアDNA")</f>
        <v>ボレリアDNA</v>
      </c>
      <c r="J673" s="1" t="str">
        <f>IFERROR(__xludf.DUMMYFUNCTION("GOOGLETRANSLATE(F673,""EN"",""JA"")"),"生物標本中のボレリア属の任意のメンバーの DNA の測定。")</f>
        <v>生物標本中のボレリア属の任意のメンバーの DNA の測定。</v>
      </c>
      <c r="K673" s="1" t="str">
        <f>IFERROR(__xludf.DUMMYFUNCTION("GOOGLETRANSLATE(G673,""EN"",""JA"")"),"ボレリアDNA測定")</f>
        <v>ボレリアDNA測定</v>
      </c>
    </row>
    <row r="674" ht="13.5" customHeight="1">
      <c r="A674" s="1" t="s">
        <v>67</v>
      </c>
      <c r="B674" s="1" t="s">
        <v>3413</v>
      </c>
      <c r="C674" s="1" t="s">
        <v>3414</v>
      </c>
      <c r="D674" s="1" t="s">
        <v>3415</v>
      </c>
      <c r="E674" s="1" t="s">
        <v>3415</v>
      </c>
      <c r="F674" s="1" t="s">
        <v>3416</v>
      </c>
      <c r="G674" s="1" t="s">
        <v>3417</v>
      </c>
      <c r="H674" s="1" t="str">
        <f>IFERROR(__xludf.DUMMYFUNCTION("GOOGLETRANSLATE(D674,""EN"",""JA"")"),"ボルデテラ・パラ百日咳菌")</f>
        <v>ボルデテラ・パラ百日咳菌</v>
      </c>
      <c r="I674" s="1" t="str">
        <f>IFERROR(__xludf.DUMMYFUNCTION("GOOGLETRANSLATE(E674,""EN"",""JA"")"),"ボルデテラ・パラ百日咳菌")</f>
        <v>ボルデテラ・パラ百日咳菌</v>
      </c>
      <c r="J674" s="1" t="str">
        <f>IFERROR(__xludf.DUMMYFUNCTION("GOOGLETRANSLATE(F674,""EN"",""JA"")"),"生物標本中のパラ百日咳菌の測定。")</f>
        <v>生物標本中のパラ百日咳菌の測定。</v>
      </c>
      <c r="K674" s="1" t="str">
        <f>IFERROR(__xludf.DUMMYFUNCTION("GOOGLETRANSLATE(G674,""EN"",""JA"")"),"ボルデテラ・パラ百日咳の測定")</f>
        <v>ボルデテラ・パラ百日咳の測定</v>
      </c>
    </row>
    <row r="675" ht="13.5" customHeight="1">
      <c r="A675" s="1" t="s">
        <v>67</v>
      </c>
      <c r="B675" s="1" t="s">
        <v>3418</v>
      </c>
      <c r="C675" s="1" t="s">
        <v>3419</v>
      </c>
      <c r="D675" s="1" t="s">
        <v>3420</v>
      </c>
      <c r="E675" s="1" t="s">
        <v>3420</v>
      </c>
      <c r="F675" s="1" t="s">
        <v>3421</v>
      </c>
      <c r="G675" s="1" t="s">
        <v>3422</v>
      </c>
      <c r="H675" s="1" t="str">
        <f>IFERROR(__xludf.DUMMYFUNCTION("GOOGLETRANSLATE(D675,""EN"",""JA"")"),"ボルデテラ・パラ百日咳菌DNA")</f>
        <v>ボルデテラ・パラ百日咳菌DNA</v>
      </c>
      <c r="I675" s="1" t="str">
        <f>IFERROR(__xludf.DUMMYFUNCTION("GOOGLETRANSLATE(E675,""EN"",""JA"")"),"ボルデテラ・パラ百日咳菌DNA")</f>
        <v>ボルデテラ・パラ百日咳菌DNA</v>
      </c>
      <c r="J675" s="1" t="str">
        <f>IFERROR(__xludf.DUMMYFUNCTION("GOOGLETRANSLATE(F675,""EN"",""JA"")"),"生物標本中のパラ百日咳菌 DNA の測定。")</f>
        <v>生物標本中のパラ百日咳菌 DNA の測定。</v>
      </c>
      <c r="K675" s="1" t="str">
        <f>IFERROR(__xludf.DUMMYFUNCTION("GOOGLETRANSLATE(G675,""EN"",""JA"")"),"パラ百日咳菌のDNA測定")</f>
        <v>パラ百日咳菌のDNA測定</v>
      </c>
    </row>
    <row r="676" ht="13.5" customHeight="1">
      <c r="A676" s="1" t="s">
        <v>67</v>
      </c>
      <c r="B676" s="1" t="s">
        <v>3423</v>
      </c>
      <c r="C676" s="1" t="s">
        <v>3424</v>
      </c>
      <c r="D676" s="1" t="s">
        <v>3425</v>
      </c>
      <c r="E676" s="1" t="s">
        <v>3425</v>
      </c>
      <c r="F676" s="1" t="s">
        <v>3426</v>
      </c>
      <c r="G676" s="1" t="s">
        <v>3427</v>
      </c>
      <c r="H676" s="1" t="str">
        <f>IFERROR(__xludf.DUMMYFUNCTION("GOOGLETRANSLATE(D676,""EN"",""JA"")"),"百日咳菌")</f>
        <v>百日咳菌</v>
      </c>
      <c r="I676" s="1" t="str">
        <f>IFERROR(__xludf.DUMMYFUNCTION("GOOGLETRANSLATE(E676,""EN"",""JA"")"),"百日咳菌")</f>
        <v>百日咳菌</v>
      </c>
      <c r="J676" s="1" t="str">
        <f>IFERROR(__xludf.DUMMYFUNCTION("GOOGLETRANSLATE(F676,""EN"",""JA"")"),"生物標本中の百日咳菌の測定。")</f>
        <v>生物標本中の百日咳菌の測定。</v>
      </c>
      <c r="K676" s="1" t="str">
        <f>IFERROR(__xludf.DUMMYFUNCTION("GOOGLETRANSLATE(G676,""EN"",""JA"")"),"百日咳菌の測定")</f>
        <v>百日咳菌の測定</v>
      </c>
    </row>
    <row r="677" ht="13.5" customHeight="1">
      <c r="A677" s="1" t="s">
        <v>67</v>
      </c>
      <c r="B677" s="1" t="s">
        <v>3428</v>
      </c>
      <c r="C677" s="1" t="s">
        <v>3429</v>
      </c>
      <c r="D677" s="1" t="s">
        <v>3430</v>
      </c>
      <c r="E677" s="1" t="s">
        <v>3430</v>
      </c>
      <c r="F677" s="1" t="s">
        <v>3431</v>
      </c>
      <c r="G677" s="1" t="s">
        <v>3432</v>
      </c>
      <c r="H677" s="1" t="str">
        <f>IFERROR(__xludf.DUMMYFUNCTION("GOOGLETRANSLATE(D677,""EN"",""JA"")"),"百日咳菌抗原")</f>
        <v>百日咳菌抗原</v>
      </c>
      <c r="I677" s="1" t="str">
        <f>IFERROR(__xludf.DUMMYFUNCTION("GOOGLETRANSLATE(E677,""EN"",""JA"")"),"百日咳菌抗原")</f>
        <v>百日咳菌抗原</v>
      </c>
      <c r="J677" s="1" t="str">
        <f>IFERROR(__xludf.DUMMYFUNCTION("GOOGLETRANSLATE(F677,""EN"",""JA"")"),"生物標本中の百日咳菌抗原の測定。")</f>
        <v>生物標本中の百日咳菌抗原の測定。</v>
      </c>
      <c r="K677" s="1" t="str">
        <f>IFERROR(__xludf.DUMMYFUNCTION("GOOGLETRANSLATE(G677,""EN"",""JA"")"),"百日咳菌抗原測定")</f>
        <v>百日咳菌抗原測定</v>
      </c>
    </row>
    <row r="678" ht="13.5" customHeight="1">
      <c r="A678" s="1" t="s">
        <v>67</v>
      </c>
      <c r="B678" s="1" t="s">
        <v>3433</v>
      </c>
      <c r="C678" s="1" t="s">
        <v>3434</v>
      </c>
      <c r="D678" s="1" t="s">
        <v>3435</v>
      </c>
      <c r="E678" s="1" t="s">
        <v>3435</v>
      </c>
      <c r="F678" s="1" t="s">
        <v>3436</v>
      </c>
      <c r="G678" s="1" t="s">
        <v>3437</v>
      </c>
      <c r="H678" s="1" t="str">
        <f>IFERROR(__xludf.DUMMYFUNCTION("GOOGLETRANSLATE(D678,""EN"",""JA"")"),"百日咳菌DNA")</f>
        <v>百日咳菌DNA</v>
      </c>
      <c r="I678" s="1" t="str">
        <f>IFERROR(__xludf.DUMMYFUNCTION("GOOGLETRANSLATE(E678,""EN"",""JA"")"),"百日咳菌DNA")</f>
        <v>百日咳菌DNA</v>
      </c>
      <c r="J678" s="1" t="str">
        <f>IFERROR(__xludf.DUMMYFUNCTION("GOOGLETRANSLATE(F678,""EN"",""JA"")"),"生物標本中の百日咳菌 DNA の測定。")</f>
        <v>生物標本中の百日咳菌 DNA の測定。</v>
      </c>
      <c r="K678" s="1" t="str">
        <f>IFERROR(__xludf.DUMMYFUNCTION("GOOGLETRANSLATE(G678,""EN"",""JA"")"),"百日咳菌DNA測定")</f>
        <v>百日咳菌DNA測定</v>
      </c>
    </row>
    <row r="679" ht="13.5" customHeight="1">
      <c r="A679" s="1" t="s">
        <v>67</v>
      </c>
      <c r="B679" s="1" t="s">
        <v>3438</v>
      </c>
      <c r="C679" s="1" t="s">
        <v>3439</v>
      </c>
      <c r="D679" s="1" t="s">
        <v>3440</v>
      </c>
      <c r="E679" s="1" t="s">
        <v>3440</v>
      </c>
      <c r="F679" s="1" t="s">
        <v>3441</v>
      </c>
      <c r="G679" s="1" t="s">
        <v>3442</v>
      </c>
      <c r="H679" s="1" t="str">
        <f>IFERROR(__xludf.DUMMYFUNCTION("GOOGLETRANSLATE(D679,""EN"",""JA"")"),"ブルクホルデリア・ピロシニア")</f>
        <v>ブルクホルデリア・ピロシニア</v>
      </c>
      <c r="I679" s="1" t="str">
        <f>IFERROR(__xludf.DUMMYFUNCTION("GOOGLETRANSLATE(E679,""EN"",""JA"")"),"ブルクホルデリア・ピロシニア")</f>
        <v>ブルクホルデリア・ピロシニア</v>
      </c>
      <c r="J679" s="1" t="str">
        <f>IFERROR(__xludf.DUMMYFUNCTION("GOOGLETRANSLATE(F679,""EN"",""JA"")"),"生物標本中の Burkholderia pyrrocinia の測定。")</f>
        <v>生物標本中の Burkholderia pyrrocinia の測定。</v>
      </c>
      <c r="K679" s="1" t="str">
        <f>IFERROR(__xludf.DUMMYFUNCTION("GOOGLETRANSLATE(G679,""EN"",""JA"")"),"Burkholderia pyrrocinia 測定")</f>
        <v>Burkholderia pyrrocinia 測定</v>
      </c>
    </row>
    <row r="680" ht="13.5" customHeight="1">
      <c r="A680" s="1" t="s">
        <v>176</v>
      </c>
      <c r="B680" s="1" t="s">
        <v>3443</v>
      </c>
      <c r="C680" s="1" t="s">
        <v>3444</v>
      </c>
      <c r="D680" s="1" t="s">
        <v>3445</v>
      </c>
      <c r="E680" s="1" t="s">
        <v>3445</v>
      </c>
      <c r="F680" s="1" t="s">
        <v>3446</v>
      </c>
      <c r="G680" s="1" t="s">
        <v>3447</v>
      </c>
      <c r="H680" s="1" t="str">
        <f>IFERROR(__xludf.DUMMYFUNCTION("GOOGLETRANSLATE(D680,""EN"",""JA"")"),"動作緩慢")</f>
        <v>動作緩慢</v>
      </c>
      <c r="I680" s="1" t="str">
        <f>IFERROR(__xludf.DUMMYFUNCTION("GOOGLETRANSLATE(E680,""EN"",""JA"")"),"動作緩慢")</f>
        <v>動作緩慢</v>
      </c>
      <c r="J680" s="1" t="str">
        <f>IFERROR(__xludf.DUMMYFUNCTION("GOOGLETRANSLATE(F680,""EN"",""JA"")"),"動作緩慢（動きが遅い）の評価。")</f>
        <v>動作緩慢（動きが遅い）の評価。</v>
      </c>
      <c r="K680" s="1" t="str">
        <f>IFERROR(__xludf.DUMMYFUNCTION("GOOGLETRANSLATE(G680,""EN"",""JA"")"),"動作緩慢の評価")</f>
        <v>動作緩慢の評価</v>
      </c>
    </row>
    <row r="681" ht="13.5" customHeight="1">
      <c r="A681" s="1" t="s">
        <v>11</v>
      </c>
      <c r="B681" s="1" t="s">
        <v>3448</v>
      </c>
      <c r="C681" s="1" t="s">
        <v>3449</v>
      </c>
      <c r="D681" s="1" t="s">
        <v>3450</v>
      </c>
      <c r="E681" s="1" t="s">
        <v>3450</v>
      </c>
      <c r="F681" s="1" t="s">
        <v>3451</v>
      </c>
      <c r="G681" s="1" t="s">
        <v>3452</v>
      </c>
      <c r="H681" s="1" t="str">
        <f>IFERROR(__xludf.DUMMYFUNCTION("GOOGLETRANSLATE(D681,""EN"",""JA"")"),"バルビタール")</f>
        <v>バルビタール</v>
      </c>
      <c r="I681" s="1" t="str">
        <f>IFERROR(__xludf.DUMMYFUNCTION("GOOGLETRANSLATE(E681,""EN"",""JA"")"),"バルビタール")</f>
        <v>バルビタール</v>
      </c>
      <c r="J681" s="1" t="str">
        <f>IFERROR(__xludf.DUMMYFUNCTION("GOOGLETRANSLATE(F681,""EN"",""JA"")"),"生物標本中のバルビタール濃度の測定。")</f>
        <v>生物標本中のバルビタール濃度の測定。</v>
      </c>
      <c r="K681" s="1" t="str">
        <f>IFERROR(__xludf.DUMMYFUNCTION("GOOGLETRANSLATE(G681,""EN"",""JA"")"),"バルビタール測定")</f>
        <v>バルビタール測定</v>
      </c>
    </row>
    <row r="682" ht="13.5" customHeight="1">
      <c r="A682" s="1" t="s">
        <v>134</v>
      </c>
      <c r="B682" s="1" t="s">
        <v>3453</v>
      </c>
      <c r="C682" s="1" t="s">
        <v>3454</v>
      </c>
      <c r="D682" s="1" t="s">
        <v>3455</v>
      </c>
      <c r="E682" s="1" t="s">
        <v>3455</v>
      </c>
      <c r="F682" s="1" t="s">
        <v>3456</v>
      </c>
      <c r="G682" s="1" t="s">
        <v>3457</v>
      </c>
      <c r="H682" s="1" t="str">
        <f>IFERROR(__xludf.DUMMYFUNCTION("GOOGLETRANSLATE(D682,""EN"",""JA"")"),"乳がんタイプ1感受性タンパク質")</f>
        <v>乳がんタイプ1感受性タンパク質</v>
      </c>
      <c r="I682" s="1" t="str">
        <f>IFERROR(__xludf.DUMMYFUNCTION("GOOGLETRANSLATE(E682,""EN"",""JA"")"),"乳がんタイプ1感受性タンパク質")</f>
        <v>乳がんタイプ1感受性タンパク質</v>
      </c>
      <c r="J682" s="1" t="str">
        <f>IFERROR(__xludf.DUMMYFUNCTION("GOOGLETRANSLATE(F682,""EN"",""JA"")"),"生物標本中の BRCA1 タンパク質の測定。")</f>
        <v>生物標本中の BRCA1 タンパク質の測定。</v>
      </c>
      <c r="K682" s="1" t="str">
        <f>IFERROR(__xludf.DUMMYFUNCTION("GOOGLETRANSLATE(G682,""EN"",""JA"")"),"乳がんタイプ1感受性タンパク質測定")</f>
        <v>乳がんタイプ1感受性タンパク質測定</v>
      </c>
    </row>
    <row r="683" ht="13.5" customHeight="1">
      <c r="A683" s="1" t="s">
        <v>601</v>
      </c>
      <c r="B683" s="1" t="s">
        <v>3458</v>
      </c>
      <c r="C683" s="1" t="s">
        <v>3459</v>
      </c>
      <c r="D683" s="1" t="s">
        <v>3460</v>
      </c>
      <c r="E683" s="1" t="s">
        <v>3461</v>
      </c>
      <c r="F683" s="1" t="s">
        <v>3462</v>
      </c>
      <c r="G683" s="1" t="s">
        <v>3460</v>
      </c>
      <c r="H683" s="1" t="str">
        <f>IFERROR(__xludf.DUMMYFUNCTION("GOOGLETRANSLATE(D683,""EN"",""JA"")"),"出生地")</f>
        <v>出生地</v>
      </c>
      <c r="I683" s="1" t="str">
        <f>IFERROR(__xludf.DUMMYFUNCTION("GOOGLETRANSLATE(E683,""EN"",""JA"")"),"出生地; 出生地")</f>
        <v>出生地; 出生地</v>
      </c>
      <c r="J683" s="1" t="str">
        <f>IFERROR(__xludf.DUMMYFUNCTION("GOOGLETRANSLATE(F683,""EN"",""JA"")"),"対象者が生まれた国の名前。")</f>
        <v>対象者が生まれた国の名前。</v>
      </c>
      <c r="K683" s="1" t="str">
        <f>IFERROR(__xludf.DUMMYFUNCTION("GOOGLETRANSLATE(G683,""EN"",""JA"")"),"出生地")</f>
        <v>出生地</v>
      </c>
    </row>
    <row r="684" ht="13.5" customHeight="1">
      <c r="A684" s="1" t="s">
        <v>601</v>
      </c>
      <c r="B684" s="1" t="s">
        <v>3463</v>
      </c>
      <c r="C684" s="1" t="s">
        <v>3464</v>
      </c>
      <c r="D684" s="1" t="s">
        <v>3465</v>
      </c>
      <c r="E684" s="1" t="s">
        <v>3466</v>
      </c>
      <c r="F684" s="1" t="s">
        <v>3467</v>
      </c>
      <c r="G684" s="1" t="s">
        <v>3465</v>
      </c>
      <c r="H684" s="1" t="str">
        <f>IFERROR(__xludf.DUMMYFUNCTION("GOOGLETRANSLATE(D684,""EN"",""JA"")"),"出生国コード")</f>
        <v>出生国コード</v>
      </c>
      <c r="I684" s="1" t="str">
        <f>IFERROR(__xludf.DUMMYFUNCTION("GOOGLETRANSLATE(E684,""EN"",""JA"")"),"出生国コード; 出生国コード")</f>
        <v>出生国コード; 出生国コード</v>
      </c>
      <c r="J684" s="1" t="str">
        <f>IFERROR(__xludf.DUMMYFUNCTION("GOOGLETRANSLATE(F684,""EN"",""JA"")"),"対象者が生まれた国の名前を指定するコード化された値。")</f>
        <v>対象者が生まれた国の名前を指定するコード化された値。</v>
      </c>
      <c r="K684" s="1" t="str">
        <f>IFERROR(__xludf.DUMMYFUNCTION("GOOGLETRANSLATE(G684,""EN"",""JA"")"),"出生国コード")</f>
        <v>出生国コード</v>
      </c>
    </row>
    <row r="685" ht="13.5" customHeight="1">
      <c r="A685" s="1" t="s">
        <v>397</v>
      </c>
      <c r="B685" s="1" t="s">
        <v>3468</v>
      </c>
      <c r="C685" s="1" t="s">
        <v>3469</v>
      </c>
      <c r="D685" s="1" t="s">
        <v>3470</v>
      </c>
      <c r="E685" s="1" t="s">
        <v>3470</v>
      </c>
      <c r="F685" s="1" t="s">
        <v>3471</v>
      </c>
      <c r="G685" s="1" t="s">
        <v>3472</v>
      </c>
      <c r="H685" s="1" t="str">
        <f>IFERROR(__xludf.DUMMYFUNCTION("GOOGLETRANSLATE(D685,""EN"",""JA"")"),"生体試料保持DNA Indを含む")</f>
        <v>生体試料保持DNA Indを含む</v>
      </c>
      <c r="I685" s="1" t="str">
        <f>IFERROR(__xludf.DUMMYFUNCTION("GOOGLETRANSLATE(E685,""EN"",""JA"")"),"生体試料保持DNA Indを含む")</f>
        <v>生体試料保持DNA Indを含む</v>
      </c>
      <c r="J685" s="1" t="str">
        <f>IFERROR(__xludf.DUMMYFUNCTION("GOOGLETRANSLATE(F685,""EN"",""JA"")"),"保管されている生体試料に DNA が含まれているかどうかを示します。")</f>
        <v>保管されている生体試料に DNA が含まれているかどうかを示します。</v>
      </c>
      <c r="K685" s="1" t="str">
        <f>IFERROR(__xludf.DUMMYFUNCTION("GOOGLETRANSLATE(G685,""EN"",""JA"")"),"保管された生体試料にはDNA指標が含まれています")</f>
        <v>保管された生体試料にはDNA指標が含まれています</v>
      </c>
    </row>
    <row r="686" ht="13.5" customHeight="1">
      <c r="A686" s="1" t="s">
        <v>601</v>
      </c>
      <c r="B686" s="1" t="s">
        <v>3473</v>
      </c>
      <c r="C686" s="1" t="s">
        <v>3474</v>
      </c>
      <c r="D686" s="1" t="s">
        <v>3475</v>
      </c>
      <c r="E686" s="1" t="s">
        <v>3475</v>
      </c>
      <c r="F686" s="1" t="s">
        <v>3476</v>
      </c>
      <c r="G686" s="1" t="s">
        <v>3475</v>
      </c>
      <c r="H686" s="1" t="str">
        <f>IFERROR(__xludf.DUMMYFUNCTION("GOOGLETRANSLATE(D686,""EN"",""JA"")"),"母乳栄養指標")</f>
        <v>母乳栄養指標</v>
      </c>
      <c r="I686" s="1" t="str">
        <f>IFERROR(__xludf.DUMMYFUNCTION("GOOGLETRANSLATE(E686,""EN"",""JA"")"),"母乳栄養指標")</f>
        <v>母乳栄養指標</v>
      </c>
      <c r="J686" s="1" t="str">
        <f>IFERROR(__xludf.DUMMYFUNCTION("GOOGLETRANSLATE(F686,""EN"",""JA"")"),"対象者が乳児期に母乳を与えられたかどうかを示します。")</f>
        <v>対象者が乳児期に母乳を与えられたかどうかを示します。</v>
      </c>
      <c r="K686" s="1" t="str">
        <f>IFERROR(__xludf.DUMMYFUNCTION("GOOGLETRANSLATE(G686,""EN"",""JA"")"),"母乳栄養指標")</f>
        <v>母乳栄養指標</v>
      </c>
    </row>
    <row r="687" ht="13.5" customHeight="1">
      <c r="A687" s="1" t="s">
        <v>160</v>
      </c>
      <c r="B687" s="1" t="s">
        <v>3477</v>
      </c>
      <c r="C687" s="1" t="s">
        <v>3478</v>
      </c>
      <c r="D687" s="1" t="s">
        <v>3479</v>
      </c>
      <c r="E687" s="1" t="s">
        <v>3479</v>
      </c>
      <c r="F687" s="1" t="s">
        <v>3480</v>
      </c>
      <c r="G687" s="1" t="s">
        <v>3479</v>
      </c>
      <c r="H687" s="1" t="str">
        <f>IFERROR(__xludf.DUMMYFUNCTION("GOOGLETRANSLATE(D687,""EN"",""JA"")"),"授乳終了日")</f>
        <v>授乳終了日</v>
      </c>
      <c r="I687" s="1" t="str">
        <f>IFERROR(__xludf.DUMMYFUNCTION("GOOGLETRANSLATE(E687,""EN"",""JA"")"),"授乳終了日")</f>
        <v>授乳終了日</v>
      </c>
      <c r="J687" s="1" t="str">
        <f>IFERROR(__xludf.DUMMYFUNCTION("GOOGLETRANSLATE(F687,""EN"",""JA"")"),"授乳を終了した日付。")</f>
        <v>授乳を終了した日付。</v>
      </c>
      <c r="K687" s="1" t="str">
        <f>IFERROR(__xludf.DUMMYFUNCTION("GOOGLETRANSLATE(G687,""EN"",""JA"")"),"授乳終了日")</f>
        <v>授乳終了日</v>
      </c>
    </row>
    <row r="688" ht="13.5" customHeight="1">
      <c r="A688" s="1" t="s">
        <v>160</v>
      </c>
      <c r="B688" s="1" t="s">
        <v>3481</v>
      </c>
      <c r="C688" s="1" t="s">
        <v>3482</v>
      </c>
      <c r="D688" s="1" t="s">
        <v>3483</v>
      </c>
      <c r="E688" s="1" t="s">
        <v>3483</v>
      </c>
      <c r="F688" s="1" t="s">
        <v>3484</v>
      </c>
      <c r="G688" s="1" t="s">
        <v>3483</v>
      </c>
      <c r="H688" s="1" t="str">
        <f>IFERROR(__xludf.DUMMYFUNCTION("GOOGLETRANSLATE(D688,""EN"",""JA"")"),"授乳開始日")</f>
        <v>授乳開始日</v>
      </c>
      <c r="I688" s="1" t="str">
        <f>IFERROR(__xludf.DUMMYFUNCTION("GOOGLETRANSLATE(E688,""EN"",""JA"")"),"授乳開始日")</f>
        <v>授乳開始日</v>
      </c>
      <c r="J688" s="1" t="str">
        <f>IFERROR(__xludf.DUMMYFUNCTION("GOOGLETRANSLATE(F688,""EN"",""JA"")"),"授乳を開始した日付。")</f>
        <v>授乳を開始した日付。</v>
      </c>
      <c r="K688" s="1" t="str">
        <f>IFERROR(__xludf.DUMMYFUNCTION("GOOGLETRANSLATE(G688,""EN"",""JA"")"),"授乳開始日")</f>
        <v>授乳開始日</v>
      </c>
    </row>
    <row r="689" ht="13.5" customHeight="1">
      <c r="A689" s="1" t="s">
        <v>397</v>
      </c>
      <c r="B689" s="1" t="s">
        <v>3485</v>
      </c>
      <c r="C689" s="1" t="s">
        <v>3486</v>
      </c>
      <c r="D689" s="1" t="s">
        <v>3487</v>
      </c>
      <c r="E689" s="1" t="s">
        <v>3487</v>
      </c>
      <c r="F689" s="1" t="s">
        <v>3488</v>
      </c>
      <c r="G689" s="1" t="s">
        <v>3487</v>
      </c>
      <c r="H689" s="1" t="str">
        <f>IFERROR(__xludf.DUMMYFUNCTION("GOOGLETRANSLATE(D689,""EN"",""JA"")"),"生体試料保持インジケーター")</f>
        <v>生体試料保持インジケーター</v>
      </c>
      <c r="I689" s="1" t="str">
        <f>IFERROR(__xludf.DUMMYFUNCTION("GOOGLETRANSLATE(E689,""EN"",""JA"")"),"生体試料保持インジケーター")</f>
        <v>生体試料保持インジケーター</v>
      </c>
      <c r="J689" s="1" t="str">
        <f>IFERROR(__xludf.DUMMYFUNCTION("GOOGLETRANSLATE(F689,""EN"",""JA"")"),"生体試料が保持されたかどうかの表示。")</f>
        <v>生体試料が保持されたかどうかの表示。</v>
      </c>
      <c r="K689" s="1" t="str">
        <f>IFERROR(__xludf.DUMMYFUNCTION("GOOGLETRANSLATE(G689,""EN"",""JA"")"),"生体試料保持インジケーター")</f>
        <v>生体試料保持インジケーター</v>
      </c>
    </row>
    <row r="690" ht="13.5" customHeight="1">
      <c r="A690" s="1" t="s">
        <v>11</v>
      </c>
      <c r="B690" s="1" t="s">
        <v>3489</v>
      </c>
      <c r="C690" s="1" t="s">
        <v>3490</v>
      </c>
      <c r="D690" s="1" t="s">
        <v>3491</v>
      </c>
      <c r="E690" s="1" t="s">
        <v>3491</v>
      </c>
      <c r="F690" s="1" t="s">
        <v>3492</v>
      </c>
      <c r="G690" s="1" t="s">
        <v>3493</v>
      </c>
      <c r="H690" s="1" t="str">
        <f>IFERROR(__xludf.DUMMYFUNCTION("GOOGLETRANSLATE(D690,""EN"",""JA"")"),"ブロマゼパム")</f>
        <v>ブロマゼパム</v>
      </c>
      <c r="I690" s="1" t="str">
        <f>IFERROR(__xludf.DUMMYFUNCTION("GOOGLETRANSLATE(E690,""EN"",""JA"")"),"ブロマゼパム")</f>
        <v>ブロマゼパム</v>
      </c>
      <c r="J690" s="1" t="str">
        <f>IFERROR(__xludf.DUMMYFUNCTION("GOOGLETRANSLATE(F690,""EN"",""JA"")"),"生物標本中のブロマゼパムの測定。")</f>
        <v>生物標本中のブロマゼパムの測定。</v>
      </c>
      <c r="K690" s="1" t="str">
        <f>IFERROR(__xludf.DUMMYFUNCTION("GOOGLETRANSLATE(G690,""EN"",""JA"")"),"ブロマゼパム測定")</f>
        <v>ブロマゼパム測定</v>
      </c>
    </row>
    <row r="691" ht="13.5" customHeight="1">
      <c r="A691" s="1" t="s">
        <v>160</v>
      </c>
      <c r="B691" s="1" t="s">
        <v>3494</v>
      </c>
      <c r="C691" s="1" t="s">
        <v>3495</v>
      </c>
      <c r="D691" s="1" t="s">
        <v>3496</v>
      </c>
      <c r="E691" s="1" t="s">
        <v>3496</v>
      </c>
      <c r="F691" s="1" t="s">
        <v>3497</v>
      </c>
      <c r="G691" s="1" t="s">
        <v>3498</v>
      </c>
      <c r="H691" s="1" t="str">
        <f>IFERROR(__xludf.DUMMYFUNCTION("GOOGLETRANSLATE(D691,""EN"",""JA"")"),"満期出産数")</f>
        <v>満期出産数</v>
      </c>
      <c r="I691" s="1" t="str">
        <f>IFERROR(__xludf.DUMMYFUNCTION("GOOGLETRANSLATE(E691,""EN"",""JA"")"),"満期出産数")</f>
        <v>満期出産数</v>
      </c>
      <c r="J691" s="1" t="str">
        <f>IFERROR(__xludf.DUMMYFUNCTION("GOOGLETRANSLATE(F691,""EN"",""JA"")"),"新生児の妊娠期間が 39 週 0 日から 40 週 6 日までの間の出生イベントの総数を測定した値です。")</f>
        <v>新生児の妊娠期間が 39 週 0 日から 40 週 6 日までの間の出生イベントの総数を測定した値です。</v>
      </c>
      <c r="K691" s="1" t="str">
        <f>IFERROR(__xludf.DUMMYFUNCTION("GOOGLETRANSLATE(G691,""EN"",""JA"")"),"満期出産数")</f>
        <v>満期出産数</v>
      </c>
    </row>
    <row r="692" ht="13.5" customHeight="1">
      <c r="A692" s="1" t="s">
        <v>160</v>
      </c>
      <c r="B692" s="1" t="s">
        <v>3499</v>
      </c>
      <c r="C692" s="1" t="s">
        <v>3500</v>
      </c>
      <c r="D692" s="1" t="s">
        <v>3501</v>
      </c>
      <c r="E692" s="1" t="s">
        <v>3501</v>
      </c>
      <c r="F692" s="1" t="s">
        <v>3502</v>
      </c>
      <c r="G692" s="1" t="s">
        <v>3501</v>
      </c>
      <c r="H692" s="1" t="str">
        <f>IFERROR(__xludf.DUMMYFUNCTION("GOOGLETRANSLATE(D692,""EN"",""JA"")"),"出生数")</f>
        <v>出生数</v>
      </c>
      <c r="I692" s="1" t="str">
        <f>IFERROR(__xludf.DUMMYFUNCTION("GOOGLETRANSLATE(E692,""EN"",""JA"")"),"出生数")</f>
        <v>出生数</v>
      </c>
      <c r="J692" s="1" t="str">
        <f>IFERROR(__xludf.DUMMYFUNCTION("GOOGLETRANSLATE(F692,""EN"",""JA"")"),"メスが出産した生存子孫の総数を測定する単位。")</f>
        <v>メスが出産した生存子孫の総数を測定する単位。</v>
      </c>
      <c r="K692" s="1" t="str">
        <f>IFERROR(__xludf.DUMMYFUNCTION("GOOGLETRANSLATE(G692,""EN"",""JA"")"),"出生数")</f>
        <v>出生数</v>
      </c>
    </row>
    <row r="693" ht="13.5" customHeight="1">
      <c r="A693" s="1" t="s">
        <v>160</v>
      </c>
      <c r="B693" s="1" t="s">
        <v>3503</v>
      </c>
      <c r="C693" s="1" t="s">
        <v>3504</v>
      </c>
      <c r="D693" s="1" t="s">
        <v>3505</v>
      </c>
      <c r="E693" s="1" t="s">
        <v>3505</v>
      </c>
      <c r="F693" s="1" t="s">
        <v>3506</v>
      </c>
      <c r="G693" s="1" t="s">
        <v>3505</v>
      </c>
      <c r="H693" s="1" t="str">
        <f>IFERROR(__xludf.DUMMYFUNCTION("GOOGLETRANSLATE(D693,""EN"",""JA"")"),"出生数")</f>
        <v>出生数</v>
      </c>
      <c r="I693" s="1" t="str">
        <f>IFERROR(__xludf.DUMMYFUNCTION("GOOGLETRANSLATE(E693,""EN"",""JA"")"),"出生数")</f>
        <v>出生数</v>
      </c>
      <c r="J693" s="1" t="str">
        <f>IFERROR(__xludf.DUMMYFUNCTION("GOOGLETRANSLATE(F693,""EN"",""JA"")"),"女性が経験する出産イベントの合計回数の測定値。")</f>
        <v>女性が経験する出産イベントの合計回数の測定値。</v>
      </c>
      <c r="K693" s="1" t="str">
        <f>IFERROR(__xludf.DUMMYFUNCTION("GOOGLETRANSLATE(G693,""EN"",""JA"")"),"出生数")</f>
        <v>出生数</v>
      </c>
    </row>
    <row r="694" ht="13.5" customHeight="1">
      <c r="A694" s="1" t="s">
        <v>160</v>
      </c>
      <c r="B694" s="1" t="s">
        <v>3507</v>
      </c>
      <c r="C694" s="1" t="s">
        <v>3508</v>
      </c>
      <c r="D694" s="1" t="s">
        <v>3509</v>
      </c>
      <c r="E694" s="1" t="s">
        <v>3509</v>
      </c>
      <c r="F694" s="1" t="s">
        <v>3510</v>
      </c>
      <c r="G694" s="1" t="s">
        <v>3509</v>
      </c>
      <c r="H694" s="1" t="str">
        <f>IFERROR(__xludf.DUMMYFUNCTION("GOOGLETRANSLATE(D694,""EN"",""JA"")"),"早産児数")</f>
        <v>早産児数</v>
      </c>
      <c r="I694" s="1" t="str">
        <f>IFERROR(__xludf.DUMMYFUNCTION("GOOGLETRANSLATE(E694,""EN"",""JA"")"),"早産児数")</f>
        <v>早産児数</v>
      </c>
      <c r="J694" s="1" t="str">
        <f>IFERROR(__xludf.DUMMYFUNCTION("GOOGLETRANSLATE(F694,""EN"",""JA"")"),"新生児の妊娠期間が 37 週 0 日未満の出生イベントの合計数を測定した値。")</f>
        <v>新生児の妊娠期間が 37 週 0 日未満の出生イベントの合計数を測定した値。</v>
      </c>
      <c r="K694" s="1" t="str">
        <f>IFERROR(__xludf.DUMMYFUNCTION("GOOGLETRANSLATE(G694,""EN"",""JA"")"),"早産児数")</f>
        <v>早産児数</v>
      </c>
    </row>
    <row r="695" ht="13.5" customHeight="1">
      <c r="A695" s="1" t="s">
        <v>160</v>
      </c>
      <c r="B695" s="1" t="s">
        <v>3511</v>
      </c>
      <c r="C695" s="1" t="s">
        <v>3512</v>
      </c>
      <c r="D695" s="1" t="s">
        <v>3513</v>
      </c>
      <c r="E695" s="1" t="s">
        <v>3513</v>
      </c>
      <c r="F695" s="1" t="s">
        <v>3514</v>
      </c>
      <c r="G695" s="1" t="s">
        <v>3513</v>
      </c>
      <c r="H695" s="1" t="str">
        <f>IFERROR(__xludf.DUMMYFUNCTION("GOOGLETRANSLATE(D695,""EN"",""JA"")"),"死産数")</f>
        <v>死産数</v>
      </c>
      <c r="I695" s="1" t="str">
        <f>IFERROR(__xludf.DUMMYFUNCTION("GOOGLETRANSLATE(E695,""EN"",""JA"")"),"死産数")</f>
        <v>死産数</v>
      </c>
      <c r="J695" s="1" t="str">
        <f>IFERROR(__xludf.DUMMYFUNCTION("GOOGLETRANSLATE(F695,""EN"",""JA"")"),"胎児が妊娠20週以上、または妊娠週数が不明な場合は出生体重が350グラム以上で、出産時に生命の兆候がなく、")</f>
        <v>胎児が妊娠20週以上、または妊娠週数が不明な場合は出生体重が350グラム以上で、出産時に生命の兆候がなく、</v>
      </c>
      <c r="K695" s="1" t="str">
        <f>IFERROR(__xludf.DUMMYFUNCTION("GOOGLETRANSLATE(G695,""EN"",""JA"")"),"死産数")</f>
        <v>死産数</v>
      </c>
    </row>
    <row r="696" ht="13.5" customHeight="1">
      <c r="A696" s="1" t="s">
        <v>129</v>
      </c>
      <c r="B696" s="1" t="s">
        <v>3515</v>
      </c>
      <c r="C696" s="1" t="s">
        <v>3516</v>
      </c>
      <c r="D696" s="1" t="s">
        <v>3517</v>
      </c>
      <c r="E696" s="1" t="s">
        <v>3517</v>
      </c>
      <c r="F696" s="1" t="s">
        <v>3518</v>
      </c>
      <c r="G696" s="1" t="s">
        <v>3517</v>
      </c>
      <c r="H696" s="1" t="str">
        <f>IFERROR(__xludf.DUMMYFUNCTION("GOOGLETRANSLATE(D696,""EN"",""JA"")"),"出生体重")</f>
        <v>出生体重</v>
      </c>
      <c r="I696" s="1" t="str">
        <f>IFERROR(__xludf.DUMMYFUNCTION("GOOGLETRANSLATE(E696,""EN"",""JA"")"),"出生体重")</f>
        <v>出生体重</v>
      </c>
      <c r="J696" s="1" t="str">
        <f>IFERROR(__xludf.DUMMYFUNCTION("GOOGLETRANSLATE(F696,""EN"",""JA"")"),"新生児の出生時の体重の測定値。")</f>
        <v>新生児の出生時の体重の測定値。</v>
      </c>
      <c r="K696" s="1" t="str">
        <f>IFERROR(__xludf.DUMMYFUNCTION("GOOGLETRANSLATE(G696,""EN"",""JA"")"),"出生体重")</f>
        <v>出生体重</v>
      </c>
    </row>
    <row r="697" ht="13.5" customHeight="1">
      <c r="A697" s="1" t="s">
        <v>160</v>
      </c>
      <c r="B697" s="1" t="s">
        <v>3519</v>
      </c>
      <c r="C697" s="1" t="s">
        <v>3520</v>
      </c>
      <c r="D697" s="1" t="s">
        <v>3521</v>
      </c>
      <c r="E697" s="1" t="s">
        <v>3521</v>
      </c>
      <c r="F697" s="1" t="s">
        <v>3522</v>
      </c>
      <c r="G697" s="1" t="s">
        <v>3521</v>
      </c>
      <c r="H697" s="1" t="str">
        <f>IFERROR(__xludf.DUMMYFUNCTION("GOOGLETRANSLATE(D697,""EN"",""JA"")"),"出生インジケーター")</f>
        <v>出生インジケーター</v>
      </c>
      <c r="I697" s="1" t="str">
        <f>IFERROR(__xludf.DUMMYFUNCTION("GOOGLETRANSLATE(E697,""EN"",""JA"")"),"出生インジケーター")</f>
        <v>出生インジケーター</v>
      </c>
      <c r="J697" s="1" t="str">
        <f>IFERROR(__xludf.DUMMYFUNCTION("GOOGLETRANSLATE(F697,""EN"",""JA"")"),"対象者がこれまでに出産経験があるかどうかを示します。")</f>
        <v>対象者がこれまでに出産経験があるかどうかを示します。</v>
      </c>
      <c r="K697" s="1" t="str">
        <f>IFERROR(__xludf.DUMMYFUNCTION("GOOGLETRANSLATE(G697,""EN"",""JA"")"),"出生インジケーター")</f>
        <v>出生インジケーター</v>
      </c>
    </row>
    <row r="698" ht="13.5" customHeight="1">
      <c r="A698" s="1" t="s">
        <v>160</v>
      </c>
      <c r="B698" s="1" t="s">
        <v>3523</v>
      </c>
      <c r="C698" s="1" t="s">
        <v>3524</v>
      </c>
      <c r="D698" s="1" t="s">
        <v>3525</v>
      </c>
      <c r="E698" s="1" t="s">
        <v>3526</v>
      </c>
      <c r="F698" s="1" t="s">
        <v>3527</v>
      </c>
      <c r="G698" s="1" t="s">
        <v>3525</v>
      </c>
      <c r="H698" s="1" t="str">
        <f>IFERROR(__xludf.DUMMYFUNCTION("GOOGLETRANSLATE(D698,""EN"",""JA"")"),"多胎出産の兆候")</f>
        <v>多胎出産の兆候</v>
      </c>
      <c r="I698" s="1" t="str">
        <f>IFERROR(__xludf.DUMMYFUNCTION("GOOGLETRANSLATE(E698,""EN"",""JA"")"),"多胎出産指標; 多胎出産指標")</f>
        <v>多胎出産指標; 多胎出産指標</v>
      </c>
      <c r="J698" s="1" t="str">
        <f>IFERROR(__xludf.DUMMYFUNCTION("GOOGLETRANSLATE(F698,""EN"",""JA"")"),"妊娠期間や胎児の出生日が異なっていたかどうかに関係なく、1 回の妊娠で複数の胎児 (生存または死亡) が生まれたかどうかを示します。")</f>
        <v>妊娠期間や胎児の出生日が異なっていたかどうかに関係なく、1 回の妊娠で複数の胎児 (生存または死亡) が生まれたかどうかを示します。</v>
      </c>
      <c r="K698" s="1" t="str">
        <f>IFERROR(__xludf.DUMMYFUNCTION("GOOGLETRANSLATE(G698,""EN"",""JA"")"),"多胎出産の兆候")</f>
        <v>多胎出産の兆候</v>
      </c>
    </row>
    <row r="699" ht="13.5" customHeight="1">
      <c r="A699" s="1" t="s">
        <v>11</v>
      </c>
      <c r="B699" s="1" t="s">
        <v>3528</v>
      </c>
      <c r="C699" s="1" t="s">
        <v>3529</v>
      </c>
      <c r="D699" s="1" t="s">
        <v>3530</v>
      </c>
      <c r="E699" s="1" t="s">
        <v>3530</v>
      </c>
      <c r="F699" s="1" t="s">
        <v>3531</v>
      </c>
      <c r="G699" s="1" t="s">
        <v>3532</v>
      </c>
      <c r="H699" s="1" t="str">
        <f>IFERROR(__xludf.DUMMYFUNCTION("GOOGLETRANSLATE(D699,""EN"",""JA"")"),"ブリバラセタム")</f>
        <v>ブリバラセタム</v>
      </c>
      <c r="I699" s="1" t="str">
        <f>IFERROR(__xludf.DUMMYFUNCTION("GOOGLETRANSLATE(E699,""EN"",""JA"")"),"ブリバラセタム")</f>
        <v>ブリバラセタム</v>
      </c>
      <c r="J699" s="1" t="str">
        <f>IFERROR(__xludf.DUMMYFUNCTION("GOOGLETRANSLATE(F699,""EN"",""JA"")"),"生物標本中のブリバラセタムの測定。")</f>
        <v>生物標本中のブリバラセタムの測定。</v>
      </c>
      <c r="K699" s="1" t="str">
        <f>IFERROR(__xludf.DUMMYFUNCTION("GOOGLETRANSLATE(G699,""EN"",""JA"")"),"ブリバラセタム測定")</f>
        <v>ブリバラセタム測定</v>
      </c>
    </row>
    <row r="700" ht="13.5" customHeight="1">
      <c r="A700" s="1" t="s">
        <v>11</v>
      </c>
      <c r="B700" s="1" t="s">
        <v>3533</v>
      </c>
      <c r="C700" s="1" t="s">
        <v>3534</v>
      </c>
      <c r="D700" s="1" t="s">
        <v>3535</v>
      </c>
      <c r="E700" s="1" t="s">
        <v>3535</v>
      </c>
      <c r="F700" s="1" t="s">
        <v>3536</v>
      </c>
      <c r="G700" s="1" t="s">
        <v>3537</v>
      </c>
      <c r="H700" s="1" t="str">
        <f>IFERROR(__xludf.DUMMYFUNCTION("GOOGLETRANSLATE(D700,""EN"",""JA"")"),"ブレクスピプラゾール")</f>
        <v>ブレクスピプラゾール</v>
      </c>
      <c r="I700" s="1" t="str">
        <f>IFERROR(__xludf.DUMMYFUNCTION("GOOGLETRANSLATE(E700,""EN"",""JA"")"),"ブレクスピプラゾール")</f>
        <v>ブレクスピプラゾール</v>
      </c>
      <c r="J700" s="1" t="str">
        <f>IFERROR(__xludf.DUMMYFUNCTION("GOOGLETRANSLATE(F700,""EN"",""JA"")"),"生物標本中のブレクスピプラゾールの測定。")</f>
        <v>生物標本中のブレクスピプラゾールの測定。</v>
      </c>
      <c r="K700" s="1" t="str">
        <f>IFERROR(__xludf.DUMMYFUNCTION("GOOGLETRANSLATE(G700,""EN"",""JA"")"),"ブレクスピプラゾール測定")</f>
        <v>ブレクスピプラゾール測定</v>
      </c>
    </row>
    <row r="701" ht="13.5" customHeight="1">
      <c r="A701" s="1" t="s">
        <v>129</v>
      </c>
      <c r="B701" s="1" t="s">
        <v>3538</v>
      </c>
      <c r="C701" s="1" t="s">
        <v>3539</v>
      </c>
      <c r="D701" s="1" t="s">
        <v>3540</v>
      </c>
      <c r="E701" s="1" t="s">
        <v>3540</v>
      </c>
      <c r="F701" s="1" t="s">
        <v>3541</v>
      </c>
      <c r="G701" s="1" t="s">
        <v>3540</v>
      </c>
      <c r="H701" s="1" t="str">
        <f>IFERROR(__xludf.DUMMYFUNCTION("GOOGLETRANSLATE(D701,""EN"",""JA"")"),"体表面積")</f>
        <v>体表面積</v>
      </c>
      <c r="I701" s="1" t="str">
        <f>IFERROR(__xludf.DUMMYFUNCTION("GOOGLETRANSLATE(E701,""EN"",""JA"")"),"体表面積")</f>
        <v>体表面積</v>
      </c>
      <c r="J701" s="1" t="str">
        <f>IFERROR(__xludf.DUMMYFUNCTION("GOOGLETRANSLATE(F701,""EN"",""JA"")"),"体表面積（BSA）は、体表面（皮膚など）の2次元的な広がりを表す指標です。体表面積（BSA）は、数式または身長と体重の関係を示す表から計算できます。BSAは、投与量を決定する際に重要な要素となることがよくあります。（NCI）")</f>
        <v>体表面積（BSA）は、体表面（皮膚など）の2次元的な広がりを表す指標です。体表面積（BSA）は、数式または身長と体重の関係を示す表から計算できます。BSAは、投与量を決定する際に重要な要素となることがよくあります。（NCI）</v>
      </c>
      <c r="K701" s="1" t="str">
        <f>IFERROR(__xludf.DUMMYFUNCTION("GOOGLETRANSLATE(G701,""EN"",""JA"")"),"体表面積")</f>
        <v>体表面積</v>
      </c>
    </row>
    <row r="702" ht="13.5" customHeight="1">
      <c r="A702" s="1" t="s">
        <v>160</v>
      </c>
      <c r="B702" s="1" t="s">
        <v>3542</v>
      </c>
      <c r="C702" s="1" t="s">
        <v>3543</v>
      </c>
      <c r="D702" s="1" t="s">
        <v>3544</v>
      </c>
      <c r="E702" s="1" t="s">
        <v>3545</v>
      </c>
      <c r="F702" s="1" t="s">
        <v>3546</v>
      </c>
      <c r="G702" s="1" t="s">
        <v>3547</v>
      </c>
      <c r="H702" s="1" t="str">
        <f>IFERROR(__xludf.DUMMYFUNCTION("GOOGLETRANSLATE(D702,""EN"",""JA"")"),"月経期間以外の出血/斑点")</f>
        <v>月経期間以外の出血/斑点</v>
      </c>
      <c r="I702" s="1" t="str">
        <f>IFERROR(__xludf.DUMMYFUNCTION("GOOGLETRANSLATE(E702,""EN"",""JA"")"),"月経期間外の出血/斑点表示; 月経期間外の出血または斑点表示")</f>
        <v>月経期間外の出血/斑点表示; 月経期間外の出血または斑点表示</v>
      </c>
      <c r="J702" s="1" t="str">
        <f>IFERROR(__xludf.DUMMYFUNCTION("GOOGLETRANSLATE(F702,""EN"",""JA"")"),"月経期間以外に出血や少量の出血を経験したかどうかを示します。")</f>
        <v>月経期間以外に出血や少量の出血を経験したかどうかを示します。</v>
      </c>
      <c r="K702" s="1" t="str">
        <f>IFERROR(__xludf.DUMMYFUNCTION("GOOGLETRANSLATE(G702,""EN"",""JA"")"),"月経期間以外の出血または少量の出血の指標")</f>
        <v>月経期間以外の出血または少量の出血の指標</v>
      </c>
    </row>
    <row r="703" ht="13.5" customHeight="1">
      <c r="A703" s="1" t="s">
        <v>176</v>
      </c>
      <c r="B703" s="1" t="s">
        <v>3548</v>
      </c>
      <c r="C703" s="1" t="s">
        <v>3549</v>
      </c>
      <c r="D703" s="1" t="s">
        <v>3550</v>
      </c>
      <c r="E703" s="1" t="s">
        <v>3550</v>
      </c>
      <c r="F703" s="1" t="s">
        <v>3551</v>
      </c>
      <c r="G703" s="1" t="s">
        <v>3550</v>
      </c>
      <c r="H703" s="1" t="str">
        <f>IFERROR(__xludf.DUMMYFUNCTION("GOOGLETRANSLATE(D703,""EN"",""JA"")"),"境界シフト積分")</f>
        <v>境界シフト積分</v>
      </c>
      <c r="I703" s="1" t="str">
        <f>IFERROR(__xludf.DUMMYFUNCTION("GOOGLETRANSLATE(E703,""EN"",""JA"")"),"境界シフト積分")</f>
        <v>境界シフト積分</v>
      </c>
      <c r="J703" s="1" t="str">
        <f>IFERROR(__xludf.DUMMYFUNCTION("GOOGLETRANSLATE(F703,""EN"",""JA"")"),"時間の経過に伴う組織境界の変化によって決定される臓器または解剖学的特徴の体積の変化の測定値。")</f>
        <v>時間の経過に伴う組織境界の変化によって決定される臓器または解剖学的特徴の体積の変化の測定値。</v>
      </c>
      <c r="K703" s="1" t="str">
        <f>IFERROR(__xludf.DUMMYFUNCTION("GOOGLETRANSLATE(G703,""EN"",""JA"")"),"境界シフト積分")</f>
        <v>境界シフト積分</v>
      </c>
    </row>
    <row r="704" ht="13.5" customHeight="1">
      <c r="A704" s="1" t="s">
        <v>67</v>
      </c>
      <c r="B704" s="1" t="s">
        <v>3552</v>
      </c>
      <c r="C704" s="1" t="s">
        <v>3553</v>
      </c>
      <c r="D704" s="1" t="s">
        <v>3554</v>
      </c>
      <c r="E704" s="1" t="s">
        <v>3554</v>
      </c>
      <c r="F704" s="1" t="s">
        <v>3555</v>
      </c>
      <c r="G704" s="1" t="s">
        <v>3556</v>
      </c>
      <c r="H704" s="1" t="str">
        <f>IFERROR(__xludf.DUMMYFUNCTION("GOOGLETRANSLATE(D704,""EN"",""JA"")"),"ブルクホルデリア・スタビリス")</f>
        <v>ブルクホルデリア・スタビリス</v>
      </c>
      <c r="I704" s="1" t="str">
        <f>IFERROR(__xludf.DUMMYFUNCTION("GOOGLETRANSLATE(E704,""EN"",""JA"")"),"ブルクホルデリア・スタビリス")</f>
        <v>ブルクホルデリア・スタビリス</v>
      </c>
      <c r="J704" s="1" t="str">
        <f>IFERROR(__xludf.DUMMYFUNCTION("GOOGLETRANSLATE(F704,""EN"",""JA"")"),"生物標本中の Burkholderia stabilis の測定。")</f>
        <v>生物標本中の Burkholderia stabilis の測定。</v>
      </c>
      <c r="K704" s="1" t="str">
        <f>IFERROR(__xludf.DUMMYFUNCTION("GOOGLETRANSLATE(G704,""EN"",""JA"")"),"バークホルデリア・スタビリスの測定")</f>
        <v>バークホルデリア・スタビリスの測定</v>
      </c>
    </row>
    <row r="705" ht="13.5" customHeight="1">
      <c r="A705" s="1" t="s">
        <v>11</v>
      </c>
      <c r="B705" s="1" t="s">
        <v>3557</v>
      </c>
      <c r="C705" s="1" t="s">
        <v>3558</v>
      </c>
      <c r="D705" s="1" t="s">
        <v>3559</v>
      </c>
      <c r="E705" s="1" t="s">
        <v>3559</v>
      </c>
      <c r="F705" s="1" t="s">
        <v>3560</v>
      </c>
      <c r="G705" s="1" t="s">
        <v>3561</v>
      </c>
      <c r="H705" s="1" t="str">
        <f>IFERROR(__xludf.DUMMYFUNCTION("GOOGLETRANSLATE(D705,""EN"",""JA"")"),"ベタセルリン")</f>
        <v>ベタセルリン</v>
      </c>
      <c r="I705" s="1" t="str">
        <f>IFERROR(__xludf.DUMMYFUNCTION("GOOGLETRANSLATE(E705,""EN"",""JA"")"),"ベタセルリン")</f>
        <v>ベタセルリン</v>
      </c>
      <c r="J705" s="1" t="str">
        <f>IFERROR(__xludf.DUMMYFUNCTION("GOOGLETRANSLATE(F705,""EN"",""JA"")"),"生物標本中のベータセルリンの測定。")</f>
        <v>生物標本中のベータセルリンの測定。</v>
      </c>
      <c r="K705" s="1" t="str">
        <f>IFERROR(__xludf.DUMMYFUNCTION("GOOGLETRANSLATE(G705,""EN"",""JA"")"),"ベータセルリン測定")</f>
        <v>ベータセルリン測定</v>
      </c>
    </row>
    <row r="706" ht="13.5" customHeight="1">
      <c r="A706" s="1" t="s">
        <v>11</v>
      </c>
      <c r="B706" s="1" t="s">
        <v>3562</v>
      </c>
      <c r="C706" s="1" t="s">
        <v>3563</v>
      </c>
      <c r="D706" s="1" t="s">
        <v>3564</v>
      </c>
      <c r="E706" s="1" t="s">
        <v>3564</v>
      </c>
      <c r="F706" s="1" t="s">
        <v>3565</v>
      </c>
      <c r="G706" s="1" t="s">
        <v>3566</v>
      </c>
      <c r="H706" s="1" t="str">
        <f>IFERROR(__xludf.DUMMYFUNCTION("GOOGLETRANSLATE(D706,""EN"",""JA"")"),"咬合細胞/赤血球")</f>
        <v>咬合細胞/赤血球</v>
      </c>
      <c r="I706" s="1" t="str">
        <f>IFERROR(__xludf.DUMMYFUNCTION("GOOGLETRANSLATE(E706,""EN"",""JA"")"),"咬合細胞/赤血球")</f>
        <v>咬合細胞/赤血球</v>
      </c>
      <c r="J706" s="1" t="str">
        <f>IFERROR(__xludf.DUMMYFUNCTION("GOOGLETRANSLATE(F706,""EN"",""JA"")"),"生物標本中のすべての赤血球に対する咬合細胞（酸化溶血により咬合が除去されたように見える赤血球）の相対的な測定値（比率またはパーセンテージ）。")</f>
        <v>生物標本中のすべての赤血球に対する咬合細胞（酸化溶血により咬合が除去されたように見える赤血球）の相対的な測定値（比率またはパーセンテージ）。</v>
      </c>
      <c r="K706" s="1" t="str">
        <f>IFERROR(__xludf.DUMMYFUNCTION("GOOGLETRANSLATE(G706,""EN"",""JA"")"),"咬合細胞対赤血球比測定")</f>
        <v>咬合細胞対赤血球比測定</v>
      </c>
    </row>
    <row r="707" ht="13.5" customHeight="1">
      <c r="A707" s="1" t="s">
        <v>160</v>
      </c>
      <c r="B707" s="1" t="s">
        <v>3567</v>
      </c>
      <c r="C707" s="1" t="s">
        <v>3568</v>
      </c>
      <c r="D707" s="1" t="s">
        <v>3569</v>
      </c>
      <c r="E707" s="1" t="s">
        <v>3569</v>
      </c>
      <c r="F707" s="1" t="s">
        <v>3570</v>
      </c>
      <c r="G707" s="1" t="s">
        <v>3569</v>
      </c>
      <c r="H707" s="1" t="str">
        <f>IFERROR(__xludf.DUMMYFUNCTION("GOOGLETRANSLATE(D707,""EN"",""JA"")"),"バルトリン腺異常指標")</f>
        <v>バルトリン腺異常指標</v>
      </c>
      <c r="I707" s="1" t="str">
        <f>IFERROR(__xludf.DUMMYFUNCTION("GOOGLETRANSLATE(E707,""EN"",""JA"")"),"バルトリン腺異常指標")</f>
        <v>バルトリン腺異常指標</v>
      </c>
      <c r="J707" s="1" t="str">
        <f>IFERROR(__xludf.DUMMYFUNCTION("GOOGLETRANSLATE(F707,""EN"",""JA"")"),"バルトリン腺に異常があるかどうかを示します。")</f>
        <v>バルトリン腺に異常があるかどうかを示します。</v>
      </c>
      <c r="K707" s="1" t="str">
        <f>IFERROR(__xludf.DUMMYFUNCTION("GOOGLETRANSLATE(G707,""EN"",""JA"")"),"バルトリン腺異常指標")</f>
        <v>バルトリン腺異常指標</v>
      </c>
    </row>
    <row r="708" ht="13.5" customHeight="1">
      <c r="A708" s="1" t="s">
        <v>601</v>
      </c>
      <c r="B708" s="1" t="s">
        <v>3571</v>
      </c>
      <c r="C708" s="1" t="s">
        <v>3572</v>
      </c>
      <c r="D708" s="1" t="s">
        <v>3573</v>
      </c>
      <c r="E708" s="1" t="s">
        <v>3573</v>
      </c>
      <c r="F708" s="1" t="s">
        <v>3574</v>
      </c>
      <c r="G708" s="1" t="s">
        <v>3573</v>
      </c>
      <c r="H708" s="1" t="str">
        <f>IFERROR(__xludf.DUMMYFUNCTION("GOOGLETRANSLATE(D708,""EN"",""JA"")"),"出生多胎")</f>
        <v>出生多胎</v>
      </c>
      <c r="I708" s="1" t="str">
        <f>IFERROR(__xludf.DUMMYFUNCTION("GOOGLETRANSLATE(E708,""EN"",""JA"")"),"出生多胎")</f>
        <v>出生多胎</v>
      </c>
      <c r="J708" s="1" t="str">
        <f>IFERROR(__xludf.DUMMYFUNCTION("GOOGLETRANSLATE(F708,""EN"",""JA"")"),"妊娠期間や胎児の出産時期の相違に関わらず、妊娠期間中のあらゆる時点で生児または死児として出産された胎児の数。(CDC)")</f>
        <v>妊娠期間や胎児の出産時期の相違に関わらず、妊娠期間中のあらゆる時点で生児または死児として出産された胎児の数。(CDC)</v>
      </c>
      <c r="K708" s="1" t="str">
        <f>IFERROR(__xludf.DUMMYFUNCTION("GOOGLETRANSLATE(G708,""EN"",""JA"")"),"出生多胎")</f>
        <v>出生多胎</v>
      </c>
    </row>
    <row r="709" ht="13.5" customHeight="1">
      <c r="A709" s="1" t="s">
        <v>11</v>
      </c>
      <c r="B709" s="1" t="s">
        <v>3575</v>
      </c>
      <c r="C709" s="1" t="s">
        <v>3576</v>
      </c>
      <c r="D709" s="1" t="s">
        <v>3577</v>
      </c>
      <c r="E709" s="1" t="s">
        <v>3578</v>
      </c>
      <c r="F709" s="1" t="s">
        <v>3579</v>
      </c>
      <c r="G709" s="1" t="s">
        <v>3580</v>
      </c>
      <c r="H709" s="1" t="str">
        <f>IFERROR(__xludf.DUMMYFUNCTION("GOOGLETRANSLATE(D709,""EN"",""JA"")"),"ブルトン型チロシンキナーゼ")</f>
        <v>ブルトン型チロシンキナーゼ</v>
      </c>
      <c r="I709" s="1" t="str">
        <f>IFERROR(__xludf.DUMMYFUNCTION("GOOGLETRANSLATE(E709,""EN"",""JA"")"),"無ガンマグロブリン血症チロシンキナーゼ; ATK; B細胞前駆細胞キナーゼ; ブルトンチロシンキナーゼ; ブルトンチロシンキナーゼ; チロシンタンパク質キナーゼ BTK")</f>
        <v>無ガンマグロブリン血症チロシンキナーゼ; ATK; B細胞前駆細胞キナーゼ; ブルトンチロシンキナーゼ; ブルトンチロシンキナーゼ; チロシンタンパク質キナーゼ BTK</v>
      </c>
      <c r="J709" s="1" t="str">
        <f>IFERROR(__xludf.DUMMYFUNCTION("GOOGLETRANSLATE(F709,""EN"",""JA"")"),"生物標本中のブルトン型チロシンキナーゼの測定。")</f>
        <v>生物標本中のブルトン型チロシンキナーゼの測定。</v>
      </c>
      <c r="K709" s="1" t="str">
        <f>IFERROR(__xludf.DUMMYFUNCTION("GOOGLETRANSLATE(G709,""EN"",""JA"")"),"ブルトンのチロシンキナーゼ測定")</f>
        <v>ブルトンのチロシンキナーゼ測定</v>
      </c>
    </row>
    <row r="710" ht="13.5" customHeight="1">
      <c r="A710" s="1" t="s">
        <v>11</v>
      </c>
      <c r="B710" s="1" t="s">
        <v>3581</v>
      </c>
      <c r="C710" s="1" t="s">
        <v>3582</v>
      </c>
      <c r="D710" s="1" t="s">
        <v>3583</v>
      </c>
      <c r="E710" s="1" t="s">
        <v>3583</v>
      </c>
      <c r="F710" s="1" t="s">
        <v>3584</v>
      </c>
      <c r="G710" s="1" t="s">
        <v>3585</v>
      </c>
      <c r="H710" s="1" t="str">
        <f>IFERROR(__xludf.DUMMYFUNCTION("GOOGLETRANSLATE(D710,""EN"",""JA"")"),"ブルトンチロシンキナーゼ、遊離")</f>
        <v>ブルトンチロシンキナーゼ、遊離</v>
      </c>
      <c r="I710" s="1" t="str">
        <f>IFERROR(__xludf.DUMMYFUNCTION("GOOGLETRANSLATE(E710,""EN"",""JA"")"),"ブルトンチロシンキナーゼ、遊離")</f>
        <v>ブルトンチロシンキナーゼ、遊離</v>
      </c>
      <c r="J710" s="1" t="str">
        <f>IFERROR(__xludf.DUMMYFUNCTION("GOOGLETRANSLATE(F710,""EN"",""JA"")"),"生物標本中の遊離ブルトン型チロシンキナーゼの測定。")</f>
        <v>生物標本中の遊離ブルトン型チロシンキナーゼの測定。</v>
      </c>
      <c r="K710" s="1" t="str">
        <f>IFERROR(__xludf.DUMMYFUNCTION("GOOGLETRANSLATE(G710,""EN"",""JA"")"),"フリーブルトンチロシンキナーゼ測定")</f>
        <v>フリーブルトンチロシンキナーゼ測定</v>
      </c>
    </row>
    <row r="711" ht="13.5" customHeight="1">
      <c r="A711" s="1" t="s">
        <v>11</v>
      </c>
      <c r="B711" s="1" t="s">
        <v>3586</v>
      </c>
      <c r="C711" s="1" t="s">
        <v>3587</v>
      </c>
      <c r="D711" s="1" t="s">
        <v>3588</v>
      </c>
      <c r="E711" s="1" t="s">
        <v>3588</v>
      </c>
      <c r="F711" s="1" t="s">
        <v>3589</v>
      </c>
      <c r="G711" s="1" t="s">
        <v>3590</v>
      </c>
      <c r="H711" s="1" t="str">
        <f>IFERROR(__xludf.DUMMYFUNCTION("GOOGLETRANSLATE(D711,""EN"",""JA"")"),"ブタバルビタール")</f>
        <v>ブタバルビタール</v>
      </c>
      <c r="I711" s="1" t="str">
        <f>IFERROR(__xludf.DUMMYFUNCTION("GOOGLETRANSLATE(E711,""EN"",""JA"")"),"ブタバルビタール")</f>
        <v>ブタバルビタール</v>
      </c>
      <c r="J711" s="1" t="str">
        <f>IFERROR(__xludf.DUMMYFUNCTION("GOOGLETRANSLATE(F711,""EN"",""JA"")"),"生物標本中のブタバルビタール濃度の測定。")</f>
        <v>生物標本中のブタバルビタール濃度の測定。</v>
      </c>
      <c r="K711" s="1" t="str">
        <f>IFERROR(__xludf.DUMMYFUNCTION("GOOGLETRANSLATE(G711,""EN"",""JA"")"),"ブタバルビタール測定")</f>
        <v>ブタバルビタール測定</v>
      </c>
    </row>
    <row r="712" ht="13.5" customHeight="1">
      <c r="A712" s="1" t="s">
        <v>11</v>
      </c>
      <c r="B712" s="1" t="s">
        <v>3591</v>
      </c>
      <c r="C712" s="1" t="s">
        <v>3592</v>
      </c>
      <c r="D712" s="1" t="s">
        <v>3593</v>
      </c>
      <c r="E712" s="1" t="s">
        <v>3593</v>
      </c>
      <c r="F712" s="1" t="s">
        <v>3594</v>
      </c>
      <c r="G712" s="1" t="s">
        <v>3595</v>
      </c>
      <c r="H712" s="1" t="str">
        <f>IFERROR(__xludf.DUMMYFUNCTION("GOOGLETRANSLATE(D712,""EN"",""JA"")"),"ブタルビタール")</f>
        <v>ブタルビタール</v>
      </c>
      <c r="I712" s="1" t="str">
        <f>IFERROR(__xludf.DUMMYFUNCTION("GOOGLETRANSLATE(E712,""EN"",""JA"")"),"ブタルビタール")</f>
        <v>ブタルビタール</v>
      </c>
      <c r="J712" s="1" t="str">
        <f>IFERROR(__xludf.DUMMYFUNCTION("GOOGLETRANSLATE(F712,""EN"",""JA"")"),"生物標本中に存在するブタルビタールの測定。")</f>
        <v>生物標本中に存在するブタルビタールの測定。</v>
      </c>
      <c r="K712" s="1" t="str">
        <f>IFERROR(__xludf.DUMMYFUNCTION("GOOGLETRANSLATE(G712,""EN"",""JA"")"),"ブタルビタール測定")</f>
        <v>ブタルビタール測定</v>
      </c>
    </row>
    <row r="713" ht="13.5" customHeight="1">
      <c r="A713" s="1" t="s">
        <v>11</v>
      </c>
      <c r="B713" s="1" t="s">
        <v>3596</v>
      </c>
      <c r="C713" s="1" t="s">
        <v>3597</v>
      </c>
      <c r="D713" s="1" t="s">
        <v>3598</v>
      </c>
      <c r="E713" s="1" t="s">
        <v>3598</v>
      </c>
      <c r="F713" s="1" t="s">
        <v>3599</v>
      </c>
      <c r="G713" s="1" t="s">
        <v>3600</v>
      </c>
      <c r="H713" s="1" t="str">
        <f>IFERROR(__xludf.DUMMYFUNCTION("GOOGLETRANSLATE(D713,""EN"",""JA"")"),"ブトルファノール")</f>
        <v>ブトルファノール</v>
      </c>
      <c r="I713" s="1" t="str">
        <f>IFERROR(__xludf.DUMMYFUNCTION("GOOGLETRANSLATE(E713,""EN"",""JA"")"),"ブトルファノール")</f>
        <v>ブトルファノール</v>
      </c>
      <c r="J713" s="1" t="str">
        <f>IFERROR(__xludf.DUMMYFUNCTION("GOOGLETRANSLATE(F713,""EN"",""JA"")"),"生物標本中のブトルファノールの測定。")</f>
        <v>生物標本中のブトルファノールの測定。</v>
      </c>
      <c r="K713" s="1" t="str">
        <f>IFERROR(__xludf.DUMMYFUNCTION("GOOGLETRANSLATE(G713,""EN"",""JA"")"),"ブトルファノール測定")</f>
        <v>ブトルファノール測定</v>
      </c>
    </row>
    <row r="714" ht="13.5" customHeight="1">
      <c r="A714" s="1" t="s">
        <v>11</v>
      </c>
      <c r="B714" s="1" t="s">
        <v>3601</v>
      </c>
      <c r="C714" s="1" t="s">
        <v>3602</v>
      </c>
      <c r="D714" s="1" t="s">
        <v>3603</v>
      </c>
      <c r="E714" s="1" t="s">
        <v>3604</v>
      </c>
      <c r="F714" s="1" t="s">
        <v>3605</v>
      </c>
      <c r="G714" s="1" t="s">
        <v>3606</v>
      </c>
      <c r="H714" s="1" t="str">
        <f>IFERROR(__xludf.DUMMYFUNCTION("GOOGLETRANSLATE(D714,""EN"",""JA"")"),"ブチリルコリンエステラーゼ")</f>
        <v>ブチリルコリンエステラーゼ</v>
      </c>
      <c r="I714" s="1" t="str">
        <f>IFERROR(__xludf.DUMMYFUNCTION("GOOGLETRANSLATE(E714,""EN"",""JA"")"),"アシルコリンアシルヒドロラーゼ; ブチリルコリンエステラーゼ; 非神経性コリンエステラーゼ; 血漿コリンエステラーゼ; 擬似コリンエステラーゼ")</f>
        <v>アシルコリンアシルヒドロラーゼ; ブチリルコリンエステラーゼ; 非神経性コリンエステラーゼ; 血漿コリンエステラーゼ; 擬似コリンエステラーゼ</v>
      </c>
      <c r="J714" s="1" t="str">
        <f>IFERROR(__xludf.DUMMYFUNCTION("GOOGLETRANSLATE(F714,""EN"",""JA"")"),"生物標本中の総ブチリルコリンエステラーゼの測定。")</f>
        <v>生物標本中の総ブチリルコリンエステラーゼの測定。</v>
      </c>
      <c r="K714" s="1" t="str">
        <f>IFERROR(__xludf.DUMMYFUNCTION("GOOGLETRANSLATE(G714,""EN"",""JA"")"),"ブチリルコリンエステラーゼ測定")</f>
        <v>ブチリルコリンエステラーゼ測定</v>
      </c>
    </row>
    <row r="715" ht="13.5" customHeight="1">
      <c r="A715" s="1" t="s">
        <v>11</v>
      </c>
      <c r="B715" s="1" t="s">
        <v>3607</v>
      </c>
      <c r="C715" s="1" t="s">
        <v>3608</v>
      </c>
      <c r="D715" s="1" t="s">
        <v>3609</v>
      </c>
      <c r="E715" s="1" t="s">
        <v>3609</v>
      </c>
      <c r="F715" s="1" t="s">
        <v>3610</v>
      </c>
      <c r="G715" s="1" t="s">
        <v>3611</v>
      </c>
      <c r="H715" s="1" t="str">
        <f>IFERROR(__xludf.DUMMYFUNCTION("GOOGLETRANSLATE(D715,""EN"",""JA"")"),"ブプレノルフィン")</f>
        <v>ブプレノルフィン</v>
      </c>
      <c r="I715" s="1" t="str">
        <f>IFERROR(__xludf.DUMMYFUNCTION("GOOGLETRANSLATE(E715,""EN"",""JA"")"),"ブプレノルフィン")</f>
        <v>ブプレノルフィン</v>
      </c>
      <c r="J715" s="1" t="str">
        <f>IFERROR(__xludf.DUMMYFUNCTION("GOOGLETRANSLATE(F715,""EN"",""JA"")"),"生物学的標本中に存在するブプレノルフィン薬の測定。")</f>
        <v>生物学的標本中に存在するブプレノルフィン薬の測定。</v>
      </c>
      <c r="K715" s="1" t="str">
        <f>IFERROR(__xludf.DUMMYFUNCTION("GOOGLETRANSLATE(G715,""EN"",""JA"")"),"ブプレノルフィン測定")</f>
        <v>ブプレノルフィン測定</v>
      </c>
    </row>
    <row r="716" ht="13.5" customHeight="1">
      <c r="A716" s="1" t="s">
        <v>11</v>
      </c>
      <c r="B716" s="1" t="s">
        <v>3612</v>
      </c>
      <c r="C716" s="1" t="s">
        <v>3613</v>
      </c>
      <c r="D716" s="1" t="s">
        <v>3614</v>
      </c>
      <c r="E716" s="1" t="s">
        <v>3614</v>
      </c>
      <c r="F716" s="1" t="s">
        <v>3615</v>
      </c>
      <c r="G716" s="1" t="s">
        <v>3616</v>
      </c>
      <c r="H716" s="1" t="str">
        <f>IFERROR(__xludf.DUMMYFUNCTION("GOOGLETRANSLATE(D716,""EN"",""JA"")"),"ブプロピオン")</f>
        <v>ブプロピオン</v>
      </c>
      <c r="I716" s="1" t="str">
        <f>IFERROR(__xludf.DUMMYFUNCTION("GOOGLETRANSLATE(E716,""EN"",""JA"")"),"ブプロピオン")</f>
        <v>ブプロピオン</v>
      </c>
      <c r="J716" s="1" t="str">
        <f>IFERROR(__xludf.DUMMYFUNCTION("GOOGLETRANSLATE(F716,""EN"",""JA"")"),"生物標本中のブプロピオンの測定。")</f>
        <v>生物標本中のブプロピオンの測定。</v>
      </c>
      <c r="K716" s="1" t="str">
        <f>IFERROR(__xludf.DUMMYFUNCTION("GOOGLETRANSLATE(G716,""EN"",""JA"")"),"ブプロピオン測定")</f>
        <v>ブプロピオン測定</v>
      </c>
    </row>
    <row r="717" ht="13.5" customHeight="1">
      <c r="A717" s="1" t="s">
        <v>67</v>
      </c>
      <c r="B717" s="1" t="s">
        <v>3617</v>
      </c>
      <c r="C717" s="1" t="s">
        <v>3618</v>
      </c>
      <c r="D717" s="1" t="s">
        <v>3619</v>
      </c>
      <c r="E717" s="1" t="s">
        <v>3619</v>
      </c>
      <c r="F717" s="1" t="s">
        <v>3620</v>
      </c>
      <c r="G717" s="1" t="s">
        <v>3621</v>
      </c>
      <c r="H717" s="1" t="str">
        <f>IFERROR(__xludf.DUMMYFUNCTION("GOOGLETRANSLATE(D717,""EN"",""JA"")"),"バークホルデリア")</f>
        <v>バークホルデリア</v>
      </c>
      <c r="I717" s="1" t="str">
        <f>IFERROR(__xludf.DUMMYFUNCTION("GOOGLETRANSLATE(E717,""EN"",""JA"")"),"バークホルデリア")</f>
        <v>バークホルデリア</v>
      </c>
      <c r="J717" s="1" t="str">
        <f>IFERROR(__xludf.DUMMYFUNCTION("GOOGLETRANSLATE(F717,""EN"",""JA"")"),"生物標本において、種レベルには割り当てられていないが、Burkholderia 属レベルに割り当てられている生物の測定値。")</f>
        <v>生物標本において、種レベルには割り当てられていないが、Burkholderia 属レベルに割り当てられている生物の測定値。</v>
      </c>
      <c r="K717" s="1" t="str">
        <f>IFERROR(__xludf.DUMMYFUNCTION("GOOGLETRANSLATE(G717,""EN"",""JA"")"),"バークホルデリア測定")</f>
        <v>バークホルデリア測定</v>
      </c>
    </row>
    <row r="718" ht="13.5" customHeight="1">
      <c r="A718" s="1" t="s">
        <v>11</v>
      </c>
      <c r="B718" s="1" t="s">
        <v>3622</v>
      </c>
      <c r="C718" s="1" t="s">
        <v>3623</v>
      </c>
      <c r="D718" s="1" t="s">
        <v>3624</v>
      </c>
      <c r="E718" s="1" t="s">
        <v>3625</v>
      </c>
      <c r="F718" s="1" t="s">
        <v>3626</v>
      </c>
      <c r="G718" s="1" t="s">
        <v>3627</v>
      </c>
      <c r="H718" s="1" t="str">
        <f>IFERROR(__xludf.DUMMYFUNCTION("GOOGLETRANSLATE(D718,""EN"",""JA"")"),"バー細胞")</f>
        <v>バー細胞</v>
      </c>
      <c r="I718" s="1" t="str">
        <f>IFERROR(__xludf.DUMMYFUNCTION("GOOGLETRANSLATE(E718,""EN"",""JA"")"),"バー細胞; ウニ状細胞")</f>
        <v>バー細胞; ウニ状細胞</v>
      </c>
      <c r="J718" s="1" t="str">
        <f>IFERROR(__xludf.DUMMYFUNCTION("GOOGLETRANSLATE(F718,""EN"",""JA"")"),"生物標本中のバー細胞（細胞表面全体に均一に分布する小さな鈍い突起の存在が特徴の赤血球）の測定値。")</f>
        <v>生物標本中のバー細胞（細胞表面全体に均一に分布する小さな鈍い突起の存在が特徴の赤血球）の測定値。</v>
      </c>
      <c r="K718" s="1" t="str">
        <f>IFERROR(__xludf.DUMMYFUNCTION("GOOGLETRANSLATE(G718,""EN"",""JA"")"),"バー細胞数")</f>
        <v>バー細胞数</v>
      </c>
    </row>
    <row r="719" ht="13.5" customHeight="1">
      <c r="A719" s="1" t="s">
        <v>11</v>
      </c>
      <c r="B719" s="1" t="s">
        <v>3628</v>
      </c>
      <c r="C719" s="1" t="s">
        <v>3629</v>
      </c>
      <c r="D719" s="1" t="s">
        <v>3630</v>
      </c>
      <c r="E719" s="1" t="s">
        <v>3630</v>
      </c>
      <c r="F719" s="1" t="s">
        <v>3631</v>
      </c>
      <c r="G719" s="1" t="s">
        <v>3632</v>
      </c>
      <c r="H719" s="1" t="str">
        <f>IFERROR(__xludf.DUMMYFUNCTION("GOOGLETRANSLATE(D719,""EN"",""JA"")"),"1,3-ブタジエン")</f>
        <v>1,3-ブタジエン</v>
      </c>
      <c r="I719" s="1" t="str">
        <f>IFERROR(__xludf.DUMMYFUNCTION("GOOGLETRANSLATE(E719,""EN"",""JA"")"),"1,3-ブタジエン")</f>
        <v>1,3-ブタジエン</v>
      </c>
      <c r="J719" s="1" t="str">
        <f>IFERROR(__xludf.DUMMYFUNCTION("GOOGLETRANSLATE(F719,""EN"",""JA"")"),"試料中の 1,3-ブタジエンの測定。")</f>
        <v>試料中の 1,3-ブタジエンの測定。</v>
      </c>
      <c r="K719" s="1" t="str">
        <f>IFERROR(__xludf.DUMMYFUNCTION("GOOGLETRANSLATE(G719,""EN"",""JA"")"),"1,3-ブタジエン測定")</f>
        <v>1,3-ブタジエン測定</v>
      </c>
    </row>
    <row r="720" ht="13.5" customHeight="1">
      <c r="A720" s="1" t="s">
        <v>11</v>
      </c>
      <c r="B720" s="1" t="s">
        <v>3633</v>
      </c>
      <c r="C720" s="1" t="s">
        <v>3634</v>
      </c>
      <c r="D720" s="1" t="s">
        <v>3635</v>
      </c>
      <c r="E720" s="1" t="s">
        <v>3635</v>
      </c>
      <c r="F720" s="1" t="s">
        <v>3636</v>
      </c>
      <c r="G720" s="1" t="s">
        <v>3637</v>
      </c>
      <c r="H720" s="1" t="str">
        <f>IFERROR(__xludf.DUMMYFUNCTION("GOOGLETRANSLATE(D720,""EN"",""JA"")"),"ブチロン")</f>
        <v>ブチロン</v>
      </c>
      <c r="I720" s="1" t="str">
        <f>IFERROR(__xludf.DUMMYFUNCTION("GOOGLETRANSLATE(E720,""EN"",""JA"")"),"ブチロン")</f>
        <v>ブチロン</v>
      </c>
      <c r="J720" s="1" t="str">
        <f>IFERROR(__xludf.DUMMYFUNCTION("GOOGLETRANSLATE(F720,""EN"",""JA"")"),"生物標本中のブチロンの測定。")</f>
        <v>生物標本中のブチロンの測定。</v>
      </c>
      <c r="K720" s="1" t="str">
        <f>IFERROR(__xludf.DUMMYFUNCTION("GOOGLETRANSLATE(G720,""EN"",""JA"")"),"ブチロン測定")</f>
        <v>ブチロン測定</v>
      </c>
    </row>
    <row r="721" ht="13.5" customHeight="1">
      <c r="A721" s="1" t="s">
        <v>67</v>
      </c>
      <c r="B721" s="1" t="s">
        <v>3638</v>
      </c>
      <c r="C721" s="1" t="s">
        <v>3639</v>
      </c>
      <c r="D721" s="1" t="s">
        <v>3640</v>
      </c>
      <c r="E721" s="1" t="s">
        <v>3640</v>
      </c>
      <c r="F721" s="1" t="s">
        <v>3641</v>
      </c>
      <c r="G721" s="1" t="s">
        <v>3642</v>
      </c>
      <c r="H721" s="1" t="str">
        <f>IFERROR(__xludf.DUMMYFUNCTION("GOOGLETRANSLATE(D721,""EN"",""JA"")"),"ブルクホルデリア・ベトナムエンシス")</f>
        <v>ブルクホルデリア・ベトナムエンシス</v>
      </c>
      <c r="I721" s="1" t="str">
        <f>IFERROR(__xludf.DUMMYFUNCTION("GOOGLETRANSLATE(E721,""EN"",""JA"")"),"ブルクホルデリア・ベトナムエンシス")</f>
        <v>ブルクホルデリア・ベトナムエンシス</v>
      </c>
      <c r="J721" s="1" t="str">
        <f>IFERROR(__xludf.DUMMYFUNCTION("GOOGLETRANSLATE(F721,""EN"",""JA"")"),"生物標本中の Burkholderia vietnamiensis の測定。")</f>
        <v>生物標本中の Burkholderia vietnamiensis の測定。</v>
      </c>
      <c r="K721" s="1" t="str">
        <f>IFERROR(__xludf.DUMMYFUNCTION("GOOGLETRANSLATE(G721,""EN"",""JA"")"),"Burkholderia vietnamiensis 測定")</f>
        <v>Burkholderia vietnamiensis 測定</v>
      </c>
    </row>
    <row r="722" ht="13.5" customHeight="1">
      <c r="A722" s="1" t="s">
        <v>11</v>
      </c>
      <c r="B722" s="1" t="s">
        <v>3643</v>
      </c>
      <c r="C722" s="1" t="s">
        <v>3644</v>
      </c>
      <c r="D722" s="1" t="s">
        <v>3645</v>
      </c>
      <c r="E722" s="1" t="s">
        <v>3646</v>
      </c>
      <c r="F722" s="1" t="s">
        <v>3647</v>
      </c>
      <c r="G722" s="1" t="s">
        <v>3648</v>
      </c>
      <c r="H722" s="1" t="str">
        <f>IFERROR(__xludf.DUMMYFUNCTION("GOOGLETRANSLATE(D722,""EN"",""JA"")"),"ベンゾ[a]ピレン")</f>
        <v>ベンゾ[a]ピレン</v>
      </c>
      <c r="I722" s="1" t="str">
        <f>IFERROR(__xludf.DUMMYFUNCTION("GOOGLETRANSLATE(E722,""EN"",""JA"")"),"3,4-ベンゾピレン; ベンゾ(a)ピレン; ベンゾ[a]ピレン; ベンゾ(a)ピレン; ベンゾ[a]ピレン")</f>
        <v>3,4-ベンゾピレン; ベンゾ(a)ピレン; ベンゾ[a]ピレン; ベンゾ(a)ピレン; ベンゾ[a]ピレン</v>
      </c>
      <c r="J722" s="1" t="str">
        <f>IFERROR(__xludf.DUMMYFUNCTION("GOOGLETRANSLATE(F722,""EN"",""JA"")"),"標本中のベンゾ[a]ピレンの測定。")</f>
        <v>標本中のベンゾ[a]ピレンの測定。</v>
      </c>
      <c r="K722" s="1" t="str">
        <f>IFERROR(__xludf.DUMMYFUNCTION("GOOGLETRANSLATE(G722,""EN"",""JA"")"),"ベンゾ[a]ピレン測定")</f>
        <v>ベンゾ[a]ピレン測定</v>
      </c>
    </row>
    <row r="723" ht="13.5" customHeight="1">
      <c r="A723" s="1" t="s">
        <v>11</v>
      </c>
      <c r="B723" s="1" t="s">
        <v>3649</v>
      </c>
      <c r="C723" s="1" t="s">
        <v>3650</v>
      </c>
      <c r="D723" s="1" t="s">
        <v>3651</v>
      </c>
      <c r="E723" s="1" t="s">
        <v>3652</v>
      </c>
      <c r="F723" s="1" t="s">
        <v>3653</v>
      </c>
      <c r="G723" s="1" t="s">
        <v>3654</v>
      </c>
      <c r="H723" s="1" t="str">
        <f>IFERROR(__xludf.DUMMYFUNCTION("GOOGLETRANSLATE(D723,""EN"",""JA"")"),"ベンジルピペラジン")</f>
        <v>ベンジルピペラジン</v>
      </c>
      <c r="I723" s="1" t="str">
        <f>IFERROR(__xludf.DUMMYFUNCTION("GOOGLETRANSLATE(E723,""EN"",""JA"")"),"1-ベンジルピペラジン; ベンジルピペラジン; N-ベンジルピペラジン")</f>
        <v>1-ベンジルピペラジン; ベンジルピペラジン; N-ベンジルピペラジン</v>
      </c>
      <c r="J723" s="1" t="str">
        <f>IFERROR(__xludf.DUMMYFUNCTION("GOOGLETRANSLATE(F723,""EN"",""JA"")"),"生物標本中のベンジルピペラジンの測定。")</f>
        <v>生物標本中のベンジルピペラジンの測定。</v>
      </c>
      <c r="K723" s="1" t="str">
        <f>IFERROR(__xludf.DUMMYFUNCTION("GOOGLETRANSLATE(G723,""EN"",""JA"")"),"ベンジルピペラジンの測定")</f>
        <v>ベンジルピペラジンの測定</v>
      </c>
    </row>
    <row r="724" ht="13.5" customHeight="1">
      <c r="A724" s="1" t="s">
        <v>870</v>
      </c>
      <c r="B724" s="1" t="s">
        <v>3655</v>
      </c>
      <c r="C724" s="1" t="s">
        <v>3656</v>
      </c>
      <c r="D724" s="1" t="s">
        <v>3657</v>
      </c>
      <c r="E724" s="1" t="s">
        <v>3657</v>
      </c>
      <c r="F724" s="1" t="s">
        <v>3658</v>
      </c>
      <c r="G724" s="1" t="s">
        <v>3659</v>
      </c>
      <c r="H724" s="1" t="str">
        <f>IFERROR(__xludf.DUMMYFUNCTION("GOOGLETRANSLATE(D724,""EN"",""JA"")"),"初期濃度")</f>
        <v>初期濃度</v>
      </c>
      <c r="I724" s="1" t="str">
        <f>IFERROR(__xludf.DUMMYFUNCTION("GOOGLETRANSLATE(E724,""EN"",""JA"")"),"初期濃度")</f>
        <v>初期濃度</v>
      </c>
      <c r="J724" s="1" t="str">
        <f>IFERROR(__xludf.DUMMYFUNCTION("GOOGLETRANSLATE(F724,""EN"",""JA"")"),"初期濃度。ボーラスIVモデルのみに適用されます。")</f>
        <v>初期濃度。ボーラスIVモデルのみに適用されます。</v>
      </c>
      <c r="K724" s="1" t="str">
        <f>IFERROR(__xludf.DUMMYFUNCTION("GOOGLETRANSLATE(G724,""EN"",""JA"")"),"初期集中")</f>
        <v>初期集中</v>
      </c>
    </row>
    <row r="725" ht="13.5" customHeight="1">
      <c r="A725" s="1" t="s">
        <v>870</v>
      </c>
      <c r="B725" s="1" t="s">
        <v>3660</v>
      </c>
      <c r="C725" s="1" t="s">
        <v>3661</v>
      </c>
      <c r="D725" s="1" t="s">
        <v>3662</v>
      </c>
      <c r="E725" s="1" t="s">
        <v>3662</v>
      </c>
      <c r="F725" s="1" t="s">
        <v>3663</v>
      </c>
      <c r="G725" s="1" t="s">
        <v>3664</v>
      </c>
      <c r="H725" s="1" t="str">
        <f>IFERROR(__xludf.DUMMYFUNCTION("GOOGLETRANSLATE(D725,""EN"",""JA"")"),"BMIによる初期濃度基準")</f>
        <v>BMIによる初期濃度基準</v>
      </c>
      <c r="I725" s="1" t="str">
        <f>IFERROR(__xludf.DUMMYFUNCTION("GOOGLETRANSLATE(E725,""EN"",""JA"")"),"BMIによる初期濃度基準")</f>
        <v>BMIによる初期濃度基準</v>
      </c>
      <c r="J725" s="1" t="str">
        <f>IFERROR(__xludf.DUMMYFUNCTION("GOOGLETRANSLATE(F725,""EN"",""JA"")"),"初期濃度をBMIで割った値。ボーラスIVモデルのみに適用されます。")</f>
        <v>初期濃度をBMIで割った値。ボーラスIVモデルのみに適用されます。</v>
      </c>
      <c r="K725" s="1" t="str">
        <f>IFERROR(__xludf.DUMMYFUNCTION("GOOGLETRANSLATE(G725,""EN"",""JA"")"),"ボディマス指数で正規化した初期濃度")</f>
        <v>ボディマス指数で正規化した初期濃度</v>
      </c>
    </row>
    <row r="726" ht="13.5" customHeight="1">
      <c r="A726" s="1" t="s">
        <v>870</v>
      </c>
      <c r="B726" s="1" t="s">
        <v>3665</v>
      </c>
      <c r="C726" s="1" t="s">
        <v>3666</v>
      </c>
      <c r="D726" s="1" t="s">
        <v>3667</v>
      </c>
      <c r="E726" s="1" t="s">
        <v>3667</v>
      </c>
      <c r="F726" s="1" t="s">
        <v>3668</v>
      </c>
      <c r="G726" s="1" t="s">
        <v>3669</v>
      </c>
      <c r="H726" s="1" t="str">
        <f>IFERROR(__xludf.DUMMYFUNCTION("GOOGLETRANSLATE(D726,""EN"",""JA"")"),"投与量別の初期濃度基準")</f>
        <v>投与量別の初期濃度基準</v>
      </c>
      <c r="I726" s="1" t="str">
        <f>IFERROR(__xludf.DUMMYFUNCTION("GOOGLETRANSLATE(E726,""EN"",""JA"")"),"投与量別の初期濃度基準")</f>
        <v>投与量別の初期濃度基準</v>
      </c>
      <c r="J726" s="1" t="str">
        <f>IFERROR(__xludf.DUMMYFUNCTION("GOOGLETRANSLATE(F726,""EN"",""JA"")"),"初期濃度を投与量で割った値。ボーラスIVモデルのみに適用されます。")</f>
        <v>初期濃度を投与量で割った値。ボーラスIVモデルのみに適用されます。</v>
      </c>
      <c r="K726" s="1" t="str">
        <f>IFERROR(__xludf.DUMMYFUNCTION("GOOGLETRANSLATE(G726,""EN"",""JA"")"),"投与量で正規化された初期濃度")</f>
        <v>投与量で正規化された初期濃度</v>
      </c>
    </row>
    <row r="727" ht="13.5" customHeight="1">
      <c r="A727" s="1" t="s">
        <v>870</v>
      </c>
      <c r="B727" s="1" t="s">
        <v>3670</v>
      </c>
      <c r="C727" s="1" t="s">
        <v>3671</v>
      </c>
      <c r="D727" s="1" t="s">
        <v>3672</v>
      </c>
      <c r="E727" s="1" t="s">
        <v>3672</v>
      </c>
      <c r="F727" s="1" t="s">
        <v>3673</v>
      </c>
      <c r="G727" s="1" t="s">
        <v>3674</v>
      </c>
      <c r="H727" s="1" t="str">
        <f>IFERROR(__xludf.DUMMYFUNCTION("GOOGLETRANSLATE(D727,""EN"",""JA"")"),"SAによる初期濃度ノルム")</f>
        <v>SAによる初期濃度ノルム</v>
      </c>
      <c r="I727" s="1" t="str">
        <f>IFERROR(__xludf.DUMMYFUNCTION("GOOGLETRANSLATE(E727,""EN"",""JA"")"),"SAによる初期濃度ノルム")</f>
        <v>SAによる初期濃度ノルム</v>
      </c>
      <c r="J727" s="1" t="str">
        <f>IFERROR(__xludf.DUMMYFUNCTION("GOOGLETRANSLATE(F727,""EN"",""JA"")"),"初期濃度を表面積で割った値。ボーラスIVモデルのみに適用されます。")</f>
        <v>初期濃度を表面積で割った値。ボーラスIVモデルのみに適用されます。</v>
      </c>
      <c r="K727" s="1" t="str">
        <f>IFERROR(__xludf.DUMMYFUNCTION("GOOGLETRANSLATE(G727,""EN"",""JA"")"),"表面積で正規化した初期濃度")</f>
        <v>表面積で正規化した初期濃度</v>
      </c>
    </row>
    <row r="728" ht="13.5" customHeight="1">
      <c r="A728" s="1" t="s">
        <v>870</v>
      </c>
      <c r="B728" s="1" t="s">
        <v>3675</v>
      </c>
      <c r="C728" s="1" t="s">
        <v>3676</v>
      </c>
      <c r="D728" s="1" t="s">
        <v>3677</v>
      </c>
      <c r="E728" s="1" t="s">
        <v>3677</v>
      </c>
      <c r="F728" s="1" t="s">
        <v>3678</v>
      </c>
      <c r="G728" s="1" t="s">
        <v>3679</v>
      </c>
      <c r="H728" s="1" t="str">
        <f>IFERROR(__xludf.DUMMYFUNCTION("GOOGLETRANSLATE(D728,""EN"",""JA"")"),"WTによる初期濃度基準")</f>
        <v>WTによる初期濃度基準</v>
      </c>
      <c r="I728" s="1" t="str">
        <f>IFERROR(__xludf.DUMMYFUNCTION("GOOGLETRANSLATE(E728,""EN"",""JA"")"),"WTによる初期濃度基準")</f>
        <v>WTによる初期濃度基準</v>
      </c>
      <c r="J728" s="1" t="str">
        <f>IFERROR(__xludf.DUMMYFUNCTION("GOOGLETRANSLATE(F728,""EN"",""JA"")"),"初期濃度を体重で割った値。ボーラスIVモデルのみに適用されます。")</f>
        <v>初期濃度を体重で割った値。ボーラスIVモデルのみに適用されます。</v>
      </c>
      <c r="K728" s="1" t="str">
        <f>IFERROR(__xludf.DUMMYFUNCTION("GOOGLETRANSLATE(G728,""EN"",""JA"")"),"重量で正規化された初期濃度")</f>
        <v>重量で正規化された初期濃度</v>
      </c>
    </row>
    <row r="729" ht="13.5" customHeight="1">
      <c r="A729" s="1" t="s">
        <v>67</v>
      </c>
      <c r="B729" s="1" t="s">
        <v>3680</v>
      </c>
      <c r="C729" s="1" t="s">
        <v>3680</v>
      </c>
      <c r="D729" s="1" t="s">
        <v>3681</v>
      </c>
      <c r="E729" s="1" t="s">
        <v>3681</v>
      </c>
      <c r="F729" s="1" t="s">
        <v>3682</v>
      </c>
      <c r="G729" s="1" t="s">
        <v>3683</v>
      </c>
      <c r="H729" s="1" t="str">
        <f>IFERROR(__xludf.DUMMYFUNCTION("GOOGLETRANSLATE(D729,""EN"",""JA"")"),"クロストリジウム・ディフィシル 027/NAP1/BI")</f>
        <v>クロストリジウム・ディフィシル 027/NAP1/BI</v>
      </c>
      <c r="I729" s="1" t="str">
        <f>IFERROR(__xludf.DUMMYFUNCTION("GOOGLETRANSLATE(E729,""EN"",""JA"")"),"クロストリジウム・ディフィシル 027/NAP1/BI")</f>
        <v>クロストリジウム・ディフィシル 027/NAP1/BI</v>
      </c>
      <c r="J729" s="1" t="str">
        <f>IFERROR(__xludf.DUMMYFUNCTION("GOOGLETRANSLATE(F729,""EN"",""JA"")"),"生物標本中のクロストリジウム・ディフィシル 027/NAP1/BI 株の測定。")</f>
        <v>生物標本中のクロストリジウム・ディフィシル 027/NAP1/BI 株の測定。</v>
      </c>
      <c r="K729" s="1" t="str">
        <f>IFERROR(__xludf.DUMMYFUNCTION("GOOGLETRANSLATE(G729,""EN"",""JA"")"),"クロストリジウム・ディフィシル 027/NAP1/BI測定")</f>
        <v>クロストリジウム・ディフィシル 027/NAP1/BI測定</v>
      </c>
    </row>
    <row r="730" ht="13.5" customHeight="1">
      <c r="A730" s="1" t="s">
        <v>67</v>
      </c>
      <c r="B730" s="1" t="s">
        <v>3684</v>
      </c>
      <c r="C730" s="1" t="s">
        <v>3684</v>
      </c>
      <c r="D730" s="1" t="s">
        <v>3685</v>
      </c>
      <c r="E730" s="1" t="s">
        <v>3686</v>
      </c>
      <c r="F730" s="1" t="s">
        <v>3687</v>
      </c>
      <c r="G730" s="1" t="s">
        <v>3688</v>
      </c>
      <c r="H730" s="1" t="str">
        <f>IFERROR(__xludf.DUMMYFUNCTION("GOOGLETRANSLATE(D730,""EN"",""JA"")"),"ビブリオ・コール/パラヘモリティカス/バルニフィカス DNA")</f>
        <v>ビブリオ・コール/パラヘモリティカス/バルニフィカス DNA</v>
      </c>
      <c r="I730" s="1" t="str">
        <f>IFERROR(__xludf.DUMMYFUNCTION("GOOGLETRANSLATE(E730,""EN"",""JA"")"),"ビブリオ・コレラ/パラヘモリティカス/バルニフィカス DNA; ビブリオ・コレラ/パラヘモリティカス/バルニフィカス DNA")</f>
        <v>ビブリオ・コレラ/パラヘモリティカス/バルニフィカス DNA; ビブリオ・コレラ/パラヘモリティカス/バルニフィカス DNA</v>
      </c>
      <c r="J730" s="1" t="str">
        <f>IFERROR(__xludf.DUMMYFUNCTION("GOOGLETRANSLATE(F730,""EN"",""JA"")"),"生物標本中のコレラ菌および/または腸炎ビブリオおよび/またはビブリオ・バルニフィカス DNA の測定。")</f>
        <v>生物標本中のコレラ菌および/または腸炎ビブリオおよび/またはビブリオ・バルニフィカス DNA の測定。</v>
      </c>
      <c r="K730" s="1" t="str">
        <f>IFERROR(__xludf.DUMMYFUNCTION("GOOGLETRANSLATE(G730,""EN"",""JA"")"),"コレラ菌、腸炎ビブリオ、および/またはビブリオ・バルニフィカスのDNA測定")</f>
        <v>コレラ菌、腸炎ビブリオ、および/またはビブリオ・バルニフィカスのDNA測定</v>
      </c>
    </row>
    <row r="731" ht="13.5" customHeight="1">
      <c r="A731" s="1" t="s">
        <v>67</v>
      </c>
      <c r="B731" s="1" t="s">
        <v>3689</v>
      </c>
      <c r="C731" s="1" t="s">
        <v>3689</v>
      </c>
      <c r="D731" s="1" t="s">
        <v>3690</v>
      </c>
      <c r="E731" s="1" t="s">
        <v>3691</v>
      </c>
      <c r="F731" s="1" t="s">
        <v>3692</v>
      </c>
      <c r="G731" s="1" t="s">
        <v>3693</v>
      </c>
      <c r="H731" s="1" t="str">
        <f>IFERROR(__xludf.DUMMYFUNCTION("GOOGLETRANSLATE(D731,""EN"",""JA"")"),"赤痢菌/EIEC ipaH DNA")</f>
        <v>赤痢菌/EIEC ipaH DNA</v>
      </c>
      <c r="I731" s="1" t="str">
        <f>IFERROR(__xludf.DUMMYFUNCTION("GOOGLETRANSLATE(E731,""EN"",""JA"")"),"侵入プラスミド抗原H遺伝子; ipaH遺伝子; Shigella属および/または腸管侵入性大腸菌侵入プラスミド抗原H DNA; Shigella/EIEC ipaH DNA")</f>
        <v>侵入プラスミド抗原H遺伝子; ipaH遺伝子; Shigella属および/または腸管侵入性大腸菌侵入プラスミド抗原H DNA; Shigella/EIEC ipaH DNA</v>
      </c>
      <c r="J731" s="1" t="str">
        <f>IFERROR(__xludf.DUMMYFUNCTION("GOOGLETRANSLATE(F731,""EN"",""JA"")"),"生物標本中の Shigella 属および/または腸管侵入性大腸菌の侵入プラスミド抗原 H DNA の測定。")</f>
        <v>生物標本中の Shigella 属および/または腸管侵入性大腸菌の侵入プラスミド抗原 H DNA の測定。</v>
      </c>
      <c r="K731" s="1" t="str">
        <f>IFERROR(__xludf.DUMMYFUNCTION("GOOGLETRANSLATE(G731,""EN"",""JA"")"),"赤癬菌および/または腸管侵襲性大腸菌 ipaH DNA 測定")</f>
        <v>赤癬菌および/または腸管侵襲性大腸菌 ipaH DNA 測定</v>
      </c>
    </row>
    <row r="732" ht="13.5" customHeight="1">
      <c r="A732" s="1" t="s">
        <v>67</v>
      </c>
      <c r="B732" s="1" t="s">
        <v>3694</v>
      </c>
      <c r="C732" s="1" t="s">
        <v>3694</v>
      </c>
      <c r="D732" s="1" t="s">
        <v>3695</v>
      </c>
      <c r="E732" s="1" t="s">
        <v>3695</v>
      </c>
      <c r="F732" s="1" t="s">
        <v>3696</v>
      </c>
      <c r="G732" s="1" t="s">
        <v>3697</v>
      </c>
      <c r="H732" s="1" t="str">
        <f>IFERROR(__xludf.DUMMYFUNCTION("GOOGLETRANSLATE(D732,""EN"",""JA"")"),"サポウイルス遺伝子群I/II/IV/V RNA")</f>
        <v>サポウイルス遺伝子群I/II/IV/V RNA</v>
      </c>
      <c r="I732" s="1" t="str">
        <f>IFERROR(__xludf.DUMMYFUNCTION("GOOGLETRANSLATE(E732,""EN"",""JA"")"),"サポウイルス遺伝子群I/II/IV/V RNA")</f>
        <v>サポウイルス遺伝子群I/II/IV/V RNA</v>
      </c>
      <c r="J732" s="1" t="str">
        <f>IFERROR(__xludf.DUMMYFUNCTION("GOOGLETRANSLATE(F732,""EN"",""JA"")"),"生物標本中のサポウイルス遺伝子群 I、II、IV、および/または V RNA の測定。")</f>
        <v>生物標本中のサポウイルス遺伝子群 I、II、IV、および/または V RNA の測定。</v>
      </c>
      <c r="K732" s="1" t="str">
        <f>IFERROR(__xludf.DUMMYFUNCTION("GOOGLETRANSLATE(G732,""EN"",""JA"")"),"サポウイルス遺伝子群I、II、IV、および/またはVのRNA測定")</f>
        <v>サポウイルス遺伝子群I、II、IV、および/またはVのRNA測定</v>
      </c>
    </row>
    <row r="733" ht="13.5" customHeight="1">
      <c r="A733" s="1" t="s">
        <v>67</v>
      </c>
      <c r="B733" s="1" t="s">
        <v>3698</v>
      </c>
      <c r="C733" s="1" t="s">
        <v>3698</v>
      </c>
      <c r="D733" s="1" t="s">
        <v>3699</v>
      </c>
      <c r="E733" s="1" t="s">
        <v>3700</v>
      </c>
      <c r="F733" s="1" t="s">
        <v>3701</v>
      </c>
      <c r="G733" s="1" t="s">
        <v>3702</v>
      </c>
      <c r="H733" s="1" t="str">
        <f>IFERROR(__xludf.DUMMYFUNCTION("GOOGLETRANSLATE(D733,""EN"",""JA"")"),"ノロウイルス遺伝子群I/II RNA")</f>
        <v>ノロウイルス遺伝子群I/II RNA</v>
      </c>
      <c r="I733" s="1" t="str">
        <f>IFERROR(__xludf.DUMMYFUNCTION("GOOGLETRANSLATE(E733,""EN"",""JA"")"),"ノロウイルス遺伝子群Iおよび/または遺伝子群II RNA; ノロウイルスGI/GII RNA")</f>
        <v>ノロウイルス遺伝子群Iおよび/または遺伝子群II RNA; ノロウイルスGI/GII RNA</v>
      </c>
      <c r="J733" s="1" t="str">
        <f>IFERROR(__xludf.DUMMYFUNCTION("GOOGLETRANSLATE(F733,""EN"",""JA"")"),"生物標本中のノロウイルス遺伝子群 I および/または II RNA の測定。")</f>
        <v>生物標本中のノロウイルス遺伝子群 I および/または II RNA の測定。</v>
      </c>
      <c r="K733" s="1" t="str">
        <f>IFERROR(__xludf.DUMMYFUNCTION("GOOGLETRANSLATE(G733,""EN"",""JA"")"),"ノロウイルス遺伝子群Iおよび/またはII RNA測定")</f>
        <v>ノロウイルス遺伝子群Iおよび/またはII RNA測定</v>
      </c>
    </row>
    <row r="734" ht="13.5" customHeight="1">
      <c r="A734" s="1" t="s">
        <v>67</v>
      </c>
      <c r="B734" s="1" t="s">
        <v>3703</v>
      </c>
      <c r="C734" s="1" t="s">
        <v>3703</v>
      </c>
      <c r="D734" s="1" t="s">
        <v>3704</v>
      </c>
      <c r="E734" s="1" t="s">
        <v>3705</v>
      </c>
      <c r="F734" s="1" t="s">
        <v>3706</v>
      </c>
      <c r="G734" s="1" t="s">
        <v>3707</v>
      </c>
      <c r="H734" s="1" t="str">
        <f>IFERROR(__xludf.DUMMYFUNCTION("GOOGLETRANSLATE(D734,""EN"",""JA"")"),"ETEC LtA/ST1a/ST1b DNA")</f>
        <v>ETEC LtA/ST1a/ST1b DNA</v>
      </c>
      <c r="I734" s="1" t="str">
        <f>IFERROR(__xludf.DUMMYFUNCTION("GOOGLETRANSLATE(E734,""EN"",""JA"")"),"腸管毒素原性大腸菌 LtA/ST1a/ST1b DNA; ETEC LtA/ST1a/ST1b DNA")</f>
        <v>腸管毒素原性大腸菌 LtA/ST1a/ST1b DNA; ETEC LtA/ST1a/ST1b DNA</v>
      </c>
      <c r="J734" s="1" t="str">
        <f>IFERROR(__xludf.DUMMYFUNCTION("GOOGLETRANSLATE(F734,""EN"",""JA"")"),"生物標本中の毒素原性大腸菌 LtA、ST1a、および/または ST1b DNA の測定。")</f>
        <v>生物標本中の毒素原性大腸菌 LtA、ST1a、および/または ST1b DNA の測定。</v>
      </c>
      <c r="K734" s="1" t="str">
        <f>IFERROR(__xludf.DUMMYFUNCTION("GOOGLETRANSLATE(G734,""EN"",""JA"")"),"毒素原性大腸菌LtA、ST1a、および/またはST1b DNA測定")</f>
        <v>毒素原性大腸菌LtA、ST1a、および/またはST1b DNA測定</v>
      </c>
    </row>
    <row r="735" ht="13.5" customHeight="1">
      <c r="A735" s="1" t="s">
        <v>67</v>
      </c>
      <c r="B735" s="1" t="s">
        <v>3708</v>
      </c>
      <c r="C735" s="1" t="s">
        <v>3708</v>
      </c>
      <c r="D735" s="1" t="s">
        <v>3709</v>
      </c>
      <c r="E735" s="1" t="s">
        <v>3710</v>
      </c>
      <c r="F735" s="1" t="s">
        <v>3711</v>
      </c>
      <c r="G735" s="1" t="s">
        <v>3712</v>
      </c>
      <c r="H735" s="1" t="str">
        <f>IFERROR(__xludf.DUMMYFUNCTION("GOOGLETRANSLATE(D735,""EN"",""JA"")"),"EPEC eae DNA")</f>
        <v>EPEC eae DNA</v>
      </c>
      <c r="I735" s="1" t="str">
        <f>IFERROR(__xludf.DUMMYFUNCTION("GOOGLETRANSLATE(E735,""EN"",""JA"")"),"腸管病原性大腸菌eae DNA; EPEC eae DNA")</f>
        <v>腸管病原性大腸菌eae DNA; EPEC eae DNA</v>
      </c>
      <c r="J735" s="1" t="str">
        <f>IFERROR(__xludf.DUMMYFUNCTION("GOOGLETRANSLATE(F735,""EN"",""JA"")"),"生物標本中の腸管病原性大腸菌 eae DNA の測定。")</f>
        <v>生物標本中の腸管病原性大腸菌 eae DNA の測定。</v>
      </c>
      <c r="K735" s="1" t="str">
        <f>IFERROR(__xludf.DUMMYFUNCTION("GOOGLETRANSLATE(G735,""EN"",""JA"")"),"腸管病原性大腸菌eae DNA測定")</f>
        <v>腸管病原性大腸菌eae DNA測定</v>
      </c>
    </row>
    <row r="736" ht="13.5" customHeight="1">
      <c r="A736" s="1" t="s">
        <v>67</v>
      </c>
      <c r="B736" s="1" t="s">
        <v>3713</v>
      </c>
      <c r="C736" s="1" t="s">
        <v>3713</v>
      </c>
      <c r="D736" s="1" t="s">
        <v>3714</v>
      </c>
      <c r="E736" s="1" t="s">
        <v>3715</v>
      </c>
      <c r="F736" s="1" t="s">
        <v>3716</v>
      </c>
      <c r="G736" s="1" t="s">
        <v>3717</v>
      </c>
      <c r="H736" s="1" t="str">
        <f>IFERROR(__xludf.DUMMYFUNCTION("GOOGLETRANSLATE(D736,""EN"",""JA"")"),"EAEC pAA プラスミド aggR/aatA DNA")</f>
        <v>EAEC pAA プラスミド aggR/aatA DNA</v>
      </c>
      <c r="I736" s="1" t="str">
        <f>IFERROR(__xludf.DUMMYFUNCTION("GOOGLETRANSLATE(E736,""EN"",""JA"")"),"EAEC pAA プラスミド aggR/aatA DNA;腸内凝集性大腸菌 pAA プラスミド aggR/aatA DNA")</f>
        <v>EAEC pAA プラスミド aggR/aatA DNA;腸内凝集性大腸菌 pAA プラスミド aggR/aatA DNA</v>
      </c>
      <c r="J736" s="1" t="str">
        <f>IFERROR(__xludf.DUMMYFUNCTION("GOOGLETRANSLATE(F736,""EN"",""JA"")"),"生物標本中の腸管凝集性大腸菌 pAA プラスミド aggR および/または aatA DNA の測定。")</f>
        <v>生物標本中の腸管凝集性大腸菌 pAA プラスミド aggR および/または aatA DNA の測定。</v>
      </c>
      <c r="K736" s="1" t="str">
        <f>IFERROR(__xludf.DUMMYFUNCTION("GOOGLETRANSLATE(G736,""EN"",""JA"")"),"腸管凝集性大腸菌pAAプラスミドaggRおよび/またはaatA DNA測定")</f>
        <v>腸管凝集性大腸菌pAAプラスミドaggRおよび/またはaatA DNA測定</v>
      </c>
    </row>
    <row r="737" ht="13.5" customHeight="1">
      <c r="A737" s="1" t="s">
        <v>67</v>
      </c>
      <c r="B737" s="1" t="s">
        <v>3718</v>
      </c>
      <c r="C737" s="1" t="s">
        <v>3718</v>
      </c>
      <c r="D737" s="1" t="s">
        <v>3719</v>
      </c>
      <c r="E737" s="1" t="s">
        <v>3720</v>
      </c>
      <c r="F737" s="1" t="s">
        <v>3721</v>
      </c>
      <c r="G737" s="1" t="s">
        <v>3722</v>
      </c>
      <c r="H737" s="1" t="str">
        <f>IFERROR(__xludf.DUMMYFUNCTION("GOOGLETRANSLATE(D737,""EN"",""JA"")"),"大腸菌/ジェジュニ/ウプサリエンシス DNA")</f>
        <v>大腸菌/ジェジュニ/ウプサリエンシス DNA</v>
      </c>
      <c r="I737" s="1" t="str">
        <f>IFERROR(__xludf.DUMMYFUNCTION("GOOGLETRANSLATE(E737,""EN"",""JA"")"),"C. coli/jejuni/upsaliensis DNA; カンピロバクター・コリ/jejuni/upsaliensis DNA")</f>
        <v>C. coli/jejuni/upsaliensis DNA; カンピロバクター・コリ/jejuni/upsaliensis DNA</v>
      </c>
      <c r="J737" s="1" t="str">
        <f>IFERROR(__xludf.DUMMYFUNCTION("GOOGLETRANSLATE(F737,""EN"",""JA"")"),"生物標本中の Campylobacter coli、Campylobacter jejuni、および/または Campylobacter upsaliensis DNA の測定。")</f>
        <v>生物標本中の Campylobacter coli、Campylobacter jejuni、および/または Campylobacter upsaliensis DNA の測定。</v>
      </c>
      <c r="K737" s="1" t="str">
        <f>IFERROR(__xludf.DUMMYFUNCTION("GOOGLETRANSLATE(G737,""EN"",""JA"")"),"カンピロバクター・コリ、カンピロバクター・ジェジュニ、および/またはカンピロバクター・ウプサリエンシスのDNA測定")</f>
        <v>カンピロバクター・コリ、カンピロバクター・ジェジュニ、および/またはカンピロバクター・ウプサリエンシスのDNA測定</v>
      </c>
    </row>
    <row r="738" ht="13.5" customHeight="1">
      <c r="A738" s="1" t="s">
        <v>67</v>
      </c>
      <c r="B738" s="1" t="s">
        <v>3723</v>
      </c>
      <c r="C738" s="1" t="s">
        <v>3723</v>
      </c>
      <c r="D738" s="1" t="s">
        <v>3724</v>
      </c>
      <c r="E738" s="1" t="s">
        <v>3724</v>
      </c>
      <c r="F738" s="1" t="s">
        <v>3725</v>
      </c>
      <c r="G738" s="1" t="s">
        <v>3726</v>
      </c>
      <c r="H738" s="1" t="str">
        <f>IFERROR(__xludf.DUMMYFUNCTION("GOOGLETRANSLATE(D738,""EN"",""JA"")"),"ヒトアストロウイルス 1/2/3/4/5/6/7/8 RNA")</f>
        <v>ヒトアストロウイルス 1/2/3/4/5/6/7/8 RNA</v>
      </c>
      <c r="I738" s="1" t="str">
        <f>IFERROR(__xludf.DUMMYFUNCTION("GOOGLETRANSLATE(E738,""EN"",""JA"")"),"ヒトアストロウイルス 1/2/3/4/5/6/7/8 RNA")</f>
        <v>ヒトアストロウイルス 1/2/3/4/5/6/7/8 RNA</v>
      </c>
      <c r="J738" s="1" t="str">
        <f>IFERROR(__xludf.DUMMYFUNCTION("GOOGLETRANSLATE(F738,""EN"",""JA"")"),"生物標本中のヒトアストロウイルス 1、2、3、4、5、6、7、および/または 8 の RNA の測定。")</f>
        <v>生物標本中のヒトアストロウイルス 1、2、3、4、5、6、7、および/または 8 の RNA の測定。</v>
      </c>
      <c r="K738" s="1" t="str">
        <f>IFERROR(__xludf.DUMMYFUNCTION("GOOGLETRANSLATE(G738,""EN"",""JA"")"),"ヒトアストロウイルス1、2、3、4、5、6、7、および/または8のRNA測定")</f>
        <v>ヒトアストロウイルス1、2、3、4、5、6、7、および/または8のRNA測定</v>
      </c>
    </row>
    <row r="739" ht="13.5" customHeight="1">
      <c r="A739" s="1" t="s">
        <v>67</v>
      </c>
      <c r="B739" s="1" t="s">
        <v>3727</v>
      </c>
      <c r="C739" s="1" t="s">
        <v>3727</v>
      </c>
      <c r="D739" s="1" t="s">
        <v>3728</v>
      </c>
      <c r="E739" s="1" t="s">
        <v>3729</v>
      </c>
      <c r="F739" s="1" t="s">
        <v>3730</v>
      </c>
      <c r="G739" s="1" t="s">
        <v>3731</v>
      </c>
      <c r="H739" s="1" t="str">
        <f>IFERROR(__xludf.DUMMYFUNCTION("GOOGLETRANSLATE(D739,""EN"",""JA"")"),"ヒトアデノウイルス40/41 DNA")</f>
        <v>ヒトアデノウイルス40/41 DNA</v>
      </c>
      <c r="I739" s="1" t="str">
        <f>IFERROR(__xludf.DUMMYFUNCTION("GOOGLETRANSLATE(E739,""EN"",""JA"")"),"ヒトアデノウイルス 40/41 DNA;ヒトアデノウイルス F40/F41 DNA;マスタデノウイルス 40/41 DNA")</f>
        <v>ヒトアデノウイルス 40/41 DNA;ヒトアデノウイルス F40/F41 DNA;マスタデノウイルス 40/41 DNA</v>
      </c>
      <c r="J739" s="1" t="str">
        <f>IFERROR(__xludf.DUMMYFUNCTION("GOOGLETRANSLATE(F739,""EN"",""JA"")"),"生物学的標本中のヒトアデノウイルス 40 型および/またはヒトアデノウイルス 41 型の DNA の測定。")</f>
        <v>生物学的標本中のヒトアデノウイルス 40 型および/またはヒトアデノウイルス 41 型の DNA の測定。</v>
      </c>
      <c r="K739" s="1" t="str">
        <f>IFERROR(__xludf.DUMMYFUNCTION("GOOGLETRANSLATE(G739,""EN"",""JA"")"),"ヒトアデノウイルス40および/またはヒトアデノウイルス41のDNA測定")</f>
        <v>ヒトアデノウイルス40および/またはヒトアデノウイルス41のDNA測定</v>
      </c>
    </row>
    <row r="740" ht="13.5" customHeight="1">
      <c r="A740" s="1" t="s">
        <v>11</v>
      </c>
      <c r="B740" s="1" t="s">
        <v>3732</v>
      </c>
      <c r="C740" s="1" t="s">
        <v>3733</v>
      </c>
      <c r="D740" s="1" t="s">
        <v>3734</v>
      </c>
      <c r="E740" s="1" t="s">
        <v>3734</v>
      </c>
      <c r="F740" s="1" t="s">
        <v>3735</v>
      </c>
      <c r="G740" s="1" t="s">
        <v>3736</v>
      </c>
      <c r="H740" s="1" t="str">
        <f>IFERROR(__xludf.DUMMYFUNCTION("GOOGLETRANSLATE(D740,""EN"",""JA"")"),"補体C1エステラーゼ阻害剤")</f>
        <v>補体C1エステラーゼ阻害剤</v>
      </c>
      <c r="I740" s="1" t="str">
        <f>IFERROR(__xludf.DUMMYFUNCTION("GOOGLETRANSLATE(E740,""EN"",""JA"")"),"補体C1エステラーゼ阻害剤")</f>
        <v>補体C1エステラーゼ阻害剤</v>
      </c>
      <c r="J740" s="1" t="str">
        <f>IFERROR(__xludf.DUMMYFUNCTION("GOOGLETRANSLATE(F740,""EN"",""JA"")"),"生物標本中の補体 C1 エステラーゼ阻害剤の測定。")</f>
        <v>生物標本中の補体 C1 エステラーゼ阻害剤の測定。</v>
      </c>
      <c r="K740" s="1" t="str">
        <f>IFERROR(__xludf.DUMMYFUNCTION("GOOGLETRANSLATE(G740,""EN"",""JA"")"),"補体C1エステラーゼ阻害剤測定")</f>
        <v>補体C1エステラーゼ阻害剤測定</v>
      </c>
    </row>
    <row r="741" ht="13.5" customHeight="1">
      <c r="A741" s="1" t="s">
        <v>11</v>
      </c>
      <c r="B741" s="1" t="s">
        <v>3737</v>
      </c>
      <c r="C741" s="1" t="s">
        <v>3738</v>
      </c>
      <c r="D741" s="1" t="s">
        <v>3738</v>
      </c>
      <c r="E741" s="1" t="s">
        <v>3739</v>
      </c>
      <c r="F741" s="1" t="s">
        <v>3740</v>
      </c>
      <c r="G741" s="1" t="s">
        <v>3741</v>
      </c>
      <c r="H741" s="1" t="str">
        <f>IFERROR(__xludf.DUMMYFUNCTION("GOOGLETRANSLATE(D741,""EN"",""JA"")"),"C1M")</f>
        <v>C1M</v>
      </c>
      <c r="I741" s="1" t="str">
        <f>IFERROR(__xludf.DUMMYFUNCTION("GOOGLETRANSLATE(E741,""EN"",""JA"")"),"C1M; MMP分解I型コラーゲン断片C1M")</f>
        <v>C1M; MMP分解I型コラーゲン断片C1M</v>
      </c>
      <c r="J741" s="1" t="str">
        <f>IFERROR(__xludf.DUMMYFUNCTION("GOOGLETRANSLATE(F741,""EN"",""JA"")"),"生物標本中の MMP 分解 I 型コラーゲン断片 C1M の測定。")</f>
        <v>生物標本中の MMP 分解 I 型コラーゲン断片 C1M の測定。</v>
      </c>
      <c r="K741" s="1" t="str">
        <f>IFERROR(__xludf.DUMMYFUNCTION("GOOGLETRANSLATE(G741,""EN"",""JA"")"),"MMP分解I型コラーゲン断片C1M測定")</f>
        <v>MMP分解I型コラーゲン断片C1M測定</v>
      </c>
    </row>
    <row r="742" ht="13.5" customHeight="1">
      <c r="A742" s="1" t="s">
        <v>11</v>
      </c>
      <c r="B742" s="1" t="s">
        <v>3742</v>
      </c>
      <c r="C742" s="1" t="s">
        <v>3743</v>
      </c>
      <c r="D742" s="1" t="s">
        <v>3744</v>
      </c>
      <c r="E742" s="1" t="s">
        <v>3744</v>
      </c>
      <c r="F742" s="1" t="s">
        <v>3745</v>
      </c>
      <c r="G742" s="1" t="s">
        <v>3746</v>
      </c>
      <c r="H742" s="1" t="str">
        <f>IFERROR(__xludf.DUMMYFUNCTION("GOOGLETRANSLATE(D742,""EN"",""JA"")"),"補体C1q")</f>
        <v>補体C1q</v>
      </c>
      <c r="I742" s="1" t="str">
        <f>IFERROR(__xludf.DUMMYFUNCTION("GOOGLETRANSLATE(E742,""EN"",""JA"")"),"補体C1q")</f>
        <v>補体C1q</v>
      </c>
      <c r="J742" s="1" t="str">
        <f>IFERROR(__xludf.DUMMYFUNCTION("GOOGLETRANSLATE(F742,""EN"",""JA"")"),"生物標本中の補体 C1q の測定。")</f>
        <v>生物標本中の補体 C1q の測定。</v>
      </c>
      <c r="K742" s="1" t="str">
        <f>IFERROR(__xludf.DUMMYFUNCTION("GOOGLETRANSLATE(G742,""EN"",""JA"")"),"補体C1q測定")</f>
        <v>補体C1q測定</v>
      </c>
    </row>
    <row r="743" ht="13.5" customHeight="1">
      <c r="A743" s="1" t="s">
        <v>11</v>
      </c>
      <c r="B743" s="1" t="s">
        <v>3747</v>
      </c>
      <c r="C743" s="1" t="s">
        <v>3748</v>
      </c>
      <c r="D743" s="1" t="s">
        <v>3749</v>
      </c>
      <c r="E743" s="1" t="s">
        <v>3750</v>
      </c>
      <c r="F743" s="1" t="s">
        <v>3751</v>
      </c>
      <c r="G743" s="1" t="s">
        <v>3752</v>
      </c>
      <c r="H743" s="1" t="str">
        <f>IFERROR(__xludf.DUMMYFUNCTION("GOOGLETRANSLATE(D743,""EN"",""JA"")"),"補体C2")</f>
        <v>補体C2</v>
      </c>
      <c r="I743" s="1" t="str">
        <f>IFERROR(__xludf.DUMMYFUNCTION("GOOGLETRANSLATE(E743,""EN"",""JA"")"),"ARMD14; 補体C2")</f>
        <v>ARMD14; 補体C2</v>
      </c>
      <c r="J743" s="1" t="str">
        <f>IFERROR(__xludf.DUMMYFUNCTION("GOOGLETRANSLATE(F743,""EN"",""JA"")"),"生物標本中の補体 C2 の測定。")</f>
        <v>生物標本中の補体 C2 の測定。</v>
      </c>
      <c r="K743" s="1" t="str">
        <f>IFERROR(__xludf.DUMMYFUNCTION("GOOGLETRANSLATE(G743,""EN"",""JA"")"),"補体C2測定")</f>
        <v>補体C2測定</v>
      </c>
    </row>
    <row r="744" ht="13.5" customHeight="1">
      <c r="A744" s="1" t="s">
        <v>67</v>
      </c>
      <c r="B744" s="1" t="s">
        <v>3753</v>
      </c>
      <c r="C744" s="1" t="s">
        <v>3754</v>
      </c>
      <c r="D744" s="1" t="s">
        <v>3755</v>
      </c>
      <c r="E744" s="1" t="s">
        <v>3756</v>
      </c>
      <c r="F744" s="1" t="s">
        <v>3757</v>
      </c>
      <c r="G744" s="1" t="s">
        <v>3758</v>
      </c>
      <c r="H744" s="1" t="str">
        <f>IFERROR(__xludf.DUMMYFUNCTION("GOOGLETRANSLATE(D744,""EN"",""JA"")"),"HCoV-229E核酸")</f>
        <v>HCoV-229E核酸</v>
      </c>
      <c r="I744" s="1" t="str">
        <f>IFERROR(__xludf.DUMMYFUNCTION("GOOGLETRANSLATE(E744,""EN"",""JA"")"),"HCoV-229E核酸; ヒトコロナウイルス229E核酸")</f>
        <v>HCoV-229E核酸; ヒトコロナウイルス229E核酸</v>
      </c>
      <c r="J744" s="1" t="str">
        <f>IFERROR(__xludf.DUMMYFUNCTION("GOOGLETRANSLATE(F744,""EN"",""JA"")"),"生物標本中のヒトコロナウイルス 229E 核酸の測定。")</f>
        <v>生物標本中のヒトコロナウイルス 229E 核酸の測定。</v>
      </c>
      <c r="K744" s="1" t="str">
        <f>IFERROR(__xludf.DUMMYFUNCTION("GOOGLETRANSLATE(G744,""EN"",""JA"")"),"ヒトコロナウイルス229Eの核酸測定")</f>
        <v>ヒトコロナウイルス229Eの核酸測定</v>
      </c>
    </row>
    <row r="745" ht="13.5" customHeight="1">
      <c r="A745" s="1" t="s">
        <v>67</v>
      </c>
      <c r="B745" s="1" t="s">
        <v>3759</v>
      </c>
      <c r="C745" s="1" t="s">
        <v>3760</v>
      </c>
      <c r="D745" s="1" t="s">
        <v>3761</v>
      </c>
      <c r="E745" s="1" t="s">
        <v>3762</v>
      </c>
      <c r="F745" s="1" t="s">
        <v>3763</v>
      </c>
      <c r="G745" s="1" t="s">
        <v>3764</v>
      </c>
      <c r="H745" s="1" t="str">
        <f>IFERROR(__xludf.DUMMYFUNCTION("GOOGLETRANSLATE(D745,""EN"",""JA"")"),"HCoV-229E RNA")</f>
        <v>HCoV-229E RNA</v>
      </c>
      <c r="I745" s="1" t="str">
        <f>IFERROR(__xludf.DUMMYFUNCTION("GOOGLETRANSLATE(E745,""EN"",""JA"")"),"HCoV-229E RNA; ヒトコロナウイルス229E RNA")</f>
        <v>HCoV-229E RNA; ヒトコロナウイルス229E RNA</v>
      </c>
      <c r="J745" s="1" t="str">
        <f>IFERROR(__xludf.DUMMYFUNCTION("GOOGLETRANSLATE(F745,""EN"",""JA"")"),"生物標本中のヒトコロナウイルス 229E RNA の測定。")</f>
        <v>生物標本中のヒトコロナウイルス 229E RNA の測定。</v>
      </c>
      <c r="K745" s="1" t="str">
        <f>IFERROR(__xludf.DUMMYFUNCTION("GOOGLETRANSLATE(G745,""EN"",""JA"")"),"HCoV-229E RNA測定")</f>
        <v>HCoV-229E RNA測定</v>
      </c>
    </row>
    <row r="746" ht="13.5" customHeight="1">
      <c r="A746" s="1" t="s">
        <v>11</v>
      </c>
      <c r="B746" s="1" t="s">
        <v>3765</v>
      </c>
      <c r="C746" s="1" t="s">
        <v>3766</v>
      </c>
      <c r="D746" s="1" t="s">
        <v>3767</v>
      </c>
      <c r="E746" s="1" t="s">
        <v>3767</v>
      </c>
      <c r="F746" s="1" t="s">
        <v>3768</v>
      </c>
      <c r="G746" s="1" t="s">
        <v>3769</v>
      </c>
      <c r="H746" s="1" t="str">
        <f>IFERROR(__xludf.DUMMYFUNCTION("GOOGLETRANSLATE(D746,""EN"",""JA"")"),"補体C2、遊離")</f>
        <v>補体C2、遊離</v>
      </c>
      <c r="I746" s="1" t="str">
        <f>IFERROR(__xludf.DUMMYFUNCTION("GOOGLETRANSLATE(E746,""EN"",""JA"")"),"補体C2、遊離")</f>
        <v>補体C2、遊離</v>
      </c>
      <c r="J746" s="1" t="str">
        <f>IFERROR(__xludf.DUMMYFUNCTION("GOOGLETRANSLATE(F746,""EN"",""JA"")"),"生物標本中の遊離補体 C2 の測定。")</f>
        <v>生物標本中の遊離補体 C2 の測定。</v>
      </c>
      <c r="K746" s="1" t="str">
        <f>IFERROR(__xludf.DUMMYFUNCTION("GOOGLETRANSLATE(G746,""EN"",""JA"")"),"遊離補体C2測定")</f>
        <v>遊離補体C2測定</v>
      </c>
    </row>
    <row r="747" ht="13.5" customHeight="1">
      <c r="A747" s="1" t="s">
        <v>11</v>
      </c>
      <c r="B747" s="1" t="s">
        <v>3770</v>
      </c>
      <c r="C747" s="1" t="s">
        <v>3771</v>
      </c>
      <c r="D747" s="1" t="s">
        <v>3772</v>
      </c>
      <c r="E747" s="1" t="s">
        <v>3772</v>
      </c>
      <c r="F747" s="1" t="s">
        <v>3773</v>
      </c>
      <c r="G747" s="1" t="s">
        <v>3774</v>
      </c>
      <c r="H747" s="1" t="str">
        <f>IFERROR(__xludf.DUMMYFUNCTION("GOOGLETRANSLATE(D747,""EN"",""JA"")"),"補体C2、遊離/補体C2")</f>
        <v>補体C2、遊離/補体C2</v>
      </c>
      <c r="I747" s="1" t="str">
        <f>IFERROR(__xludf.DUMMYFUNCTION("GOOGLETRANSLATE(E747,""EN"",""JA"")"),"補体C2、遊離/補体C2")</f>
        <v>補体C2、遊離/補体C2</v>
      </c>
      <c r="J747" s="1" t="str">
        <f>IFERROR(__xludf.DUMMYFUNCTION("GOOGLETRANSLATE(F747,""EN"",""JA"")"),"生物標本中の遊離補体 C2 と総補体 C2 の相対的な測定値 (比率またはパーセンテージ)。")</f>
        <v>生物標本中の遊離補体 C2 と総補体 C2 の相対的な測定値 (比率またはパーセンテージ)。</v>
      </c>
      <c r="K747" s="1" t="str">
        <f>IFERROR(__xludf.DUMMYFUNCTION("GOOGLETRANSLATE(G747,""EN"",""JA"")"),"遊離補体C2と補体C2の比率測定")</f>
        <v>遊離補体C2と補体C2の比率測定</v>
      </c>
    </row>
    <row r="748" ht="13.5" customHeight="1">
      <c r="A748" s="1" t="s">
        <v>11</v>
      </c>
      <c r="B748" s="1" t="s">
        <v>3775</v>
      </c>
      <c r="C748" s="1" t="s">
        <v>3776</v>
      </c>
      <c r="D748" s="1" t="s">
        <v>3776</v>
      </c>
      <c r="E748" s="1" t="s">
        <v>3777</v>
      </c>
      <c r="F748" s="1" t="s">
        <v>3778</v>
      </c>
      <c r="G748" s="1" t="s">
        <v>3779</v>
      </c>
      <c r="H748" s="1" t="str">
        <f>IFERROR(__xludf.DUMMYFUNCTION("GOOGLETRANSLATE(D748,""EN"",""JA"")"),"C2M")</f>
        <v>C2M</v>
      </c>
      <c r="I748" s="1" t="str">
        <f>IFERROR(__xludf.DUMMYFUNCTION("GOOGLETRANSLATE(E748,""EN"",""JA"")"),"C2M; MMP分解II型コラーゲン断片C2M")</f>
        <v>C2M; MMP分解II型コラーゲン断片C2M</v>
      </c>
      <c r="J748" s="1" t="str">
        <f>IFERROR(__xludf.DUMMYFUNCTION("GOOGLETRANSLATE(F748,""EN"",""JA"")"),"生物標本中の MMP 分解 II 型コラーゲン断片 C2M の測定。")</f>
        <v>生物標本中の MMP 分解 II 型コラーゲン断片 C2M の測定。</v>
      </c>
      <c r="K748" s="1" t="str">
        <f>IFERROR(__xludf.DUMMYFUNCTION("GOOGLETRANSLATE(G748,""EN"",""JA"")"),"MMP分解II型コラーゲン断片C2M測定")</f>
        <v>MMP分解II型コラーゲン断片C2M測定</v>
      </c>
    </row>
    <row r="749" ht="13.5" customHeight="1">
      <c r="A749" s="1" t="s">
        <v>11</v>
      </c>
      <c r="B749" s="1" t="s">
        <v>3780</v>
      </c>
      <c r="C749" s="1" t="s">
        <v>3781</v>
      </c>
      <c r="D749" s="1" t="s">
        <v>3782</v>
      </c>
      <c r="E749" s="1" t="s">
        <v>3782</v>
      </c>
      <c r="F749" s="1" t="s">
        <v>3783</v>
      </c>
      <c r="G749" s="1" t="s">
        <v>3784</v>
      </c>
      <c r="H749" s="1" t="str">
        <f>IFERROR(__xludf.DUMMYFUNCTION("GOOGLETRANSLATE(D749,""EN"",""JA"")"),"補体C3")</f>
        <v>補体C3</v>
      </c>
      <c r="I749" s="1" t="str">
        <f>IFERROR(__xludf.DUMMYFUNCTION("GOOGLETRANSLATE(E749,""EN"",""JA"")"),"補体C3")</f>
        <v>補体C3</v>
      </c>
      <c r="J749" s="1" t="str">
        <f>IFERROR(__xludf.DUMMYFUNCTION("GOOGLETRANSLATE(F749,""EN"",""JA"")"),"生物標本中の補体 C3 の測定。")</f>
        <v>生物標本中の補体 C3 の測定。</v>
      </c>
      <c r="K749" s="1" t="str">
        <f>IFERROR(__xludf.DUMMYFUNCTION("GOOGLETRANSLATE(G749,""EN"",""JA"")"),"補体C3測定")</f>
        <v>補体C3測定</v>
      </c>
    </row>
    <row r="750" ht="13.5" customHeight="1">
      <c r="A750" s="1" t="s">
        <v>11</v>
      </c>
      <c r="B750" s="1" t="s">
        <v>3785</v>
      </c>
      <c r="C750" s="1" t="s">
        <v>3786</v>
      </c>
      <c r="D750" s="1" t="s">
        <v>3787</v>
      </c>
      <c r="E750" s="1" t="s">
        <v>3787</v>
      </c>
      <c r="F750" s="1" t="s">
        <v>3788</v>
      </c>
      <c r="G750" s="1" t="s">
        <v>3789</v>
      </c>
      <c r="H750" s="1" t="str">
        <f>IFERROR(__xludf.DUMMYFUNCTION("GOOGLETRANSLATE(D750,""EN"",""JA"")"),"補体C3a")</f>
        <v>補体C3a</v>
      </c>
      <c r="I750" s="1" t="str">
        <f>IFERROR(__xludf.DUMMYFUNCTION("GOOGLETRANSLATE(E750,""EN"",""JA"")"),"補体C3a")</f>
        <v>補体C3a</v>
      </c>
      <c r="J750" s="1" t="str">
        <f>IFERROR(__xludf.DUMMYFUNCTION("GOOGLETRANSLATE(F750,""EN"",""JA"")"),"生物標本中の補体 C3a の測定。")</f>
        <v>生物標本中の補体 C3a の測定。</v>
      </c>
      <c r="K750" s="1" t="str">
        <f>IFERROR(__xludf.DUMMYFUNCTION("GOOGLETRANSLATE(G750,""EN"",""JA"")"),"補体C3a測定")</f>
        <v>補体C3a測定</v>
      </c>
    </row>
    <row r="751" ht="13.5" customHeight="1">
      <c r="A751" s="1" t="s">
        <v>11</v>
      </c>
      <c r="B751" s="1" t="s">
        <v>3790</v>
      </c>
      <c r="C751" s="1" t="s">
        <v>3791</v>
      </c>
      <c r="D751" s="1" t="s">
        <v>3792</v>
      </c>
      <c r="E751" s="1" t="s">
        <v>3793</v>
      </c>
      <c r="F751" s="1" t="s">
        <v>3794</v>
      </c>
      <c r="G751" s="1" t="s">
        <v>3795</v>
      </c>
      <c r="H751" s="1" t="str">
        <f>IFERROR(__xludf.DUMMYFUNCTION("GOOGLETRANSLATE(D751,""EN"",""JA"")"),"補体C3a DesArg")</f>
        <v>補体C3a DesArg</v>
      </c>
      <c r="I751" s="1" t="str">
        <f>IFERROR(__xludf.DUMMYFUNCTION("GOOGLETRANSLATE(E751,""EN"",""JA"")"),"アシル化刺激タンパク質; ASP; 補体C3a DesArg")</f>
        <v>アシル化刺激タンパク質; ASP; 補体C3a DesArg</v>
      </c>
      <c r="J751" s="1" t="str">
        <f>IFERROR(__xludf.DUMMYFUNCTION("GOOGLETRANSLATE(F751,""EN"",""JA"")"),"生物標本中の補体 C3a DesArg の測定。")</f>
        <v>生物標本中の補体 C3a DesArg の測定。</v>
      </c>
      <c r="K751" s="1" t="str">
        <f>IFERROR(__xludf.DUMMYFUNCTION("GOOGLETRANSLATE(G751,""EN"",""JA"")"),"補体C3a DesArg測定")</f>
        <v>補体C3a DesArg測定</v>
      </c>
    </row>
    <row r="752" ht="13.5" customHeight="1">
      <c r="A752" s="1" t="s">
        <v>11</v>
      </c>
      <c r="B752" s="1" t="s">
        <v>3796</v>
      </c>
      <c r="C752" s="1" t="s">
        <v>3797</v>
      </c>
      <c r="D752" s="1" t="s">
        <v>3798</v>
      </c>
      <c r="E752" s="1" t="s">
        <v>3798</v>
      </c>
      <c r="F752" s="1" t="s">
        <v>3799</v>
      </c>
      <c r="G752" s="1" t="s">
        <v>3800</v>
      </c>
      <c r="H752" s="1" t="str">
        <f>IFERROR(__xludf.DUMMYFUNCTION("GOOGLETRANSLATE(D752,""EN"",""JA"")"),"補体C3b")</f>
        <v>補体C3b</v>
      </c>
      <c r="I752" s="1" t="str">
        <f>IFERROR(__xludf.DUMMYFUNCTION("GOOGLETRANSLATE(E752,""EN"",""JA"")"),"補体C3b")</f>
        <v>補体C3b</v>
      </c>
      <c r="J752" s="1" t="str">
        <f>IFERROR(__xludf.DUMMYFUNCTION("GOOGLETRANSLATE(F752,""EN"",""JA"")"),"生物標本中の補体 C3b の測定。")</f>
        <v>生物標本中の補体 C3b の測定。</v>
      </c>
      <c r="K752" s="1" t="str">
        <f>IFERROR(__xludf.DUMMYFUNCTION("GOOGLETRANSLATE(G752,""EN"",""JA"")"),"補体C3b測定")</f>
        <v>補体C3b測定</v>
      </c>
    </row>
    <row r="753" ht="13.5" customHeight="1">
      <c r="A753" s="1" t="s">
        <v>11</v>
      </c>
      <c r="B753" s="1" t="s">
        <v>3801</v>
      </c>
      <c r="C753" s="1" t="s">
        <v>3802</v>
      </c>
      <c r="D753" s="1" t="s">
        <v>3803</v>
      </c>
      <c r="E753" s="1" t="s">
        <v>3803</v>
      </c>
      <c r="F753" s="1" t="s">
        <v>3804</v>
      </c>
      <c r="G753" s="1" t="s">
        <v>3805</v>
      </c>
      <c r="H753" s="1" t="str">
        <f>IFERROR(__xludf.DUMMYFUNCTION("GOOGLETRANSLATE(D753,""EN"",""JA"")"),"補体C3c")</f>
        <v>補体C3c</v>
      </c>
      <c r="I753" s="1" t="str">
        <f>IFERROR(__xludf.DUMMYFUNCTION("GOOGLETRANSLATE(E753,""EN"",""JA"")"),"補体C3c")</f>
        <v>補体C3c</v>
      </c>
      <c r="J753" s="1" t="str">
        <f>IFERROR(__xludf.DUMMYFUNCTION("GOOGLETRANSLATE(F753,""EN"",""JA"")"),"生物標本中の補体 C3c の測定。")</f>
        <v>生物標本中の補体 C3c の測定。</v>
      </c>
      <c r="K753" s="1" t="str">
        <f>IFERROR(__xludf.DUMMYFUNCTION("GOOGLETRANSLATE(G753,""EN"",""JA"")"),"補体C3c測定")</f>
        <v>補体C3c測定</v>
      </c>
    </row>
    <row r="754" ht="13.5" customHeight="1">
      <c r="A754" s="1" t="s">
        <v>11</v>
      </c>
      <c r="B754" s="1" t="s">
        <v>3806</v>
      </c>
      <c r="C754" s="1" t="s">
        <v>3807</v>
      </c>
      <c r="D754" s="1" t="s">
        <v>3808</v>
      </c>
      <c r="E754" s="1" t="s">
        <v>3808</v>
      </c>
      <c r="F754" s="1" t="s">
        <v>3809</v>
      </c>
      <c r="G754" s="1" t="s">
        <v>3810</v>
      </c>
      <c r="H754" s="1" t="str">
        <f>IFERROR(__xludf.DUMMYFUNCTION("GOOGLETRANSLATE(D754,""EN"",""JA"")"),"コラーゲンIIIネオペプチドC3M")</f>
        <v>コラーゲンIIIネオペプチドC3M</v>
      </c>
      <c r="I754" s="1" t="str">
        <f>IFERROR(__xludf.DUMMYFUNCTION("GOOGLETRANSLATE(E754,""EN"",""JA"")"),"コラーゲンIIIネオペプチドC3M")</f>
        <v>コラーゲンIIIネオペプチドC3M</v>
      </c>
      <c r="J754" s="1" t="str">
        <f>IFERROR(__xludf.DUMMYFUNCTION("GOOGLETRANSLATE(F754,""EN"",""JA"")"),"生物標本中のコラーゲン III ネオペプチド C3M の測定。")</f>
        <v>生物標本中のコラーゲン III ネオペプチド C3M の測定。</v>
      </c>
      <c r="K754" s="1" t="str">
        <f>IFERROR(__xludf.DUMMYFUNCTION("GOOGLETRANSLATE(G754,""EN"",""JA"")"),"コラーゲンIIIネオペプチドC3M測定")</f>
        <v>コラーゲンIIIネオペプチドC3M測定</v>
      </c>
    </row>
    <row r="755" ht="13.5" customHeight="1">
      <c r="A755" s="1" t="s">
        <v>11</v>
      </c>
      <c r="B755" s="1" t="s">
        <v>3811</v>
      </c>
      <c r="C755" s="1" t="s">
        <v>3812</v>
      </c>
      <c r="D755" s="1" t="s">
        <v>3813</v>
      </c>
      <c r="E755" s="1" t="s">
        <v>3813</v>
      </c>
      <c r="F755" s="1" t="s">
        <v>3814</v>
      </c>
      <c r="G755" s="1" t="s">
        <v>3815</v>
      </c>
      <c r="H755" s="1" t="str">
        <f>IFERROR(__xludf.DUMMYFUNCTION("GOOGLETRANSLATE(D755,""EN"",""JA"")"),"補体C4")</f>
        <v>補体C4</v>
      </c>
      <c r="I755" s="1" t="str">
        <f>IFERROR(__xludf.DUMMYFUNCTION("GOOGLETRANSLATE(E755,""EN"",""JA"")"),"補体C4")</f>
        <v>補体C4</v>
      </c>
      <c r="J755" s="1" t="str">
        <f>IFERROR(__xludf.DUMMYFUNCTION("GOOGLETRANSLATE(F755,""EN"",""JA"")"),"生物標本中の補体 C4 の測定。")</f>
        <v>生物標本中の補体 C4 の測定。</v>
      </c>
      <c r="K755" s="1" t="str">
        <f>IFERROR(__xludf.DUMMYFUNCTION("GOOGLETRANSLATE(G755,""EN"",""JA"")"),"補体C4測定")</f>
        <v>補体C4測定</v>
      </c>
    </row>
    <row r="756" ht="13.5" customHeight="1">
      <c r="A756" s="1" t="s">
        <v>11</v>
      </c>
      <c r="B756" s="1" t="s">
        <v>3816</v>
      </c>
      <c r="C756" s="1" t="s">
        <v>3817</v>
      </c>
      <c r="D756" s="1" t="s">
        <v>3818</v>
      </c>
      <c r="E756" s="1" t="s">
        <v>3818</v>
      </c>
      <c r="F756" s="1" t="s">
        <v>3819</v>
      </c>
      <c r="G756" s="1" t="s">
        <v>3820</v>
      </c>
      <c r="H756" s="1" t="str">
        <f>IFERROR(__xludf.DUMMYFUNCTION("GOOGLETRANSLATE(D756,""EN"",""JA"")"),"補体C4a")</f>
        <v>補体C4a</v>
      </c>
      <c r="I756" s="1" t="str">
        <f>IFERROR(__xludf.DUMMYFUNCTION("GOOGLETRANSLATE(E756,""EN"",""JA"")"),"補体C4a")</f>
        <v>補体C4a</v>
      </c>
      <c r="J756" s="1" t="str">
        <f>IFERROR(__xludf.DUMMYFUNCTION("GOOGLETRANSLATE(F756,""EN"",""JA"")"),"生物標本中の補体 C4a の測定。")</f>
        <v>生物標本中の補体 C4a の測定。</v>
      </c>
      <c r="K756" s="1" t="str">
        <f>IFERROR(__xludf.DUMMYFUNCTION("GOOGLETRANSLATE(G756,""EN"",""JA"")"),"補体C4a測定")</f>
        <v>補体C4a測定</v>
      </c>
    </row>
    <row r="757" ht="13.5" customHeight="1">
      <c r="A757" s="1" t="s">
        <v>11</v>
      </c>
      <c r="B757" s="1" t="s">
        <v>3821</v>
      </c>
      <c r="C757" s="1" t="s">
        <v>3822</v>
      </c>
      <c r="D757" s="1" t="s">
        <v>3823</v>
      </c>
      <c r="E757" s="1" t="s">
        <v>3823</v>
      </c>
      <c r="F757" s="1" t="s">
        <v>3824</v>
      </c>
      <c r="G757" s="1" t="s">
        <v>3825</v>
      </c>
      <c r="H757" s="1" t="str">
        <f>IFERROR(__xludf.DUMMYFUNCTION("GOOGLETRANSLATE(D757,""EN"",""JA"")"),"補体C4d")</f>
        <v>補体C4d</v>
      </c>
      <c r="I757" s="1" t="str">
        <f>IFERROR(__xludf.DUMMYFUNCTION("GOOGLETRANSLATE(E757,""EN"",""JA"")"),"補体C4d")</f>
        <v>補体C4d</v>
      </c>
      <c r="J757" s="1" t="str">
        <f>IFERROR(__xludf.DUMMYFUNCTION("GOOGLETRANSLATE(F757,""EN"",""JA"")"),"生物標本中の補体 C4d の測定。")</f>
        <v>生物標本中の補体 C4d の測定。</v>
      </c>
      <c r="K757" s="1" t="str">
        <f>IFERROR(__xludf.DUMMYFUNCTION("GOOGLETRANSLATE(G757,""EN"",""JA"")"),"補体C4d測定")</f>
        <v>補体C4d測定</v>
      </c>
    </row>
    <row r="758" ht="13.5" customHeight="1">
      <c r="A758" s="1" t="s">
        <v>11</v>
      </c>
      <c r="B758" s="1" t="s">
        <v>3826</v>
      </c>
      <c r="C758" s="1" t="s">
        <v>3827</v>
      </c>
      <c r="D758" s="1" t="s">
        <v>3827</v>
      </c>
      <c r="E758" s="1" t="s">
        <v>3828</v>
      </c>
      <c r="F758" s="1" t="s">
        <v>3829</v>
      </c>
      <c r="G758" s="1" t="s">
        <v>3830</v>
      </c>
      <c r="H758" s="1" t="str">
        <f>IFERROR(__xludf.DUMMYFUNCTION("GOOGLETRANSLATE(D758,""EN"",""JA"")"),"C4G")</f>
        <v>C4G</v>
      </c>
      <c r="I758" s="1" t="str">
        <f>IFERROR(__xludf.DUMMYFUNCTION("GOOGLETRANSLATE(E758,""EN"",""JA"")"),"C4G; MMP分解IV型コラーゲン断片C4G")</f>
        <v>C4G; MMP分解IV型コラーゲン断片C4G</v>
      </c>
      <c r="J758" s="1" t="str">
        <f>IFERROR(__xludf.DUMMYFUNCTION("GOOGLETRANSLATE(F758,""EN"",""JA"")"),"生物標本中の MMP 分解 IV 型コラーゲン断片 C4G の測定。")</f>
        <v>生物標本中の MMP 分解 IV 型コラーゲン断片 C4G の測定。</v>
      </c>
      <c r="K758" s="1" t="str">
        <f>IFERROR(__xludf.DUMMYFUNCTION("GOOGLETRANSLATE(G758,""EN"",""JA"")"),"MMP分解IV型コラーゲンフラグメントC4G測定")</f>
        <v>MMP分解IV型コラーゲンフラグメントC4G測定</v>
      </c>
    </row>
    <row r="759" ht="13.5" customHeight="1">
      <c r="A759" s="1" t="s">
        <v>11</v>
      </c>
      <c r="B759" s="1" t="s">
        <v>3831</v>
      </c>
      <c r="C759" s="1" t="s">
        <v>3832</v>
      </c>
      <c r="D759" s="1" t="s">
        <v>3832</v>
      </c>
      <c r="E759" s="1" t="s">
        <v>3833</v>
      </c>
      <c r="F759" s="1" t="s">
        <v>3834</v>
      </c>
      <c r="G759" s="1" t="s">
        <v>3835</v>
      </c>
      <c r="H759" s="1" t="str">
        <f>IFERROR(__xludf.DUMMYFUNCTION("GOOGLETRANSLATE(D759,""EN"",""JA"")"),"C4M")</f>
        <v>C4M</v>
      </c>
      <c r="I759" s="1" t="str">
        <f>IFERROR(__xludf.DUMMYFUNCTION("GOOGLETRANSLATE(E759,""EN"",""JA"")"),"C4M; MMP分解IV型コラーゲン断片C4M")</f>
        <v>C4M; MMP分解IV型コラーゲン断片C4M</v>
      </c>
      <c r="J759" s="1" t="str">
        <f>IFERROR(__xludf.DUMMYFUNCTION("GOOGLETRANSLATE(F759,""EN"",""JA"")"),"生物標本中の MMP 分解 IV 型コラーゲン断片 C4M の測定。")</f>
        <v>生物標本中の MMP 分解 IV 型コラーゲン断片 C4M の測定。</v>
      </c>
      <c r="K759" s="1" t="str">
        <f>IFERROR(__xludf.DUMMYFUNCTION("GOOGLETRANSLATE(G759,""EN"",""JA"")"),"MMP分解IV型コラーゲン断片C4M測定")</f>
        <v>MMP分解IV型コラーゲン断片C4M測定</v>
      </c>
    </row>
    <row r="760" ht="13.5" customHeight="1">
      <c r="A760" s="1" t="s">
        <v>11</v>
      </c>
      <c r="B760" s="1" t="s">
        <v>3836</v>
      </c>
      <c r="C760" s="1" t="s">
        <v>3837</v>
      </c>
      <c r="D760" s="1" t="s">
        <v>3838</v>
      </c>
      <c r="E760" s="1" t="s">
        <v>3839</v>
      </c>
      <c r="F760" s="1" t="s">
        <v>3840</v>
      </c>
      <c r="G760" s="1" t="s">
        <v>3841</v>
      </c>
      <c r="H760" s="1" t="str">
        <f>IFERROR(__xludf.DUMMYFUNCTION("GOOGLETRANSLATE(D760,""EN"",""JA"")"),"C4Ma3")</f>
        <v>C4Ma3</v>
      </c>
      <c r="I760" s="1" t="str">
        <f>IFERROR(__xludf.DUMMYFUNCTION("GOOGLETRANSLATE(E760,""EN"",""JA"")"),"C4Ma3; MMP-2,9,12 分解型IV型コラーゲンα3")</f>
        <v>C4Ma3; MMP-2,9,12 分解型IV型コラーゲンα3</v>
      </c>
      <c r="J760" s="1" t="str">
        <f>IFERROR(__xludf.DUMMYFUNCTION("GOOGLETRANSLATE(F760,""EN"",""JA"")"),"生物標本中の MMP-2,9,12 分解 IV 型コラーゲン アルファ 3 断片 C4Ma3 の測定。")</f>
        <v>生物標本中の MMP-2,9,12 分解 IV 型コラーゲン アルファ 3 断片 C4Ma3 の測定。</v>
      </c>
      <c r="K760" s="1" t="str">
        <f>IFERROR(__xludf.DUMMYFUNCTION("GOOGLETRANSLATE(G760,""EN"",""JA"")"),"MMP 2,9,12分解型IV型コラーゲンα3フラグメントC4Ma3測定")</f>
        <v>MMP 2,9,12分解型IV型コラーゲンα3フラグメントC4Ma3測定</v>
      </c>
    </row>
    <row r="761" ht="13.5" customHeight="1">
      <c r="A761" s="1" t="s">
        <v>11</v>
      </c>
      <c r="B761" s="1" t="s">
        <v>3842</v>
      </c>
      <c r="C761" s="1" t="s">
        <v>3843</v>
      </c>
      <c r="D761" s="1" t="s">
        <v>3844</v>
      </c>
      <c r="E761" s="1" t="s">
        <v>3844</v>
      </c>
      <c r="F761" s="1" t="s">
        <v>3845</v>
      </c>
      <c r="G761" s="1" t="s">
        <v>3846</v>
      </c>
      <c r="H761" s="1" t="str">
        <f>IFERROR(__xludf.DUMMYFUNCTION("GOOGLETRANSLATE(D761,""EN"",""JA"")"),"補体C5")</f>
        <v>補体C5</v>
      </c>
      <c r="I761" s="1" t="str">
        <f>IFERROR(__xludf.DUMMYFUNCTION("GOOGLETRANSLATE(E761,""EN"",""JA"")"),"補体C5")</f>
        <v>補体C5</v>
      </c>
      <c r="J761" s="1" t="str">
        <f>IFERROR(__xludf.DUMMYFUNCTION("GOOGLETRANSLATE(F761,""EN"",""JA"")"),"生物標本中の補体 C5 の総量の測定。")</f>
        <v>生物標本中の補体 C5 の総量の測定。</v>
      </c>
      <c r="K761" s="1" t="str">
        <f>IFERROR(__xludf.DUMMYFUNCTION("GOOGLETRANSLATE(G761,""EN"",""JA"")"),"補体C5測定")</f>
        <v>補体C5測定</v>
      </c>
    </row>
    <row r="762" ht="13.5" customHeight="1">
      <c r="A762" s="1" t="s">
        <v>11</v>
      </c>
      <c r="B762" s="1" t="s">
        <v>3847</v>
      </c>
      <c r="C762" s="1" t="s">
        <v>3848</v>
      </c>
      <c r="D762" s="1" t="s">
        <v>3849</v>
      </c>
      <c r="E762" s="1" t="s">
        <v>3849</v>
      </c>
      <c r="F762" s="1" t="s">
        <v>3850</v>
      </c>
      <c r="G762" s="1" t="s">
        <v>3851</v>
      </c>
      <c r="H762" s="1" t="str">
        <f>IFERROR(__xludf.DUMMYFUNCTION("GOOGLETRANSLATE(D762,""EN"",""JA"")"),"補体C5a")</f>
        <v>補体C5a</v>
      </c>
      <c r="I762" s="1" t="str">
        <f>IFERROR(__xludf.DUMMYFUNCTION("GOOGLETRANSLATE(E762,""EN"",""JA"")"),"補体C5a")</f>
        <v>補体C5a</v>
      </c>
      <c r="J762" s="1" t="str">
        <f>IFERROR(__xludf.DUMMYFUNCTION("GOOGLETRANSLATE(F762,""EN"",""JA"")"),"生物標本中の補体 C5a の測定。")</f>
        <v>生物標本中の補体 C5a の測定。</v>
      </c>
      <c r="K762" s="1" t="str">
        <f>IFERROR(__xludf.DUMMYFUNCTION("GOOGLETRANSLATE(G762,""EN"",""JA"")"),"補体C5a測定")</f>
        <v>補体C5a測定</v>
      </c>
    </row>
    <row r="763" ht="13.5" customHeight="1">
      <c r="A763" s="1" t="s">
        <v>11</v>
      </c>
      <c r="B763" s="1" t="s">
        <v>3852</v>
      </c>
      <c r="C763" s="1" t="s">
        <v>3853</v>
      </c>
      <c r="D763" s="1" t="s">
        <v>3854</v>
      </c>
      <c r="E763" s="1" t="s">
        <v>3854</v>
      </c>
      <c r="F763" s="1" t="s">
        <v>3855</v>
      </c>
      <c r="G763" s="1" t="s">
        <v>3856</v>
      </c>
      <c r="H763" s="1" t="str">
        <f>IFERROR(__xludf.DUMMYFUNCTION("GOOGLETRANSLATE(D763,""EN"",""JA"")"),"補体C5b-9")</f>
        <v>補体C5b-9</v>
      </c>
      <c r="I763" s="1" t="str">
        <f>IFERROR(__xludf.DUMMYFUNCTION("GOOGLETRANSLATE(E763,""EN"",""JA"")"),"補体C5b-9")</f>
        <v>補体C5b-9</v>
      </c>
      <c r="J763" s="1" t="str">
        <f>IFERROR(__xludf.DUMMYFUNCTION("GOOGLETRANSLATE(F763,""EN"",""JA"")"),"生物標本中の補体 C5b-9 の測定。")</f>
        <v>生物標本中の補体 C5b-9 の測定。</v>
      </c>
      <c r="K763" s="1" t="str">
        <f>IFERROR(__xludf.DUMMYFUNCTION("GOOGLETRANSLATE(G763,""EN"",""JA"")"),"補体C5b-9測定")</f>
        <v>補体C5b-9測定</v>
      </c>
    </row>
    <row r="764" ht="13.5" customHeight="1">
      <c r="A764" s="1" t="s">
        <v>11</v>
      </c>
      <c r="B764" s="1" t="s">
        <v>3857</v>
      </c>
      <c r="C764" s="1" t="s">
        <v>3858</v>
      </c>
      <c r="D764" s="1" t="s">
        <v>3859</v>
      </c>
      <c r="E764" s="1" t="s">
        <v>3860</v>
      </c>
      <c r="F764" s="1" t="s">
        <v>3861</v>
      </c>
      <c r="G764" s="1" t="s">
        <v>3862</v>
      </c>
      <c r="H764" s="1" t="str">
        <f>IFERROR(__xludf.DUMMYFUNCTION("GOOGLETRANSLATE(D764,""EN"",""JA"")"),"可溶性補体C5b-9")</f>
        <v>可溶性補体C5b-9</v>
      </c>
      <c r="I764" s="1" t="str">
        <f>IFERROR(__xludf.DUMMYFUNCTION("GOOGLETRANSLATE(E764,""EN"",""JA"")"),"sC5b-9; Smac; 可溶性補体 C5b-9; 可溶性 MAC; 可溶性膜侵襲複合体; TCC; 終末補体複合体")</f>
        <v>sC5b-9; Smac; 可溶性補体 C5b-9; 可溶性 MAC; 可溶性膜侵襲複合体; TCC; 終末補体複合体</v>
      </c>
      <c r="J764" s="1" t="str">
        <f>IFERROR(__xludf.DUMMYFUNCTION("GOOGLETRANSLATE(F764,""EN"",""JA"")"),"生物標本中の可溶性補体 C5b-9 の測定。")</f>
        <v>生物標本中の可溶性補体 C5b-9 の測定。</v>
      </c>
      <c r="K764" s="1" t="str">
        <f>IFERROR(__xludf.DUMMYFUNCTION("GOOGLETRANSLATE(G764,""EN"",""JA"")"),"可溶性補体C5b-9測定")</f>
        <v>可溶性補体C5b-9測定</v>
      </c>
    </row>
    <row r="765" ht="13.5" customHeight="1">
      <c r="A765" s="1" t="s">
        <v>11</v>
      </c>
      <c r="B765" s="1" t="s">
        <v>3863</v>
      </c>
      <c r="C765" s="1" t="s">
        <v>3864</v>
      </c>
      <c r="D765" s="1" t="s">
        <v>3865</v>
      </c>
      <c r="E765" s="1" t="s">
        <v>3865</v>
      </c>
      <c r="F765" s="1" t="s">
        <v>3866</v>
      </c>
      <c r="G765" s="1" t="s">
        <v>3867</v>
      </c>
      <c r="H765" s="1" t="str">
        <f>IFERROR(__xludf.DUMMYFUNCTION("GOOGLETRANSLATE(D765,""EN"",""JA"")"),"補体C5、遊離")</f>
        <v>補体C5、遊離</v>
      </c>
      <c r="I765" s="1" t="str">
        <f>IFERROR(__xludf.DUMMYFUNCTION("GOOGLETRANSLATE(E765,""EN"",""JA"")"),"補体C5、遊離")</f>
        <v>補体C5、遊離</v>
      </c>
      <c r="J765" s="1" t="str">
        <f>IFERROR(__xludf.DUMMYFUNCTION("GOOGLETRANSLATE(F765,""EN"",""JA"")"),"生物標本中の遊離補体 C5 の測定。")</f>
        <v>生物標本中の遊離補体 C5 の測定。</v>
      </c>
      <c r="K765" s="1" t="str">
        <f>IFERROR(__xludf.DUMMYFUNCTION("GOOGLETRANSLATE(G765,""EN"",""JA"")"),"遊離補体C5測定")</f>
        <v>遊離補体C5測定</v>
      </c>
    </row>
    <row r="766" ht="13.5" customHeight="1">
      <c r="A766" s="1" t="s">
        <v>11</v>
      </c>
      <c r="B766" s="1" t="s">
        <v>3868</v>
      </c>
      <c r="C766" s="1" t="s">
        <v>3869</v>
      </c>
      <c r="D766" s="1" t="s">
        <v>3869</v>
      </c>
      <c r="E766" s="1" t="s">
        <v>3870</v>
      </c>
      <c r="F766" s="1" t="s">
        <v>3871</v>
      </c>
      <c r="G766" s="1" t="s">
        <v>3872</v>
      </c>
      <c r="H766" s="1" t="str">
        <f>IFERROR(__xludf.DUMMYFUNCTION("GOOGLETRANSLATE(D766,""EN"",""JA"")"),"C6M")</f>
        <v>C6M</v>
      </c>
      <c r="I766" s="1" t="str">
        <f>IFERROR(__xludf.DUMMYFUNCTION("GOOGLETRANSLATE(E766,""EN"",""JA"")"),"C6M; MMP-2分解型VIコラーゲンC6M")</f>
        <v>C6M; MMP-2分解型VIコラーゲンC6M</v>
      </c>
      <c r="J766" s="1" t="str">
        <f>IFERROR(__xludf.DUMMYFUNCTION("GOOGLETRANSLATE(F766,""EN"",""JA"")"),"生物標本中の MMP2 分解 VI 型コラーゲン断片 C6M の測定。")</f>
        <v>生物標本中の MMP2 分解 VI 型コラーゲン断片 C6M の測定。</v>
      </c>
      <c r="K766" s="1" t="str">
        <f>IFERROR(__xludf.DUMMYFUNCTION("GOOGLETRANSLATE(G766,""EN"",""JA"")"),"MMP 2分解IV型コラーゲンフラグメントC6M測定")</f>
        <v>MMP 2分解IV型コラーゲンフラグメントC6M測定</v>
      </c>
    </row>
    <row r="767" ht="13.5" customHeight="1">
      <c r="A767" s="1" t="s">
        <v>11</v>
      </c>
      <c r="B767" s="1" t="s">
        <v>3873</v>
      </c>
      <c r="C767" s="1" t="s">
        <v>3874</v>
      </c>
      <c r="D767" s="1" t="s">
        <v>3875</v>
      </c>
      <c r="E767" s="1" t="s">
        <v>3876</v>
      </c>
      <c r="F767" s="1" t="s">
        <v>3877</v>
      </c>
      <c r="G767" s="1" t="s">
        <v>3878</v>
      </c>
      <c r="H767" s="1" t="str">
        <f>IFERROR(__xludf.DUMMYFUNCTION("GOOGLETRANSLATE(D767,""EN"",""JA"")"),"C6Ma3")</f>
        <v>C6Ma3</v>
      </c>
      <c r="I767" s="1" t="str">
        <f>IFERROR(__xludf.DUMMYFUNCTION("GOOGLETRANSLATE(E767,""EN"",""JA"")"),"C6Ma3; MMP-2およびMMP-9分解VI型コラーゲンα-3サブユニットC6M")</f>
        <v>C6Ma3; MMP-2およびMMP-9分解VI型コラーゲンα-3サブユニットC6M</v>
      </c>
      <c r="J767" s="1" t="str">
        <f>IFERROR(__xludf.DUMMYFUNCTION("GOOGLETRANSLATE(F767,""EN"",""JA"")"),"生物標本中の MMP-2 分解型 VI コラーゲン アルファ-3 サブユニット断片 C6Ma3 の測定。")</f>
        <v>生物標本中の MMP-2 分解型 VI コラーゲン アルファ-3 サブユニット断片 C6Ma3 の測定。</v>
      </c>
      <c r="K767" s="1" t="str">
        <f>IFERROR(__xludf.DUMMYFUNCTION("GOOGLETRANSLATE(G767,""EN"",""JA"")"),"MMP 2分解型IV型コラーゲンα3サブユニットフラグメントC6Ma3測定")</f>
        <v>MMP 2分解型IV型コラーゲンα3サブユニットフラグメントC6Ma3測定</v>
      </c>
    </row>
    <row r="768" ht="13.5" customHeight="1">
      <c r="A768" s="1" t="s">
        <v>11</v>
      </c>
      <c r="B768" s="1" t="s">
        <v>3879</v>
      </c>
      <c r="C768" s="1" t="s">
        <v>3880</v>
      </c>
      <c r="D768" s="1" t="s">
        <v>3881</v>
      </c>
      <c r="E768" s="1" t="s">
        <v>3881</v>
      </c>
      <c r="F768" s="1" t="s">
        <v>3882</v>
      </c>
      <c r="G768" s="1" t="s">
        <v>3883</v>
      </c>
      <c r="H768" s="1" t="str">
        <f>IFERROR(__xludf.DUMMYFUNCTION("GOOGLETRANSLATE(D768,""EN"",""JA"")"),"カルシウム")</f>
        <v>カルシウム</v>
      </c>
      <c r="I768" s="1" t="str">
        <f>IFERROR(__xludf.DUMMYFUNCTION("GOOGLETRANSLATE(E768,""EN"",""JA"")"),"カルシウム")</f>
        <v>カルシウム</v>
      </c>
      <c r="J768" s="1" t="str">
        <f>IFERROR(__xludf.DUMMYFUNCTION("GOOGLETRANSLATE(F768,""EN"",""JA"")"),"生物標本中のカルシウムの測定。")</f>
        <v>生物標本中のカルシウムの測定。</v>
      </c>
      <c r="K768" s="1" t="str">
        <f>IFERROR(__xludf.DUMMYFUNCTION("GOOGLETRANSLATE(G768,""EN"",""JA"")"),"カルシウム測定")</f>
        <v>カルシウム測定</v>
      </c>
    </row>
    <row r="769" ht="13.5" customHeight="1">
      <c r="A769" s="1" t="s">
        <v>11</v>
      </c>
      <c r="B769" s="1" t="s">
        <v>3884</v>
      </c>
      <c r="C769" s="1" t="s">
        <v>3885</v>
      </c>
      <c r="D769" s="1" t="s">
        <v>3886</v>
      </c>
      <c r="E769" s="1" t="s">
        <v>3887</v>
      </c>
      <c r="F769" s="1" t="s">
        <v>3888</v>
      </c>
      <c r="G769" s="1" t="s">
        <v>3889</v>
      </c>
      <c r="H769" s="1" t="str">
        <f>IFERROR(__xludf.DUMMYFUNCTION("GOOGLETRANSLATE(D769,""EN"",""JA"")"),"がん抗原125")</f>
        <v>がん抗原125</v>
      </c>
      <c r="I769" s="1" t="str">
        <f>IFERROR(__xludf.DUMMYFUNCTION("GOOGLETRANSLATE(E769,""EN"",""JA"")"),"CA125; CA125AG; 癌抗原125; 炭水化物抗原125; MUC16; ムチン-16; 細胞表面関連ムチン-16")</f>
        <v>CA125; CA125AG; 癌抗原125; 炭水化物抗原125; MUC16; ムチン-16; 細胞表面関連ムチン-16</v>
      </c>
      <c r="J769" s="1" t="str">
        <f>IFERROR(__xludf.DUMMYFUNCTION("GOOGLETRANSLATE(F769,""EN"",""JA"")"),"生物標本中の癌抗原 125 の測定。")</f>
        <v>生物標本中の癌抗原 125 の測定。</v>
      </c>
      <c r="K769" s="1" t="str">
        <f>IFERROR(__xludf.DUMMYFUNCTION("GOOGLETRANSLATE(G769,""EN"",""JA"")"),"CA-125測定")</f>
        <v>CA-125測定</v>
      </c>
    </row>
    <row r="770" ht="13.5" customHeight="1">
      <c r="A770" s="1" t="s">
        <v>11</v>
      </c>
      <c r="B770" s="1" t="s">
        <v>3890</v>
      </c>
      <c r="C770" s="1" t="s">
        <v>3891</v>
      </c>
      <c r="D770" s="1" t="s">
        <v>3892</v>
      </c>
      <c r="E770" s="1" t="s">
        <v>3893</v>
      </c>
      <c r="F770" s="1" t="s">
        <v>3894</v>
      </c>
      <c r="G770" s="1" t="s">
        <v>3895</v>
      </c>
      <c r="H770" s="1" t="str">
        <f>IFERROR(__xludf.DUMMYFUNCTION("GOOGLETRANSLATE(D770,""EN"",""JA"")"),"がん抗原15-3")</f>
        <v>がん抗原15-3</v>
      </c>
      <c r="I770" s="1" t="str">
        <f>IFERROR(__xludf.DUMMYFUNCTION("GOOGLETRANSLATE(E770,""EN"",""JA"")"),"がん抗原15-3; 炭水化物抗原15-3")</f>
        <v>がん抗原15-3; 炭水化物抗原15-3</v>
      </c>
      <c r="J770" s="1" t="str">
        <f>IFERROR(__xludf.DUMMYFUNCTION("GOOGLETRANSLATE(F770,""EN"",""JA"")"),"生物標本中の癌抗原 15-3 の測定。")</f>
        <v>生物標本中の癌抗原 15-3 の測定。</v>
      </c>
      <c r="K770" s="1" t="str">
        <f>IFERROR(__xludf.DUMMYFUNCTION("GOOGLETRANSLATE(G770,""EN"",""JA"")"),"がん抗原15-3測定")</f>
        <v>がん抗原15-3測定</v>
      </c>
    </row>
    <row r="771" ht="13.5" customHeight="1">
      <c r="A771" s="1" t="s">
        <v>11</v>
      </c>
      <c r="B771" s="1" t="s">
        <v>3896</v>
      </c>
      <c r="C771" s="1" t="s">
        <v>3897</v>
      </c>
      <c r="D771" s="1" t="s">
        <v>3898</v>
      </c>
      <c r="E771" s="1" t="s">
        <v>3899</v>
      </c>
      <c r="F771" s="1" t="s">
        <v>3900</v>
      </c>
      <c r="G771" s="1" t="s">
        <v>3901</v>
      </c>
      <c r="H771" s="1" t="str">
        <f>IFERROR(__xludf.DUMMYFUNCTION("GOOGLETRANSLATE(D771,""EN"",""JA"")"),"がん抗原19-9")</f>
        <v>がん抗原19-9</v>
      </c>
      <c r="I771" s="1" t="str">
        <f>IFERROR(__xludf.DUMMYFUNCTION("GOOGLETRANSLATE(E771,""EN"",""JA"")"),"がん抗原19-9; 炭水化物抗原19-9")</f>
        <v>がん抗原19-9; 炭水化物抗原19-9</v>
      </c>
      <c r="J771" s="1" t="str">
        <f>IFERROR(__xludf.DUMMYFUNCTION("GOOGLETRANSLATE(F771,""EN"",""JA"")"),"生物標本中の癌抗原 19-9 の測定。")</f>
        <v>生物標本中の癌抗原 19-9 の測定。</v>
      </c>
      <c r="K771" s="1" t="str">
        <f>IFERROR(__xludf.DUMMYFUNCTION("GOOGLETRANSLATE(G771,""EN"",""JA"")"),"がん抗原19-9の測定")</f>
        <v>がん抗原19-9の測定</v>
      </c>
    </row>
    <row r="772" ht="13.5" customHeight="1">
      <c r="A772" s="1" t="s">
        <v>11</v>
      </c>
      <c r="B772" s="1" t="s">
        <v>3902</v>
      </c>
      <c r="C772" s="1" t="s">
        <v>3903</v>
      </c>
      <c r="D772" s="1" t="s">
        <v>3904</v>
      </c>
      <c r="E772" s="1" t="s">
        <v>3904</v>
      </c>
      <c r="F772" s="1" t="s">
        <v>3905</v>
      </c>
      <c r="G772" s="1" t="s">
        <v>3906</v>
      </c>
      <c r="H772" s="1" t="str">
        <f>IFERROR(__xludf.DUMMYFUNCTION("GOOGLETRANSLATE(D772,""EN"",""JA"")"),"がん抗原1")</f>
        <v>がん抗原1</v>
      </c>
      <c r="I772" s="1" t="str">
        <f>IFERROR(__xludf.DUMMYFUNCTION("GOOGLETRANSLATE(E772,""EN"",""JA"")"),"がん抗原1")</f>
        <v>がん抗原1</v>
      </c>
      <c r="J772" s="1" t="str">
        <f>IFERROR(__xludf.DUMMYFUNCTION("GOOGLETRANSLATE(F772,""EN"",""JA"")"),"生物標本中の癌抗原1の測定。")</f>
        <v>生物標本中の癌抗原1の測定。</v>
      </c>
      <c r="K772" s="1" t="str">
        <f>IFERROR(__xludf.DUMMYFUNCTION("GOOGLETRANSLATE(G772,""EN"",""JA"")"),"がん抗原1の測定")</f>
        <v>がん抗原1の測定</v>
      </c>
    </row>
    <row r="773" ht="13.5" customHeight="1">
      <c r="A773" s="1" t="s">
        <v>11</v>
      </c>
      <c r="B773" s="1" t="s">
        <v>3907</v>
      </c>
      <c r="C773" s="1" t="s">
        <v>3908</v>
      </c>
      <c r="D773" s="1" t="s">
        <v>3909</v>
      </c>
      <c r="E773" s="1" t="s">
        <v>3910</v>
      </c>
      <c r="F773" s="1" t="s">
        <v>3911</v>
      </c>
      <c r="G773" s="1" t="s">
        <v>3912</v>
      </c>
      <c r="H773" s="1" t="str">
        <f>IFERROR(__xludf.DUMMYFUNCTION("GOOGLETRANSLATE(D773,""EN"",""JA"")"),"がん抗原242")</f>
        <v>がん抗原242</v>
      </c>
      <c r="I773" s="1" t="str">
        <f>IFERROR(__xludf.DUMMYFUNCTION("GOOGLETRANSLATE(E773,""EN"",""JA"")"),"がん抗原242; 炭水化物抗原242")</f>
        <v>がん抗原242; 炭水化物抗原242</v>
      </c>
      <c r="J773" s="1" t="str">
        <f>IFERROR(__xludf.DUMMYFUNCTION("GOOGLETRANSLATE(F773,""EN"",""JA"")"),"生物標本中の癌抗原 242 の測定。")</f>
        <v>生物標本中の癌抗原 242 の測定。</v>
      </c>
      <c r="K773" s="1" t="str">
        <f>IFERROR(__xludf.DUMMYFUNCTION("GOOGLETRANSLATE(G773,""EN"",""JA"")"),"がん抗原242の測定")</f>
        <v>がん抗原242の測定</v>
      </c>
    </row>
    <row r="774" ht="13.5" customHeight="1">
      <c r="A774" s="1" t="s">
        <v>11</v>
      </c>
      <c r="B774" s="1" t="s">
        <v>3913</v>
      </c>
      <c r="C774" s="1" t="s">
        <v>3914</v>
      </c>
      <c r="D774" s="1" t="s">
        <v>3915</v>
      </c>
      <c r="E774" s="1" t="s">
        <v>3915</v>
      </c>
      <c r="F774" s="1" t="s">
        <v>3916</v>
      </c>
      <c r="G774" s="1" t="s">
        <v>3917</v>
      </c>
      <c r="H774" s="1" t="str">
        <f>IFERROR(__xludf.DUMMYFUNCTION("GOOGLETRANSLATE(D774,""EN"",""JA"")"),"がん抗原27-29")</f>
        <v>がん抗原27-29</v>
      </c>
      <c r="I774" s="1" t="str">
        <f>IFERROR(__xludf.DUMMYFUNCTION("GOOGLETRANSLATE(E774,""EN"",""JA"")"),"がん抗原27-29")</f>
        <v>がん抗原27-29</v>
      </c>
      <c r="J774" s="1" t="str">
        <f>IFERROR(__xludf.DUMMYFUNCTION("GOOGLETRANSLATE(F774,""EN"",""JA"")"),"生物標本中の癌抗原27-29の測定。")</f>
        <v>生物標本中の癌抗原27-29の測定。</v>
      </c>
      <c r="K774" s="1" t="str">
        <f>IFERROR(__xludf.DUMMYFUNCTION("GOOGLETRANSLATE(G774,""EN"",""JA"")"),"がん抗原27-29の測定")</f>
        <v>がん抗原27-29の測定</v>
      </c>
    </row>
    <row r="775" ht="13.5" customHeight="1">
      <c r="A775" s="1" t="s">
        <v>11</v>
      </c>
      <c r="B775" s="1" t="s">
        <v>3918</v>
      </c>
      <c r="C775" s="1" t="s">
        <v>3919</v>
      </c>
      <c r="D775" s="1" t="s">
        <v>3920</v>
      </c>
      <c r="E775" s="1" t="s">
        <v>3921</v>
      </c>
      <c r="F775" s="1" t="s">
        <v>3922</v>
      </c>
      <c r="G775" s="1" t="s">
        <v>3923</v>
      </c>
      <c r="H775" s="1" t="str">
        <f>IFERROR(__xludf.DUMMYFUNCTION("GOOGLETRANSLATE(D775,""EN"",""JA"")"),"がん抗原50")</f>
        <v>がん抗原50</v>
      </c>
      <c r="I775" s="1" t="str">
        <f>IFERROR(__xludf.DUMMYFUNCTION("GOOGLETRANSLATE(E775,""EN"",""JA"")"),"CA50; 癌抗原50; 炭水化物抗原50")</f>
        <v>CA50; 癌抗原50; 炭水化物抗原50</v>
      </c>
      <c r="J775" s="1" t="str">
        <f>IFERROR(__xludf.DUMMYFUNCTION("GOOGLETRANSLATE(F775,""EN"",""JA"")"),"生物標本中の癌抗原50の測定。")</f>
        <v>生物標本中の癌抗原50の測定。</v>
      </c>
      <c r="K775" s="1" t="str">
        <f>IFERROR(__xludf.DUMMYFUNCTION("GOOGLETRANSLATE(G775,""EN"",""JA"")"),"がん抗原50の測定")</f>
        <v>がん抗原50の測定</v>
      </c>
    </row>
    <row r="776" ht="13.5" customHeight="1">
      <c r="A776" s="1" t="s">
        <v>11</v>
      </c>
      <c r="B776" s="1" t="s">
        <v>3924</v>
      </c>
      <c r="C776" s="1" t="s">
        <v>3925</v>
      </c>
      <c r="D776" s="1" t="s">
        <v>3926</v>
      </c>
      <c r="E776" s="1" t="s">
        <v>3927</v>
      </c>
      <c r="F776" s="1" t="s">
        <v>3928</v>
      </c>
      <c r="G776" s="1" t="s">
        <v>3929</v>
      </c>
      <c r="H776" s="1" t="str">
        <f>IFERROR(__xludf.DUMMYFUNCTION("GOOGLETRANSLATE(D776,""EN"",""JA"")"),"がん抗原72-4")</f>
        <v>がん抗原72-4</v>
      </c>
      <c r="I776" s="1" t="str">
        <f>IFERROR(__xludf.DUMMYFUNCTION("GOOGLETRANSLATE(E776,""EN"",""JA"")"),"CA 72-4; 癌抗原 72-4; 炭水化物抗原 72-4")</f>
        <v>CA 72-4; 癌抗原 72-4; 炭水化物抗原 72-4</v>
      </c>
      <c r="J776" s="1" t="str">
        <f>IFERROR(__xludf.DUMMYFUNCTION("GOOGLETRANSLATE(F776,""EN"",""JA"")"),"生物標本中の癌抗原 72-4 の測定。")</f>
        <v>生物標本中の癌抗原 72-4 の測定。</v>
      </c>
      <c r="K776" s="1" t="str">
        <f>IFERROR(__xludf.DUMMYFUNCTION("GOOGLETRANSLATE(G776,""EN"",""JA"")"),"がん抗原72-4の測定")</f>
        <v>がん抗原72-4の測定</v>
      </c>
    </row>
    <row r="777" ht="13.5" customHeight="1">
      <c r="A777" s="1" t="s">
        <v>160</v>
      </c>
      <c r="B777" s="1" t="s">
        <v>3930</v>
      </c>
      <c r="C777" s="1" t="s">
        <v>3931</v>
      </c>
      <c r="D777" s="1" t="s">
        <v>3932</v>
      </c>
      <c r="E777" s="1" t="s">
        <v>3932</v>
      </c>
      <c r="F777" s="1" t="s">
        <v>3933</v>
      </c>
      <c r="G777" s="1" t="s">
        <v>3932</v>
      </c>
      <c r="H777" s="1" t="str">
        <f>IFERROR(__xludf.DUMMYFUNCTION("GOOGLETRANSLATE(D777,""EN"",""JA"")"),"先天異常指標")</f>
        <v>先天異常指標</v>
      </c>
      <c r="I777" s="1" t="str">
        <f>IFERROR(__xludf.DUMMYFUNCTION("GOOGLETRANSLATE(E777,""EN"",""JA"")"),"先天異常指標")</f>
        <v>先天異常指標</v>
      </c>
      <c r="J777" s="1" t="str">
        <f>IFERROR(__xludf.DUMMYFUNCTION("GOOGLETRANSLATE(F777,""EN"",""JA"")"),"出生時または新生児期に何らかの異常があったかどうかを示します。")</f>
        <v>出生時または新生児期に何らかの異常があったかどうかを示します。</v>
      </c>
      <c r="K777" s="1" t="str">
        <f>IFERROR(__xludf.DUMMYFUNCTION("GOOGLETRANSLATE(G777,""EN"",""JA"")"),"先天異常指標")</f>
        <v>先天異常指標</v>
      </c>
    </row>
    <row r="778" ht="13.5" customHeight="1">
      <c r="A778" s="1" t="s">
        <v>11</v>
      </c>
      <c r="B778" s="1" t="s">
        <v>3934</v>
      </c>
      <c r="C778" s="1" t="s">
        <v>3935</v>
      </c>
      <c r="D778" s="1" t="s">
        <v>3936</v>
      </c>
      <c r="E778" s="1" t="s">
        <v>3936</v>
      </c>
      <c r="F778" s="1" t="s">
        <v>3937</v>
      </c>
      <c r="G778" s="1" t="s">
        <v>3938</v>
      </c>
      <c r="H778" s="1" t="str">
        <f>IFERROR(__xludf.DUMMYFUNCTION("GOOGLETRANSLATE(D778,""EN"",""JA"")"),"キャボットリング")</f>
        <v>キャボットリング</v>
      </c>
      <c r="I778" s="1" t="str">
        <f>IFERROR(__xludf.DUMMYFUNCTION("GOOGLETRANSLATE(E778,""EN"",""JA"")"),"キャボットリング")</f>
        <v>キャボットリング</v>
      </c>
      <c r="J778" s="1" t="str">
        <f>IFERROR(__xludf.DUMMYFUNCTION("GOOGLETRANSLATE(F778,""EN"",""JA"")"),"生物標本中の Cabot リング (赤血球内の赤紫色に染まった糸状、リング状、または 8 の字型のフィラメント) の測定。")</f>
        <v>生物標本中の Cabot リング (赤血球内の赤紫色に染まった糸状、リング状、または 8 の字型のフィラメント) の測定。</v>
      </c>
      <c r="K778" s="1" t="str">
        <f>IFERROR(__xludf.DUMMYFUNCTION("GOOGLETRANSLATE(G778,""EN"",""JA"")"),"キャボットリングカウント")</f>
        <v>キャボットリングカウント</v>
      </c>
    </row>
    <row r="779" ht="13.5" customHeight="1">
      <c r="A779" s="1" t="s">
        <v>11</v>
      </c>
      <c r="B779" s="1" t="s">
        <v>3939</v>
      </c>
      <c r="C779" s="1" t="s">
        <v>3940</v>
      </c>
      <c r="D779" s="1" t="s">
        <v>3941</v>
      </c>
      <c r="E779" s="1" t="s">
        <v>3941</v>
      </c>
      <c r="F779" s="1" t="s">
        <v>3942</v>
      </c>
      <c r="G779" s="1" t="s">
        <v>3943</v>
      </c>
      <c r="H779" s="1" t="str">
        <f>IFERROR(__xludf.DUMMYFUNCTION("GOOGLETRANSLATE(D779,""EN"",""JA"")"),"カルシウムクリアランス")</f>
        <v>カルシウムクリアランス</v>
      </c>
      <c r="I779" s="1" t="str">
        <f>IFERROR(__xludf.DUMMYFUNCTION("GOOGLETRANSLATE(E779,""EN"",""JA"")"),"カルシウムクリアランス")</f>
        <v>カルシウムクリアランス</v>
      </c>
      <c r="J779" s="1" t="str">
        <f>IFERROR(__xludf.DUMMYFUNCTION("GOOGLETRANSLATE(F779,""EN"",""JA"")"),"指定された時間単位（例：1 分）に尿として排出され、カルシウムが除去される血清または血漿の量の測定値。")</f>
        <v>指定された時間単位（例：1 分）に尿として排出され、カルシウムが除去される血清または血漿の量の測定値。</v>
      </c>
      <c r="K779" s="1" t="str">
        <f>IFERROR(__xludf.DUMMYFUNCTION("GOOGLETRANSLATE(G779,""EN"",""JA"")"),"カルシウムクリアランス測定")</f>
        <v>カルシウムクリアランス測定</v>
      </c>
    </row>
    <row r="780" ht="13.5" customHeight="1">
      <c r="A780" s="1" t="s">
        <v>11</v>
      </c>
      <c r="B780" s="1" t="s">
        <v>3944</v>
      </c>
      <c r="C780" s="1" t="s">
        <v>3945</v>
      </c>
      <c r="D780" s="1" t="s">
        <v>3946</v>
      </c>
      <c r="E780" s="1" t="s">
        <v>3946</v>
      </c>
      <c r="F780" s="1" t="s">
        <v>3947</v>
      </c>
      <c r="G780" s="1" t="s">
        <v>3948</v>
      </c>
      <c r="H780" s="1" t="str">
        <f>IFERROR(__xludf.DUMMYFUNCTION("GOOGLETRANSLATE(D780,""EN"",""JA"")"),"カルシウム補正")</f>
        <v>カルシウム補正</v>
      </c>
      <c r="I780" s="1" t="str">
        <f>IFERROR(__xludf.DUMMYFUNCTION("GOOGLETRANSLATE(E780,""EN"",""JA"")"),"カルシウム補正")</f>
        <v>カルシウム補正</v>
      </c>
      <c r="J780" s="1" t="str">
        <f>IFERROR(__xludf.DUMMYFUNCTION("GOOGLETRANSLATE(F780,""EN"",""JA"")"),"生物標本中の、特定されていないタンパク質を使用して補正されたカルシウムの測定値。")</f>
        <v>生物標本中の、特定されていないタンパク質を使用して補正されたカルシウムの測定値。</v>
      </c>
      <c r="K780" s="1" t="str">
        <f>IFERROR(__xludf.DUMMYFUNCTION("GOOGLETRANSLATE(G780,""EN"",""JA"")"),"カルシウム補正測定")</f>
        <v>カルシウム補正測定</v>
      </c>
    </row>
    <row r="781" ht="13.5" customHeight="1">
      <c r="A781" s="1" t="s">
        <v>11</v>
      </c>
      <c r="B781" s="1" t="s">
        <v>3949</v>
      </c>
      <c r="C781" s="1" t="s">
        <v>3950</v>
      </c>
      <c r="D781" s="1" t="s">
        <v>3951</v>
      </c>
      <c r="E781" s="1" t="s">
        <v>3951</v>
      </c>
      <c r="F781" s="1" t="s">
        <v>3952</v>
      </c>
      <c r="G781" s="1" t="s">
        <v>3953</v>
      </c>
      <c r="H781" s="1" t="str">
        <f>IFERROR(__xludf.DUMMYFUNCTION("GOOGLETRANSLATE(D781,""EN"",""JA"")"),"アルブミン補正カルシウム")</f>
        <v>アルブミン補正カルシウム</v>
      </c>
      <c r="I781" s="1" t="str">
        <f>IFERROR(__xludf.DUMMYFUNCTION("GOOGLETRANSLATE(E781,""EN"",""JA"")"),"アルブミン補正カルシウム")</f>
        <v>アルブミン補正カルシウム</v>
      </c>
      <c r="J781" s="1" t="str">
        <f>IFERROR(__xludf.DUMMYFUNCTION("GOOGLETRANSLATE(F781,""EN"",""JA"")"),"生物標本中のアルブミンを補正したカルシウムの測定値。")</f>
        <v>生物標本中のアルブミンを補正したカルシウムの測定値。</v>
      </c>
      <c r="K781" s="1" t="str">
        <f>IFERROR(__xludf.DUMMYFUNCTION("GOOGLETRANSLATE(G781,""EN"",""JA"")"),"アルブミン補正カルシウム測定")</f>
        <v>アルブミン補正カルシウム測定</v>
      </c>
    </row>
    <row r="782" ht="13.5" customHeight="1">
      <c r="A782" s="1" t="s">
        <v>11</v>
      </c>
      <c r="B782" s="1" t="s">
        <v>3954</v>
      </c>
      <c r="C782" s="1" t="s">
        <v>3955</v>
      </c>
      <c r="D782" s="1" t="s">
        <v>3956</v>
      </c>
      <c r="E782" s="1" t="s">
        <v>3956</v>
      </c>
      <c r="F782" s="1" t="s">
        <v>3957</v>
      </c>
      <c r="G782" s="1" t="s">
        <v>3958</v>
      </c>
      <c r="H782" s="1" t="str">
        <f>IFERROR(__xludf.DUMMYFUNCTION("GOOGLETRANSLATE(D782,""EN"",""JA"")"),"カルシウム/クレアチニン")</f>
        <v>カルシウム/クレアチニン</v>
      </c>
      <c r="I782" s="1" t="str">
        <f>IFERROR(__xludf.DUMMYFUNCTION("GOOGLETRANSLATE(E782,""EN"",""JA"")"),"カルシウム/クレアチニン")</f>
        <v>カルシウム/クレアチニン</v>
      </c>
      <c r="J782" s="1" t="str">
        <f>IFERROR(__xludf.DUMMYFUNCTION("GOOGLETRANSLATE(F782,""EN"",""JA"")"),"生物標本中のカルシウムとクレアチニンの相対的な測定値（比率またはパーセンテージ）。")</f>
        <v>生物標本中のカルシウムとクレアチニンの相対的な測定値（比率またはパーセンテージ）。</v>
      </c>
      <c r="K782" s="1" t="str">
        <f>IFERROR(__xludf.DUMMYFUNCTION("GOOGLETRANSLATE(G782,""EN"",""JA"")"),"カルシウムとクレアチニンの比の測定")</f>
        <v>カルシウムとクレアチニンの比の測定</v>
      </c>
    </row>
    <row r="783" ht="13.5" customHeight="1">
      <c r="A783" s="1" t="s">
        <v>11</v>
      </c>
      <c r="B783" s="1" t="s">
        <v>3959</v>
      </c>
      <c r="C783" s="1" t="s">
        <v>3960</v>
      </c>
      <c r="D783" s="1" t="s">
        <v>3961</v>
      </c>
      <c r="E783" s="1" t="s">
        <v>3961</v>
      </c>
      <c r="F783" s="1" t="s">
        <v>3962</v>
      </c>
      <c r="G783" s="1" t="s">
        <v>3963</v>
      </c>
      <c r="H783" s="1" t="str">
        <f>IFERROR(__xludf.DUMMYFUNCTION("GOOGLETRANSLATE(D783,""EN"",""JA"")"),"総タンパク質に対するカルシウム補正")</f>
        <v>総タンパク質に対するカルシウム補正</v>
      </c>
      <c r="I783" s="1" t="str">
        <f>IFERROR(__xludf.DUMMYFUNCTION("GOOGLETRANSLATE(E783,""EN"",""JA"")"),"総タンパク質に対するカルシウム補正")</f>
        <v>総タンパク質に対するカルシウム補正</v>
      </c>
      <c r="J783" s="1" t="str">
        <f>IFERROR(__xludf.DUMMYFUNCTION("GOOGLETRANSLATE(F783,""EN"",""JA"")"),"生物標本中の総タンパク質を補正したカルシウムの測定値。")</f>
        <v>生物標本中の総タンパク質を補正したカルシウムの測定値。</v>
      </c>
      <c r="K783" s="1" t="str">
        <f>IFERROR(__xludf.DUMMYFUNCTION("GOOGLETRANSLATE(G783,""EN"",""JA"")"),"総タンパク質測定におけるカルシウム補正")</f>
        <v>総タンパク質測定におけるカルシウム補正</v>
      </c>
    </row>
    <row r="784" ht="13.5" customHeight="1">
      <c r="A784" s="1" t="s">
        <v>11</v>
      </c>
      <c r="B784" s="1" t="s">
        <v>3964</v>
      </c>
      <c r="C784" s="1" t="s">
        <v>3965</v>
      </c>
      <c r="D784" s="1" t="s">
        <v>3966</v>
      </c>
      <c r="E784" s="1" t="s">
        <v>3966</v>
      </c>
      <c r="F784" s="1" t="s">
        <v>3967</v>
      </c>
      <c r="G784" s="1" t="s">
        <v>3968</v>
      </c>
      <c r="H784" s="1" t="str">
        <f>IFERROR(__xludf.DUMMYFUNCTION("GOOGLETRANSLATE(D784,""EN"",""JA"")"),"カドミウム")</f>
        <v>カドミウム</v>
      </c>
      <c r="I784" s="1" t="str">
        <f>IFERROR(__xludf.DUMMYFUNCTION("GOOGLETRANSLATE(E784,""EN"",""JA"")"),"カドミウム")</f>
        <v>カドミウム</v>
      </c>
      <c r="J784" s="1" t="str">
        <f>IFERROR(__xludf.DUMMYFUNCTION("GOOGLETRANSLATE(F784,""EN"",""JA"")"),"標本中のカドミウムの測定。")</f>
        <v>標本中のカドミウムの測定。</v>
      </c>
      <c r="K784" s="1" t="str">
        <f>IFERROR(__xludf.DUMMYFUNCTION("GOOGLETRANSLATE(G784,""EN"",""JA"")"),"カドミウム測定")</f>
        <v>カドミウム測定</v>
      </c>
    </row>
    <row r="785" ht="13.5" customHeight="1">
      <c r="A785" s="1" t="s">
        <v>11</v>
      </c>
      <c r="B785" s="1" t="s">
        <v>3969</v>
      </c>
      <c r="C785" s="1" t="s">
        <v>3970</v>
      </c>
      <c r="D785" s="1" t="s">
        <v>3971</v>
      </c>
      <c r="E785" s="1" t="s">
        <v>3972</v>
      </c>
      <c r="F785" s="1" t="s">
        <v>3973</v>
      </c>
      <c r="G785" s="1" t="s">
        <v>3974</v>
      </c>
      <c r="H785" s="1" t="str">
        <f>IFERROR(__xludf.DUMMYFUNCTION("GOOGLETRANSLATE(D785,""EN"",""JA"")"),"環状ADPリボース加水分解酵素1")</f>
        <v>環状ADPリボース加水分解酵素1</v>
      </c>
      <c r="I785" s="1" t="str">
        <f>IFERROR(__xludf.DUMMYFUNCTION("GOOGLETRANSLATE(E785,""EN"",""JA"")"),"ADP-リボシルシクラーゼ 1; ADP-リボシルシクラーゼ/環状 ADP-リボース加水分解酵素 1; ADPRC1; cADPr 加水分解酵素 1; 環状 ADP リボース加水分解酵素; 環状 ADP リボース加水分解酵素 1; 可溶性 CD38")</f>
        <v>ADP-リボシルシクラーゼ 1; ADP-リボシルシクラーゼ/環状 ADP-リボース加水分解酵素 1; ADPRC1; cADPr 加水分解酵素 1; 環状 ADP リボース加水分解酵素; 環状 ADP リボース加水分解酵素 1; 可溶性 CD38</v>
      </c>
      <c r="J785" s="1" t="str">
        <f>IFERROR(__xludf.DUMMYFUNCTION("GOOGLETRANSLATE(F785,""EN"",""JA"")"),"生物標本中の環状 ADP リボース加水分解酵素 1 タンパク質の測定。")</f>
        <v>生物標本中の環状 ADP リボース加水分解酵素 1 タンパク質の測定。</v>
      </c>
      <c r="K785" s="1" t="str">
        <f>IFERROR(__xludf.DUMMYFUNCTION("GOOGLETRANSLATE(G785,""EN"",""JA"")"),"環状ADPリボース加水分解酵素1の測定")</f>
        <v>環状ADPリボース加水分解酵素1の測定</v>
      </c>
    </row>
    <row r="786" ht="13.5" customHeight="1">
      <c r="A786" s="1" t="s">
        <v>90</v>
      </c>
      <c r="B786" s="1" t="s">
        <v>3975</v>
      </c>
      <c r="C786" s="1" t="s">
        <v>3976</v>
      </c>
      <c r="D786" s="1" t="s">
        <v>3977</v>
      </c>
      <c r="E786" s="1" t="s">
        <v>3977</v>
      </c>
      <c r="F786" s="1" t="s">
        <v>3978</v>
      </c>
      <c r="G786" s="1" t="s">
        <v>3977</v>
      </c>
      <c r="H786" s="1" t="str">
        <f>IFERROR(__xludf.DUMMYFUNCTION("GOOGLETRANSLATE(D786,""EN"",""JA"")"),"冠動脈疾患のプレゼンテーション")</f>
        <v>冠動脈疾患のプレゼンテーション</v>
      </c>
      <c r="I786" s="1" t="str">
        <f>IFERROR(__xludf.DUMMYFUNCTION("GOOGLETRANSLATE(E786,""EN"",""JA"")"),"冠動脈疾患のプレゼンテーション")</f>
        <v>冠動脈疾患のプレゼンテーション</v>
      </c>
      <c r="J786" s="1" t="str">
        <f>IFERROR(__xludf.DUMMYFUNCTION("GOOGLETRANSLATE(F786,""EN"",""JA"")"),"冠動脈疾患の症状および/または臨床症状の集積。")</f>
        <v>冠動脈疾患の症状および/または臨床症状の集積。</v>
      </c>
      <c r="K786" s="1" t="str">
        <f>IFERROR(__xludf.DUMMYFUNCTION("GOOGLETRANSLATE(G786,""EN"",""JA"")"),"冠動脈疾患のプレゼンテーション")</f>
        <v>冠動脈疾患のプレゼンテーション</v>
      </c>
    </row>
    <row r="787" ht="13.5" customHeight="1">
      <c r="A787" s="1" t="s">
        <v>90</v>
      </c>
      <c r="B787" s="1" t="s">
        <v>3979</v>
      </c>
      <c r="C787" s="1" t="s">
        <v>3980</v>
      </c>
      <c r="D787" s="1" t="s">
        <v>3981</v>
      </c>
      <c r="E787" s="1" t="s">
        <v>3981</v>
      </c>
      <c r="F787" s="1" t="s">
        <v>3982</v>
      </c>
      <c r="G787" s="1" t="s">
        <v>3981</v>
      </c>
      <c r="H787" s="1" t="str">
        <f>IFERROR(__xludf.DUMMYFUNCTION("GOOGLETRANSLATE(D787,""EN"",""JA"")"),"冠動脈疾患リスクカテゴリー")</f>
        <v>冠動脈疾患リスクカテゴリー</v>
      </c>
      <c r="I787" s="1" t="str">
        <f>IFERROR(__xludf.DUMMYFUNCTION("GOOGLETRANSLATE(E787,""EN"",""JA"")"),"冠動脈疾患リスクカテゴリー")</f>
        <v>冠動脈疾患リスクカテゴリー</v>
      </c>
      <c r="J787" s="1" t="str">
        <f>IFERROR(__xludf.DUMMYFUNCTION("GOOGLETRANSLATE(F787,""EN"",""JA"")"),"個人が冠動脈疾患を発症する可能性の分類。")</f>
        <v>個人が冠動脈疾患を発症する可能性の分類。</v>
      </c>
      <c r="K787" s="1" t="str">
        <f>IFERROR(__xludf.DUMMYFUNCTION("GOOGLETRANSLATE(G787,""EN"",""JA"")"),"冠動脈疾患リスクカテゴリー")</f>
        <v>冠動脈疾患リスクカテゴリー</v>
      </c>
    </row>
    <row r="788" ht="13.5" customHeight="1">
      <c r="A788" s="1" t="s">
        <v>90</v>
      </c>
      <c r="B788" s="1" t="s">
        <v>3983</v>
      </c>
      <c r="C788" s="1" t="s">
        <v>3984</v>
      </c>
      <c r="D788" s="1" t="s">
        <v>3985</v>
      </c>
      <c r="E788" s="1" t="s">
        <v>3985</v>
      </c>
      <c r="F788" s="1" t="s">
        <v>3986</v>
      </c>
      <c r="G788" s="1" t="s">
        <v>3985</v>
      </c>
      <c r="H788" s="1" t="str">
        <f>IFERROR(__xludf.DUMMYFUNCTION("GOOGLETRANSLATE(D788,""EN"",""JA"")"),"冠動脈疾患の症状")</f>
        <v>冠動脈疾患の症状</v>
      </c>
      <c r="I788" s="1" t="str">
        <f>IFERROR(__xludf.DUMMYFUNCTION("GOOGLETRANSLATE(E788,""EN"",""JA"")"),"冠動脈疾患の症状")</f>
        <v>冠動脈疾患の症状</v>
      </c>
      <c r="J788" s="1" t="str">
        <f>IFERROR(__xludf.DUMMYFUNCTION("GOOGLETRANSLATE(F788,""EN"",""JA"")"),"患者が認識する冠動脈疾患の主観的証拠。")</f>
        <v>患者が認識する冠動脈疾患の主観的証拠。</v>
      </c>
      <c r="K788" s="1" t="str">
        <f>IFERROR(__xludf.DUMMYFUNCTION("GOOGLETRANSLATE(G788,""EN"",""JA"")"),"冠動脈疾患の症状")</f>
        <v>冠動脈疾患の症状</v>
      </c>
    </row>
    <row r="789" ht="13.5" customHeight="1">
      <c r="A789" s="1" t="s">
        <v>11</v>
      </c>
      <c r="B789" s="1" t="s">
        <v>3987</v>
      </c>
      <c r="C789" s="1" t="s">
        <v>3988</v>
      </c>
      <c r="D789" s="1" t="s">
        <v>3989</v>
      </c>
      <c r="E789" s="1" t="s">
        <v>3989</v>
      </c>
      <c r="F789" s="1" t="s">
        <v>3990</v>
      </c>
      <c r="G789" s="1" t="s">
        <v>3989</v>
      </c>
      <c r="H789" s="1" t="str">
        <f>IFERROR(__xludf.DUMMYFUNCTION("GOOGLETRANSLATE(D789,""EN"",""JA"")"),"カルシウム排泄率")</f>
        <v>カルシウム排泄率</v>
      </c>
      <c r="I789" s="1" t="str">
        <f>IFERROR(__xludf.DUMMYFUNCTION("GOOGLETRANSLATE(E789,""EN"",""JA"")"),"カルシウム排泄率")</f>
        <v>カルシウム排泄率</v>
      </c>
      <c r="J789" s="1" t="str">
        <f>IFERROR(__xludf.DUMMYFUNCTION("GOOGLETRANSLATE(F789,""EN"",""JA"")"),"定義された期間（例：1 時間）にわたって生物標本から排出されるカルシウムの量を測定します。")</f>
        <v>定義された期間（例：1 時間）にわたって生物標本から排出されるカルシウムの量を測定します。</v>
      </c>
      <c r="K789" s="1" t="str">
        <f>IFERROR(__xludf.DUMMYFUNCTION("GOOGLETRANSLATE(G789,""EN"",""JA"")"),"カルシウム排泄率")</f>
        <v>カルシウム排泄率</v>
      </c>
    </row>
    <row r="790" ht="13.5" customHeight="1">
      <c r="A790" s="1" t="s">
        <v>11</v>
      </c>
      <c r="B790" s="1" t="s">
        <v>3991</v>
      </c>
      <c r="C790" s="1" t="s">
        <v>3992</v>
      </c>
      <c r="D790" s="1" t="s">
        <v>3993</v>
      </c>
      <c r="E790" s="1" t="s">
        <v>3993</v>
      </c>
      <c r="F790" s="1" t="s">
        <v>3994</v>
      </c>
      <c r="G790" s="1" t="s">
        <v>3995</v>
      </c>
      <c r="H790" s="1" t="str">
        <f>IFERROR(__xludf.DUMMYFUNCTION("GOOGLETRANSLATE(D790,""EN"",""JA"")"),"カフェイン")</f>
        <v>カフェイン</v>
      </c>
      <c r="I790" s="1" t="str">
        <f>IFERROR(__xludf.DUMMYFUNCTION("GOOGLETRANSLATE(E790,""EN"",""JA"")"),"カフェイン")</f>
        <v>カフェイン</v>
      </c>
      <c r="J790" s="1" t="str">
        <f>IFERROR(__xludf.DUMMYFUNCTION("GOOGLETRANSLATE(F790,""EN"",""JA"")"),"生物標本中のカフェインの測定。")</f>
        <v>生物標本中のカフェインの測定。</v>
      </c>
      <c r="K790" s="1" t="str">
        <f>IFERROR(__xludf.DUMMYFUNCTION("GOOGLETRANSLATE(G790,""EN"",""JA"")"),"カフェイン測定")</f>
        <v>カフェイン測定</v>
      </c>
    </row>
    <row r="791" ht="13.5" customHeight="1">
      <c r="A791" s="1" t="s">
        <v>397</v>
      </c>
      <c r="B791" s="1" t="s">
        <v>3996</v>
      </c>
      <c r="C791" s="1" t="s">
        <v>3997</v>
      </c>
      <c r="D791" s="1" t="s">
        <v>3998</v>
      </c>
      <c r="E791" s="1" t="s">
        <v>3998</v>
      </c>
      <c r="F791" s="1" t="s">
        <v>3999</v>
      </c>
      <c r="G791" s="1" t="s">
        <v>3998</v>
      </c>
      <c r="H791" s="1" t="str">
        <f>IFERROR(__xludf.DUMMYFUNCTION("GOOGLETRANSLATE(D791,""EN"",""JA"")"),"チャレンジエージェント名")</f>
        <v>チャレンジエージェント名</v>
      </c>
      <c r="I791" s="1" t="str">
        <f>IFERROR(__xludf.DUMMYFUNCTION("GOOGLETRANSLATE(E791,""EN"",""JA"")"),"チャレンジエージェント名")</f>
        <v>チャレンジエージェント名</v>
      </c>
      <c r="J791" s="1" t="str">
        <f>IFERROR(__xludf.DUMMYFUNCTION("GOOGLETRANSLATE(F791,""EN"",""JA"")"),"治験薬の薬理作用を評価する前に必要な生理学的反応を生じさせるために被験者に投与される非治験薬（NIMP）の名称。[勧告fの後")</f>
        <v>治験薬の薬理作用を評価する前に必要な生理学的反応を生じさせるために被験者に投与される非治験薬（NIMP）の名称。[勧告fの後</v>
      </c>
      <c r="K791" s="1" t="str">
        <f>IFERROR(__xludf.DUMMYFUNCTION("GOOGLETRANSLATE(G791,""EN"",""JA"")"),"チャレンジエージェント名")</f>
        <v>チャレンジエージェント名</v>
      </c>
    </row>
    <row r="792" ht="13.5" customHeight="1">
      <c r="A792" s="1" t="s">
        <v>11</v>
      </c>
      <c r="B792" s="1" t="s">
        <v>4000</v>
      </c>
      <c r="C792" s="1" t="s">
        <v>4001</v>
      </c>
      <c r="D792" s="1" t="s">
        <v>4002</v>
      </c>
      <c r="E792" s="1" t="s">
        <v>4002</v>
      </c>
      <c r="F792" s="1" t="s">
        <v>4003</v>
      </c>
      <c r="G792" s="1" t="s">
        <v>4004</v>
      </c>
      <c r="H792" s="1" t="str">
        <f>IFERROR(__xludf.DUMMYFUNCTION("GOOGLETRANSLATE(D792,""EN"",""JA"")"),"イオン化カルシウム")</f>
        <v>イオン化カルシウム</v>
      </c>
      <c r="I792" s="1" t="str">
        <f>IFERROR(__xludf.DUMMYFUNCTION("GOOGLETRANSLATE(E792,""EN"",""JA"")"),"イオン化カルシウム")</f>
        <v>イオン化カルシウム</v>
      </c>
      <c r="J792" s="1" t="str">
        <f>IFERROR(__xludf.DUMMYFUNCTION("GOOGLETRANSLATE(F792,""EN"",""JA"")"),"生物標本中のイオン化カルシウムの測定。")</f>
        <v>生物標本中のイオン化カルシウムの測定。</v>
      </c>
      <c r="K792" s="1" t="str">
        <f>IFERROR(__xludf.DUMMYFUNCTION("GOOGLETRANSLATE(G792,""EN"",""JA"")"),"イオン化カルシウム測定")</f>
        <v>イオン化カルシウム測定</v>
      </c>
    </row>
    <row r="793" ht="13.5" customHeight="1">
      <c r="A793" s="1" t="s">
        <v>11</v>
      </c>
      <c r="B793" s="1" t="s">
        <v>4005</v>
      </c>
      <c r="C793" s="1" t="s">
        <v>4006</v>
      </c>
      <c r="D793" s="1" t="s">
        <v>4007</v>
      </c>
      <c r="E793" s="1" t="s">
        <v>4007</v>
      </c>
      <c r="F793" s="1" t="s">
        <v>4008</v>
      </c>
      <c r="G793" s="1" t="s">
        <v>4009</v>
      </c>
      <c r="H793" s="1" t="str">
        <f>IFERROR(__xludf.DUMMYFUNCTION("GOOGLETRANSLATE(D793,""EN"",""JA"")"),"カルシウム、イオン化pH調整済み")</f>
        <v>カルシウム、イオン化pH調整済み</v>
      </c>
      <c r="I793" s="1" t="str">
        <f>IFERROR(__xludf.DUMMYFUNCTION("GOOGLETRANSLATE(E793,""EN"",""JA"")"),"カルシウム、イオン化pH調整済み")</f>
        <v>カルシウム、イオン化pH調整済み</v>
      </c>
      <c r="J793" s="1" t="str">
        <f>IFERROR(__xludf.DUMMYFUNCTION("GOOGLETRANSLATE(F793,""EN"",""JA"")"),"生物標本中の pH 調整されたイオン化カルシウムの測定。")</f>
        <v>生物標本中の pH 調整されたイオン化カルシウムの測定。</v>
      </c>
      <c r="K793" s="1" t="str">
        <f>IFERROR(__xludf.DUMMYFUNCTION("GOOGLETRANSLATE(G793,""EN"",""JA"")"),"イオン化pH調整カルシウム測定")</f>
        <v>イオン化pH調整カルシウム測定</v>
      </c>
    </row>
    <row r="794" ht="13.5" customHeight="1">
      <c r="A794" s="1" t="s">
        <v>67</v>
      </c>
      <c r="B794" s="1" t="s">
        <v>4010</v>
      </c>
      <c r="C794" s="1" t="s">
        <v>4011</v>
      </c>
      <c r="D794" s="1" t="s">
        <v>4012</v>
      </c>
      <c r="E794" s="1" t="s">
        <v>4013</v>
      </c>
      <c r="F794" s="1" t="s">
        <v>4014</v>
      </c>
      <c r="G794" s="1" t="s">
        <v>4015</v>
      </c>
      <c r="H794" s="1" t="str">
        <f>IFERROR(__xludf.DUMMYFUNCTION("GOOGLETRANSLATE(D794,""EN"",""JA"")"),"カンジダ・アルビカンス")</f>
        <v>カンジダ・アルビカンス</v>
      </c>
      <c r="I794" s="1" t="str">
        <f>IFERROR(__xludf.DUMMYFUNCTION("GOOGLETRANSLATE(E794,""EN"",""JA"")"),"カンジダ・アルビカンス; カンジダ・ステラトイデア")</f>
        <v>カンジダ・アルビカンス; カンジダ・ステラトイデア</v>
      </c>
      <c r="J794" s="1" t="str">
        <f>IFERROR(__xludf.DUMMYFUNCTION("GOOGLETRANSLATE(F794,""EN"",""JA"")"),"生物標本中のカンジダ・アルビカンスの測定。")</f>
        <v>生物標本中のカンジダ・アルビカンスの測定。</v>
      </c>
      <c r="K794" s="1" t="str">
        <f>IFERROR(__xludf.DUMMYFUNCTION("GOOGLETRANSLATE(G794,""EN"",""JA"")"),"カンジダ・アルビカンスの測定")</f>
        <v>カンジダ・アルビカンスの測定</v>
      </c>
    </row>
    <row r="795" ht="13.5" customHeight="1">
      <c r="A795" s="1" t="s">
        <v>11</v>
      </c>
      <c r="B795" s="1" t="s">
        <v>4016</v>
      </c>
      <c r="C795" s="1" t="s">
        <v>4017</v>
      </c>
      <c r="D795" s="1" t="s">
        <v>4018</v>
      </c>
      <c r="E795" s="1" t="s">
        <v>4018</v>
      </c>
      <c r="F795" s="1" t="s">
        <v>4019</v>
      </c>
      <c r="G795" s="1" t="s">
        <v>4020</v>
      </c>
      <c r="H795" s="1" t="str">
        <f>IFERROR(__xludf.DUMMYFUNCTION("GOOGLETRANSLATE(D795,""EN"",""JA"")"),"カルビンジン")</f>
        <v>カルビンジン</v>
      </c>
      <c r="I795" s="1" t="str">
        <f>IFERROR(__xludf.DUMMYFUNCTION("GOOGLETRANSLATE(E795,""EN"",""JA"")"),"カルビンジン")</f>
        <v>カルビンジン</v>
      </c>
      <c r="J795" s="1" t="str">
        <f>IFERROR(__xludf.DUMMYFUNCTION("GOOGLETRANSLATE(F795,""EN"",""JA"")"),"生物標本中のカルビンジンの総量の測定。")</f>
        <v>生物標本中のカルビンジンの総量の測定。</v>
      </c>
      <c r="K795" s="1" t="str">
        <f>IFERROR(__xludf.DUMMYFUNCTION("GOOGLETRANSLATE(G795,""EN"",""JA"")"),"カルビンジン測定")</f>
        <v>カルビンジン測定</v>
      </c>
    </row>
    <row r="796" ht="13.5" customHeight="1">
      <c r="A796" s="1" t="s">
        <v>233</v>
      </c>
      <c r="B796" s="1" t="s">
        <v>4021</v>
      </c>
      <c r="C796" s="1" t="s">
        <v>4022</v>
      </c>
      <c r="D796" s="1" t="s">
        <v>4023</v>
      </c>
      <c r="E796" s="1" t="s">
        <v>4023</v>
      </c>
      <c r="F796" s="1" t="s">
        <v>4024</v>
      </c>
      <c r="G796" s="1" t="s">
        <v>4023</v>
      </c>
      <c r="H796" s="1" t="str">
        <f>IFERROR(__xludf.DUMMYFUNCTION("GOOGLETRANSLATE(D796,""EN"",""JA"")"),"石灰化指標")</f>
        <v>石灰化指標</v>
      </c>
      <c r="I796" s="1" t="str">
        <f>IFERROR(__xludf.DUMMYFUNCTION("GOOGLETRANSLATE(E796,""EN"",""JA"")"),"石灰化指標")</f>
        <v>石灰化指標</v>
      </c>
      <c r="J796" s="1" t="str">
        <f>IFERROR(__xludf.DUMMYFUNCTION("GOOGLETRANSLATE(F796,""EN"",""JA"")"),"石灰化が存在するかどうかを示します。")</f>
        <v>石灰化が存在するかどうかを示します。</v>
      </c>
      <c r="K796" s="1" t="str">
        <f>IFERROR(__xludf.DUMMYFUNCTION("GOOGLETRANSLATE(G796,""EN"",""JA"")"),"石灰化指標")</f>
        <v>石灰化指標</v>
      </c>
    </row>
    <row r="797" ht="13.5" customHeight="1">
      <c r="A797" s="1" t="s">
        <v>67</v>
      </c>
      <c r="B797" s="1" t="s">
        <v>4025</v>
      </c>
      <c r="C797" s="1" t="s">
        <v>4026</v>
      </c>
      <c r="D797" s="1" t="s">
        <v>4027</v>
      </c>
      <c r="E797" s="1" t="s">
        <v>4027</v>
      </c>
      <c r="F797" s="1" t="s">
        <v>4028</v>
      </c>
      <c r="G797" s="1" t="s">
        <v>4029</v>
      </c>
      <c r="H797" s="1" t="str">
        <f>IFERROR(__xludf.DUMMYFUNCTION("GOOGLETRANSLATE(D797,""EN"",""JA"")"),"カンジダ・アルビカンスのDNA")</f>
        <v>カンジダ・アルビカンスのDNA</v>
      </c>
      <c r="I797" s="1" t="str">
        <f>IFERROR(__xludf.DUMMYFUNCTION("GOOGLETRANSLATE(E797,""EN"",""JA"")"),"カンジダ・アルビカンスのDNA")</f>
        <v>カンジダ・アルビカンスのDNA</v>
      </c>
      <c r="J797" s="1" t="str">
        <f>IFERROR(__xludf.DUMMYFUNCTION("GOOGLETRANSLATE(F797,""EN"",""JA"")"),"生物標本中のカンジダ・アルビカンス DNA の測定。")</f>
        <v>生物標本中のカンジダ・アルビカンス DNA の測定。</v>
      </c>
      <c r="K797" s="1" t="str">
        <f>IFERROR(__xludf.DUMMYFUNCTION("GOOGLETRANSLATE(G797,""EN"",""JA"")"),"カンジダ・アルビカンスのDNA測定")</f>
        <v>カンジダ・アルビカンスのDNA測定</v>
      </c>
    </row>
    <row r="798" ht="13.5" customHeight="1">
      <c r="A798" s="1" t="s">
        <v>129</v>
      </c>
      <c r="B798" s="1" t="s">
        <v>4030</v>
      </c>
      <c r="C798" s="1" t="s">
        <v>4031</v>
      </c>
      <c r="D798" s="1" t="s">
        <v>4032</v>
      </c>
      <c r="E798" s="1" t="s">
        <v>4032</v>
      </c>
      <c r="F798" s="1" t="s">
        <v>4033</v>
      </c>
      <c r="G798" s="1" t="s">
        <v>4032</v>
      </c>
      <c r="H798" s="1" t="str">
        <f>IFERROR(__xludf.DUMMYFUNCTION("GOOGLETRANSLATE(D798,""EN"",""JA"")"),"ふくらはぎの周囲")</f>
        <v>ふくらはぎの周囲</v>
      </c>
      <c r="I798" s="1" t="str">
        <f>IFERROR(__xludf.DUMMYFUNCTION("GOOGLETRANSLATE(E798,""EN"",""JA"")"),"ふくらはぎの周囲")</f>
        <v>ふくらはぎの周囲</v>
      </c>
      <c r="J798" s="1" t="str">
        <f>IFERROR(__xludf.DUMMYFUNCTION("GOOGLETRANSLATE(F798,""EN"",""JA"")"),"ふくらはぎの最も広い部分における下腿の周囲寸法。")</f>
        <v>ふくらはぎの最も広い部分における下腿の周囲寸法。</v>
      </c>
      <c r="K798" s="1" t="str">
        <f>IFERROR(__xludf.DUMMYFUNCTION("GOOGLETRANSLATE(G798,""EN"",""JA"")"),"ふくらはぎの周囲")</f>
        <v>ふくらはぎの周囲</v>
      </c>
    </row>
    <row r="799" ht="13.5" customHeight="1">
      <c r="A799" s="1" t="s">
        <v>11</v>
      </c>
      <c r="B799" s="1" t="s">
        <v>4034</v>
      </c>
      <c r="C799" s="1" t="s">
        <v>4035</v>
      </c>
      <c r="D799" s="1" t="s">
        <v>4036</v>
      </c>
      <c r="E799" s="1" t="s">
        <v>4036</v>
      </c>
      <c r="F799" s="1" t="s">
        <v>4037</v>
      </c>
      <c r="G799" s="1" t="s">
        <v>4038</v>
      </c>
      <c r="H799" s="1" t="str">
        <f>IFERROR(__xludf.DUMMYFUNCTION("GOOGLETRANSLATE(D799,""EN"",""JA"")"),"カルプロテクチン")</f>
        <v>カルプロテクチン</v>
      </c>
      <c r="I799" s="1" t="str">
        <f>IFERROR(__xludf.DUMMYFUNCTION("GOOGLETRANSLATE(E799,""EN"",""JA"")"),"カルプロテクチン")</f>
        <v>カルプロテクチン</v>
      </c>
      <c r="J799" s="1" t="str">
        <f>IFERROR(__xludf.DUMMYFUNCTION("GOOGLETRANSLATE(F799,""EN"",""JA"")"),"生物標本中のカルプロテクチンの測定。")</f>
        <v>生物標本中のカルプロテクチンの測定。</v>
      </c>
      <c r="K799" s="1" t="str">
        <f>IFERROR(__xludf.DUMMYFUNCTION("GOOGLETRANSLATE(G799,""EN"",""JA"")"),"カルプロテクチン測定")</f>
        <v>カルプロテクチン測定</v>
      </c>
    </row>
    <row r="800" ht="13.5" customHeight="1">
      <c r="A800" s="1" t="s">
        <v>67</v>
      </c>
      <c r="B800" s="1" t="s">
        <v>4039</v>
      </c>
      <c r="C800" s="1" t="s">
        <v>4040</v>
      </c>
      <c r="D800" s="1" t="s">
        <v>4041</v>
      </c>
      <c r="E800" s="1" t="s">
        <v>4041</v>
      </c>
      <c r="F800" s="1" t="s">
        <v>4042</v>
      </c>
      <c r="G800" s="1" t="s">
        <v>4043</v>
      </c>
      <c r="H800" s="1" t="str">
        <f>IFERROR(__xludf.DUMMYFUNCTION("GOOGLETRANSLATE(D800,""EN"",""JA"")"),"コリネバクテリウム・アミコラタム")</f>
        <v>コリネバクテリウム・アミコラタム</v>
      </c>
      <c r="I800" s="1" t="str">
        <f>IFERROR(__xludf.DUMMYFUNCTION("GOOGLETRANSLATE(E800,""EN"",""JA"")"),"コリネバクテリウム・アミコラタム")</f>
        <v>コリネバクテリウム・アミコラタム</v>
      </c>
      <c r="J800" s="1" t="str">
        <f>IFERROR(__xludf.DUMMYFUNCTION("GOOGLETRANSLATE(F800,""EN"",""JA"")"),"生物標本中の Corynebacterium amycolatum の測定。")</f>
        <v>生物標本中の Corynebacterium amycolatum の測定。</v>
      </c>
      <c r="K800" s="1" t="str">
        <f>IFERROR(__xludf.DUMMYFUNCTION("GOOGLETRANSLATE(G800,""EN"",""JA"")"),"コリネバクテリウム・アミコラタム測定")</f>
        <v>コリネバクテリウム・アミコラタム測定</v>
      </c>
    </row>
    <row r="801" ht="13.5" customHeight="1">
      <c r="A801" s="1" t="s">
        <v>11</v>
      </c>
      <c r="B801" s="1" t="s">
        <v>4044</v>
      </c>
      <c r="C801" s="1" t="s">
        <v>4045</v>
      </c>
      <c r="D801" s="1" t="s">
        <v>4046</v>
      </c>
      <c r="E801" s="1" t="s">
        <v>4046</v>
      </c>
      <c r="F801" s="1" t="s">
        <v>4047</v>
      </c>
      <c r="G801" s="1" t="s">
        <v>4048</v>
      </c>
      <c r="H801" s="1" t="str">
        <f>IFERROR(__xludf.DUMMYFUNCTION("GOOGLETRANSLATE(D801,""EN"",""JA"")"),"環状アデノシン3,5-モノリン酸")</f>
        <v>環状アデノシン3,5-モノリン酸</v>
      </c>
      <c r="I801" s="1" t="str">
        <f>IFERROR(__xludf.DUMMYFUNCTION("GOOGLETRANSLATE(E801,""EN"",""JA"")"),"環状アデノシン3,5-モノリン酸")</f>
        <v>環状アデノシン3,5-モノリン酸</v>
      </c>
      <c r="J801" s="1" t="str">
        <f>IFERROR(__xludf.DUMMYFUNCTION("GOOGLETRANSLATE(F801,""EN"",""JA"")"),"生物標本中の環状アデノシン 3,5-一リン酸の測定。")</f>
        <v>生物標本中の環状アデノシン 3,5-一リン酸の測定。</v>
      </c>
      <c r="K801" s="1" t="str">
        <f>IFERROR(__xludf.DUMMYFUNCTION("GOOGLETRANSLATE(G801,""EN"",""JA"")"),"環状アデノシン3,5-モノリン酸測定")</f>
        <v>環状アデノシン3,5-モノリン酸測定</v>
      </c>
    </row>
    <row r="802" ht="13.5" customHeight="1">
      <c r="A802" s="1" t="s">
        <v>11</v>
      </c>
      <c r="B802" s="1" t="s">
        <v>4049</v>
      </c>
      <c r="C802" s="1" t="s">
        <v>4050</v>
      </c>
      <c r="D802" s="1" t="s">
        <v>4051</v>
      </c>
      <c r="E802" s="1" t="s">
        <v>4052</v>
      </c>
      <c r="F802" s="1" t="s">
        <v>4053</v>
      </c>
      <c r="G802" s="1" t="s">
        <v>4054</v>
      </c>
      <c r="H802" s="1" t="str">
        <f>IFERROR(__xludf.DUMMYFUNCTION("GOOGLETRANSLATE(D802,""EN"",""JA"")"),"環状アデノシン一リン酸/クレアチン")</f>
        <v>環状アデノシン一リン酸/クレアチン</v>
      </c>
      <c r="I802" s="1" t="str">
        <f>IFERROR(__xludf.DUMMYFUNCTION("GOOGLETRANSLATE(E802,""EN"",""JA"")"),"環状アデノシン3,5-一リン酸/クレアチニン; 環状アデノシン一リン酸/クレアチニン; 環状アデノシン一リン酸/クレアチニン")</f>
        <v>環状アデノシン3,5-一リン酸/クレアチニン; 環状アデノシン一リン酸/クレアチニン; 環状アデノシン一リン酸/クレアチニン</v>
      </c>
      <c r="J802" s="1" t="str">
        <f>IFERROR(__xludf.DUMMYFUNCTION("GOOGLETRANSLATE(F802,""EN"",""JA"")"),"生物標本中の環状アデノシン 3,5-一リン酸とクレアチニンの相対測定値（比率）。")</f>
        <v>生物標本中の環状アデノシン 3,5-一リン酸とクレアチニンの相対測定値（比率）。</v>
      </c>
      <c r="K802" s="1" t="str">
        <f>IFERROR(__xludf.DUMMYFUNCTION("GOOGLETRANSLATE(G802,""EN"",""JA"")"),"環状アデノシン3,5-リン酸とクレアチニンの比測定")</f>
        <v>環状アデノシン3,5-リン酸とクレアチニンの比測定</v>
      </c>
    </row>
    <row r="803" ht="13.5" customHeight="1">
      <c r="A803" s="1" t="s">
        <v>67</v>
      </c>
      <c r="B803" s="1" t="s">
        <v>4055</v>
      </c>
      <c r="C803" s="1" t="s">
        <v>4056</v>
      </c>
      <c r="D803" s="1" t="s">
        <v>4057</v>
      </c>
      <c r="E803" s="1" t="s">
        <v>4057</v>
      </c>
      <c r="F803" s="1" t="s">
        <v>4058</v>
      </c>
      <c r="G803" s="1" t="s">
        <v>4059</v>
      </c>
      <c r="H803" s="1" t="str">
        <f>IFERROR(__xludf.DUMMYFUNCTION("GOOGLETRANSLATE(D803,""EN"",""JA"")"),"カンピロバクターDNA")</f>
        <v>カンピロバクターDNA</v>
      </c>
      <c r="I803" s="1" t="str">
        <f>IFERROR(__xludf.DUMMYFUNCTION("GOOGLETRANSLATE(E803,""EN"",""JA"")"),"カンピロバクターDNA")</f>
        <v>カンピロバクターDNA</v>
      </c>
      <c r="J803" s="1" t="str">
        <f>IFERROR(__xludf.DUMMYFUNCTION("GOOGLETRANSLATE(F803,""EN"",""JA"")"),"生物標本中のカンピロバクター属の任意の菌の DNA の測定。")</f>
        <v>生物標本中のカンピロバクター属の任意の菌の DNA の測定。</v>
      </c>
      <c r="K803" s="1" t="str">
        <f>IFERROR(__xludf.DUMMYFUNCTION("GOOGLETRANSLATE(G803,""EN"",""JA"")"),"カンピロバクターDNA測定")</f>
        <v>カンピロバクターDNA測定</v>
      </c>
    </row>
    <row r="804" ht="13.5" customHeight="1">
      <c r="A804" s="1" t="s">
        <v>67</v>
      </c>
      <c r="B804" s="1" t="s">
        <v>4060</v>
      </c>
      <c r="C804" s="1" t="s">
        <v>4061</v>
      </c>
      <c r="D804" s="1" t="s">
        <v>4062</v>
      </c>
      <c r="E804" s="1" t="s">
        <v>4062</v>
      </c>
      <c r="F804" s="1" t="s">
        <v>4063</v>
      </c>
      <c r="G804" s="1" t="s">
        <v>4064</v>
      </c>
      <c r="H804" s="1" t="str">
        <f>IFERROR(__xludf.DUMMYFUNCTION("GOOGLETRANSLATE(D804,""EN"",""JA"")"),"カンピロバクター")</f>
        <v>カンピロバクター</v>
      </c>
      <c r="I804" s="1" t="str">
        <f>IFERROR(__xludf.DUMMYFUNCTION("GOOGLETRANSLATE(E804,""EN"",""JA"")"),"カンピロバクター")</f>
        <v>カンピロバクター</v>
      </c>
      <c r="J804" s="1" t="str">
        <f>IFERROR(__xludf.DUMMYFUNCTION("GOOGLETRANSLATE(F804,""EN"",""JA"")"),"生物標本において、種レベルには割り当てられていないが、カンピロバクター属レベルに割り当てられている生物の測定値。")</f>
        <v>生物標本において、種レベルには割り当てられていないが、カンピロバクター属レベルに割り当てられている生物の測定値。</v>
      </c>
      <c r="K804" s="1" t="str">
        <f>IFERROR(__xludf.DUMMYFUNCTION("GOOGLETRANSLATE(G804,""EN"",""JA"")"),"カンピロバクター測定")</f>
        <v>カンピロバクター測定</v>
      </c>
    </row>
    <row r="805" ht="13.5" customHeight="1">
      <c r="A805" s="1" t="s">
        <v>11</v>
      </c>
      <c r="B805" s="1" t="s">
        <v>4065</v>
      </c>
      <c r="C805" s="1" t="s">
        <v>4066</v>
      </c>
      <c r="D805" s="1" t="s">
        <v>4067</v>
      </c>
      <c r="E805" s="1" t="s">
        <v>4067</v>
      </c>
      <c r="F805" s="1" t="s">
        <v>4068</v>
      </c>
      <c r="G805" s="1" t="s">
        <v>4069</v>
      </c>
      <c r="H805" s="1" t="str">
        <f>IFERROR(__xludf.DUMMYFUNCTION("GOOGLETRANSLATE(D805,""EN"",""JA"")"),"窒素吸収係数")</f>
        <v>窒素吸収係数</v>
      </c>
      <c r="I805" s="1" t="str">
        <f>IFERROR(__xludf.DUMMYFUNCTION("GOOGLETRANSLATE(E805,""EN"",""JA"")"),"窒素吸収係数")</f>
        <v>窒素吸収係数</v>
      </c>
      <c r="J805" s="1" t="str">
        <f>IFERROR(__xludf.DUMMYFUNCTION("GOOGLETRANSLATE(F805,""EN"",""JA"")"),"生物標本中の窒素吸収係数の測定。")</f>
        <v>生物標本中の窒素吸収係数の測定。</v>
      </c>
      <c r="K805" s="1" t="str">
        <f>IFERROR(__xludf.DUMMYFUNCTION("GOOGLETRANSLATE(G805,""EN"",""JA"")"),"窒素吸収係数測定")</f>
        <v>窒素吸収係数測定</v>
      </c>
    </row>
    <row r="806" ht="13.5" customHeight="1">
      <c r="A806" s="1" t="s">
        <v>67</v>
      </c>
      <c r="B806" s="1" t="s">
        <v>4070</v>
      </c>
      <c r="C806" s="1" t="s">
        <v>4071</v>
      </c>
      <c r="D806" s="1" t="s">
        <v>4072</v>
      </c>
      <c r="E806" s="1" t="s">
        <v>4072</v>
      </c>
      <c r="F806" s="1" t="s">
        <v>4073</v>
      </c>
      <c r="G806" s="1" t="s">
        <v>4074</v>
      </c>
      <c r="H806" s="1" t="str">
        <f>IFERROR(__xludf.DUMMYFUNCTION("GOOGLETRANSLATE(D806,""EN"",""JA"")"),"カンジダ抗原")</f>
        <v>カンジダ抗原</v>
      </c>
      <c r="I806" s="1" t="str">
        <f>IFERROR(__xludf.DUMMYFUNCTION("GOOGLETRANSLATE(E806,""EN"",""JA"")"),"カンジダ抗原")</f>
        <v>カンジダ抗原</v>
      </c>
      <c r="J806" s="1" t="str">
        <f>IFERROR(__xludf.DUMMYFUNCTION("GOOGLETRANSLATE(F806,""EN"",""JA"")"),"生物標本中のカンジダ属の任意の菌の抗原の測定。")</f>
        <v>生物標本中のカンジダ属の任意の菌の抗原の測定。</v>
      </c>
      <c r="K806" s="1" t="str">
        <f>IFERROR(__xludf.DUMMYFUNCTION("GOOGLETRANSLATE(G806,""EN"",""JA"")"),"カンジダ抗原測定")</f>
        <v>カンジダ抗原測定</v>
      </c>
    </row>
    <row r="807" ht="13.5" customHeight="1">
      <c r="A807" s="1" t="s">
        <v>67</v>
      </c>
      <c r="B807" s="1" t="s">
        <v>4075</v>
      </c>
      <c r="C807" s="1" t="s">
        <v>4076</v>
      </c>
      <c r="D807" s="1" t="s">
        <v>4077</v>
      </c>
      <c r="E807" s="1" t="s">
        <v>4077</v>
      </c>
      <c r="F807" s="1" t="s">
        <v>4078</v>
      </c>
      <c r="G807" s="1" t="s">
        <v>4079</v>
      </c>
      <c r="H807" s="1" t="str">
        <f>IFERROR(__xludf.DUMMYFUNCTION("GOOGLETRANSLATE(D807,""EN"",""JA"")"),"カンジダ")</f>
        <v>カンジダ</v>
      </c>
      <c r="I807" s="1" t="str">
        <f>IFERROR(__xludf.DUMMYFUNCTION("GOOGLETRANSLATE(E807,""EN"",""JA"")"),"カンジダ")</f>
        <v>カンジダ</v>
      </c>
      <c r="J807" s="1" t="str">
        <f>IFERROR(__xludf.DUMMYFUNCTION("GOOGLETRANSLATE(F807,""EN"",""JA"")"),"生物標本において、種レベルには割り当てられていないが、カンジダ属レベルに割り当てられている生物の測定値。")</f>
        <v>生物標本において、種レベルには割り当てられていないが、カンジダ属レベルに割り当てられている生物の測定値。</v>
      </c>
      <c r="K807" s="1" t="str">
        <f>IFERROR(__xludf.DUMMYFUNCTION("GOOGLETRANSLATE(G807,""EN"",""JA"")"),"カンジダ測定")</f>
        <v>カンジダ測定</v>
      </c>
    </row>
    <row r="808" ht="13.5" customHeight="1">
      <c r="A808" s="1" t="s">
        <v>11</v>
      </c>
      <c r="B808" s="1" t="s">
        <v>4080</v>
      </c>
      <c r="C808" s="1" t="s">
        <v>4081</v>
      </c>
      <c r="D808" s="1" t="s">
        <v>4082</v>
      </c>
      <c r="E808" s="1" t="s">
        <v>4082</v>
      </c>
      <c r="F808" s="1" t="s">
        <v>4083</v>
      </c>
      <c r="G808" s="1" t="s">
        <v>4084</v>
      </c>
      <c r="H808" s="1" t="str">
        <f>IFERROR(__xludf.DUMMYFUNCTION("GOOGLETRANSLATE(D808,""EN"",""JA"")"),"カンナビノイド")</f>
        <v>カンナビノイド</v>
      </c>
      <c r="I808" s="1" t="str">
        <f>IFERROR(__xludf.DUMMYFUNCTION("GOOGLETRANSLATE(E808,""EN"",""JA"")"),"カンナビノイド")</f>
        <v>カンナビノイド</v>
      </c>
      <c r="J808" s="1" t="str">
        <f>IFERROR(__xludf.DUMMYFUNCTION("GOOGLETRANSLATE(F808,""EN"",""JA"")"),"生物学的標本中に存在するカンナビノイドクラスの薬物の測定。")</f>
        <v>生物学的標本中に存在するカンナビノイドクラスの薬物の測定。</v>
      </c>
      <c r="K808" s="1" t="str">
        <f>IFERROR(__xludf.DUMMYFUNCTION("GOOGLETRANSLATE(G808,""EN"",""JA"")"),"カンナビノイド薬物クラスの測定")</f>
        <v>カンナビノイド薬物クラスの測定</v>
      </c>
    </row>
    <row r="809" ht="13.5" customHeight="1">
      <c r="A809" s="1" t="s">
        <v>11</v>
      </c>
      <c r="B809" s="1" t="s">
        <v>4085</v>
      </c>
      <c r="C809" s="1" t="s">
        <v>4086</v>
      </c>
      <c r="D809" s="1" t="s">
        <v>4087</v>
      </c>
      <c r="E809" s="1" t="s">
        <v>4088</v>
      </c>
      <c r="F809" s="1" t="s">
        <v>4089</v>
      </c>
      <c r="G809" s="1" t="s">
        <v>4090</v>
      </c>
      <c r="H809" s="1" t="str">
        <f>IFERROR(__xludf.DUMMYFUNCTION("GOOGLETRANSLATE(D809,""EN"",""JA"")"),"カンナビノイド代謝物")</f>
        <v>カンナビノイド代謝物</v>
      </c>
      <c r="I809" s="1" t="str">
        <f>IFERROR(__xludf.DUMMYFUNCTION("GOOGLETRANSLATE(E809,""EN"",""JA"")"),"カンナビノイド代謝物、大麻代謝物、マリファナ代謝物")</f>
        <v>カンナビノイド代謝物、大麻代謝物、マリファナ代謝物</v>
      </c>
      <c r="J809" s="1" t="str">
        <f>IFERROR(__xludf.DUMMYFUNCTION("GOOGLETRANSLATE(F809,""EN"",""JA"")"),"生物学的標本中に存在するカンナビノイド薬物クラスの代謝物の測定。")</f>
        <v>生物学的標本中に存在するカンナビノイド薬物クラスの代謝物の測定。</v>
      </c>
      <c r="K809" s="1" t="str">
        <f>IFERROR(__xludf.DUMMYFUNCTION("GOOGLETRANSLATE(G809,""EN"",""JA"")"),"カンナビノイド代謝物の測定")</f>
        <v>カンナビノイド代謝物の測定</v>
      </c>
    </row>
    <row r="810" ht="13.5" customHeight="1">
      <c r="A810" s="1" t="s">
        <v>11</v>
      </c>
      <c r="B810" s="1" t="s">
        <v>4091</v>
      </c>
      <c r="C810" s="1" t="s">
        <v>4092</v>
      </c>
      <c r="D810" s="1" t="s">
        <v>4093</v>
      </c>
      <c r="E810" s="1" t="s">
        <v>4093</v>
      </c>
      <c r="F810" s="1" t="s">
        <v>4094</v>
      </c>
      <c r="G810" s="1" t="s">
        <v>4095</v>
      </c>
      <c r="H810" s="1" t="str">
        <f>IFERROR(__xludf.DUMMYFUNCTION("GOOGLETRANSLATE(D810,""EN"",""JA"")"),"合成カンナビノイド")</f>
        <v>合成カンナビノイド</v>
      </c>
      <c r="I810" s="1" t="str">
        <f>IFERROR(__xludf.DUMMYFUNCTION("GOOGLETRANSLATE(E810,""EN"",""JA"")"),"合成カンナビノイド")</f>
        <v>合成カンナビノイド</v>
      </c>
      <c r="J810" s="1" t="str">
        <f>IFERROR(__xludf.DUMMYFUNCTION("GOOGLETRANSLATE(F810,""EN"",""JA"")"),"生物学的標本中に存在する合成カンナビノイドクラスの薬物の測定。")</f>
        <v>生物学的標本中に存在する合成カンナビノイドクラスの薬物の測定。</v>
      </c>
      <c r="K810" s="1" t="str">
        <f>IFERROR(__xludf.DUMMYFUNCTION("GOOGLETRANSLATE(G810,""EN"",""JA"")"),"合成カンナビノイド測定")</f>
        <v>合成カンナビノイド測定</v>
      </c>
    </row>
    <row r="811" ht="13.5" customHeight="1">
      <c r="A811" s="1" t="s">
        <v>90</v>
      </c>
      <c r="B811" s="1" t="s">
        <v>4096</v>
      </c>
      <c r="C811" s="1" t="s">
        <v>4097</v>
      </c>
      <c r="D811" s="1" t="s">
        <v>4098</v>
      </c>
      <c r="E811" s="1" t="s">
        <v>4098</v>
      </c>
      <c r="F811" s="1" t="s">
        <v>4099</v>
      </c>
      <c r="G811" s="1" t="s">
        <v>4100</v>
      </c>
      <c r="H811" s="1" t="str">
        <f>IFERROR(__xludf.DUMMYFUNCTION("GOOGLETRANSLATE(D811,""EN"",""JA"")"),"冠動脈無再灌流指標")</f>
        <v>冠動脈無再灌流指標</v>
      </c>
      <c r="I811" s="1" t="str">
        <f>IFERROR(__xludf.DUMMYFUNCTION("GOOGLETRANSLATE(E811,""EN"",""JA"")"),"冠動脈無再灌流指標")</f>
        <v>冠動脈無再灌流指標</v>
      </c>
      <c r="J811" s="1" t="str">
        <f>IFERROR(__xludf.DUMMYFUNCTION("GOOGLETRANSLATE(F811,""EN"",""JA"")"),"元の PCI 病変部位に解離、血栓、痙攣、または高度の残存狭窄がない場合に、冠血流の新たな急性減少 (TIMI グレード 0 ～ 1) があるかどうかを示します。")</f>
        <v>元の PCI 病変部位に解離、血栓、痙攣、または高度の残存狭窄がない場合に、冠血流の新たな急性減少 (TIMI グレード 0 ～ 1) があるかどうかを示します。</v>
      </c>
      <c r="K811" s="1" t="str">
        <f>IFERROR(__xludf.DUMMYFUNCTION("GOOGLETRANSLATE(G811,""EN"",""JA"")"),"PCI部位における冠動脈再灌流なしインジケーター")</f>
        <v>PCI部位における冠動脈再灌流なしインジケーター</v>
      </c>
    </row>
    <row r="812" ht="13.5" customHeight="1">
      <c r="A812" s="1" t="s">
        <v>11</v>
      </c>
      <c r="B812" s="1" t="s">
        <v>4101</v>
      </c>
      <c r="C812" s="1" t="s">
        <v>4102</v>
      </c>
      <c r="D812" s="1" t="s">
        <v>4103</v>
      </c>
      <c r="E812" s="1" t="s">
        <v>4103</v>
      </c>
      <c r="F812" s="1" t="s">
        <v>4104</v>
      </c>
      <c r="G812" s="1" t="s">
        <v>4103</v>
      </c>
      <c r="H812" s="1" t="str">
        <f>IFERROR(__xludf.DUMMYFUNCTION("GOOGLETRANSLATE(D812,""EN"",""JA"")"),"シュウ酸カルシウム排泄率")</f>
        <v>シュウ酸カルシウム排泄率</v>
      </c>
      <c r="I812" s="1" t="str">
        <f>IFERROR(__xludf.DUMMYFUNCTION("GOOGLETRANSLATE(E812,""EN"",""JA"")"),"シュウ酸カルシウム排泄率")</f>
        <v>シュウ酸カルシウム排泄率</v>
      </c>
      <c r="J812" s="1" t="str">
        <f>IFERROR(__xludf.DUMMYFUNCTION("GOOGLETRANSLATE(F812,""EN"",""JA"")"),"定義された時間（例：1 時間）にわたって生物標本中に排出されるシュウ酸カルシウムの量を測定します。")</f>
        <v>定義された時間（例：1 時間）にわたって生物標本中に排出されるシュウ酸カルシウムの量を測定します。</v>
      </c>
      <c r="K812" s="1" t="str">
        <f>IFERROR(__xludf.DUMMYFUNCTION("GOOGLETRANSLATE(G812,""EN"",""JA"")"),"シュウ酸カルシウム排泄率")</f>
        <v>シュウ酸カルシウム排泄率</v>
      </c>
    </row>
    <row r="813" ht="13.5" customHeight="1">
      <c r="A813" s="1" t="s">
        <v>11</v>
      </c>
      <c r="B813" s="1" t="s">
        <v>4105</v>
      </c>
      <c r="C813" s="1" t="s">
        <v>4106</v>
      </c>
      <c r="D813" s="1" t="s">
        <v>4107</v>
      </c>
      <c r="E813" s="1" t="s">
        <v>4108</v>
      </c>
      <c r="F813" s="1" t="s">
        <v>4109</v>
      </c>
      <c r="G813" s="1" t="s">
        <v>4110</v>
      </c>
      <c r="H813" s="1" t="str">
        <f>IFERROR(__xludf.DUMMYFUNCTION("GOOGLETRANSLATE(D813,""EN"",""JA"")"),"カルシウム/リン")</f>
        <v>カルシウム/リン</v>
      </c>
      <c r="I813" s="1" t="str">
        <f>IFERROR(__xludf.DUMMYFUNCTION("GOOGLETRANSLATE(E813,""EN"",""JA"")"),"カルシウム/リン酸塩; カルシウム/リン")</f>
        <v>カルシウム/リン酸塩; カルシウム/リン</v>
      </c>
      <c r="J813" s="1" t="str">
        <f>IFERROR(__xludf.DUMMYFUNCTION("GOOGLETRANSLATE(F813,""EN"",""JA"")"),"生物標本中のカルシウムとリンの相対的な測定値（比率）。")</f>
        <v>生物標本中のカルシウムとリンの相対的な測定値（比率）。</v>
      </c>
      <c r="K813" s="1" t="str">
        <f>IFERROR(__xludf.DUMMYFUNCTION("GOOGLETRANSLATE(G813,""EN"",""JA"")"),"カルシウムとリンの比率測定")</f>
        <v>カルシウムとリンの比率測定</v>
      </c>
    </row>
    <row r="814" ht="13.5" customHeight="1">
      <c r="A814" s="1" t="s">
        <v>11</v>
      </c>
      <c r="B814" s="1" t="s">
        <v>4111</v>
      </c>
      <c r="C814" s="1" t="s">
        <v>4112</v>
      </c>
      <c r="D814" s="1" t="s">
        <v>4113</v>
      </c>
      <c r="E814" s="1" t="s">
        <v>4113</v>
      </c>
      <c r="F814" s="1" t="s">
        <v>4114</v>
      </c>
      <c r="G814" s="1" t="s">
        <v>4115</v>
      </c>
      <c r="H814" s="1" t="str">
        <f>IFERROR(__xludf.DUMMYFUNCTION("GOOGLETRANSLATE(D814,""EN"",""JA"")"),"カルシウム - リン製品")</f>
        <v>カルシウム - リン製品</v>
      </c>
      <c r="I814" s="1" t="str">
        <f>IFERROR(__xludf.DUMMYFUNCTION("GOOGLETRANSLATE(E814,""EN"",""JA"")"),"カルシウム - リン製品")</f>
        <v>カルシウム - リン製品</v>
      </c>
      <c r="J814" s="1" t="str">
        <f>IFERROR(__xludf.DUMMYFUNCTION("GOOGLETRANSLATE(F814,""EN"",""JA"")"),"生物標本中のカルシウムとリン酸の測定値の積の測定。")</f>
        <v>生物標本中のカルシウムとリン酸の測定値の積の測定。</v>
      </c>
      <c r="K814" s="1" t="str">
        <f>IFERROR(__xludf.DUMMYFUNCTION("GOOGLETRANSLATE(G814,""EN"",""JA"")"),"カルシウムおよびリン製品の測定")</f>
        <v>カルシウムおよびリン製品の測定</v>
      </c>
    </row>
    <row r="815" ht="13.5" customHeight="1">
      <c r="A815" s="1" t="s">
        <v>11</v>
      </c>
      <c r="B815" s="1" t="s">
        <v>4116</v>
      </c>
      <c r="C815" s="1" t="s">
        <v>4117</v>
      </c>
      <c r="D815" s="1" t="s">
        <v>4118</v>
      </c>
      <c r="E815" s="1" t="s">
        <v>4118</v>
      </c>
      <c r="F815" s="1" t="s">
        <v>4119</v>
      </c>
      <c r="G815" s="1" t="s">
        <v>4120</v>
      </c>
      <c r="H815" s="1" t="str">
        <f>IFERROR(__xludf.DUMMYFUNCTION("GOOGLETRANSLATE(D815,""EN"",""JA"")"),"一酸化炭素ヘモグロビン")</f>
        <v>一酸化炭素ヘモグロビン</v>
      </c>
      <c r="I815" s="1" t="str">
        <f>IFERROR(__xludf.DUMMYFUNCTION("GOOGLETRANSLATE(E815,""EN"",""JA"")"),"一酸化炭素ヘモグロビン")</f>
        <v>一酸化炭素ヘモグロビン</v>
      </c>
      <c r="J815" s="1" t="str">
        <f>IFERROR(__xludf.DUMMYFUNCTION("GOOGLETRANSLATE(F815,""EN"",""JA"")"),"生物標本中の一酸化炭素結合ヘモグロビンであるカルボキシヘモグロビンの測定。")</f>
        <v>生物標本中の一酸化炭素結合ヘモグロビンであるカルボキシヘモグロビンの測定。</v>
      </c>
      <c r="K815" s="1" t="str">
        <f>IFERROR(__xludf.DUMMYFUNCTION("GOOGLETRANSLATE(G815,""EN"",""JA"")"),"一酸化炭素ヘモグロビン測定")</f>
        <v>一酸化炭素ヘモグロビン測定</v>
      </c>
    </row>
    <row r="816" ht="13.5" customHeight="1">
      <c r="A816" s="1" t="s">
        <v>90</v>
      </c>
      <c r="B816" s="1" t="s">
        <v>4121</v>
      </c>
      <c r="C816" s="1" t="s">
        <v>4122</v>
      </c>
      <c r="D816" s="1" t="s">
        <v>4123</v>
      </c>
      <c r="E816" s="1" t="s">
        <v>4123</v>
      </c>
      <c r="F816" s="1" t="s">
        <v>4124</v>
      </c>
      <c r="G816" s="1" t="s">
        <v>4123</v>
      </c>
      <c r="H816" s="1" t="str">
        <f>IFERROR(__xludf.DUMMYFUNCTION("GOOGLETRANSLATE(D816,""EN"",""JA"")"),"心係数")</f>
        <v>心係数</v>
      </c>
      <c r="I816" s="1" t="str">
        <f>IFERROR(__xludf.DUMMYFUNCTION("GOOGLETRANSLATE(E816,""EN"",""JA"")"),"心係数")</f>
        <v>心係数</v>
      </c>
      <c r="J816" s="1" t="str">
        <f>IFERROR(__xludf.DUMMYFUNCTION("GOOGLETRANSLATE(F816,""EN"",""JA"")"),"個人の心拍出量を個人の体表面積で割った値 (CI = CO/BSA)。")</f>
        <v>個人の心拍出量を個人の体表面積で割った値 (CI = CO/BSA)。</v>
      </c>
      <c r="K816" s="1" t="str">
        <f>IFERROR(__xludf.DUMMYFUNCTION("GOOGLETRANSLATE(G816,""EN"",""JA"")"),"心係数")</f>
        <v>心係数</v>
      </c>
    </row>
    <row r="817" ht="13.5" customHeight="1">
      <c r="A817" s="1" t="s">
        <v>90</v>
      </c>
      <c r="B817" s="1" t="s">
        <v>4125</v>
      </c>
      <c r="C817" s="1" t="s">
        <v>4126</v>
      </c>
      <c r="D817" s="1" t="s">
        <v>4127</v>
      </c>
      <c r="E817" s="1" t="s">
        <v>4127</v>
      </c>
      <c r="F817" s="1" t="s">
        <v>4128</v>
      </c>
      <c r="G817" s="1" t="s">
        <v>4127</v>
      </c>
      <c r="H817" s="1" t="str">
        <f>IFERROR(__xludf.DUMMYFUNCTION("GOOGLETRANSLATE(D817,""EN"",""JA"")"),"心拍出量")</f>
        <v>心拍出量</v>
      </c>
      <c r="I817" s="1" t="str">
        <f>IFERROR(__xludf.DUMMYFUNCTION("GOOGLETRANSLATE(E817,""EN"",""JA"")"),"心拍出量")</f>
        <v>心拍出量</v>
      </c>
      <c r="J817" s="1" t="str">
        <f>IFERROR(__xludf.DUMMYFUNCTION("GOOGLETRANSLATE(F817,""EN"",""JA"")"),"一定時間内（通常は 1 分間）に心臓から送り出される血液の総量。心拍数 × 拍出量（CO = HR × SV）として計算されます。")</f>
        <v>一定時間内（通常は 1 分間）に心臓から送り出される血液の総量。心拍数 × 拍出量（CO = HR × SV）として計算されます。</v>
      </c>
      <c r="K817" s="1" t="str">
        <f>IFERROR(__xludf.DUMMYFUNCTION("GOOGLETRANSLATE(G817,""EN"",""JA"")"),"心拍出量")</f>
        <v>心拍出量</v>
      </c>
    </row>
    <row r="818" ht="13.5" customHeight="1">
      <c r="A818" s="1" t="s">
        <v>11</v>
      </c>
      <c r="B818" s="1" t="s">
        <v>4129</v>
      </c>
      <c r="C818" s="1" t="s">
        <v>4130</v>
      </c>
      <c r="D818" s="1" t="s">
        <v>4131</v>
      </c>
      <c r="E818" s="1" t="s">
        <v>4131</v>
      </c>
      <c r="F818" s="1" t="s">
        <v>4132</v>
      </c>
      <c r="G818" s="1" t="s">
        <v>4133</v>
      </c>
      <c r="H818" s="1" t="str">
        <f>IFERROR(__xludf.DUMMYFUNCTION("GOOGLETRANSLATE(D818,""EN"",""JA"")"),"カリプラジン")</f>
        <v>カリプラジン</v>
      </c>
      <c r="I818" s="1" t="str">
        <f>IFERROR(__xludf.DUMMYFUNCTION("GOOGLETRANSLATE(E818,""EN"",""JA"")"),"カリプラジン")</f>
        <v>カリプラジン</v>
      </c>
      <c r="J818" s="1" t="str">
        <f>IFERROR(__xludf.DUMMYFUNCTION("GOOGLETRANSLATE(F818,""EN"",""JA"")"),"生物標本中のカリプラジンの測定。")</f>
        <v>生物標本中のカリプラジンの測定。</v>
      </c>
      <c r="K818" s="1" t="str">
        <f>IFERROR(__xludf.DUMMYFUNCTION("GOOGLETRANSLATE(G818,""EN"",""JA"")"),"カリプラジン測定")</f>
        <v>カリプラジン測定</v>
      </c>
    </row>
    <row r="819" ht="13.5" customHeight="1">
      <c r="A819" s="1" t="s">
        <v>11</v>
      </c>
      <c r="B819" s="1" t="s">
        <v>4134</v>
      </c>
      <c r="C819" s="1" t="s">
        <v>4135</v>
      </c>
      <c r="D819" s="1" t="s">
        <v>4136</v>
      </c>
      <c r="E819" s="1" t="s">
        <v>4136</v>
      </c>
      <c r="F819" s="1" t="s">
        <v>4137</v>
      </c>
      <c r="G819" s="1" t="s">
        <v>4138</v>
      </c>
      <c r="H819" s="1" t="str">
        <f>IFERROR(__xludf.DUMMYFUNCTION("GOOGLETRANSLATE(D819,""EN"",""JA"")"),"カルニチン")</f>
        <v>カルニチン</v>
      </c>
      <c r="I819" s="1" t="str">
        <f>IFERROR(__xludf.DUMMYFUNCTION("GOOGLETRANSLATE(E819,""EN"",""JA"")"),"カルニチン")</f>
        <v>カルニチン</v>
      </c>
      <c r="J819" s="1" t="str">
        <f>IFERROR(__xludf.DUMMYFUNCTION("GOOGLETRANSLATE(F819,""EN"",""JA"")"),"生物標本中の総カルニチンの測定。")</f>
        <v>生物標本中の総カルニチンの測定。</v>
      </c>
      <c r="K819" s="1" t="str">
        <f>IFERROR(__xludf.DUMMYFUNCTION("GOOGLETRANSLATE(G819,""EN"",""JA"")"),"総カルニチン測定")</f>
        <v>総カルニチン測定</v>
      </c>
    </row>
    <row r="820" ht="13.5" customHeight="1">
      <c r="A820" s="1" t="s">
        <v>11</v>
      </c>
      <c r="B820" s="1" t="s">
        <v>4139</v>
      </c>
      <c r="C820" s="1" t="s">
        <v>4140</v>
      </c>
      <c r="D820" s="1" t="s">
        <v>4141</v>
      </c>
      <c r="E820" s="1" t="s">
        <v>4141</v>
      </c>
      <c r="F820" s="1" t="s">
        <v>4142</v>
      </c>
      <c r="G820" s="1" t="s">
        <v>4143</v>
      </c>
      <c r="H820" s="1" t="str">
        <f>IFERROR(__xludf.DUMMYFUNCTION("GOOGLETRANSLATE(D820,""EN"",""JA"")"),"カルニチンアセチルトランスフェラーゼ")</f>
        <v>カルニチンアセチルトランスフェラーゼ</v>
      </c>
      <c r="I820" s="1" t="str">
        <f>IFERROR(__xludf.DUMMYFUNCTION("GOOGLETRANSLATE(E820,""EN"",""JA"")"),"カルニチンアセチルトランスフェラーゼ")</f>
        <v>カルニチンアセチルトランスフェラーゼ</v>
      </c>
      <c r="J820" s="1" t="str">
        <f>IFERROR(__xludf.DUMMYFUNCTION("GOOGLETRANSLATE(F820,""EN"",""JA"")"),"生物標本中のカルニチンアセチルトランスフェラーゼの測定。")</f>
        <v>生物標本中のカルニチンアセチルトランスフェラーゼの測定。</v>
      </c>
      <c r="K820" s="1" t="str">
        <f>IFERROR(__xludf.DUMMYFUNCTION("GOOGLETRANSLATE(G820,""EN"",""JA"")"),"カルニチンアセチルトランスフェラーゼ測定")</f>
        <v>カルニチンアセチルトランスフェラーゼ測定</v>
      </c>
    </row>
    <row r="821" ht="13.5" customHeight="1">
      <c r="A821" s="1" t="s">
        <v>11</v>
      </c>
      <c r="B821" s="1" t="s">
        <v>4144</v>
      </c>
      <c r="C821" s="1" t="s">
        <v>4145</v>
      </c>
      <c r="D821" s="1" t="s">
        <v>4146</v>
      </c>
      <c r="E821" s="1" t="s">
        <v>4146</v>
      </c>
      <c r="F821" s="1" t="s">
        <v>4147</v>
      </c>
      <c r="G821" s="1" t="s">
        <v>4148</v>
      </c>
      <c r="H821" s="1" t="str">
        <f>IFERROR(__xludf.DUMMYFUNCTION("GOOGLETRANSLATE(D821,""EN"",""JA"")"),"カルニチン、フリー")</f>
        <v>カルニチン、フリー</v>
      </c>
      <c r="I821" s="1" t="str">
        <f>IFERROR(__xludf.DUMMYFUNCTION("GOOGLETRANSLATE(E821,""EN"",""JA"")"),"カルニチン、フリー")</f>
        <v>カルニチン、フリー</v>
      </c>
      <c r="J821" s="1" t="str">
        <f>IFERROR(__xludf.DUMMYFUNCTION("GOOGLETRANSLATE(F821,""EN"",""JA"")"),"生物標本中の遊離カルニチンの測定。")</f>
        <v>生物標本中の遊離カルニチンの測定。</v>
      </c>
      <c r="K821" s="1" t="str">
        <f>IFERROR(__xludf.DUMMYFUNCTION("GOOGLETRANSLATE(G821,""EN"",""JA"")"),"遊離カルニチン測定")</f>
        <v>遊離カルニチン測定</v>
      </c>
    </row>
    <row r="822" ht="13.5" customHeight="1">
      <c r="A822" s="1" t="s">
        <v>11</v>
      </c>
      <c r="B822" s="1" t="s">
        <v>4149</v>
      </c>
      <c r="C822" s="1" t="s">
        <v>4150</v>
      </c>
      <c r="D822" s="1" t="s">
        <v>4151</v>
      </c>
      <c r="E822" s="1" t="s">
        <v>4151</v>
      </c>
      <c r="F822" s="1" t="s">
        <v>4152</v>
      </c>
      <c r="G822" s="1" t="s">
        <v>4151</v>
      </c>
      <c r="H822" s="1" t="str">
        <f>IFERROR(__xludf.DUMMYFUNCTION("GOOGLETRANSLATE(D822,""EN"",""JA"")"),"カルニチン排泄率")</f>
        <v>カルニチン排泄率</v>
      </c>
      <c r="I822" s="1" t="str">
        <f>IFERROR(__xludf.DUMMYFUNCTION("GOOGLETRANSLATE(E822,""EN"",""JA"")"),"カルニチン排泄率")</f>
        <v>カルニチン排泄率</v>
      </c>
      <c r="J822" s="1" t="str">
        <f>IFERROR(__xludf.DUMMYFUNCTION("GOOGLETRANSLATE(F822,""EN"",""JA"")"),"定義された時間（例：1 時間）にわたって生物学的標本中に排出されるカルニチンの量を測定します。")</f>
        <v>定義された時間（例：1 時間）にわたって生物学的標本中に排出されるカルニチンの量を測定します。</v>
      </c>
      <c r="K822" s="1" t="str">
        <f>IFERROR(__xludf.DUMMYFUNCTION("GOOGLETRANSLATE(G822,""EN"",""JA"")"),"カルニチン排泄率")</f>
        <v>カルニチン排泄率</v>
      </c>
    </row>
    <row r="823" ht="13.5" customHeight="1">
      <c r="A823" s="1" t="s">
        <v>11</v>
      </c>
      <c r="B823" s="1" t="s">
        <v>4153</v>
      </c>
      <c r="C823" s="1" t="s">
        <v>4154</v>
      </c>
      <c r="D823" s="1" t="s">
        <v>4155</v>
      </c>
      <c r="E823" s="1" t="s">
        <v>4156</v>
      </c>
      <c r="F823" s="1" t="s">
        <v>4157</v>
      </c>
      <c r="G823" s="1" t="s">
        <v>4158</v>
      </c>
      <c r="H823" s="1" t="str">
        <f>IFERROR(__xludf.DUMMYFUNCTION("GOOGLETRANSLATE(D823,""EN"",""JA"")"),"コカインアンフェタミン-Regトランスクリプトタンパク質")</f>
        <v>コカインアンフェタミン-Regトランスクリプトタンパク質</v>
      </c>
      <c r="I823" s="1" t="str">
        <f>IFERROR(__xludf.DUMMYFUNCTION("GOOGLETRANSLATE(E823,""EN"",""JA"")"),"CART; コカインアンフェタミン調節転写タンパク質; コカインおよびアンフェタミン調節転写タンパク質")</f>
        <v>CART; コカインアンフェタミン調節転写タンパク質; コカインおよびアンフェタミン調節転写タンパク質</v>
      </c>
      <c r="J823" s="1" t="str">
        <f>IFERROR(__xludf.DUMMYFUNCTION("GOOGLETRANSLATE(F823,""EN"",""JA"")"),"生物学的標本中のコカインおよびアンフェタミンによって調節される転写タンパク質の測定。")</f>
        <v>生物学的標本中のコカインおよびアンフェタミンによって調節される転写タンパク質の測定。</v>
      </c>
      <c r="K823" s="1" t="str">
        <f>IFERROR(__xludf.DUMMYFUNCTION("GOOGLETRANSLATE(G823,""EN"",""JA"")"),"コカイン・アンフェタミン調節転写タンパク質測定")</f>
        <v>コカイン・アンフェタミン調節転写タンパク質測定</v>
      </c>
    </row>
    <row r="824" ht="13.5" customHeight="1">
      <c r="A824" s="1" t="s">
        <v>11</v>
      </c>
      <c r="B824" s="1" t="s">
        <v>4159</v>
      </c>
      <c r="C824" s="1" t="s">
        <v>4160</v>
      </c>
      <c r="D824" s="1" t="s">
        <v>4161</v>
      </c>
      <c r="E824" s="1" t="s">
        <v>4161</v>
      </c>
      <c r="F824" s="1" t="s">
        <v>4162</v>
      </c>
      <c r="G824" s="1" t="s">
        <v>4163</v>
      </c>
      <c r="H824" s="1" t="str">
        <f>IFERROR(__xludf.DUMMYFUNCTION("GOOGLETRANSLATE(D824,""EN"",""JA"")"),"カゼイン")</f>
        <v>カゼイン</v>
      </c>
      <c r="I824" s="1" t="str">
        <f>IFERROR(__xludf.DUMMYFUNCTION("GOOGLETRANSLATE(E824,""EN"",""JA"")"),"カゼイン")</f>
        <v>カゼイン</v>
      </c>
      <c r="J824" s="1" t="str">
        <f>IFERROR(__xludf.DUMMYFUNCTION("GOOGLETRANSLATE(F824,""EN"",""JA"")"),"生物標本中のカゼインの測定。")</f>
        <v>生物標本中のカゼインの測定。</v>
      </c>
      <c r="K824" s="1" t="str">
        <f>IFERROR(__xludf.DUMMYFUNCTION("GOOGLETRANSLATE(G824,""EN"",""JA"")"),"カゼイン測定")</f>
        <v>カゼイン測定</v>
      </c>
    </row>
    <row r="825" ht="13.5" customHeight="1">
      <c r="A825" s="1" t="s">
        <v>11</v>
      </c>
      <c r="B825" s="1" t="s">
        <v>4164</v>
      </c>
      <c r="C825" s="1" t="s">
        <v>4165</v>
      </c>
      <c r="D825" s="1" t="s">
        <v>4166</v>
      </c>
      <c r="E825" s="1" t="s">
        <v>4167</v>
      </c>
      <c r="F825" s="1" t="s">
        <v>4168</v>
      </c>
      <c r="G825" s="1" t="s">
        <v>4169</v>
      </c>
      <c r="H825" s="1" t="str">
        <f>IFERROR(__xludf.DUMMYFUNCTION("GOOGLETRANSLATE(D825,""EN"",""JA"")"),"キャスト")</f>
        <v>キャスト</v>
      </c>
      <c r="I825" s="1" t="str">
        <f>IFERROR(__xludf.DUMMYFUNCTION("GOOGLETRANSLATE(E825,""EN"",""JA"")"),"キャスト; キャスト不在インジケーター")</f>
        <v>キャスト; キャスト不在インジケーター</v>
      </c>
      <c r="J825" s="1" t="str">
        <f>IFERROR(__xludf.DUMMYFUNCTION("GOOGLETRANSLATE(F825,""EN"",""JA"")"),"生物標本内で鋳型が探されたが見つからなかったことを示す。")</f>
        <v>生物標本内で鋳型が探されたが見つからなかったことを示す。</v>
      </c>
      <c r="K825" s="1" t="str">
        <f>IFERROR(__xludf.DUMMYFUNCTION("GOOGLETRANSLATE(G825,""EN"",""JA"")"),"キャスト不在インジケーター")</f>
        <v>キャスト不在インジケーター</v>
      </c>
    </row>
    <row r="826" ht="13.5" customHeight="1">
      <c r="A826" s="1" t="s">
        <v>11</v>
      </c>
      <c r="B826" s="1" t="s">
        <v>4170</v>
      </c>
      <c r="C826" s="1" t="s">
        <v>4171</v>
      </c>
      <c r="D826" s="1" t="s">
        <v>4172</v>
      </c>
      <c r="E826" s="1" t="s">
        <v>4172</v>
      </c>
      <c r="F826" s="1" t="s">
        <v>4173</v>
      </c>
      <c r="G826" s="1" t="s">
        <v>4174</v>
      </c>
      <c r="H826" s="1" t="str">
        <f>IFERROR(__xludf.DUMMYFUNCTION("GOOGLETRANSLATE(D826,""EN"",""JA"")"),"硫酸カルシウム")</f>
        <v>硫酸カルシウム</v>
      </c>
      <c r="I826" s="1" t="str">
        <f>IFERROR(__xludf.DUMMYFUNCTION("GOOGLETRANSLATE(E826,""EN"",""JA"")"),"硫酸カルシウム")</f>
        <v>硫酸カルシウム</v>
      </c>
      <c r="J826" s="1" t="str">
        <f>IFERROR(__xludf.DUMMYFUNCTION("GOOGLETRANSLATE(F826,""EN"",""JA"")"),"生物標本中の硫酸カルシウムの測定。")</f>
        <v>生物標本中の硫酸カルシウムの測定。</v>
      </c>
      <c r="K826" s="1" t="str">
        <f>IFERROR(__xludf.DUMMYFUNCTION("GOOGLETRANSLATE(G826,""EN"",""JA"")"),"硫酸カルシウム測定")</f>
        <v>硫酸カルシウム測定</v>
      </c>
    </row>
    <row r="827" ht="13.5" customHeight="1">
      <c r="A827" s="1" t="s">
        <v>11</v>
      </c>
      <c r="B827" s="1" t="s">
        <v>4175</v>
      </c>
      <c r="C827" s="1" t="s">
        <v>4176</v>
      </c>
      <c r="D827" s="1" t="s">
        <v>4177</v>
      </c>
      <c r="E827" s="1" t="s">
        <v>4177</v>
      </c>
      <c r="F827" s="1" t="s">
        <v>4178</v>
      </c>
      <c r="G827" s="1" t="s">
        <v>4179</v>
      </c>
      <c r="H827" s="1" t="str">
        <f>IFERROR(__xludf.DUMMYFUNCTION("GOOGLETRANSLATE(D827,""EN"",""JA"")"),"カチノン")</f>
        <v>カチノン</v>
      </c>
      <c r="I827" s="1" t="str">
        <f>IFERROR(__xludf.DUMMYFUNCTION("GOOGLETRANSLATE(E827,""EN"",""JA"")"),"カチノン")</f>
        <v>カチノン</v>
      </c>
      <c r="J827" s="1" t="str">
        <f>IFERROR(__xludf.DUMMYFUNCTION("GOOGLETRANSLATE(F827,""EN"",""JA"")"),"生物標本中のカチノンの測定。")</f>
        <v>生物標本中のカチノンの測定。</v>
      </c>
      <c r="K827" s="1" t="str">
        <f>IFERROR(__xludf.DUMMYFUNCTION("GOOGLETRANSLATE(G827,""EN"",""JA"")"),"カチノン測定")</f>
        <v>カチノン測定</v>
      </c>
    </row>
    <row r="828" ht="13.5" customHeight="1">
      <c r="A828" s="1" t="s">
        <v>11</v>
      </c>
      <c r="B828" s="1" t="s">
        <v>4180</v>
      </c>
      <c r="C828" s="1" t="s">
        <v>4181</v>
      </c>
      <c r="D828" s="1" t="s">
        <v>4182</v>
      </c>
      <c r="E828" s="1" t="s">
        <v>4182</v>
      </c>
      <c r="F828" s="1" t="s">
        <v>4183</v>
      </c>
      <c r="G828" s="1" t="s">
        <v>4184</v>
      </c>
      <c r="H828" s="1" t="str">
        <f>IFERROR(__xludf.DUMMYFUNCTION("GOOGLETRANSLATE(D828,""EN"",""JA"")"),"ベータカテニン")</f>
        <v>ベータカテニン</v>
      </c>
      <c r="I828" s="1" t="str">
        <f>IFERROR(__xludf.DUMMYFUNCTION("GOOGLETRANSLATE(E828,""EN"",""JA"")"),"ベータカテニン")</f>
        <v>ベータカテニン</v>
      </c>
      <c r="J828" s="1" t="str">
        <f>IFERROR(__xludf.DUMMYFUNCTION("GOOGLETRANSLATE(F828,""EN"",""JA"")"),"生物標本中のベータカテニンの測定。")</f>
        <v>生物標本中のベータカテニンの測定。</v>
      </c>
      <c r="K828" s="1" t="str">
        <f>IFERROR(__xludf.DUMMYFUNCTION("GOOGLETRANSLATE(G828,""EN"",""JA"")"),"ベータカテニン測定")</f>
        <v>ベータカテニン測定</v>
      </c>
    </row>
    <row r="829" ht="13.5" customHeight="1">
      <c r="A829" s="1" t="s">
        <v>67</v>
      </c>
      <c r="B829" s="1" t="s">
        <v>4185</v>
      </c>
      <c r="C829" s="1" t="s">
        <v>4186</v>
      </c>
      <c r="D829" s="1" t="s">
        <v>4187</v>
      </c>
      <c r="E829" s="1" t="s">
        <v>4187</v>
      </c>
      <c r="F829" s="1" t="s">
        <v>4188</v>
      </c>
      <c r="G829" s="1" t="s">
        <v>4189</v>
      </c>
      <c r="H829" s="1" t="str">
        <f>IFERROR(__xludf.DUMMYFUNCTION("GOOGLETRANSLATE(D829,""EN"",""JA"")"),"コリネバクテリウム・アウリムコサム")</f>
        <v>コリネバクテリウム・アウリムコサム</v>
      </c>
      <c r="I829" s="1" t="str">
        <f>IFERROR(__xludf.DUMMYFUNCTION("GOOGLETRANSLATE(E829,""EN"",""JA"")"),"コリネバクテリウム・アウリムコサム")</f>
        <v>コリネバクテリウム・アウリムコサム</v>
      </c>
      <c r="J829" s="1" t="str">
        <f>IFERROR(__xludf.DUMMYFUNCTION("GOOGLETRANSLATE(F829,""EN"",""JA"")"),"生物標本中の Corynebacterium aurimucosum の測定。")</f>
        <v>生物標本中の Corynebacterium aurimucosum の測定。</v>
      </c>
      <c r="K829" s="1" t="str">
        <f>IFERROR(__xludf.DUMMYFUNCTION("GOOGLETRANSLATE(G829,""EN"",""JA"")"),"コリネバクテリウム・アウリムコサム測定")</f>
        <v>コリネバクテリウム・アウリムコサム測定</v>
      </c>
    </row>
    <row r="830" ht="13.5" customHeight="1">
      <c r="A830" s="1" t="s">
        <v>67</v>
      </c>
      <c r="B830" s="1" t="s">
        <v>4190</v>
      </c>
      <c r="C830" s="1" t="s">
        <v>4191</v>
      </c>
      <c r="D830" s="1" t="s">
        <v>4192</v>
      </c>
      <c r="E830" s="1" t="s">
        <v>4193</v>
      </c>
      <c r="F830" s="1" t="s">
        <v>4194</v>
      </c>
      <c r="G830" s="1" t="s">
        <v>4195</v>
      </c>
      <c r="H830" s="1" t="str">
        <f>IFERROR(__xludf.DUMMYFUNCTION("GOOGLETRANSLATE(D830,""EN"",""JA"")"),"カンジドジマ・アウリス")</f>
        <v>カンジドジマ・アウリス</v>
      </c>
      <c r="I830" s="1" t="str">
        <f>IFERROR(__xludf.DUMMYFUNCTION("GOOGLETRANSLATE(E830,""EN"",""JA"")"),"カンジダ耳;カンジドジマ・アウリス")</f>
        <v>カンジダ耳;カンジドジマ・アウリス</v>
      </c>
      <c r="J830" s="1" t="str">
        <f>IFERROR(__xludf.DUMMYFUNCTION("GOOGLETRANSLATE(F830,""EN"",""JA"")"),"生物標本中の Candidozyma auris の測定。")</f>
        <v>生物標本中の Candidozyma auris の測定。</v>
      </c>
      <c r="K830" s="1" t="str">
        <f>IFERROR(__xludf.DUMMYFUNCTION("GOOGLETRANSLATE(G830,""EN"",""JA"")"),"カンジドジマ・アウリス測定")</f>
        <v>カンジドジマ・アウリス測定</v>
      </c>
    </row>
    <row r="831" ht="13.5" customHeight="1">
      <c r="A831" s="1" t="s">
        <v>870</v>
      </c>
      <c r="B831" s="1" t="s">
        <v>4196</v>
      </c>
      <c r="C831" s="1" t="s">
        <v>4197</v>
      </c>
      <c r="D831" s="1" t="s">
        <v>4198</v>
      </c>
      <c r="E831" s="1" t="s">
        <v>4198</v>
      </c>
      <c r="F831" s="1" t="s">
        <v>4199</v>
      </c>
      <c r="G831" s="1" t="s">
        <v>4198</v>
      </c>
      <c r="H831" s="1" t="str">
        <f>IFERROR(__xludf.DUMMYFUNCTION("GOOGLETRANSLATE(D831,""EN"",""JA"")"),"平均濃度")</f>
        <v>平均濃度</v>
      </c>
      <c r="I831" s="1" t="str">
        <f>IFERROR(__xludf.DUMMYFUNCTION("GOOGLETRANSLATE(E831,""EN"",""JA"")"),"平均濃度")</f>
        <v>平均濃度</v>
      </c>
      <c r="J831" s="1" t="str">
        <f>IFERROR(__xludf.DUMMYFUNCTION("GOOGLETRANSLATE(F831,""EN"",""JA"")"),"AUCTAU を TAU で割った値。")</f>
        <v>AUCTAU を TAU で割った値。</v>
      </c>
      <c r="K831" s="1" t="str">
        <f>IFERROR(__xludf.DUMMYFUNCTION("GOOGLETRANSLATE(G831,""EN"",""JA"")"),"平均濃度")</f>
        <v>平均濃度</v>
      </c>
    </row>
    <row r="832" ht="13.5" customHeight="1">
      <c r="A832" s="1" t="s">
        <v>870</v>
      </c>
      <c r="B832" s="1" t="s">
        <v>4200</v>
      </c>
      <c r="C832" s="1" t="s">
        <v>4201</v>
      </c>
      <c r="D832" s="1" t="s">
        <v>4202</v>
      </c>
      <c r="E832" s="1" t="s">
        <v>4202</v>
      </c>
      <c r="F832" s="1" t="s">
        <v>4203</v>
      </c>
      <c r="G832" s="1" t="s">
        <v>4204</v>
      </c>
      <c r="H832" s="1" t="str">
        <f>IFERROR(__xludf.DUMMYFUNCTION("GOOGLETRANSLATE(D832,""EN"",""JA"")"),"BMI別の平均濃度基準")</f>
        <v>BMI別の平均濃度基準</v>
      </c>
      <c r="I832" s="1" t="str">
        <f>IFERROR(__xludf.DUMMYFUNCTION("GOOGLETRANSLATE(E832,""EN"",""JA"")"),"BMI別の平均濃度基準")</f>
        <v>BMI別の平均濃度基準</v>
      </c>
      <c r="J832" s="1" t="str">
        <f>IFERROR(__xludf.DUMMYFUNCTION("GOOGLETRANSLATE(F832,""EN"",""JA"")"),"AUCTAU を TAU で割り、さらに BMI で割ります。")</f>
        <v>AUCTAU を TAU で割り、さらに BMI で割ります。</v>
      </c>
      <c r="K832" s="1" t="str">
        <f>IFERROR(__xludf.DUMMYFUNCTION("GOOGLETRANSLATE(G832,""EN"",""JA"")"),"体格指数で正規化した平均濃度")</f>
        <v>体格指数で正規化した平均濃度</v>
      </c>
    </row>
    <row r="833" ht="13.5" customHeight="1">
      <c r="A833" s="1" t="s">
        <v>870</v>
      </c>
      <c r="B833" s="1" t="s">
        <v>4205</v>
      </c>
      <c r="C833" s="1" t="s">
        <v>4206</v>
      </c>
      <c r="D833" s="1" t="s">
        <v>4207</v>
      </c>
      <c r="E833" s="1" t="s">
        <v>4207</v>
      </c>
      <c r="F833" s="1" t="s">
        <v>4208</v>
      </c>
      <c r="G833" s="1" t="s">
        <v>4209</v>
      </c>
      <c r="H833" s="1" t="str">
        <f>IFERROR(__xludf.DUMMYFUNCTION("GOOGLETRANSLATE(D833,""EN"",""JA"")"),"投与量別の平均濃度基準")</f>
        <v>投与量別の平均濃度基準</v>
      </c>
      <c r="I833" s="1" t="str">
        <f>IFERROR(__xludf.DUMMYFUNCTION("GOOGLETRANSLATE(E833,""EN"",""JA"")"),"投与量別の平均濃度基準")</f>
        <v>投与量別の平均濃度基準</v>
      </c>
      <c r="J833" s="1" t="str">
        <f>IFERROR(__xludf.DUMMYFUNCTION("GOOGLETRANSLATE(F833,""EN"",""JA"")"),"AUCTAU を TAU で割り、さらに投与量で割ります。")</f>
        <v>AUCTAU を TAU で割り、さらに投与量で割ります。</v>
      </c>
      <c r="K833" s="1" t="str">
        <f>IFERROR(__xludf.DUMMYFUNCTION("GOOGLETRANSLATE(G833,""EN"",""JA"")"),"投与量で正規化された平均濃度")</f>
        <v>投与量で正規化された平均濃度</v>
      </c>
    </row>
    <row r="834" ht="13.5" customHeight="1">
      <c r="A834" s="1" t="s">
        <v>870</v>
      </c>
      <c r="B834" s="1" t="s">
        <v>4210</v>
      </c>
      <c r="C834" s="1" t="s">
        <v>4211</v>
      </c>
      <c r="D834" s="1" t="s">
        <v>4212</v>
      </c>
      <c r="E834" s="1" t="s">
        <v>4212</v>
      </c>
      <c r="F834" s="1" t="s">
        <v>4213</v>
      </c>
      <c r="G834" s="1" t="s">
        <v>4214</v>
      </c>
      <c r="H834" s="1" t="str">
        <f>IFERROR(__xludf.DUMMYFUNCTION("GOOGLETRANSLATE(D834,""EN"",""JA"")"),"用量/体重別の平均濃度基準")</f>
        <v>用量/体重別の平均濃度基準</v>
      </c>
      <c r="I834" s="1" t="str">
        <f>IFERROR(__xludf.DUMMYFUNCTION("GOOGLETRANSLATE(E834,""EN"",""JA"")"),"用量/体重別の平均濃度基準")</f>
        <v>用量/体重別の平均濃度基準</v>
      </c>
      <c r="J834" s="1" t="str">
        <f>IFERROR(__xludf.DUMMYFUNCTION("GOOGLETRANSLATE(F834,""EN"",""JA"")"),"AUCTAU を TAU で割り、さらに体重調整投与量で割った値。")</f>
        <v>AUCTAU を TAU で割り、さらに体重調整投与量で割った値。</v>
      </c>
      <c r="K834" s="1" t="str">
        <f>IFERROR(__xludf.DUMMYFUNCTION("GOOGLETRANSLATE(G834,""EN"",""JA"")"),"体重調整投与量で正規化された平均濃度")</f>
        <v>体重調整投与量で正規化された平均濃度</v>
      </c>
    </row>
    <row r="835" ht="13.5" customHeight="1">
      <c r="A835" s="1" t="s">
        <v>870</v>
      </c>
      <c r="B835" s="1" t="s">
        <v>4215</v>
      </c>
      <c r="C835" s="1" t="s">
        <v>4216</v>
      </c>
      <c r="D835" s="1" t="s">
        <v>4217</v>
      </c>
      <c r="E835" s="1" t="s">
        <v>4217</v>
      </c>
      <c r="F835" s="1" t="s">
        <v>4218</v>
      </c>
      <c r="G835" s="1" t="s">
        <v>4219</v>
      </c>
      <c r="H835" s="1" t="str">
        <f>IFERROR(__xludf.DUMMYFUNCTION("GOOGLETRANSLATE(D835,""EN"",""JA"")"),"T1からT2までの平均濃度")</f>
        <v>T1からT2までの平均濃度</v>
      </c>
      <c r="I835" s="1" t="str">
        <f>IFERROR(__xludf.DUMMYFUNCTION("GOOGLETRANSLATE(E835,""EN"",""JA"")"),"T1からT2までの平均濃度")</f>
        <v>T1からT2までの平均濃度</v>
      </c>
      <c r="J835" s="1" t="str">
        <f>IFERROR(__xludf.DUMMYFUNCTION("GOOGLETRANSLATE(F835,""EN"",""JA"")"),"T1 から T2 までの区間の曲線の下の面積 (AUCINT) を区間の長さで割ったもの。")</f>
        <v>T1 から T2 までの区間の曲線の下の面積 (AUCINT) を区間の長さで割ったもの。</v>
      </c>
      <c r="K835" s="1" t="str">
        <f>IFERROR(__xludf.DUMMYFUNCTION("GOOGLETRANSLATE(G835,""EN"",""JA"")"),"T1からT2までの平均濃度")</f>
        <v>T1からT2までの平均濃度</v>
      </c>
    </row>
    <row r="836" ht="13.5" customHeight="1">
      <c r="A836" s="1" t="s">
        <v>870</v>
      </c>
      <c r="B836" s="1" t="s">
        <v>4220</v>
      </c>
      <c r="C836" s="1" t="s">
        <v>4221</v>
      </c>
      <c r="D836" s="1" t="s">
        <v>4222</v>
      </c>
      <c r="E836" s="1" t="s">
        <v>4222</v>
      </c>
      <c r="F836" s="1" t="s">
        <v>4223</v>
      </c>
      <c r="G836" s="1" t="s">
        <v>4224</v>
      </c>
      <c r="H836" s="1" t="str">
        <f>IFERROR(__xludf.DUMMYFUNCTION("GOOGLETRANSLATE(D836,""EN"",""JA"")"),"BMI別のT1からT2正常までの平均濃度")</f>
        <v>BMI別のT1からT2正常までの平均濃度</v>
      </c>
      <c r="I836" s="1" t="str">
        <f>IFERROR(__xludf.DUMMYFUNCTION("GOOGLETRANSLATE(E836,""EN"",""JA"")"),"BMI別のT1からT2正常までの平均濃度")</f>
        <v>BMI別のT1からT2正常までの平均濃度</v>
      </c>
      <c r="J836" s="1" t="str">
        <f>IFERROR(__xludf.DUMMYFUNCTION("GOOGLETRANSLATE(F836,""EN"",""JA"")"),"T1 から T2 までの区間の曲線の下の面積 (AUCINT) を区間の長さで割り、さらに BMI で割ります。")</f>
        <v>T1 から T2 までの区間の曲線の下の面積 (AUCINT) を区間の長さで割り、さらに BMI で割ります。</v>
      </c>
      <c r="K836" s="1" t="str">
        <f>IFERROR(__xludf.DUMMYFUNCTION("GOOGLETRANSLATE(G836,""EN"",""JA"")"),"体格指数で正規化したT1からT2までの平均濃度")</f>
        <v>体格指数で正規化したT1からT2までの平均濃度</v>
      </c>
    </row>
    <row r="837" ht="13.5" customHeight="1">
      <c r="A837" s="1" t="s">
        <v>870</v>
      </c>
      <c r="B837" s="1" t="s">
        <v>4225</v>
      </c>
      <c r="C837" s="1" t="s">
        <v>4226</v>
      </c>
      <c r="D837" s="1" t="s">
        <v>4227</v>
      </c>
      <c r="E837" s="1" t="s">
        <v>4227</v>
      </c>
      <c r="F837" s="1" t="s">
        <v>4228</v>
      </c>
      <c r="G837" s="1" t="s">
        <v>4229</v>
      </c>
      <c r="H837" s="1" t="str">
        <f>IFERROR(__xludf.DUMMYFUNCTION("GOOGLETRANSLATE(D837,""EN"",""JA"")"),"投与量別のT1からT2正常値までの平均濃度")</f>
        <v>投与量別のT1からT2正常値までの平均濃度</v>
      </c>
      <c r="I837" s="1" t="str">
        <f>IFERROR(__xludf.DUMMYFUNCTION("GOOGLETRANSLATE(E837,""EN"",""JA"")"),"投与量別のT1からT2正常値までの平均濃度")</f>
        <v>投与量別のT1からT2正常値までの平均濃度</v>
      </c>
      <c r="J837" s="1" t="str">
        <f>IFERROR(__xludf.DUMMYFUNCTION("GOOGLETRANSLATE(F837,""EN"",""JA"")"),"T1 から T2 までの間隔における曲線の下の面積 (AUCINT) を間隔の長さで割り、さらに投与量で割ります。")</f>
        <v>T1 から T2 までの間隔における曲線の下の面積 (AUCINT) を間隔の長さで割り、さらに投与量で割ります。</v>
      </c>
      <c r="K837" s="1" t="str">
        <f>IFERROR(__xludf.DUMMYFUNCTION("GOOGLETRANSLATE(G837,""EN"",""JA"")"),"投与量で正規化されたT1からT2までの平均濃度")</f>
        <v>投与量で正規化されたT1からT2までの平均濃度</v>
      </c>
    </row>
    <row r="838" ht="13.5" customHeight="1">
      <c r="A838" s="1" t="s">
        <v>870</v>
      </c>
      <c r="B838" s="1" t="s">
        <v>4230</v>
      </c>
      <c r="C838" s="1" t="s">
        <v>4231</v>
      </c>
      <c r="D838" s="1" t="s">
        <v>4232</v>
      </c>
      <c r="E838" s="1" t="s">
        <v>4232</v>
      </c>
      <c r="F838" s="1" t="s">
        <v>4233</v>
      </c>
      <c r="G838" s="1" t="s">
        <v>4234</v>
      </c>
      <c r="H838" s="1" t="str">
        <f>IFERROR(__xludf.DUMMYFUNCTION("GOOGLETRANSLATE(D838,""EN"",""JA"")"),"SAによるT1からT2標準までの平均濃度")</f>
        <v>SAによるT1からT2標準までの平均濃度</v>
      </c>
      <c r="I838" s="1" t="str">
        <f>IFERROR(__xludf.DUMMYFUNCTION("GOOGLETRANSLATE(E838,""EN"",""JA"")"),"SAによるT1からT2標準までの平均濃度")</f>
        <v>SAによるT1からT2標準までの平均濃度</v>
      </c>
      <c r="J838" s="1" t="str">
        <f>IFERROR(__xludf.DUMMYFUNCTION("GOOGLETRANSLATE(F838,""EN"",""JA"")"),"T1 から T2 までの区間の曲線の下の面積 (AUCINT) を区間の長さで割り、さらに表面積で割ります。")</f>
        <v>T1 から T2 までの区間の曲線の下の面積 (AUCINT) を区間の長さで割り、さらに表面積で割ります。</v>
      </c>
      <c r="K838" s="1" t="str">
        <f>IFERROR(__xludf.DUMMYFUNCTION("GOOGLETRANSLATE(G838,""EN"",""JA"")"),"T1からT2までの平均濃度を表面積で正規化")</f>
        <v>T1からT2までの平均濃度を表面積で正規化</v>
      </c>
    </row>
    <row r="839" ht="13.5" customHeight="1">
      <c r="A839" s="1" t="s">
        <v>870</v>
      </c>
      <c r="B839" s="1" t="s">
        <v>4235</v>
      </c>
      <c r="C839" s="1" t="s">
        <v>4236</v>
      </c>
      <c r="D839" s="1" t="s">
        <v>4237</v>
      </c>
      <c r="E839" s="1" t="s">
        <v>4237</v>
      </c>
      <c r="F839" s="1" t="s">
        <v>4238</v>
      </c>
      <c r="G839" s="1" t="s">
        <v>4239</v>
      </c>
      <c r="H839" s="1" t="str">
        <f>IFERROR(__xludf.DUMMYFUNCTION("GOOGLETRANSLATE(D839,""EN"",""JA"")"),"WT別のT1からT2標準までの平均濃度")</f>
        <v>WT別のT1からT2標準までの平均濃度</v>
      </c>
      <c r="I839" s="1" t="str">
        <f>IFERROR(__xludf.DUMMYFUNCTION("GOOGLETRANSLATE(E839,""EN"",""JA"")"),"WT別のT1からT2標準までの平均濃度")</f>
        <v>WT別のT1からT2標準までの平均濃度</v>
      </c>
      <c r="J839" s="1" t="str">
        <f>IFERROR(__xludf.DUMMYFUNCTION("GOOGLETRANSLATE(F839,""EN"",""JA"")"),"T1 から T2 までの区間の曲線の下の面積 (AUCINT) を区間の長さで割り、さらに重みで割ります。")</f>
        <v>T1 から T2 までの区間の曲線の下の面積 (AUCINT) を区間の長さで割り、さらに重みで割ります。</v>
      </c>
      <c r="K839" s="1" t="str">
        <f>IFERROR(__xludf.DUMMYFUNCTION("GOOGLETRANSLATE(G839,""EN"",""JA"")"),"重量で正規化されたT1からT2までの平均濃度")</f>
        <v>重量で正規化されたT1からT2までの平均濃度</v>
      </c>
    </row>
    <row r="840" ht="13.5" customHeight="1">
      <c r="A840" s="1" t="s">
        <v>870</v>
      </c>
      <c r="B840" s="1" t="s">
        <v>4240</v>
      </c>
      <c r="C840" s="1" t="s">
        <v>4241</v>
      </c>
      <c r="D840" s="1" t="s">
        <v>4242</v>
      </c>
      <c r="E840" s="1" t="s">
        <v>4242</v>
      </c>
      <c r="F840" s="1" t="s">
        <v>4243</v>
      </c>
      <c r="G840" s="1" t="s">
        <v>4244</v>
      </c>
      <c r="H840" s="1" t="str">
        <f>IFERROR(__xludf.DUMMYFUNCTION("GOOGLETRANSLATE(D840,""EN"",""JA"")"),"SAによる平均濃度基準")</f>
        <v>SAによる平均濃度基準</v>
      </c>
      <c r="I840" s="1" t="str">
        <f>IFERROR(__xludf.DUMMYFUNCTION("GOOGLETRANSLATE(E840,""EN"",""JA"")"),"SAによる平均濃度基準")</f>
        <v>SAによる平均濃度基準</v>
      </c>
      <c r="J840" s="1" t="str">
        <f>IFERROR(__xludf.DUMMYFUNCTION("GOOGLETRANSLATE(F840,""EN"",""JA"")"),"AUCTAU を TAU で割り、さらに表面積で割ります。")</f>
        <v>AUCTAU を TAU で割り、さらに表面積で割ります。</v>
      </c>
      <c r="K840" s="1" t="str">
        <f>IFERROR(__xludf.DUMMYFUNCTION("GOOGLETRANSLATE(G840,""EN"",""JA"")"),"表面積で正規化した平均濃度")</f>
        <v>表面積で正規化した平均濃度</v>
      </c>
    </row>
    <row r="841" ht="13.5" customHeight="1">
      <c r="A841" s="1" t="s">
        <v>870</v>
      </c>
      <c r="B841" s="1" t="s">
        <v>4245</v>
      </c>
      <c r="C841" s="1" t="s">
        <v>4246</v>
      </c>
      <c r="D841" s="1" t="s">
        <v>4247</v>
      </c>
      <c r="E841" s="1" t="s">
        <v>4247</v>
      </c>
      <c r="F841" s="1" t="s">
        <v>4248</v>
      </c>
      <c r="G841" s="1" t="s">
        <v>4249</v>
      </c>
      <c r="H841" s="1" t="str">
        <f>IFERROR(__xludf.DUMMYFUNCTION("GOOGLETRANSLATE(D841,""EN"",""JA"")"),"平均コンクトラフ")</f>
        <v>平均コンクトラフ</v>
      </c>
      <c r="I841" s="1" t="str">
        <f>IFERROR(__xludf.DUMMYFUNCTION("GOOGLETRANSLATE(E841,""EN"",""JA"")"),"平均コンクトラフ")</f>
        <v>平均コンクトラフ</v>
      </c>
      <c r="J841" s="1" t="str">
        <f>IFERROR(__xludf.DUMMYFUNCTION("GOOGLETRANSLATE(F841,""EN"",""JA"")"),"2 つ以上のトラフ濃度の算術平均。")</f>
        <v>2 つ以上のトラフ濃度の算術平均。</v>
      </c>
      <c r="K841" s="1" t="str">
        <f>IFERROR(__xludf.DUMMYFUNCTION("GOOGLETRANSLATE(G841,""EN"",""JA"")"),"トラフ濃度の平均")</f>
        <v>トラフ濃度の平均</v>
      </c>
    </row>
    <row r="842" ht="13.5" customHeight="1">
      <c r="A842" s="1" t="s">
        <v>870</v>
      </c>
      <c r="B842" s="1" t="s">
        <v>4250</v>
      </c>
      <c r="C842" s="1" t="s">
        <v>4251</v>
      </c>
      <c r="D842" s="1" t="s">
        <v>4252</v>
      </c>
      <c r="E842" s="1" t="s">
        <v>4252</v>
      </c>
      <c r="F842" s="1" t="s">
        <v>4253</v>
      </c>
      <c r="G842" s="1" t="s">
        <v>4254</v>
      </c>
      <c r="H842" s="1" t="str">
        <f>IFERROR(__xludf.DUMMYFUNCTION("GOOGLETRANSLATE(D842,""EN"",""JA"")"),"重量別平均濃度基準")</f>
        <v>重量別平均濃度基準</v>
      </c>
      <c r="I842" s="1" t="str">
        <f>IFERROR(__xludf.DUMMYFUNCTION("GOOGLETRANSLATE(E842,""EN"",""JA"")"),"重量別平均濃度基準")</f>
        <v>重量別平均濃度基準</v>
      </c>
      <c r="J842" s="1" t="str">
        <f>IFERROR(__xludf.DUMMYFUNCTION("GOOGLETRANSLATE(F842,""EN"",""JA"")"),"AUCTAU を TAU で割り、さらに重量で割ります。")</f>
        <v>AUCTAU を TAU で割り、さらに重量で割ります。</v>
      </c>
      <c r="K842" s="1" t="str">
        <f>IFERROR(__xludf.DUMMYFUNCTION("GOOGLETRANSLATE(G842,""EN"",""JA"")"),"重量で正規化された平均濃度")</f>
        <v>重量で正規化された平均濃度</v>
      </c>
    </row>
    <row r="843" ht="13.5" customHeight="1">
      <c r="A843" s="1" t="s">
        <v>870</v>
      </c>
      <c r="B843" s="1" t="s">
        <v>4255</v>
      </c>
      <c r="C843" s="1" t="s">
        <v>4256</v>
      </c>
      <c r="D843" s="1" t="s">
        <v>4257</v>
      </c>
      <c r="E843" s="1" t="s">
        <v>4258</v>
      </c>
      <c r="F843" s="1" t="s">
        <v>4259</v>
      </c>
      <c r="G843" s="1" t="s">
        <v>4260</v>
      </c>
      <c r="H843" s="1" t="str">
        <f>IFERROR(__xludf.DUMMYFUNCTION("GOOGLETRANSLATE(D843,""EN"",""JA"")"),"用量/体重別のCAVGINT正常値")</f>
        <v>用量/体重別のCAVGINT正常値</v>
      </c>
      <c r="I843" s="1" t="str">
        <f>IFERROR(__xludf.DUMMYFUNCTION("GOOGLETRANSLATE(E843,""EN"",""JA"")"),"体重あたりの投与量によるT1からT2までの平均濃度の正常値; 投与量/体重によるCAVGINTの正常値")</f>
        <v>体重あたりの投与量によるT1からT2までの平均濃度の正常値; 投与量/体重によるCAVGINTの正常値</v>
      </c>
      <c r="J843" s="1" t="str">
        <f>IFERROR(__xludf.DUMMYFUNCTION("GOOGLETRANSLATE(F843,""EN"",""JA"")"),"T1 から T2 までの間隔における曲線の下の面積 (AUCINT) を間隔の長さで割り、さらに体重調整投与量で割った値。")</f>
        <v>T1 から T2 までの間隔における曲線の下の面積 (AUCINT) を間隔の長さで割り、さらに体重調整投与量で割った値。</v>
      </c>
      <c r="K843" s="1" t="str">
        <f>IFERROR(__xludf.DUMMYFUNCTION("GOOGLETRANSLATE(G843,""EN"",""JA"")"),"体重調整投与量で正規化されたT1からT2までの平均濃度")</f>
        <v>体重調整投与量で正規化されたT1からT2までの平均濃度</v>
      </c>
    </row>
    <row r="844" ht="13.5" customHeight="1">
      <c r="A844" s="1" t="s">
        <v>11</v>
      </c>
      <c r="B844" s="1" t="s">
        <v>4261</v>
      </c>
      <c r="C844" s="1" t="s">
        <v>4262</v>
      </c>
      <c r="D844" s="1" t="s">
        <v>4263</v>
      </c>
      <c r="E844" s="1" t="s">
        <v>4264</v>
      </c>
      <c r="F844" s="1" t="s">
        <v>4265</v>
      </c>
      <c r="G844" s="1" t="s">
        <v>4266</v>
      </c>
      <c r="H844" s="1" t="str">
        <f>IFERROR(__xludf.DUMMYFUNCTION("GOOGLETRANSLATE(D844,""EN"",""JA"")"),"補数Ba")</f>
        <v>補数Ba</v>
      </c>
      <c r="I844" s="1" t="str">
        <f>IFERROR(__xludf.DUMMYFUNCTION("GOOGLETRANSLATE(E844,""EN"",""JA"")"),"補体B因子のBaフラグメント; B因子のBaフラグメント; 補体Ba")</f>
        <v>補体B因子のBaフラグメント; B因子のBaフラグメント; 補体Ba</v>
      </c>
      <c r="J844" s="1" t="str">
        <f>IFERROR(__xludf.DUMMYFUNCTION("GOOGLETRANSLATE(F844,""EN"",""JA"")"),"生物標本中の補体因子BのBaフラグメントの測定。")</f>
        <v>生物標本中の補体因子BのBaフラグメントの測定。</v>
      </c>
      <c r="K844" s="1" t="str">
        <f>IFERROR(__xludf.DUMMYFUNCTION("GOOGLETRANSLATE(G844,""EN"",""JA"")"),"補体Ba測定")</f>
        <v>補体Ba測定</v>
      </c>
    </row>
    <row r="845" ht="13.5" customHeight="1">
      <c r="A845" s="1" t="s">
        <v>11</v>
      </c>
      <c r="B845" s="1" t="s">
        <v>4267</v>
      </c>
      <c r="C845" s="1" t="s">
        <v>4268</v>
      </c>
      <c r="D845" s="1" t="s">
        <v>4269</v>
      </c>
      <c r="E845" s="1" t="s">
        <v>4270</v>
      </c>
      <c r="F845" s="1" t="s">
        <v>4271</v>
      </c>
      <c r="G845" s="1" t="s">
        <v>4272</v>
      </c>
      <c r="H845" s="1" t="str">
        <f>IFERROR(__xludf.DUMMYFUNCTION("GOOGLETRANSLATE(D845,""EN"",""JA"")"),"炭酸脱水酵素9")</f>
        <v>炭酸脱水酵素9</v>
      </c>
      <c r="I845" s="1" t="str">
        <f>IFERROR(__xludf.DUMMYFUNCTION("GOOGLETRANSLATE(E845,""EN"",""JA"")"),"CA9; CAIX; 炭酸脱水酵素9")</f>
        <v>CA9; CAIX; 炭酸脱水酵素9</v>
      </c>
      <c r="J845" s="1" t="str">
        <f>IFERROR(__xludf.DUMMYFUNCTION("GOOGLETRANSLATE(F845,""EN"",""JA"")"),"生物標本中の炭酸脱水酵素9の測定。")</f>
        <v>生物標本中の炭酸脱水酵素9の測定。</v>
      </c>
      <c r="K845" s="1" t="str">
        <f>IFERROR(__xludf.DUMMYFUNCTION("GOOGLETRANSLATE(G845,""EN"",""JA"")"),"炭酸脱水酵素9の測定")</f>
        <v>炭酸脱水酵素9の測定</v>
      </c>
    </row>
    <row r="846" ht="13.5" customHeight="1">
      <c r="A846" s="1" t="s">
        <v>11</v>
      </c>
      <c r="B846" s="1" t="s">
        <v>4273</v>
      </c>
      <c r="C846" s="1" t="s">
        <v>4274</v>
      </c>
      <c r="D846" s="1" t="s">
        <v>4275</v>
      </c>
      <c r="E846" s="1" t="s">
        <v>4276</v>
      </c>
      <c r="F846" s="1" t="s">
        <v>4277</v>
      </c>
      <c r="G846" s="1" t="s">
        <v>4278</v>
      </c>
      <c r="H846" s="1" t="str">
        <f>IFERROR(__xludf.DUMMYFUNCTION("GOOGLETRANSLATE(D846,""EN"",""JA"")"),"補数Bb")</f>
        <v>補数Bb</v>
      </c>
      <c r="I846" s="1" t="str">
        <f>IFERROR(__xludf.DUMMYFUNCTION("GOOGLETRANSLATE(E846,""EN"",""JA"")"),"補体B因子のBbフラグメント; B因子のBbフラグメント; 補体Bb")</f>
        <v>補体B因子のBbフラグメント; B因子のBbフラグメント; 補体Bb</v>
      </c>
      <c r="J846" s="1" t="str">
        <f>IFERROR(__xludf.DUMMYFUNCTION("GOOGLETRANSLATE(F846,""EN"",""JA"")"),"生物標本中の補体因子 B の Bb フラグメントの測定。")</f>
        <v>生物標本中の補体因子 B の Bb フラグメントの測定。</v>
      </c>
      <c r="K846" s="1" t="str">
        <f>IFERROR(__xludf.DUMMYFUNCTION("GOOGLETRANSLATE(G846,""EN"",""JA"")"),"補体Bb測定")</f>
        <v>補体Bb測定</v>
      </c>
    </row>
    <row r="847" ht="13.5" customHeight="1">
      <c r="A847" s="1" t="s">
        <v>67</v>
      </c>
      <c r="B847" s="1" t="s">
        <v>4279</v>
      </c>
      <c r="C847" s="1" t="s">
        <v>4280</v>
      </c>
      <c r="D847" s="1" t="s">
        <v>4281</v>
      </c>
      <c r="E847" s="1" t="s">
        <v>4281</v>
      </c>
      <c r="F847" s="1" t="s">
        <v>4282</v>
      </c>
      <c r="G847" s="1" t="s">
        <v>4283</v>
      </c>
      <c r="H847" s="1" t="str">
        <f>IFERROR(__xludf.DUMMYFUNCTION("GOOGLETRANSLATE(D847,""EN"",""JA"")"),"ボツリヌス菌")</f>
        <v>ボツリヌス菌</v>
      </c>
      <c r="I847" s="1" t="str">
        <f>IFERROR(__xludf.DUMMYFUNCTION("GOOGLETRANSLATE(E847,""EN"",""JA"")"),"ボツリヌス菌")</f>
        <v>ボツリヌス菌</v>
      </c>
      <c r="J847" s="1" t="str">
        <f>IFERROR(__xludf.DUMMYFUNCTION("GOOGLETRANSLATE(F847,""EN"",""JA"")"),"生物標本中のボツリヌス菌の測定。")</f>
        <v>生物標本中のボツリヌス菌の測定。</v>
      </c>
      <c r="K847" s="1" t="str">
        <f>IFERROR(__xludf.DUMMYFUNCTION("GOOGLETRANSLATE(G847,""EN"",""JA"")"),"ボツリヌス菌測定")</f>
        <v>ボツリヌス菌測定</v>
      </c>
    </row>
    <row r="848" ht="13.5" customHeight="1">
      <c r="A848" s="1" t="s">
        <v>67</v>
      </c>
      <c r="B848" s="1" t="s">
        <v>4284</v>
      </c>
      <c r="C848" s="1" t="s">
        <v>4285</v>
      </c>
      <c r="D848" s="1" t="s">
        <v>4286</v>
      </c>
      <c r="E848" s="1" t="s">
        <v>4286</v>
      </c>
      <c r="F848" s="1" t="s">
        <v>4287</v>
      </c>
      <c r="G848" s="1" t="s">
        <v>4288</v>
      </c>
      <c r="H848" s="1" t="str">
        <f>IFERROR(__xludf.DUMMYFUNCTION("GOOGLETRANSLATE(D848,""EN"",""JA"")"),"シトロバクター・ブラキ")</f>
        <v>シトロバクター・ブラキ</v>
      </c>
      <c r="I848" s="1" t="str">
        <f>IFERROR(__xludf.DUMMYFUNCTION("GOOGLETRANSLATE(E848,""EN"",""JA"")"),"シトロバクター・ブラキ")</f>
        <v>シトロバクター・ブラキ</v>
      </c>
      <c r="J848" s="1" t="str">
        <f>IFERROR(__xludf.DUMMYFUNCTION("GOOGLETRANSLATE(F848,""EN"",""JA"")"),"生物標本中の Citrobacter braakii の測定。")</f>
        <v>生物標本中の Citrobacter braakii の測定。</v>
      </c>
      <c r="K848" s="1" t="str">
        <f>IFERROR(__xludf.DUMMYFUNCTION("GOOGLETRANSLATE(G848,""EN"",""JA"")"),"シトロバクター・ブラキイ測定")</f>
        <v>シトロバクター・ブラキイ測定</v>
      </c>
    </row>
    <row r="849" ht="13.5" customHeight="1">
      <c r="A849" s="1" t="s">
        <v>11</v>
      </c>
      <c r="B849" s="1" t="s">
        <v>4289</v>
      </c>
      <c r="C849" s="1" t="s">
        <v>4290</v>
      </c>
      <c r="D849" s="1" t="s">
        <v>4291</v>
      </c>
      <c r="E849" s="1" t="s">
        <v>4291</v>
      </c>
      <c r="F849" s="1" t="s">
        <v>4292</v>
      </c>
      <c r="G849" s="1" t="s">
        <v>4293</v>
      </c>
      <c r="H849" s="1" t="str">
        <f>IFERROR(__xludf.DUMMYFUNCTION("GOOGLETRANSLATE(D849,""EN"",""JA"")"),"シスタチオニンβシンターゼ")</f>
        <v>シスタチオニンβシンターゼ</v>
      </c>
      <c r="I849" s="1" t="str">
        <f>IFERROR(__xludf.DUMMYFUNCTION("GOOGLETRANSLATE(E849,""EN"",""JA"")"),"シスタチオニンβシンターゼ")</f>
        <v>シスタチオニンβシンターゼ</v>
      </c>
      <c r="J849" s="1" t="str">
        <f>IFERROR(__xludf.DUMMYFUNCTION("GOOGLETRANSLATE(F849,""EN"",""JA"")"),"生物標本中のシスタチオニン ベータ シンターゼの測定。")</f>
        <v>生物標本中のシスタチオニン ベータ シンターゼの測定。</v>
      </c>
      <c r="K849" s="1" t="str">
        <f>IFERROR(__xludf.DUMMYFUNCTION("GOOGLETRANSLATE(G849,""EN"",""JA"")"),"シスタチオニンβシンターゼ測定")</f>
        <v>シスタチオニンβシンターゼ測定</v>
      </c>
    </row>
    <row r="850" ht="13.5" customHeight="1">
      <c r="A850" s="1" t="s">
        <v>67</v>
      </c>
      <c r="B850" s="1" t="s">
        <v>4294</v>
      </c>
      <c r="C850" s="1" t="s">
        <v>4295</v>
      </c>
      <c r="D850" s="1" t="s">
        <v>4296</v>
      </c>
      <c r="E850" s="1" t="s">
        <v>4296</v>
      </c>
      <c r="F850" s="1" t="s">
        <v>4297</v>
      </c>
      <c r="G850" s="1" t="s">
        <v>4298</v>
      </c>
      <c r="H850" s="1" t="str">
        <f>IFERROR(__xludf.DUMMYFUNCTION("GOOGLETRANSLATE(D850,""EN"",""JA"")"),"シクロスポラ・カイエタネンシスDNA")</f>
        <v>シクロスポラ・カイエタネンシスDNA</v>
      </c>
      <c r="I850" s="1" t="str">
        <f>IFERROR(__xludf.DUMMYFUNCTION("GOOGLETRANSLATE(E850,""EN"",""JA"")"),"シクロスポラ・カイエタネンシスDNA")</f>
        <v>シクロスポラ・カイエタネンシスDNA</v>
      </c>
      <c r="J850" s="1" t="str">
        <f>IFERROR(__xludf.DUMMYFUNCTION("GOOGLETRANSLATE(F850,""EN"",""JA"")"),"生物標本中の Cyclospora cayetanensis DNA の測定。")</f>
        <v>生物標本中の Cyclospora cayetanensis DNA の測定。</v>
      </c>
      <c r="K850" s="1" t="str">
        <f>IFERROR(__xludf.DUMMYFUNCTION("GOOGLETRANSLATE(G850,""EN"",""JA"")"),"シクロスポラ・カエタネンシスのDNA測定")</f>
        <v>シクロスポラ・カエタネンシスのDNA測定</v>
      </c>
    </row>
    <row r="851" ht="13.5" customHeight="1">
      <c r="A851" s="1" t="s">
        <v>11</v>
      </c>
      <c r="B851" s="1" t="s">
        <v>4299</v>
      </c>
      <c r="C851" s="1" t="s">
        <v>4300</v>
      </c>
      <c r="D851" s="1" t="s">
        <v>4301</v>
      </c>
      <c r="E851" s="1" t="s">
        <v>4302</v>
      </c>
      <c r="F851" s="1" t="s">
        <v>4303</v>
      </c>
      <c r="G851" s="1" t="s">
        <v>4304</v>
      </c>
      <c r="H851" s="1" t="str">
        <f>IFERROR(__xludf.DUMMYFUNCTION("GOOGLETRANSLATE(D851,""EN"",""JA"")"),"コレシストキニン")</f>
        <v>コレシストキニン</v>
      </c>
      <c r="I851" s="1" t="str">
        <f>IFERROR(__xludf.DUMMYFUNCTION("GOOGLETRANSLATE(E851,""EN"",""JA"")"),"コレシストキニン; パンクレオジミン")</f>
        <v>コレシストキニン; パンクレオジミン</v>
      </c>
      <c r="J851" s="1" t="str">
        <f>IFERROR(__xludf.DUMMYFUNCTION("GOOGLETRANSLATE(F851,""EN"",""JA"")"),"生物標本中のコレシストキニン ホルモンの測定。")</f>
        <v>生物標本中のコレシストキニン ホルモンの測定。</v>
      </c>
      <c r="K851" s="1" t="str">
        <f>IFERROR(__xludf.DUMMYFUNCTION("GOOGLETRANSLATE(G851,""EN"",""JA"")"),"コレシストキニン測定")</f>
        <v>コレシストキニン測定</v>
      </c>
    </row>
    <row r="852" ht="13.5" customHeight="1">
      <c r="A852" s="1" t="s">
        <v>11</v>
      </c>
      <c r="B852" s="1" t="s">
        <v>4305</v>
      </c>
      <c r="C852" s="1" t="s">
        <v>4306</v>
      </c>
      <c r="D852" s="1" t="s">
        <v>4307</v>
      </c>
      <c r="E852" s="1" t="s">
        <v>4308</v>
      </c>
      <c r="F852" s="1" t="s">
        <v>4309</v>
      </c>
      <c r="G852" s="1" t="s">
        <v>4310</v>
      </c>
      <c r="H852" s="1" t="str">
        <f>IFERROR(__xludf.DUMMYFUNCTION("GOOGLETRANSLATE(D852,""EN"",""JA"")"),"ケモカイン（C-Cモチーフ）リガンド1")</f>
        <v>ケモカイン（C-Cモチーフ）リガンド1</v>
      </c>
      <c r="I852" s="1" t="str">
        <f>IFERROR(__xludf.DUMMYFUNCTION("GOOGLETRANSLATE(E852,""EN"",""JA"")"),"ケモカイン（C-Cモチーフ）リガンド1; I-309; SCYA1; 低分子誘導性サイトカインA1; Tリンパ球分泌タンパク質I-309")</f>
        <v>ケモカイン（C-Cモチーフ）リガンド1; I-309; SCYA1; 低分子誘導性サイトカインA1; Tリンパ球分泌タンパク質I-309</v>
      </c>
      <c r="J852" s="1" t="str">
        <f>IFERROR(__xludf.DUMMYFUNCTION("GOOGLETRANSLATE(F852,""EN"",""JA"")"),"生物標本中のケモカイン（C-C モチーフ）リガンド 1 である CCL1 の測定。")</f>
        <v>生物標本中のケモカイン（C-C モチーフ）リガンド 1 である CCL1 の測定。</v>
      </c>
      <c r="K852" s="1" t="str">
        <f>IFERROR(__xludf.DUMMYFUNCTION("GOOGLETRANSLATE(G852,""EN"",""JA"")"),"ケモカイン（C-Cモチーフ）リガンド1の測定")</f>
        <v>ケモカイン（C-Cモチーフ）リガンド1の測定</v>
      </c>
    </row>
    <row r="853" ht="13.5" customHeight="1">
      <c r="A853" s="1" t="s">
        <v>11</v>
      </c>
      <c r="B853" s="1" t="s">
        <v>4311</v>
      </c>
      <c r="C853" s="1" t="s">
        <v>4312</v>
      </c>
      <c r="D853" s="1" t="s">
        <v>4313</v>
      </c>
      <c r="E853" s="1" t="s">
        <v>4314</v>
      </c>
      <c r="F853" s="1" t="s">
        <v>4315</v>
      </c>
      <c r="G853" s="1" t="s">
        <v>4316</v>
      </c>
      <c r="H853" s="1" t="str">
        <f>IFERROR(__xludf.DUMMYFUNCTION("GOOGLETRANSLATE(D853,""EN"",""JA"")"),"ケモカイン（C-Cモチーフ）リガンド12")</f>
        <v>ケモカイン（C-Cモチーフ）リガンド12</v>
      </c>
      <c r="I853" s="1" t="str">
        <f>IFERROR(__xludf.DUMMYFUNCTION("GOOGLETRANSLATE(E853,""EN"",""JA"")"),"ケモカイン（C-Cモチーフ）リガンド12; 単球走化性タンパク質5")</f>
        <v>ケモカイン（C-Cモチーフ）リガンド12; 単球走化性タンパク質5</v>
      </c>
      <c r="J853" s="1" t="str">
        <f>IFERROR(__xludf.DUMMYFUNCTION("GOOGLETRANSLATE(F853,""EN"",""JA"")"),"生物標本中のケモカイン（C-C モチーフ）リガンド 12 である CCL12 の測定。")</f>
        <v>生物標本中のケモカイン（C-C モチーフ）リガンド 12 である CCL12 の測定。</v>
      </c>
      <c r="K853" s="1" t="str">
        <f>IFERROR(__xludf.DUMMYFUNCTION("GOOGLETRANSLATE(G853,""EN"",""JA"")"),"ケモカイン（C-Cモチーフ）リガンド12の測定")</f>
        <v>ケモカイン（C-Cモチーフ）リガンド12の測定</v>
      </c>
    </row>
    <row r="854" ht="13.5" customHeight="1">
      <c r="A854" s="1" t="s">
        <v>11</v>
      </c>
      <c r="B854" s="1" t="s">
        <v>4317</v>
      </c>
      <c r="C854" s="1" t="s">
        <v>4318</v>
      </c>
      <c r="D854" s="1" t="s">
        <v>4319</v>
      </c>
      <c r="E854" s="1" t="s">
        <v>4320</v>
      </c>
      <c r="F854" s="1" t="s">
        <v>4321</v>
      </c>
      <c r="G854" s="1" t="s">
        <v>4322</v>
      </c>
      <c r="H854" s="1" t="str">
        <f>IFERROR(__xludf.DUMMYFUNCTION("GOOGLETRANSLATE(D854,""EN"",""JA"")"),"ケモカイン（C-Cモチーフ）リガンド13")</f>
        <v>ケモカイン（C-Cモチーフ）リガンド13</v>
      </c>
      <c r="I854" s="1" t="str">
        <f>IFERROR(__xludf.DUMMYFUNCTION("GOOGLETRANSLATE(E854,""EN"",""JA"")"),"C-Cモチーフケモカインリガンド13; ケモカイン（C-Cモチーフ）リガンド13; CKb10; MCP-4; NCC1; SCYA13; SCYL1")</f>
        <v>C-Cモチーフケモカインリガンド13; ケモカイン（C-Cモチーフ）リガンド13; CKb10; MCP-4; NCC1; SCYA13; SCYL1</v>
      </c>
      <c r="J854" s="1" t="str">
        <f>IFERROR(__xludf.DUMMYFUNCTION("GOOGLETRANSLATE(F854,""EN"",""JA"")"),"生物標本中のケモカイン（C-C モチーフ）リガンド 13 である CCL13 の測定。")</f>
        <v>生物標本中のケモカイン（C-C モチーフ）リガンド 13 である CCL13 の測定。</v>
      </c>
      <c r="K854" s="1" t="str">
        <f>IFERROR(__xludf.DUMMYFUNCTION("GOOGLETRANSLATE(G854,""EN"",""JA"")"),"ケモカイン（C-Cモチーフ）リガンド13の測定")</f>
        <v>ケモカイン（C-Cモチーフ）リガンド13の測定</v>
      </c>
    </row>
    <row r="855" ht="13.5" customHeight="1">
      <c r="A855" s="1" t="s">
        <v>11</v>
      </c>
      <c r="B855" s="1" t="s">
        <v>4323</v>
      </c>
      <c r="C855" s="1" t="s">
        <v>4324</v>
      </c>
      <c r="D855" s="1" t="s">
        <v>4325</v>
      </c>
      <c r="E855" s="1" t="s">
        <v>4326</v>
      </c>
      <c r="F855" s="1" t="s">
        <v>4327</v>
      </c>
      <c r="G855" s="1" t="s">
        <v>4328</v>
      </c>
      <c r="H855" s="1" t="str">
        <f>IFERROR(__xludf.DUMMYFUNCTION("GOOGLETRANSLATE(D855,""EN"",""JA"")"),"ケモカイン（C-Cモチーフ）リガンド15")</f>
        <v>ケモカイン（C-Cモチーフ）リガンド15</v>
      </c>
      <c r="I855" s="1" t="str">
        <f>IFERROR(__xludf.DUMMYFUNCTION("GOOGLETRANSLATE(E855,""EN"",""JA"")"),"ケモカイン（C-Cモチーフ）リガンド15; ロイコタクチン1; マクロファージ炎症性タンパク質-5; MIP-1デ​​ルタ; MIP1D; MIP5")</f>
        <v>ケモカイン（C-Cモチーフ）リガンド15; ロイコタクチン1; マクロファージ炎症性タンパク質-5; MIP-1デ​​ルタ; MIP1D; MIP5</v>
      </c>
      <c r="J855" s="1" t="str">
        <f>IFERROR(__xludf.DUMMYFUNCTION("GOOGLETRANSLATE(F855,""EN"",""JA"")"),"生物標本中のケモカイン（C-C モチーフ）リガンド 15 である CCL15 の測定。")</f>
        <v>生物標本中のケモカイン（C-C モチーフ）リガンド 15 である CCL15 の測定。</v>
      </c>
      <c r="K855" s="1" t="str">
        <f>IFERROR(__xludf.DUMMYFUNCTION("GOOGLETRANSLATE(G855,""EN"",""JA"")"),"ケモカイン（C-Cモチーフ）リガンド15の測定")</f>
        <v>ケモカイン（C-Cモチーフ）リガンド15の測定</v>
      </c>
    </row>
    <row r="856" ht="13.5" customHeight="1">
      <c r="A856" s="1" t="s">
        <v>11</v>
      </c>
      <c r="B856" s="1" t="s">
        <v>4329</v>
      </c>
      <c r="C856" s="1" t="s">
        <v>4330</v>
      </c>
      <c r="D856" s="1" t="s">
        <v>4331</v>
      </c>
      <c r="E856" s="1" t="s">
        <v>4332</v>
      </c>
      <c r="F856" s="1" t="s">
        <v>4333</v>
      </c>
      <c r="G856" s="1" t="s">
        <v>4334</v>
      </c>
      <c r="H856" s="1" t="str">
        <f>IFERROR(__xludf.DUMMYFUNCTION("GOOGLETRANSLATE(D856,""EN"",""JA"")"),"ケモカイン（C-Cモチーフ）リガンド16")</f>
        <v>ケモカイン（C-Cモチーフ）リガンド16</v>
      </c>
      <c r="I856" s="1" t="str">
        <f>IFERROR(__xludf.DUMMYFUNCTION("GOOGLETRANSLATE(E856,""EN"",""JA"")"),"ケモカイン（C-Cモチーフ）リガンド16; ケモカインCC-4; CKb12; HCC-4; ILINCK; LCC-1; LEC; LMC; Mtn-1; NCC4; SCYA16; SCYL4")</f>
        <v>ケモカイン（C-Cモチーフ）リガンド16; ケモカインCC-4; CKb12; HCC-4; ILINCK; LCC-1; LEC; LMC; Mtn-1; NCC4; SCYA16; SCYL4</v>
      </c>
      <c r="J856" s="1" t="str">
        <f>IFERROR(__xludf.DUMMYFUNCTION("GOOGLETRANSLATE(F856,""EN"",""JA"")"),"生物標本中のケモカイン（C-C モチーフ）リガンド 16 である CCL16 の測定。")</f>
        <v>生物標本中のケモカイン（C-C モチーフ）リガンド 16 である CCL16 の測定。</v>
      </c>
      <c r="K856" s="1" t="str">
        <f>IFERROR(__xludf.DUMMYFUNCTION("GOOGLETRANSLATE(G856,""EN"",""JA"")"),"ケモカイン（C-Cモチーフ）リガンド16の測定")</f>
        <v>ケモカイン（C-Cモチーフ）リガンド16の測定</v>
      </c>
    </row>
    <row r="857" ht="13.5" customHeight="1">
      <c r="A857" s="1" t="s">
        <v>11</v>
      </c>
      <c r="B857" s="1" t="s">
        <v>4335</v>
      </c>
      <c r="C857" s="1" t="s">
        <v>4336</v>
      </c>
      <c r="D857" s="1" t="s">
        <v>4337</v>
      </c>
      <c r="E857" s="1" t="s">
        <v>4338</v>
      </c>
      <c r="F857" s="1" t="s">
        <v>4339</v>
      </c>
      <c r="G857" s="1" t="s">
        <v>4340</v>
      </c>
      <c r="H857" s="1" t="str">
        <f>IFERROR(__xludf.DUMMYFUNCTION("GOOGLETRANSLATE(D857,""EN"",""JA"")"),"ケモカイン（C-Cモチーフ）リガンド17")</f>
        <v>ケモカイン（C-Cモチーフ）リガンド17</v>
      </c>
      <c r="I857" s="1" t="str">
        <f>IFERROR(__xludf.DUMMYFUNCTION("GOOGLETRANSLATE(E857,""EN"",""JA"")"),"ABCD-2; ケモカイン（C-Cモチーフ）リガンド17; SCYA17; TARC; 胸腺および活性化制御ケモカイン")</f>
        <v>ABCD-2; ケモカイン（C-Cモチーフ）リガンド17; SCYA17; TARC; 胸腺および活性化制御ケモカイン</v>
      </c>
      <c r="J857" s="1" t="str">
        <f>IFERROR(__xludf.DUMMYFUNCTION("GOOGLETRANSLATE(F857,""EN"",""JA"")"),"生物標本中のケモカイン（C-C モチーフ）リガンド 17 である CCL17 の測定。")</f>
        <v>生物標本中のケモカイン（C-C モチーフ）リガンド 17 である CCL17 の測定。</v>
      </c>
      <c r="K857" s="1" t="str">
        <f>IFERROR(__xludf.DUMMYFUNCTION("GOOGLETRANSLATE(G857,""EN"",""JA"")"),"ケモカイン（C-Cモチーフ）リガンド17の測定")</f>
        <v>ケモカイン（C-Cモチーフ）リガンド17の測定</v>
      </c>
    </row>
    <row r="858" ht="13.5" customHeight="1">
      <c r="A858" s="1" t="s">
        <v>11</v>
      </c>
      <c r="B858" s="1" t="s">
        <v>4341</v>
      </c>
      <c r="C858" s="1" t="s">
        <v>4342</v>
      </c>
      <c r="D858" s="1" t="s">
        <v>4343</v>
      </c>
      <c r="E858" s="1" t="s">
        <v>4344</v>
      </c>
      <c r="F858" s="1" t="s">
        <v>4345</v>
      </c>
      <c r="G858" s="1" t="s">
        <v>4346</v>
      </c>
      <c r="H858" s="1" t="str">
        <f>IFERROR(__xludf.DUMMYFUNCTION("GOOGLETRANSLATE(D858,""EN"",""JA"")"),"ケモカイン（C-Cモチーフ）リガンド18")</f>
        <v>ケモカイン（C-Cモチーフ）リガンド18</v>
      </c>
      <c r="I858" s="1" t="str">
        <f>IFERROR(__xludf.DUMMYFUNCTION("GOOGLETRANSLATE(E858,""EN"",""JA"")"),"AMAC-1; AMAC1; ケモカイン（C-Cモチーフ）リガンド18; CKB7; DC-CK1; DCCK1; マクロファージ炎症性タンパク質-4; MIP4; PARC; 肺および活性化制御ケモカイン; SCYA18")</f>
        <v>AMAC-1; AMAC1; ケモカイン（C-Cモチーフ）リガンド18; CKB7; DC-CK1; DCCK1; マクロファージ炎症性タンパク質-4; MIP4; PARC; 肺および活性化制御ケモカイン; SCYA18</v>
      </c>
      <c r="J858" s="1" t="str">
        <f>IFERROR(__xludf.DUMMYFUNCTION("GOOGLETRANSLATE(F858,""EN"",""JA"")"),"生物標本中のケモカイン（C-C モチーフ）リガンド 18 である CCL18 の測定。")</f>
        <v>生物標本中のケモカイン（C-C モチーフ）リガンド 18 である CCL18 の測定。</v>
      </c>
      <c r="K858" s="1" t="str">
        <f>IFERROR(__xludf.DUMMYFUNCTION("GOOGLETRANSLATE(G858,""EN"",""JA"")"),"ケモカイン（C-Cモチーフ）リガンド18の測定")</f>
        <v>ケモカイン（C-Cモチーフ）リガンド18の測定</v>
      </c>
    </row>
    <row r="859" ht="13.5" customHeight="1">
      <c r="A859" s="1" t="s">
        <v>11</v>
      </c>
      <c r="B859" s="1" t="s">
        <v>4347</v>
      </c>
      <c r="C859" s="1" t="s">
        <v>4348</v>
      </c>
      <c r="D859" s="1" t="s">
        <v>4349</v>
      </c>
      <c r="E859" s="1" t="s">
        <v>4350</v>
      </c>
      <c r="F859" s="1" t="s">
        <v>4351</v>
      </c>
      <c r="G859" s="1" t="s">
        <v>4352</v>
      </c>
      <c r="H859" s="1" t="str">
        <f>IFERROR(__xludf.DUMMYFUNCTION("GOOGLETRANSLATE(D859,""EN"",""JA"")"),"ケモカイン（C-Cモチーフ）リガンド19")</f>
        <v>ケモカイン（C-Cモチーフ）リガンド19</v>
      </c>
      <c r="I859" s="1" t="str">
        <f>IFERROR(__xludf.DUMMYFUNCTION("GOOGLETRANSLATE(E859,""EN"",""JA"")"),"ケモカイン（C-Cモチーフ）リガンド19; マクロファージ炎症性タンパク質3ベータ; MIP3B")</f>
        <v>ケモカイン（C-Cモチーフ）リガンド19; マクロファージ炎症性タンパク質3ベータ; MIP3B</v>
      </c>
      <c r="J859" s="1" t="str">
        <f>IFERROR(__xludf.DUMMYFUNCTION("GOOGLETRANSLATE(F859,""EN"",""JA"")"),"生物標本中のケモカイン（C-C モチーフ）リガンド 19 である CCL19 の測定。")</f>
        <v>生物標本中のケモカイン（C-C モチーフ）リガンド 19 である CCL19 の測定。</v>
      </c>
      <c r="K859" s="1" t="str">
        <f>IFERROR(__xludf.DUMMYFUNCTION("GOOGLETRANSLATE(G859,""EN"",""JA"")"),"ケモカイン（C-Cモチーフ）リガンド19の測定")</f>
        <v>ケモカイン（C-Cモチーフ）リガンド19の測定</v>
      </c>
    </row>
    <row r="860" ht="13.5" customHeight="1">
      <c r="A860" s="1" t="s">
        <v>11</v>
      </c>
      <c r="B860" s="1" t="s">
        <v>4353</v>
      </c>
      <c r="C860" s="1" t="s">
        <v>4354</v>
      </c>
      <c r="D860" s="1" t="s">
        <v>4355</v>
      </c>
      <c r="E860" s="1" t="s">
        <v>4356</v>
      </c>
      <c r="F860" s="1" t="s">
        <v>4357</v>
      </c>
      <c r="G860" s="1" t="s">
        <v>4358</v>
      </c>
      <c r="H860" s="1" t="str">
        <f>IFERROR(__xludf.DUMMYFUNCTION("GOOGLETRANSLATE(D860,""EN"",""JA"")"),"ケモカイン（C-Cモチーフ）リガンド20")</f>
        <v>ケモカイン（C-Cモチーフ）リガンド20</v>
      </c>
      <c r="I860" s="1" t="str">
        <f>IFERROR(__xludf.DUMMYFUNCTION("GOOGLETRANSLATE(E860,""EN"",""JA"")"),"CCL20; ケモカイン（C-Cモチーフ）リガンド20; LARC; 肝活性化制御ケモカイン; マクロファージ炎症性タンパク質-3α; MIP3A")</f>
        <v>CCL20; ケモカイン（C-Cモチーフ）リガンド20; LARC; 肝活性化制御ケモカイン; マクロファージ炎症性タンパク質-3α; MIP3A</v>
      </c>
      <c r="J860" s="1" t="str">
        <f>IFERROR(__xludf.DUMMYFUNCTION("GOOGLETRANSLATE(F860,""EN"",""JA"")"),"生物標本中のケモカイン（C-C モチーフ）リガンド 20 の測定。")</f>
        <v>生物標本中のケモカイン（C-C モチーフ）リガンド 20 の測定。</v>
      </c>
      <c r="K860" s="1" t="str">
        <f>IFERROR(__xludf.DUMMYFUNCTION("GOOGLETRANSLATE(G860,""EN"",""JA"")"),"ケモカイン（C-Cモチーフ）リガンド20の測定")</f>
        <v>ケモカイン（C-Cモチーフ）リガンド20の測定</v>
      </c>
    </row>
    <row r="861" ht="13.5" customHeight="1">
      <c r="A861" s="1" t="s">
        <v>11</v>
      </c>
      <c r="B861" s="1" t="s">
        <v>4359</v>
      </c>
      <c r="C861" s="1" t="s">
        <v>4360</v>
      </c>
      <c r="D861" s="1" t="s">
        <v>4361</v>
      </c>
      <c r="E861" s="1" t="s">
        <v>4362</v>
      </c>
      <c r="F861" s="1" t="s">
        <v>4363</v>
      </c>
      <c r="G861" s="1" t="s">
        <v>4364</v>
      </c>
      <c r="H861" s="1" t="str">
        <f>IFERROR(__xludf.DUMMYFUNCTION("GOOGLETRANSLATE(D861,""EN"",""JA"")"),"ケモカイン（C-Cモチーフ）リガンド21")</f>
        <v>ケモカイン（C-Cモチーフ）リガンド21</v>
      </c>
      <c r="I861" s="1" t="str">
        <f>IFERROR(__xludf.DUMMYFUNCTION("GOOGLETRANSLATE(E861,""EN"",""JA"")"),"6Ckine; ケモカイン（C-Cモチーフ）リガンド21; 二次リンパ組織ケモカイン")</f>
        <v>6Ckine; ケモカイン（C-Cモチーフ）リガンド21; 二次リンパ組織ケモカイン</v>
      </c>
      <c r="J861" s="1" t="str">
        <f>IFERROR(__xludf.DUMMYFUNCTION("GOOGLETRANSLATE(F861,""EN"",""JA"")"),"生物標本中のケモカイン（C-C モチーフ）リガンド 21 である CCL21 の測定。")</f>
        <v>生物標本中のケモカイン（C-C モチーフ）リガンド 21 である CCL21 の測定。</v>
      </c>
      <c r="K861" s="1" t="str">
        <f>IFERROR(__xludf.DUMMYFUNCTION("GOOGLETRANSLATE(G861,""EN"",""JA"")"),"ケモカイン（C-Cモチーフ）リガンド21の測定")</f>
        <v>ケモカイン（C-Cモチーフ）リガンド21の測定</v>
      </c>
    </row>
    <row r="862" ht="13.5" customHeight="1">
      <c r="A862" s="1" t="s">
        <v>11</v>
      </c>
      <c r="B862" s="1" t="s">
        <v>4365</v>
      </c>
      <c r="C862" s="1" t="s">
        <v>4366</v>
      </c>
      <c r="D862" s="1" t="s">
        <v>4367</v>
      </c>
      <c r="E862" s="1" t="s">
        <v>4368</v>
      </c>
      <c r="F862" s="1" t="s">
        <v>4369</v>
      </c>
      <c r="G862" s="1" t="s">
        <v>4370</v>
      </c>
      <c r="H862" s="1" t="str">
        <f>IFERROR(__xludf.DUMMYFUNCTION("GOOGLETRANSLATE(D862,""EN"",""JA"")"),"ケモカイン（C-Cモチーフ）リガンド23")</f>
        <v>ケモカイン（C-Cモチーフ）リガンド23</v>
      </c>
      <c r="I862" s="1" t="str">
        <f>IFERROR(__xludf.DUMMYFUNCTION("GOOGLETRANSLATE(E862,""EN"",""JA"")"),"ケモカイン（C-Cモチーフ）リガンド23; CK-BETA-8; Ckb-8-1; CKb8; Hmrp-2a; MIP3; MPIF-1; SCYA23")</f>
        <v>ケモカイン（C-Cモチーフ）リガンド23; CK-BETA-8; Ckb-8-1; CKb8; Hmrp-2a; MIP3; MPIF-1; SCYA23</v>
      </c>
      <c r="J862" s="1" t="str">
        <f>IFERROR(__xludf.DUMMYFUNCTION("GOOGLETRANSLATE(F862,""EN"",""JA"")"),"生物標本中のケモカイン（C-C モチーフ）リガンド 23 である CCL23 の測定。")</f>
        <v>生物標本中のケモカイン（C-C モチーフ）リガンド 23 である CCL23 の測定。</v>
      </c>
      <c r="K862" s="1" t="str">
        <f>IFERROR(__xludf.DUMMYFUNCTION("GOOGLETRANSLATE(G862,""EN"",""JA"")"),"ケモカイン（C-Cモチーフ）リガンド23の測定")</f>
        <v>ケモカイン（C-Cモチーフ）リガンド23の測定</v>
      </c>
    </row>
    <row r="863" ht="13.5" customHeight="1">
      <c r="A863" s="1" t="s">
        <v>11</v>
      </c>
      <c r="B863" s="1" t="s">
        <v>4371</v>
      </c>
      <c r="C863" s="1" t="s">
        <v>4372</v>
      </c>
      <c r="D863" s="1" t="s">
        <v>4373</v>
      </c>
      <c r="E863" s="1" t="s">
        <v>4374</v>
      </c>
      <c r="F863" s="1" t="s">
        <v>4375</v>
      </c>
      <c r="G863" s="1" t="s">
        <v>4376</v>
      </c>
      <c r="H863" s="1" t="str">
        <f>IFERROR(__xludf.DUMMYFUNCTION("GOOGLETRANSLATE(D863,""EN"",""JA"")"),"ケモカイン（C-Cモチーフ）リガンド25")</f>
        <v>ケモカイン（C-Cモチーフ）リガンド25</v>
      </c>
      <c r="I863" s="1" t="str">
        <f>IFERROR(__xludf.DUMMYFUNCTION("GOOGLETRANSLATE(E863,""EN"",""JA"")"),"ケモカイン（C-Cモチーフ）リガンド25; Ckb15; SCYA25; TECK")</f>
        <v>ケモカイン（C-Cモチーフ）リガンド25; Ckb15; SCYA25; TECK</v>
      </c>
      <c r="J863" s="1" t="str">
        <f>IFERROR(__xludf.DUMMYFUNCTION("GOOGLETRANSLATE(F863,""EN"",""JA"")"),"生物標本中のケモカイン（C-C モチーフ）リガンド 25 である CCL25 の測定。")</f>
        <v>生物標本中のケモカイン（C-C モチーフ）リガンド 25 である CCL25 の測定。</v>
      </c>
      <c r="K863" s="1" t="str">
        <f>IFERROR(__xludf.DUMMYFUNCTION("GOOGLETRANSLATE(G863,""EN"",""JA"")"),"ケモカイン（C-Cモチーフ）リガンド25の測定")</f>
        <v>ケモカイン（C-Cモチーフ）リガンド25の測定</v>
      </c>
    </row>
    <row r="864" ht="13.5" customHeight="1">
      <c r="A864" s="1" t="s">
        <v>11</v>
      </c>
      <c r="B864" s="1" t="s">
        <v>4377</v>
      </c>
      <c r="C864" s="1" t="s">
        <v>4378</v>
      </c>
      <c r="D864" s="1" t="s">
        <v>4379</v>
      </c>
      <c r="E864" s="1" t="s">
        <v>4380</v>
      </c>
      <c r="F864" s="1" t="s">
        <v>4381</v>
      </c>
      <c r="G864" s="1" t="s">
        <v>4382</v>
      </c>
      <c r="H864" s="1" t="str">
        <f>IFERROR(__xludf.DUMMYFUNCTION("GOOGLETRANSLATE(D864,""EN"",""JA"")"),"ケモカイン（C-Cモチーフ）リガンド2放出率")</f>
        <v>ケモカイン（C-Cモチーフ）リガンド2放出率</v>
      </c>
      <c r="I864" s="1" t="str">
        <f>IFERROR(__xludf.DUMMYFUNCTION("GOOGLETRANSLATE(E864,""EN"",""JA"")"),"ケモカイン（C-Cモチーフ）リガンド2排泄率；ケモカイン（C-Cモチーフ）リガンド2排泄率；MCP1排泄率")</f>
        <v>ケモカイン（C-Cモチーフ）リガンド2排泄率；ケモカイン（C-Cモチーフ）リガンド2排泄率；MCP1排泄率</v>
      </c>
      <c r="J864" s="1" t="str">
        <f>IFERROR(__xludf.DUMMYFUNCTION("GOOGLETRANSLATE(F864,""EN"",""JA"")"),"定義された期間（例：1 時間）にわたって生物学的標本中に排出されるケモカイン（C-C モチーフ）リガンド 2 の量を測定します。")</f>
        <v>定義された期間（例：1 時間）にわたって生物学的標本中に排出されるケモカイン（C-C モチーフ）リガンド 2 の量を測定します。</v>
      </c>
      <c r="K864" s="1" t="str">
        <f>IFERROR(__xludf.DUMMYFUNCTION("GOOGLETRANSLATE(G864,""EN"",""JA"")"),"ケモカイン（C-Cモチーフ）リガンド2排泄率")</f>
        <v>ケモカイン（C-Cモチーフ）リガンド2排泄率</v>
      </c>
    </row>
    <row r="865" ht="13.5" customHeight="1">
      <c r="A865" s="1" t="s">
        <v>11</v>
      </c>
      <c r="B865" s="1" t="s">
        <v>4383</v>
      </c>
      <c r="C865" s="1" t="s">
        <v>4384</v>
      </c>
      <c r="D865" s="1" t="s">
        <v>4385</v>
      </c>
      <c r="E865" s="1" t="s">
        <v>4386</v>
      </c>
      <c r="F865" s="1" t="s">
        <v>4387</v>
      </c>
      <c r="G865" s="1" t="s">
        <v>4388</v>
      </c>
      <c r="H865" s="1" t="str">
        <f>IFERROR(__xludf.DUMMYFUNCTION("GOOGLETRANSLATE(D865,""EN"",""JA"")"),"ケモカイン（C-Cモチーフ）リガンド7")</f>
        <v>ケモカイン（C-Cモチーフ）リガンド7</v>
      </c>
      <c r="I865" s="1" t="str">
        <f>IFERROR(__xludf.DUMMYFUNCTION("GOOGLETRANSLATE(E865,""EN"",""JA"")"),"ケモカイン（C-Cモチーフ）リガンド7; MCP3; 単球走化性タンパク質3")</f>
        <v>ケモカイン（C-Cモチーフ）リガンド7; MCP3; 単球走化性タンパク質3</v>
      </c>
      <c r="J865" s="1" t="str">
        <f>IFERROR(__xludf.DUMMYFUNCTION("GOOGLETRANSLATE(F865,""EN"",""JA"")"),"生物標本中のケモカイン（C-C モチーフ）リガンド 7 である CCL7 の測定。")</f>
        <v>生物標本中のケモカイン（C-C モチーフ）リガンド 7 である CCL7 の測定。</v>
      </c>
      <c r="K865" s="1" t="str">
        <f>IFERROR(__xludf.DUMMYFUNCTION("GOOGLETRANSLATE(G865,""EN"",""JA"")"),"ケモカイン（C-Cモチーフ）リガンド7の測定")</f>
        <v>ケモカイン（C-Cモチーフ）リガンド7の測定</v>
      </c>
    </row>
    <row r="866" ht="13.5" customHeight="1">
      <c r="A866" s="1" t="s">
        <v>11</v>
      </c>
      <c r="B866" s="1" t="s">
        <v>4389</v>
      </c>
      <c r="C866" s="1" t="s">
        <v>4390</v>
      </c>
      <c r="D866" s="1" t="s">
        <v>4391</v>
      </c>
      <c r="E866" s="1" t="s">
        <v>4392</v>
      </c>
      <c r="F866" s="1" t="s">
        <v>4393</v>
      </c>
      <c r="G866" s="1" t="s">
        <v>4394</v>
      </c>
      <c r="H866" s="1" t="str">
        <f>IFERROR(__xludf.DUMMYFUNCTION("GOOGLETRANSLATE(D866,""EN"",""JA"")"),"ケモカイン（C-Cモチーフ）リガンド8")</f>
        <v>ケモカイン（C-Cモチーフ）リガンド8</v>
      </c>
      <c r="I866" s="1" t="str">
        <f>IFERROR(__xludf.DUMMYFUNCTION("GOOGLETRANSLATE(E866,""EN"",""JA"")"),"ケモカイン（C-Cモチーフ）リガンド8; HC14; MCP2; SCYA10; SCYA8")</f>
        <v>ケモカイン（C-Cモチーフ）リガンド8; HC14; MCP2; SCYA10; SCYA8</v>
      </c>
      <c r="J866" s="1" t="str">
        <f>IFERROR(__xludf.DUMMYFUNCTION("GOOGLETRANSLATE(F866,""EN"",""JA"")"),"生物標本中のケモカイン（C-C モチーフ）リガンド 8 である CCL8 の測定。")</f>
        <v>生物標本中のケモカイン（C-C モチーフ）リガンド 8 である CCL8 の測定。</v>
      </c>
      <c r="K866" s="1" t="str">
        <f>IFERROR(__xludf.DUMMYFUNCTION("GOOGLETRANSLATE(G866,""EN"",""JA"")"),"ケモカイン（C-Cモチーフ）リガンド8の測定")</f>
        <v>ケモカイン（C-Cモチーフ）リガンド8の測定</v>
      </c>
    </row>
    <row r="867" ht="13.5" customHeight="1">
      <c r="A867" s="1" t="s">
        <v>134</v>
      </c>
      <c r="B867" s="1" t="s">
        <v>4395</v>
      </c>
      <c r="C867" s="1" t="s">
        <v>4396</v>
      </c>
      <c r="D867" s="1" t="s">
        <v>4397</v>
      </c>
      <c r="E867" s="1" t="s">
        <v>4398</v>
      </c>
      <c r="F867" s="1" t="s">
        <v>4399</v>
      </c>
      <c r="G867" s="1" t="s">
        <v>4400</v>
      </c>
      <c r="H867" s="1" t="str">
        <f>IFERROR(__xludf.DUMMYFUNCTION("GOOGLETRANSLATE(D867,""EN"",""JA"")"),"サイクリンD1")</f>
        <v>サイクリンD1</v>
      </c>
      <c r="I867" s="1" t="str">
        <f>IFERROR(__xludf.DUMMYFUNCTION("GOOGLETRANSLATE(E867,""EN"",""JA"")"),"B細胞リンパ腫1タンパク質; BCL-1; BCL1; サイクリンD1; G1/S特異的サイクリンD1; 副甲状腺腺腫症1; PRAD1")</f>
        <v>B細胞リンパ腫1タンパク質; BCL-1; BCL1; サイクリンD1; G1/S特異的サイクリンD1; 副甲状腺腺腫症1; PRAD1</v>
      </c>
      <c r="J867" s="1" t="str">
        <f>IFERROR(__xludf.DUMMYFUNCTION("GOOGLETRANSLATE(F867,""EN"",""JA"")"),"生物標本中のサイクリン D1 の測定。")</f>
        <v>生物標本中のサイクリン D1 の測定。</v>
      </c>
      <c r="K867" s="1" t="str">
        <f>IFERROR(__xludf.DUMMYFUNCTION("GOOGLETRANSLATE(G867,""EN"",""JA"")"),"サイクリンD1測定")</f>
        <v>サイクリンD1測定</v>
      </c>
    </row>
    <row r="868" ht="13.5" customHeight="1">
      <c r="A868" s="1" t="s">
        <v>67</v>
      </c>
      <c r="B868" s="1" t="s">
        <v>4401</v>
      </c>
      <c r="C868" s="1" t="s">
        <v>4402</v>
      </c>
      <c r="D868" s="1" t="s">
        <v>4403</v>
      </c>
      <c r="E868" s="1" t="s">
        <v>4403</v>
      </c>
      <c r="F868" s="1" t="s">
        <v>4404</v>
      </c>
      <c r="G868" s="1" t="s">
        <v>4405</v>
      </c>
      <c r="H868" s="1" t="str">
        <f>IFERROR(__xludf.DUMMYFUNCTION("GOOGLETRANSLATE(D868,""EN"",""JA"")"),"カンピロバクター・コリ")</f>
        <v>カンピロバクター・コリ</v>
      </c>
      <c r="I868" s="1" t="str">
        <f>IFERROR(__xludf.DUMMYFUNCTION("GOOGLETRANSLATE(E868,""EN"",""JA"")"),"カンピロバクター・コリ")</f>
        <v>カンピロバクター・コリ</v>
      </c>
      <c r="J868" s="1" t="str">
        <f>IFERROR(__xludf.DUMMYFUNCTION("GOOGLETRANSLATE(F868,""EN"",""JA"")"),"生物標本中のカンピロバクター・コリの測定。")</f>
        <v>生物標本中のカンピロバクター・コリの測定。</v>
      </c>
      <c r="K868" s="1" t="str">
        <f>IFERROR(__xludf.DUMMYFUNCTION("GOOGLETRANSLATE(G868,""EN"",""JA"")"),"カンピロバクター・コリ測定")</f>
        <v>カンピロバクター・コリ測定</v>
      </c>
    </row>
    <row r="869" ht="13.5" customHeight="1">
      <c r="A869" s="1" t="s">
        <v>11</v>
      </c>
      <c r="B869" s="1" t="s">
        <v>4406</v>
      </c>
      <c r="C869" s="1" t="s">
        <v>4407</v>
      </c>
      <c r="D869" s="1" t="s">
        <v>4408</v>
      </c>
      <c r="E869" s="1" t="s">
        <v>4409</v>
      </c>
      <c r="F869" s="1" t="s">
        <v>4410</v>
      </c>
      <c r="G869" s="1" t="s">
        <v>4411</v>
      </c>
      <c r="H869" s="1" t="str">
        <f>IFERROR(__xludf.DUMMYFUNCTION("GOOGLETRANSLATE(D869,""EN"",""JA"")"),"C-Cケモカイン受容体5型")</f>
        <v>C-Cケモカイン受容体5型</v>
      </c>
      <c r="I869" s="1" t="str">
        <f>IFERROR(__xludf.DUMMYFUNCTION("GOOGLETRANSLATE(E869,""EN"",""JA"")"),"C-Cケモカイン受容体5型; 可溶性CD195")</f>
        <v>C-Cケモカイン受容体5型; 可溶性CD195</v>
      </c>
      <c r="J869" s="1" t="str">
        <f>IFERROR(__xludf.DUMMYFUNCTION("GOOGLETRANSLATE(F869,""EN"",""JA"")"),"生物標本中のケモカイン（C-C モチーフ）受容体タイプ 5 である CCR5 の測定。")</f>
        <v>生物標本中のケモカイン（C-C モチーフ）受容体タイプ 5 である CCR5 の測定。</v>
      </c>
      <c r="K869" s="1" t="str">
        <f>IFERROR(__xludf.DUMMYFUNCTION("GOOGLETRANSLATE(G869,""EN"",""JA"")"),"C-Cケモカイン受容体5型測定")</f>
        <v>C-Cケモカイン受容体5型測定</v>
      </c>
    </row>
    <row r="870" ht="13.5" customHeight="1">
      <c r="A870" s="1" t="s">
        <v>134</v>
      </c>
      <c r="B870" s="1" t="s">
        <v>4412</v>
      </c>
      <c r="C870" s="1" t="s">
        <v>4413</v>
      </c>
      <c r="D870" s="1" t="s">
        <v>4414</v>
      </c>
      <c r="E870" s="1" t="s">
        <v>4415</v>
      </c>
      <c r="F870" s="1" t="s">
        <v>4416</v>
      </c>
      <c r="G870" s="1" t="s">
        <v>4417</v>
      </c>
      <c r="H870" s="1" t="str">
        <f>IFERROR(__xludf.DUMMYFUNCTION("GOOGLETRANSLATE(D870,""EN"",""JA"")"),"CD34シアロムチン")</f>
        <v>CD34シアロムチン</v>
      </c>
      <c r="I870" s="1" t="str">
        <f>IFERROR(__xludf.DUMMYFUNCTION("GOOGLETRANSLATE(E870,""EN"",""JA"")"),"CD34; CD34分子; CD34タンパク質; CD34シアロムチン; 造血前駆細胞抗原CD34")</f>
        <v>CD34; CD34分子; CD34タンパク質; CD34シアロムチン; 造血前駆細胞抗原CD34</v>
      </c>
      <c r="J870" s="1" t="str">
        <f>IFERROR(__xludf.DUMMYFUNCTION("GOOGLETRANSLATE(F870,""EN"",""JA"")"),"生物標本中の CD34 シアロムチンの測定。")</f>
        <v>生物標本中の CD34 シアロムチンの測定。</v>
      </c>
      <c r="K870" s="1" t="str">
        <f>IFERROR(__xludf.DUMMYFUNCTION("GOOGLETRANSLATE(G870,""EN"",""JA"")"),"CD34測定")</f>
        <v>CD34測定</v>
      </c>
    </row>
    <row r="871" ht="13.5" customHeight="1">
      <c r="A871" s="1" t="s">
        <v>134</v>
      </c>
      <c r="B871" s="1" t="s">
        <v>4418</v>
      </c>
      <c r="C871" s="1" t="s">
        <v>4419</v>
      </c>
      <c r="D871" s="1" t="s">
        <v>4420</v>
      </c>
      <c r="E871" s="1" t="s">
        <v>4421</v>
      </c>
      <c r="F871" s="1" t="s">
        <v>4422</v>
      </c>
      <c r="G871" s="1" t="s">
        <v>4423</v>
      </c>
      <c r="H871" s="1" t="str">
        <f>IFERROR(__xludf.DUMMYFUNCTION("GOOGLETRANSLATE(D871,""EN"",""JA"")"),"CD3 T細胞マーカー")</f>
        <v>CD3 T細胞マーカー</v>
      </c>
      <c r="I871" s="1" t="str">
        <f>IFERROR(__xludf.DUMMYFUNCTION("GOOGLETRANSLATE(E871,""EN"",""JA"")"),"CD3; CD3複合体; CD3 T細胞マーカー")</f>
        <v>CD3; CD3複合体; CD3 T細胞マーカー</v>
      </c>
      <c r="J871" s="1" t="str">
        <f>IFERROR(__xludf.DUMMYFUNCTION("GOOGLETRANSLATE(F871,""EN"",""JA"")"),"生物学的標本中の CD3 T 細胞マーカーの測定。")</f>
        <v>生物学的標本中の CD3 T 細胞マーカーの測定。</v>
      </c>
      <c r="K871" s="1" t="str">
        <f>IFERROR(__xludf.DUMMYFUNCTION("GOOGLETRANSLATE(G871,""EN"",""JA"")"),"CD3 T細胞マーカー測定")</f>
        <v>CD3 T細胞マーカー測定</v>
      </c>
    </row>
    <row r="872" ht="13.5" customHeight="1">
      <c r="A872" s="1" t="s">
        <v>134</v>
      </c>
      <c r="B872" s="1" t="s">
        <v>4424</v>
      </c>
      <c r="C872" s="1" t="s">
        <v>4425</v>
      </c>
      <c r="D872" s="1" t="s">
        <v>4426</v>
      </c>
      <c r="E872" s="1" t="s">
        <v>4427</v>
      </c>
      <c r="F872" s="1" t="s">
        <v>4428</v>
      </c>
      <c r="G872" s="1" t="s">
        <v>4429</v>
      </c>
      <c r="H872" s="1" t="str">
        <f>IFERROR(__xludf.DUMMYFUNCTION("GOOGLETRANSLATE(D872,""EN"",""JA"")"),"T細胞表面糖タンパク質CD8")</f>
        <v>T細胞表面糖タンパク質CD8</v>
      </c>
      <c r="I872" s="1" t="str">
        <f>IFERROR(__xludf.DUMMYFUNCTION("GOOGLETRANSLATE(E872,""EN"",""JA"")"),"CD8; CD8複合体; T細胞表面糖タンパク質CD8")</f>
        <v>CD8; CD8複合体; T細胞表面糖タンパク質CD8</v>
      </c>
      <c r="J872" s="1" t="str">
        <f>IFERROR(__xludf.DUMMYFUNCTION("GOOGLETRANSLATE(F872,""EN"",""JA"")"),"生物学的標本中の T 細胞表面糖タンパク質 CD8 の測定。")</f>
        <v>生物学的標本中の T 細胞表面糖タンパク質 CD8 の測定。</v>
      </c>
      <c r="K872" s="1" t="str">
        <f>IFERROR(__xludf.DUMMYFUNCTION("GOOGLETRANSLATE(G872,""EN"",""JA"")"),"T細胞表面糖タンパク質CD8測定")</f>
        <v>T細胞表面糖タンパク質CD8測定</v>
      </c>
    </row>
    <row r="873" ht="13.5" customHeight="1">
      <c r="A873" s="1" t="s">
        <v>11</v>
      </c>
      <c r="B873" s="1" t="s">
        <v>4430</v>
      </c>
      <c r="C873" s="1" t="s">
        <v>4431</v>
      </c>
      <c r="D873" s="1" t="s">
        <v>4432</v>
      </c>
      <c r="E873" s="1" t="s">
        <v>4433</v>
      </c>
      <c r="F873" s="1" t="s">
        <v>4434</v>
      </c>
      <c r="G873" s="1" t="s">
        <v>4435</v>
      </c>
      <c r="H873" s="1" t="str">
        <f>IFERROR(__xludf.DUMMYFUNCTION("GOOGLETRANSLATE(D873,""EN"",""JA"")"),"ケノデオキシコール酸")</f>
        <v>ケノデオキシコール酸</v>
      </c>
      <c r="I873" s="1" t="str">
        <f>IFERROR(__xludf.DUMMYFUNCTION("GOOGLETRANSLATE(E873,""EN"",""JA"")"),"ケニック酸; ケノコール酸; ケノデオキシコール酸; ケノデオキシコール酸")</f>
        <v>ケニック酸; ケノコール酸; ケノデオキシコール酸; ケノデオキシコール酸</v>
      </c>
      <c r="J873" s="1" t="str">
        <f>IFERROR(__xludf.DUMMYFUNCTION("GOOGLETRANSLATE(F873,""EN"",""JA"")"),"生物標本中のケノデオキシコール酸の測定。")</f>
        <v>生物標本中のケノデオキシコール酸の測定。</v>
      </c>
      <c r="K873" s="1" t="str">
        <f>IFERROR(__xludf.DUMMYFUNCTION("GOOGLETRANSLATE(G873,""EN"",""JA"")"),"ケノデオキシコール酸測定")</f>
        <v>ケノデオキシコール酸測定</v>
      </c>
    </row>
    <row r="874" ht="13.5" customHeight="1">
      <c r="A874" s="1" t="s">
        <v>11</v>
      </c>
      <c r="B874" s="1" t="s">
        <v>4436</v>
      </c>
      <c r="C874" s="1" t="s">
        <v>4437</v>
      </c>
      <c r="D874" s="1" t="s">
        <v>4438</v>
      </c>
      <c r="E874" s="1" t="s">
        <v>4439</v>
      </c>
      <c r="F874" s="1" t="s">
        <v>4440</v>
      </c>
      <c r="G874" s="1" t="s">
        <v>4441</v>
      </c>
      <c r="H874" s="1" t="str">
        <f>IFERROR(__xludf.DUMMYFUNCTION("GOOGLETRANSLATE(D874,""EN"",""JA"")"),"ケノデオキシコール酸化合物")</f>
        <v>ケノデオキシコール酸化合物</v>
      </c>
      <c r="I874" s="1" t="str">
        <f>IFERROR(__xludf.DUMMYFUNCTION("GOOGLETRANSLATE(E874,""EN"",""JA"")"),"ケノデオキシコール酸化合物; ケノデオキシコール酸化合物")</f>
        <v>ケノデオキシコール酸化合物; ケノデオキシコール酸化合物</v>
      </c>
      <c r="J874" s="1" t="str">
        <f>IFERROR(__xludf.DUMMYFUNCTION("GOOGLETRANSLATE(F874,""EN"",""JA"")"),"生物標本中のケノデオキシコール酸、グリコケノデオキシコール酸、タウロケノデオキシコール酸の測定。")</f>
        <v>生物標本中のケノデオキシコール酸、グリコケノデオキシコール酸、タウロケノデオキシコール酸の測定。</v>
      </c>
      <c r="K874" s="1" t="str">
        <f>IFERROR(__xludf.DUMMYFUNCTION("GOOGLETRANSLATE(G874,""EN"",""JA"")"),"ケノデオキシコール酸化合物の測定")</f>
        <v>ケノデオキシコール酸化合物の測定</v>
      </c>
    </row>
    <row r="875" ht="13.5" customHeight="1">
      <c r="A875" s="1" t="s">
        <v>67</v>
      </c>
      <c r="B875" s="1" t="s">
        <v>4442</v>
      </c>
      <c r="C875" s="1" t="s">
        <v>4443</v>
      </c>
      <c r="D875" s="1" t="s">
        <v>4444</v>
      </c>
      <c r="E875" s="1" t="s">
        <v>4444</v>
      </c>
      <c r="F875" s="1" t="s">
        <v>4445</v>
      </c>
      <c r="G875" s="1" t="s">
        <v>4446</v>
      </c>
      <c r="H875" s="1" t="str">
        <f>IFERROR(__xludf.DUMMYFUNCTION("GOOGLETRANSLATE(D875,""EN"",""JA"")"),"クロストリジウム・ディフィシル")</f>
        <v>クロストリジウム・ディフィシル</v>
      </c>
      <c r="I875" s="1" t="str">
        <f>IFERROR(__xludf.DUMMYFUNCTION("GOOGLETRANSLATE(E875,""EN"",""JA"")"),"クロストリジウム・ディフィシル")</f>
        <v>クロストリジウム・ディフィシル</v>
      </c>
      <c r="J875" s="1" t="str">
        <f>IFERROR(__xludf.DUMMYFUNCTION("GOOGLETRANSLATE(F875,""EN"",""JA"")"),"生物標本中のクロストリジウム・ディフィシルの測定。")</f>
        <v>生物標本中のクロストリジウム・ディフィシルの測定。</v>
      </c>
      <c r="K875" s="1" t="str">
        <f>IFERROR(__xludf.DUMMYFUNCTION("GOOGLETRANSLATE(G875,""EN"",""JA"")"),"クロストリジウム・ディフィシル測定")</f>
        <v>クロストリジウム・ディフィシル測定</v>
      </c>
    </row>
    <row r="876" ht="13.5" customHeight="1">
      <c r="A876" s="1" t="s">
        <v>67</v>
      </c>
      <c r="B876" s="1" t="s">
        <v>4447</v>
      </c>
      <c r="C876" s="1" t="s">
        <v>4448</v>
      </c>
      <c r="D876" s="1" t="s">
        <v>4449</v>
      </c>
      <c r="E876" s="1" t="s">
        <v>4449</v>
      </c>
      <c r="F876" s="1" t="s">
        <v>4450</v>
      </c>
      <c r="G876" s="1" t="s">
        <v>4451</v>
      </c>
      <c r="H876" s="1" t="str">
        <f>IFERROR(__xludf.DUMMYFUNCTION("GOOGLETRANSLATE(D876,""EN"",""JA"")"),"クロストリジウム・ディフィシルA/B毒素")</f>
        <v>クロストリジウム・ディフィシルA/B毒素</v>
      </c>
      <c r="I876" s="1" t="str">
        <f>IFERROR(__xludf.DUMMYFUNCTION("GOOGLETRANSLATE(E876,""EN"",""JA"")"),"クロストリジウム・ディフィシルA/B毒素")</f>
        <v>クロストリジウム・ディフィシルA/B毒素</v>
      </c>
      <c r="J876" s="1" t="str">
        <f>IFERROR(__xludf.DUMMYFUNCTION("GOOGLETRANSLATE(F876,""EN"",""JA"")"),"生物標本中のクロストリジウム・ディフィシル A 毒素および/または B 毒素の測定。")</f>
        <v>生物標本中のクロストリジウム・ディフィシル A 毒素および/または B 毒素の測定。</v>
      </c>
      <c r="K876" s="1" t="str">
        <f>IFERROR(__xludf.DUMMYFUNCTION("GOOGLETRANSLATE(G876,""EN"",""JA"")"),"クロストリジウム・ディフィシルAおよび/またはB毒素測定")</f>
        <v>クロストリジウム・ディフィシルAおよび/またはB毒素測定</v>
      </c>
    </row>
    <row r="877" ht="13.5" customHeight="1">
      <c r="A877" s="1" t="s">
        <v>67</v>
      </c>
      <c r="B877" s="1" t="s">
        <v>4452</v>
      </c>
      <c r="C877" s="1" t="s">
        <v>4453</v>
      </c>
      <c r="D877" s="1" t="s">
        <v>4454</v>
      </c>
      <c r="E877" s="1" t="s">
        <v>4454</v>
      </c>
      <c r="F877" s="1" t="s">
        <v>4455</v>
      </c>
      <c r="G877" s="1" t="s">
        <v>4456</v>
      </c>
      <c r="H877" s="1" t="str">
        <f>IFERROR(__xludf.DUMMYFUNCTION("GOOGLETRANSLATE(D877,""EN"",""JA"")"),"クロストリジウム・ディフィシルA毒素")</f>
        <v>クロストリジウム・ディフィシルA毒素</v>
      </c>
      <c r="I877" s="1" t="str">
        <f>IFERROR(__xludf.DUMMYFUNCTION("GOOGLETRANSLATE(E877,""EN"",""JA"")"),"クロストリジウム・ディフィシルA毒素")</f>
        <v>クロストリジウム・ディフィシルA毒素</v>
      </c>
      <c r="J877" s="1" t="str">
        <f>IFERROR(__xludf.DUMMYFUNCTION("GOOGLETRANSLATE(F877,""EN"",""JA"")"),"生物標本中のクロストリジウム・ディフィシル毒素Aの測定。")</f>
        <v>生物標本中のクロストリジウム・ディフィシル毒素Aの測定。</v>
      </c>
      <c r="K877" s="1" t="str">
        <f>IFERROR(__xludf.DUMMYFUNCTION("GOOGLETRANSLATE(G877,""EN"",""JA"")"),"クロストリジウム・ディフィシルA毒素測定")</f>
        <v>クロストリジウム・ディフィシルA毒素測定</v>
      </c>
    </row>
    <row r="878" ht="13.5" customHeight="1">
      <c r="A878" s="1" t="s">
        <v>67</v>
      </c>
      <c r="B878" s="1" t="s">
        <v>4457</v>
      </c>
      <c r="C878" s="1" t="s">
        <v>4458</v>
      </c>
      <c r="D878" s="1" t="s">
        <v>4459</v>
      </c>
      <c r="E878" s="1" t="s">
        <v>4459</v>
      </c>
      <c r="F878" s="1" t="s">
        <v>4460</v>
      </c>
      <c r="G878" s="1" t="s">
        <v>4461</v>
      </c>
      <c r="H878" s="1" t="str">
        <f>IFERROR(__xludf.DUMMYFUNCTION("GOOGLETRANSLATE(D878,""EN"",""JA"")"),"クロストリジウム・ディフィシルB毒素")</f>
        <v>クロストリジウム・ディフィシルB毒素</v>
      </c>
      <c r="I878" s="1" t="str">
        <f>IFERROR(__xludf.DUMMYFUNCTION("GOOGLETRANSLATE(E878,""EN"",""JA"")"),"クロストリジウム・ディフィシルB毒素")</f>
        <v>クロストリジウム・ディフィシルB毒素</v>
      </c>
      <c r="J878" s="1" t="str">
        <f>IFERROR(__xludf.DUMMYFUNCTION("GOOGLETRANSLATE(F878,""EN"",""JA"")"),"生物標本中のクロストリジウム・ディフィシル毒素Bの測定。")</f>
        <v>生物標本中のクロストリジウム・ディフィシル毒素Bの測定。</v>
      </c>
      <c r="K878" s="1" t="str">
        <f>IFERROR(__xludf.DUMMYFUNCTION("GOOGLETRANSLATE(G878,""EN"",""JA"")"),"クロストリジウム・ディフィシルB毒素測定")</f>
        <v>クロストリジウム・ディフィシルB毒素測定</v>
      </c>
    </row>
    <row r="879" ht="13.5" customHeight="1">
      <c r="A879" s="1" t="s">
        <v>67</v>
      </c>
      <c r="B879" s="1" t="s">
        <v>4462</v>
      </c>
      <c r="C879" s="1" t="s">
        <v>4463</v>
      </c>
      <c r="D879" s="1" t="s">
        <v>4464</v>
      </c>
      <c r="E879" s="1" t="s">
        <v>4464</v>
      </c>
      <c r="F879" s="1" t="s">
        <v>4465</v>
      </c>
      <c r="G879" s="1" t="s">
        <v>4466</v>
      </c>
      <c r="H879" s="1" t="str">
        <f>IFERROR(__xludf.DUMMYFUNCTION("GOOGLETRANSLATE(D879,""EN"",""JA"")"),"クロストリジウム・ディフィシル CDT DNA")</f>
        <v>クロストリジウム・ディフィシル CDT DNA</v>
      </c>
      <c r="I879" s="1" t="str">
        <f>IFERROR(__xludf.DUMMYFUNCTION("GOOGLETRANSLATE(E879,""EN"",""JA"")"),"クロストリジウム・ディフィシル CDT DNA")</f>
        <v>クロストリジウム・ディフィシル CDT DNA</v>
      </c>
      <c r="J879" s="1" t="str">
        <f>IFERROR(__xludf.DUMMYFUNCTION("GOOGLETRANSLATE(F879,""EN"",""JA"")"),"生物標本中のクロストリジウム・ディフィシル バイナリ毒素 (cdt) DNA の測定。")</f>
        <v>生物標本中のクロストリジウム・ディフィシル バイナリ毒素 (cdt) DNA の測定。</v>
      </c>
      <c r="K879" s="1" t="str">
        <f>IFERROR(__xludf.DUMMYFUNCTION("GOOGLETRANSLATE(G879,""EN"",""JA"")"),"クロストリジウム・ディフィシル CDT DNA 測定")</f>
        <v>クロストリジウム・ディフィシル CDT DNA 測定</v>
      </c>
    </row>
    <row r="880" ht="13.5" customHeight="1">
      <c r="A880" s="1" t="s">
        <v>67</v>
      </c>
      <c r="B880" s="1" t="s">
        <v>4467</v>
      </c>
      <c r="C880" s="1" t="s">
        <v>4468</v>
      </c>
      <c r="D880" s="1" t="s">
        <v>4469</v>
      </c>
      <c r="E880" s="1" t="s">
        <v>4469</v>
      </c>
      <c r="F880" s="1" t="s">
        <v>4470</v>
      </c>
      <c r="G880" s="1" t="s">
        <v>4471</v>
      </c>
      <c r="H880" s="1" t="str">
        <f>IFERROR(__xludf.DUMMYFUNCTION("GOOGLETRANSLATE(D880,""EN"",""JA"")"),"クロストリジウム・ディフィシルDNA")</f>
        <v>クロストリジウム・ディフィシルDNA</v>
      </c>
      <c r="I880" s="1" t="str">
        <f>IFERROR(__xludf.DUMMYFUNCTION("GOOGLETRANSLATE(E880,""EN"",""JA"")"),"クロストリジウム・ディフィシルDNA")</f>
        <v>クロストリジウム・ディフィシルDNA</v>
      </c>
      <c r="J880" s="1" t="str">
        <f>IFERROR(__xludf.DUMMYFUNCTION("GOOGLETRANSLATE(F880,""EN"",""JA"")"),"生物標本中のクロストリジウム・ディフィシル DNA の測定。")</f>
        <v>生物標本中のクロストリジウム・ディフィシル DNA の測定。</v>
      </c>
      <c r="K880" s="1" t="str">
        <f>IFERROR(__xludf.DUMMYFUNCTION("GOOGLETRANSLATE(G880,""EN"",""JA"")"),"クロストリジウム・ディフィシルDNA測定")</f>
        <v>クロストリジウム・ディフィシルDNA測定</v>
      </c>
    </row>
    <row r="881" ht="13.5" customHeight="1">
      <c r="A881" s="1" t="s">
        <v>67</v>
      </c>
      <c r="B881" s="1" t="s">
        <v>4472</v>
      </c>
      <c r="C881" s="1" t="s">
        <v>4473</v>
      </c>
      <c r="D881" s="1" t="s">
        <v>4474</v>
      </c>
      <c r="E881" s="1" t="s">
        <v>4475</v>
      </c>
      <c r="F881" s="1" t="s">
        <v>4476</v>
      </c>
      <c r="G881" s="1" t="s">
        <v>4477</v>
      </c>
      <c r="H881" s="1" t="str">
        <f>IFERROR(__xludf.DUMMYFUNCTION("GOOGLETRANSLATE(D881,""EN"",""JA"")"),"クロストリジウム・ディフィシルグルタミン酸脱水素酵素")</f>
        <v>クロストリジウム・ディフィシルグルタミン酸脱水素酵素</v>
      </c>
      <c r="I881" s="1" t="str">
        <f>IFERROR(__xludf.DUMMYFUNCTION("GOOGLETRANSLATE(E881,""EN"",""JA"")"),"C. difficile グルタミン酸脱水素酵素; クロストリジウム・ディフィシル グルタミン酸脱水素酵素")</f>
        <v>C. difficile グルタミン酸脱水素酵素; クロストリジウム・ディフィシル グルタミン酸脱水素酵素</v>
      </c>
      <c r="J881" s="1" t="str">
        <f>IFERROR(__xludf.DUMMYFUNCTION("GOOGLETRANSLATE(F881,""EN"",""JA"")"),"生物標本中のクロストリジウム・ディフィシルのグルタミン酸脱水素酵素の測定。")</f>
        <v>生物標本中のクロストリジウム・ディフィシルのグルタミン酸脱水素酵素の測定。</v>
      </c>
      <c r="K881" s="1" t="str">
        <f>IFERROR(__xludf.DUMMYFUNCTION("GOOGLETRANSLATE(G881,""EN"",""JA"")"),"C. difficile グルタミン酸脱水素酵素測定")</f>
        <v>C. difficile グルタミン酸脱水素酵素測定</v>
      </c>
    </row>
    <row r="882" ht="13.5" customHeight="1">
      <c r="A882" s="1" t="s">
        <v>67</v>
      </c>
      <c r="B882" s="1" t="s">
        <v>4478</v>
      </c>
      <c r="C882" s="1" t="s">
        <v>4479</v>
      </c>
      <c r="D882" s="1" t="s">
        <v>4480</v>
      </c>
      <c r="E882" s="1" t="s">
        <v>4480</v>
      </c>
      <c r="F882" s="1" t="s">
        <v>4481</v>
      </c>
      <c r="G882" s="1" t="s">
        <v>4482</v>
      </c>
      <c r="H882" s="1" t="str">
        <f>IFERROR(__xludf.DUMMYFUNCTION("GOOGLETRANSLATE(D882,""EN"",""JA"")"),"クロストリジウム・ディフィシル tcdA DNA")</f>
        <v>クロストリジウム・ディフィシル tcdA DNA</v>
      </c>
      <c r="I882" s="1" t="str">
        <f>IFERROR(__xludf.DUMMYFUNCTION("GOOGLETRANSLATE(E882,""EN"",""JA"")"),"クロストリジウム・ディフィシル tcdA DNA")</f>
        <v>クロストリジウム・ディフィシル tcdA DNA</v>
      </c>
      <c r="J882" s="1" t="str">
        <f>IFERROR(__xludf.DUMMYFUNCTION("GOOGLETRANSLATE(F882,""EN"",""JA"")"),"生物標本中のクロストリジウム・ディフィシル毒素 A (tcdA) DNA の測定。")</f>
        <v>生物標本中のクロストリジウム・ディフィシル毒素 A (tcdA) DNA の測定。</v>
      </c>
      <c r="K882" s="1" t="str">
        <f>IFERROR(__xludf.DUMMYFUNCTION("GOOGLETRANSLATE(G882,""EN"",""JA"")"),"クロストリジウム・ディフィシル tcdA DNA測定")</f>
        <v>クロストリジウム・ディフィシル tcdA DNA測定</v>
      </c>
    </row>
    <row r="883" ht="13.5" customHeight="1">
      <c r="A883" s="1" t="s">
        <v>67</v>
      </c>
      <c r="B883" s="1" t="s">
        <v>4483</v>
      </c>
      <c r="C883" s="1" t="s">
        <v>4484</v>
      </c>
      <c r="D883" s="1" t="s">
        <v>4485</v>
      </c>
      <c r="E883" s="1" t="s">
        <v>4485</v>
      </c>
      <c r="F883" s="1" t="s">
        <v>4486</v>
      </c>
      <c r="G883" s="1" t="s">
        <v>4487</v>
      </c>
      <c r="H883" s="1" t="str">
        <f>IFERROR(__xludf.DUMMYFUNCTION("GOOGLETRANSLATE(D883,""EN"",""JA"")"),"クロストリジウム・ディフィシル tcdB DNA")</f>
        <v>クロストリジウム・ディフィシル tcdB DNA</v>
      </c>
      <c r="I883" s="1" t="str">
        <f>IFERROR(__xludf.DUMMYFUNCTION("GOOGLETRANSLATE(E883,""EN"",""JA"")"),"クロストリジウム・ディフィシル tcdB DNA")</f>
        <v>クロストリジウム・ディフィシル tcdB DNA</v>
      </c>
      <c r="J883" s="1" t="str">
        <f>IFERROR(__xludf.DUMMYFUNCTION("GOOGLETRANSLATE(F883,""EN"",""JA"")"),"生物標本中のクロストリジウム・ディフィシル毒素 B (tcdB) DNA の測定。")</f>
        <v>生物標本中のクロストリジウム・ディフィシル毒素 B (tcdB) DNA の測定。</v>
      </c>
      <c r="K883" s="1" t="str">
        <f>IFERROR(__xludf.DUMMYFUNCTION("GOOGLETRANSLATE(G883,""EN"",""JA"")"),"クロストリジウム・ディフィシル tcdB DNA測定")</f>
        <v>クロストリジウム・ディフィシル tcdB DNA測定</v>
      </c>
    </row>
    <row r="884" ht="13.5" customHeight="1">
      <c r="A884" s="1" t="s">
        <v>67</v>
      </c>
      <c r="B884" s="1" t="s">
        <v>4488</v>
      </c>
      <c r="C884" s="1" t="s">
        <v>4489</v>
      </c>
      <c r="D884" s="1" t="s">
        <v>4490</v>
      </c>
      <c r="E884" s="1" t="s">
        <v>4490</v>
      </c>
      <c r="F884" s="1" t="s">
        <v>4491</v>
      </c>
      <c r="G884" s="1" t="s">
        <v>4492</v>
      </c>
      <c r="H884" s="1" t="str">
        <f>IFERROR(__xludf.DUMMYFUNCTION("GOOGLETRANSLATE(D884,""EN"",""JA"")"),"クロストリジウム・ディフィシル tcdC DNA")</f>
        <v>クロストリジウム・ディフィシル tcdC DNA</v>
      </c>
      <c r="I884" s="1" t="str">
        <f>IFERROR(__xludf.DUMMYFUNCTION("GOOGLETRANSLATE(E884,""EN"",""JA"")"),"クロストリジウム・ディフィシル tcdC DNA")</f>
        <v>クロストリジウム・ディフィシル tcdC DNA</v>
      </c>
      <c r="J884" s="1" t="str">
        <f>IFERROR(__xludf.DUMMYFUNCTION("GOOGLETRANSLATE(F884,""EN"",""JA"")"),"生物標本中のクロストリジウム・ディフィシル調節タンパク質 (tcdC) DNA の測定。")</f>
        <v>生物標本中のクロストリジウム・ディフィシル調節タンパク質 (tcdC) DNA の測定。</v>
      </c>
      <c r="K884" s="1" t="str">
        <f>IFERROR(__xludf.DUMMYFUNCTION("GOOGLETRANSLATE(G884,""EN"",""JA"")"),"クロストリジウム・ディフィシル tcdC DNA測定")</f>
        <v>クロストリジウム・ディフィシル tcdC DNA測定</v>
      </c>
    </row>
    <row r="885" ht="13.5" customHeight="1">
      <c r="A885" s="1" t="s">
        <v>67</v>
      </c>
      <c r="B885" s="1" t="s">
        <v>4493</v>
      </c>
      <c r="C885" s="1" t="s">
        <v>4494</v>
      </c>
      <c r="D885" s="1" t="s">
        <v>4495</v>
      </c>
      <c r="E885" s="1" t="s">
        <v>4495</v>
      </c>
      <c r="F885" s="1" t="s">
        <v>4496</v>
      </c>
      <c r="G885" s="1" t="s">
        <v>4497</v>
      </c>
      <c r="H885" s="1" t="str">
        <f>IFERROR(__xludf.DUMMYFUNCTION("GOOGLETRANSLATE(D885,""EN"",""JA"")"),"クロストリジウム・ディフィシル毒素")</f>
        <v>クロストリジウム・ディフィシル毒素</v>
      </c>
      <c r="I885" s="1" t="str">
        <f>IFERROR(__xludf.DUMMYFUNCTION("GOOGLETRANSLATE(E885,""EN"",""JA"")"),"クロストリジウム・ディフィシル毒素")</f>
        <v>クロストリジウム・ディフィシル毒素</v>
      </c>
      <c r="J885" s="1" t="str">
        <f>IFERROR(__xludf.DUMMYFUNCTION("GOOGLETRANSLATE(F885,""EN"",""JA"")"),"生物標本中のクロストリジウム・ディフィシル毒素の測定。")</f>
        <v>生物標本中のクロストリジウム・ディフィシル毒素の測定。</v>
      </c>
      <c r="K885" s="1" t="str">
        <f>IFERROR(__xludf.DUMMYFUNCTION("GOOGLETRANSLATE(G885,""EN"",""JA"")"),"クロストリジウム・ディフィシル毒素測定")</f>
        <v>クロストリジウム・ディフィシル毒素測定</v>
      </c>
    </row>
    <row r="886" ht="13.5" customHeight="1">
      <c r="A886" s="1" t="s">
        <v>11</v>
      </c>
      <c r="B886" s="1" t="s">
        <v>4498</v>
      </c>
      <c r="C886" s="1" t="s">
        <v>4499</v>
      </c>
      <c r="D886" s="1" t="s">
        <v>4500</v>
      </c>
      <c r="E886" s="1" t="s">
        <v>4501</v>
      </c>
      <c r="F886" s="1" t="s">
        <v>4502</v>
      </c>
      <c r="G886" s="1" t="s">
        <v>4503</v>
      </c>
      <c r="H886" s="1" t="str">
        <f>IFERROR(__xludf.DUMMYFUNCTION("GOOGLETRANSLATE(D886,""EN"",""JA"")"),"カドヘリン1")</f>
        <v>カドヘリン1</v>
      </c>
      <c r="I886" s="1" t="str">
        <f>IFERROR(__xludf.DUMMYFUNCTION("GOOGLETRANSLATE(E886,""EN"",""JA"")"),"カドヘリン1; カドヘリン-1; E-カドヘリン; 可溶性CD324")</f>
        <v>カドヘリン1; カドヘリン-1; E-カドヘリン; 可溶性CD324</v>
      </c>
      <c r="J886" s="1" t="str">
        <f>IFERROR(__xludf.DUMMYFUNCTION("GOOGLETRANSLATE(F886,""EN"",""JA"")"),"生物標本中のカドヘリン 1 の測定。")</f>
        <v>生物標本中のカドヘリン 1 の測定。</v>
      </c>
      <c r="K886" s="1" t="str">
        <f>IFERROR(__xludf.DUMMYFUNCTION("GOOGLETRANSLATE(G886,""EN"",""JA"")"),"カドヘリン1測定")</f>
        <v>カドヘリン1測定</v>
      </c>
    </row>
    <row r="887" ht="13.5" customHeight="1">
      <c r="A887" s="1" t="s">
        <v>11</v>
      </c>
      <c r="B887" s="1" t="s">
        <v>4504</v>
      </c>
      <c r="C887" s="1" t="s">
        <v>4505</v>
      </c>
      <c r="D887" s="1" t="s">
        <v>4506</v>
      </c>
      <c r="E887" s="1" t="s">
        <v>4506</v>
      </c>
      <c r="F887" s="1" t="s">
        <v>4507</v>
      </c>
      <c r="G887" s="1" t="s">
        <v>4508</v>
      </c>
      <c r="H887" s="1" t="str">
        <f>IFERROR(__xludf.DUMMYFUNCTION("GOOGLETRANSLATE(D887,""EN"",""JA"")"),"炭水化物欠乏トランスフェリン")</f>
        <v>炭水化物欠乏トランスフェリン</v>
      </c>
      <c r="I887" s="1" t="str">
        <f>IFERROR(__xludf.DUMMYFUNCTION("GOOGLETRANSLATE(E887,""EN"",""JA"")"),"炭水化物欠乏トランスフェリン")</f>
        <v>炭水化物欠乏トランスフェリン</v>
      </c>
      <c r="J887" s="1" t="str">
        <f>IFERROR(__xludf.DUMMYFUNCTION("GOOGLETRANSLATE(F887,""EN"",""JA"")"),"生物学的標本中の炭水化物部分の数を減らしたトランスフェリンの測定。")</f>
        <v>生物学的標本中の炭水化物部分の数を減らしたトランスフェリンの測定。</v>
      </c>
      <c r="K887" s="1" t="str">
        <f>IFERROR(__xludf.DUMMYFUNCTION("GOOGLETRANSLATE(G887,""EN"",""JA"")"),"炭水化物欠損トランスフェリン測定")</f>
        <v>炭水化物欠損トランスフェリン測定</v>
      </c>
    </row>
    <row r="888" ht="13.5" customHeight="1">
      <c r="A888" s="1" t="s">
        <v>11</v>
      </c>
      <c r="B888" s="1" t="s">
        <v>4509</v>
      </c>
      <c r="C888" s="1" t="s">
        <v>4510</v>
      </c>
      <c r="D888" s="1" t="s">
        <v>4511</v>
      </c>
      <c r="E888" s="1" t="s">
        <v>4511</v>
      </c>
      <c r="F888" s="1" t="s">
        <v>4512</v>
      </c>
      <c r="G888" s="1" t="s">
        <v>4513</v>
      </c>
      <c r="H888" s="1" t="str">
        <f>IFERROR(__xludf.DUMMYFUNCTION("GOOGLETRANSLATE(D888,""EN"",""JA"")"),"炭水化物欠乏トランスフェリン/トランスフェリン")</f>
        <v>炭水化物欠乏トランスフェリン/トランスフェリン</v>
      </c>
      <c r="I888" s="1" t="str">
        <f>IFERROR(__xludf.DUMMYFUNCTION("GOOGLETRANSLATE(E888,""EN"",""JA"")"),"炭水化物欠乏トランスフェリン/トランスフェリン")</f>
        <v>炭水化物欠乏トランスフェリン/トランスフェリン</v>
      </c>
      <c r="J888" s="1" t="str">
        <f>IFERROR(__xludf.DUMMYFUNCTION("GOOGLETRANSLATE(F888,""EN"",""JA"")"),"生物標本中の総トランスフェリンに対する炭水化物欠乏トランスフェリンの相対的な測定値（比率またはパーセンテージ）。")</f>
        <v>生物標本中の総トランスフェリンに対する炭水化物欠乏トランスフェリンの相対的な測定値（比率またはパーセンテージ）。</v>
      </c>
      <c r="K888" s="1" t="str">
        <f>IFERROR(__xludf.DUMMYFUNCTION("GOOGLETRANSLATE(G888,""EN"",""JA"")"),"炭水化物欠損トランスフェリン対トランスフェリン比測定")</f>
        <v>炭水化物欠損トランスフェリン対トランスフェリン比測定</v>
      </c>
    </row>
    <row r="889" ht="13.5" customHeight="1">
      <c r="A889" s="1" t="s">
        <v>67</v>
      </c>
      <c r="B889" s="1" t="s">
        <v>4514</v>
      </c>
      <c r="C889" s="1" t="s">
        <v>4515</v>
      </c>
      <c r="D889" s="1" t="s">
        <v>4516</v>
      </c>
      <c r="E889" s="1" t="s">
        <v>4516</v>
      </c>
      <c r="F889" s="1" t="s">
        <v>4517</v>
      </c>
      <c r="G889" s="1" t="s">
        <v>4518</v>
      </c>
      <c r="H889" s="1" t="str">
        <f>IFERROR(__xludf.DUMMYFUNCTION("GOOGLETRANSLATE(D889,""EN"",""JA"")"),"カンジダ・ダブリニエンシス")</f>
        <v>カンジダ・ダブリニエンシス</v>
      </c>
      <c r="I889" s="1" t="str">
        <f>IFERROR(__xludf.DUMMYFUNCTION("GOOGLETRANSLATE(E889,""EN"",""JA"")"),"カンジダ・ダブリニエンシス")</f>
        <v>カンジダ・ダブリニエンシス</v>
      </c>
      <c r="J889" s="1" t="str">
        <f>IFERROR(__xludf.DUMMYFUNCTION("GOOGLETRANSLATE(F889,""EN"",""JA"")"),"生物標本中の Candida dubliniensis の測定。")</f>
        <v>生物標本中の Candida dubliniensis の測定。</v>
      </c>
      <c r="K889" s="1" t="str">
        <f>IFERROR(__xludf.DUMMYFUNCTION("GOOGLETRANSLATE(G889,""EN"",""JA"")"),"カンジダ・ダブリニエンシス測定")</f>
        <v>カンジダ・ダブリニエンシス測定</v>
      </c>
    </row>
    <row r="890" ht="13.5" customHeight="1">
      <c r="A890" s="1" t="s">
        <v>134</v>
      </c>
      <c r="B890" s="1" t="s">
        <v>4519</v>
      </c>
      <c r="C890" s="1" t="s">
        <v>4520</v>
      </c>
      <c r="D890" s="1" t="s">
        <v>4521</v>
      </c>
      <c r="E890" s="1" t="s">
        <v>4521</v>
      </c>
      <c r="F890" s="1" t="s">
        <v>4522</v>
      </c>
      <c r="G890" s="1" t="s">
        <v>4523</v>
      </c>
      <c r="H890" s="1" t="str">
        <f>IFERROR(__xludf.DUMMYFUNCTION("GOOGLETRANSLATE(D890,""EN"",""JA"")"),"CDX2抗原")</f>
        <v>CDX2抗原</v>
      </c>
      <c r="I890" s="1" t="str">
        <f>IFERROR(__xludf.DUMMYFUNCTION("GOOGLETRANSLATE(E890,""EN"",""JA"")"),"CDX2抗原")</f>
        <v>CDX2抗原</v>
      </c>
      <c r="J890" s="1" t="str">
        <f>IFERROR(__xludf.DUMMYFUNCTION("GOOGLETRANSLATE(F890,""EN"",""JA"")"),"生物学的標本中の CDX2 抗原の測定。")</f>
        <v>生物学的標本中の CDX2 抗原の測定。</v>
      </c>
      <c r="K890" s="1" t="str">
        <f>IFERROR(__xludf.DUMMYFUNCTION("GOOGLETRANSLATE(G890,""EN"",""JA"")"),"CDX2抗原測定")</f>
        <v>CDX2抗原測定</v>
      </c>
    </row>
    <row r="891" ht="13.5" customHeight="1">
      <c r="A891" s="1" t="s">
        <v>11</v>
      </c>
      <c r="B891" s="1" t="s">
        <v>4524</v>
      </c>
      <c r="C891" s="1" t="s">
        <v>4525</v>
      </c>
      <c r="D891" s="1" t="s">
        <v>4526</v>
      </c>
      <c r="E891" s="1" t="s">
        <v>4526</v>
      </c>
      <c r="F891" s="1" t="s">
        <v>4527</v>
      </c>
      <c r="G891" s="1" t="s">
        <v>4528</v>
      </c>
      <c r="H891" s="1" t="str">
        <f>IFERROR(__xludf.DUMMYFUNCTION("GOOGLETRANSLATE(D891,""EN"",""JA"")"),"癌胎児性抗原")</f>
        <v>癌胎児性抗原</v>
      </c>
      <c r="I891" s="1" t="str">
        <f>IFERROR(__xludf.DUMMYFUNCTION("GOOGLETRANSLATE(E891,""EN"",""JA"")"),"癌胎児性抗原")</f>
        <v>癌胎児性抗原</v>
      </c>
      <c r="J891" s="1" t="str">
        <f>IFERROR(__xludf.DUMMYFUNCTION("GOOGLETRANSLATE(F891,""EN"",""JA"")"),"生物学的標本中の癌胎児性抗原の測定。")</f>
        <v>生物学的標本中の癌胎児性抗原の測定。</v>
      </c>
      <c r="K891" s="1" t="str">
        <f>IFERROR(__xludf.DUMMYFUNCTION("GOOGLETRANSLATE(G891,""EN"",""JA"")"),"癌胎児性抗原測定")</f>
        <v>癌胎児性抗原測定</v>
      </c>
    </row>
    <row r="892" ht="13.5" customHeight="1">
      <c r="A892" s="1" t="s">
        <v>11</v>
      </c>
      <c r="B892" s="1" t="s">
        <v>4529</v>
      </c>
      <c r="C892" s="1" t="s">
        <v>4530</v>
      </c>
      <c r="D892" s="1" t="s">
        <v>4531</v>
      </c>
      <c r="E892" s="1" t="s">
        <v>4532</v>
      </c>
      <c r="F892" s="1" t="s">
        <v>4533</v>
      </c>
      <c r="G892" s="1" t="s">
        <v>4534</v>
      </c>
      <c r="H892" s="1" t="str">
        <f>IFERROR(__xludf.DUMMYFUNCTION("GOOGLETRANSLATE(D892,""EN"",""JA"")"),"CEA 細胞接着分子 1")</f>
        <v>CEA 細胞接着分子 1</v>
      </c>
      <c r="I892" s="1" t="str">
        <f>IFERROR(__xludf.DUMMYFUNCTION("GOOGLETRANSLATE(E892,""EN"",""JA"")"),"BGP; 胆汁糖タンパク質; 癌胎児性抗原細胞接着分子1; CEA細胞接着分子1; CEA関連細胞接着分子1; 可溶性CD66a")</f>
        <v>BGP; 胆汁糖タンパク質; 癌胎児性抗原細胞接着分子1; CEA細胞接着分子1; CEA関連細胞接着分子1; 可溶性CD66a</v>
      </c>
      <c r="J892" s="1" t="str">
        <f>IFERROR(__xludf.DUMMYFUNCTION("GOOGLETRANSLATE(F892,""EN"",""JA"")"),"生物標本中の癌胎児性抗原 (CEA) 細胞接着分子 1 の測定。")</f>
        <v>生物標本中の癌胎児性抗原 (CEA) 細胞接着分子 1 の測定。</v>
      </c>
      <c r="K892" s="1" t="str">
        <f>IFERROR(__xludf.DUMMYFUNCTION("GOOGLETRANSLATE(G892,""EN"",""JA"")"),"CEA細胞接着分子1の測定")</f>
        <v>CEA細胞接着分子1の測定</v>
      </c>
    </row>
    <row r="893" ht="13.5" customHeight="1">
      <c r="A893" s="1" t="s">
        <v>134</v>
      </c>
      <c r="B893" s="1" t="s">
        <v>4535</v>
      </c>
      <c r="C893" s="1" t="s">
        <v>4536</v>
      </c>
      <c r="D893" s="1" t="s">
        <v>4537</v>
      </c>
      <c r="E893" s="1" t="s">
        <v>4538</v>
      </c>
      <c r="F893" s="1" t="s">
        <v>4539</v>
      </c>
      <c r="G893" s="1" t="s">
        <v>4540</v>
      </c>
      <c r="H893" s="1" t="str">
        <f>IFERROR(__xludf.DUMMYFUNCTION("GOOGLETRANSLATE(D893,""EN"",""JA"")"),"CEA 細胞接着分子 5")</f>
        <v>CEA 細胞接着分子 5</v>
      </c>
      <c r="I893" s="1" t="str">
        <f>IFERROR(__xludf.DUMMYFUNCTION("GOOGLETRANSLATE(E893,""EN"",""JA"")"),"癌胎児性抗原関連細胞接着分子5; CEA細胞接着分子5; 可溶性CD66e")</f>
        <v>癌胎児性抗原関連細胞接着分子5; CEA細胞接着分子5; 可溶性CD66e</v>
      </c>
      <c r="J893" s="1" t="str">
        <f>IFERROR(__xludf.DUMMYFUNCTION("GOOGLETRANSLATE(F893,""EN"",""JA"")"),"生物標本中の癌胎児性抗原 (CEA) 細胞接着分子 5 の測定。")</f>
        <v>生物標本中の癌胎児性抗原 (CEA) 細胞接着分子 5 の測定。</v>
      </c>
      <c r="K893" s="1" t="str">
        <f>IFERROR(__xludf.DUMMYFUNCTION("GOOGLETRANSLATE(G893,""EN"",""JA"")"),"CEA細胞接着分子5の測定")</f>
        <v>CEA細胞接着分子5の測定</v>
      </c>
    </row>
    <row r="894" ht="13.5" customHeight="1">
      <c r="A894" s="1" t="s">
        <v>11</v>
      </c>
      <c r="B894" s="1" t="s">
        <v>4535</v>
      </c>
      <c r="C894" s="1" t="s">
        <v>4536</v>
      </c>
      <c r="D894" s="1" t="s">
        <v>4537</v>
      </c>
      <c r="E894" s="1" t="s">
        <v>4538</v>
      </c>
      <c r="F894" s="1" t="s">
        <v>4539</v>
      </c>
      <c r="G894" s="1" t="s">
        <v>4540</v>
      </c>
      <c r="H894" s="1" t="str">
        <f>IFERROR(__xludf.DUMMYFUNCTION("GOOGLETRANSLATE(D894,""EN"",""JA"")"),"CEA 細胞接着分子 5")</f>
        <v>CEA 細胞接着分子 5</v>
      </c>
      <c r="I894" s="1" t="str">
        <f>IFERROR(__xludf.DUMMYFUNCTION("GOOGLETRANSLATE(E894,""EN"",""JA"")"),"癌胎児性抗原関連細胞接着分子5; CEA細胞接着分子5; 可溶性CD66e")</f>
        <v>癌胎児性抗原関連細胞接着分子5; CEA細胞接着分子5; 可溶性CD66e</v>
      </c>
      <c r="J894" s="1" t="str">
        <f>IFERROR(__xludf.DUMMYFUNCTION("GOOGLETRANSLATE(F894,""EN"",""JA"")"),"生物標本中の癌胎児性抗原 (CEA) 細胞接着分子 5 の測定。")</f>
        <v>生物標本中の癌胎児性抗原 (CEA) 細胞接着分子 5 の測定。</v>
      </c>
      <c r="K894" s="1" t="str">
        <f>IFERROR(__xludf.DUMMYFUNCTION("GOOGLETRANSLATE(G894,""EN"",""JA"")"),"CEA細胞接着分子5の測定")</f>
        <v>CEA細胞接着分子5の測定</v>
      </c>
    </row>
    <row r="895" ht="13.5" customHeight="1">
      <c r="A895" s="1" t="s">
        <v>11</v>
      </c>
      <c r="B895" s="1" t="s">
        <v>4541</v>
      </c>
      <c r="C895" s="1" t="s">
        <v>4542</v>
      </c>
      <c r="D895" s="1" t="s">
        <v>4543</v>
      </c>
      <c r="E895" s="1" t="s">
        <v>4544</v>
      </c>
      <c r="F895" s="1" t="s">
        <v>4545</v>
      </c>
      <c r="G895" s="1" t="s">
        <v>4546</v>
      </c>
      <c r="H895" s="1" t="str">
        <f>IFERROR(__xludf.DUMMYFUNCTION("GOOGLETRANSLATE(D895,""EN"",""JA"")"),"可溶性CEA細胞接着分子5")</f>
        <v>可溶性CEA細胞接着分子5</v>
      </c>
      <c r="I895" s="1" t="str">
        <f>IFERROR(__xludf.DUMMYFUNCTION("GOOGLETRANSLATE(E895,""EN"",""JA"")"),"可溶性癌胎児性抗原関連細胞接着分子5; 可溶性CD66e; 可溶性CEA細胞接着分子5")</f>
        <v>可溶性癌胎児性抗原関連細胞接着分子5; 可溶性CD66e; 可溶性CEA細胞接着分子5</v>
      </c>
      <c r="J895" s="1" t="str">
        <f>IFERROR(__xludf.DUMMYFUNCTION("GOOGLETRANSLATE(F895,""EN"",""JA"")"),"生物標本中の可溶性癌胎児性抗原 (CEA) 細胞接着分子 5 の測定。")</f>
        <v>生物標本中の可溶性癌胎児性抗原 (CEA) 細胞接着分子 5 の測定。</v>
      </c>
      <c r="K895" s="1" t="str">
        <f>IFERROR(__xludf.DUMMYFUNCTION("GOOGLETRANSLATE(G895,""EN"",""JA"")"),"可溶性CEA細胞接着分子5の測定")</f>
        <v>可溶性CEA細胞接着分子5の測定</v>
      </c>
    </row>
    <row r="896" ht="13.5" customHeight="1">
      <c r="A896" s="1" t="s">
        <v>11</v>
      </c>
      <c r="B896" s="1" t="s">
        <v>4547</v>
      </c>
      <c r="C896" s="1" t="s">
        <v>4548</v>
      </c>
      <c r="D896" s="1" t="s">
        <v>4549</v>
      </c>
      <c r="E896" s="1" t="s">
        <v>4549</v>
      </c>
      <c r="F896" s="1" t="s">
        <v>4550</v>
      </c>
      <c r="G896" s="1" t="s">
        <v>4551</v>
      </c>
      <c r="H896" s="1" t="str">
        <f>IFERROR(__xludf.DUMMYFUNCTION("GOOGLETRANSLATE(D896,""EN"",""JA"")"),"循環内皮細胞")</f>
        <v>循環内皮細胞</v>
      </c>
      <c r="I896" s="1" t="str">
        <f>IFERROR(__xludf.DUMMYFUNCTION("GOOGLETRANSLATE(E896,""EN"",""JA"")"),"循環内皮細胞")</f>
        <v>循環内皮細胞</v>
      </c>
      <c r="J896" s="1" t="str">
        <f>IFERROR(__xludf.DUMMYFUNCTION("GOOGLETRANSLATE(F896,""EN"",""JA"")"),"生物標本内の循環内皮細胞の測定。")</f>
        <v>生物標本内の循環内皮細胞の測定。</v>
      </c>
      <c r="K896" s="1" t="str">
        <f>IFERROR(__xludf.DUMMYFUNCTION("GOOGLETRANSLATE(G896,""EN"",""JA"")"),"循環内皮細胞数")</f>
        <v>循環内皮細胞数</v>
      </c>
    </row>
    <row r="897" ht="13.5" customHeight="1">
      <c r="A897" s="1" t="s">
        <v>134</v>
      </c>
      <c r="B897" s="1" t="s">
        <v>4552</v>
      </c>
      <c r="C897" s="1" t="s">
        <v>4553</v>
      </c>
      <c r="D897" s="1" t="s">
        <v>4554</v>
      </c>
      <c r="E897" s="1" t="s">
        <v>4554</v>
      </c>
      <c r="F897" s="1" t="s">
        <v>4555</v>
      </c>
      <c r="G897" s="1" t="s">
        <v>4556</v>
      </c>
      <c r="H897" s="1" t="str">
        <f>IFERROR(__xludf.DUMMYFUNCTION("GOOGLETRANSLATE(D897,""EN"",""JA"")"),"細胞分布")</f>
        <v>細胞分布</v>
      </c>
      <c r="I897" s="1" t="str">
        <f>IFERROR(__xludf.DUMMYFUNCTION("GOOGLETRANSLATE(E897,""EN"",""JA"")"),"細胞分布")</f>
        <v>細胞分布</v>
      </c>
      <c r="J897" s="1" t="str">
        <f>IFERROR(__xludf.DUMMYFUNCTION("GOOGLETRANSLATE(F897,""EN"",""JA"")"),"生物標本内のさまざまな細胞タイプの割合の解釈的評価。")</f>
        <v>生物標本内のさまざまな細胞タイプの割合の解釈的評価。</v>
      </c>
      <c r="K897" s="1" t="str">
        <f>IFERROR(__xludf.DUMMYFUNCTION("GOOGLETRANSLATE(G897,""EN"",""JA"")"),"細胞分布測定")</f>
        <v>細胞分布測定</v>
      </c>
    </row>
    <row r="898" ht="13.5" customHeight="1">
      <c r="A898" s="1" t="s">
        <v>11</v>
      </c>
      <c r="B898" s="1" t="s">
        <v>4557</v>
      </c>
      <c r="C898" s="1" t="s">
        <v>4558</v>
      </c>
      <c r="D898" s="1" t="s">
        <v>4559</v>
      </c>
      <c r="E898" s="1" t="s">
        <v>4559</v>
      </c>
      <c r="F898" s="1" t="s">
        <v>4560</v>
      </c>
      <c r="G898" s="1" t="s">
        <v>4561</v>
      </c>
      <c r="H898" s="1" t="str">
        <f>IFERROR(__xludf.DUMMYFUNCTION("GOOGLETRANSLATE(D898,""EN"",""JA"")"),"未熟細胞/総細胞")</f>
        <v>未熟細胞/総細胞</v>
      </c>
      <c r="I898" s="1" t="str">
        <f>IFERROR(__xludf.DUMMYFUNCTION("GOOGLETRANSLATE(E898,""EN"",""JA"")"),"未熟細胞/総細胞")</f>
        <v>未熟細胞/総細胞</v>
      </c>
      <c r="J898" s="1" t="str">
        <f>IFERROR(__xludf.DUMMYFUNCTION("GOOGLETRANSLATE(F898,""EN"",""JA"")"),"生物標本中の全細胞に対する未熟造血細胞の相対的な測定値（比率またはパーセンテージ）。")</f>
        <v>生物標本中の全細胞に対する未熟造血細胞の相対的な測定値（比率またはパーセンテージ）。</v>
      </c>
      <c r="K898" s="1" t="str">
        <f>IFERROR(__xludf.DUMMYFUNCTION("GOOGLETRANSLATE(G898,""EN"",""JA"")"),"未熟細胞と全細胞比の測定")</f>
        <v>未熟細胞と全細胞比の測定</v>
      </c>
    </row>
    <row r="899" ht="13.5" customHeight="1">
      <c r="A899" s="1" t="s">
        <v>1997</v>
      </c>
      <c r="B899" s="1" t="s">
        <v>4562</v>
      </c>
      <c r="C899" s="1" t="s">
        <v>4563</v>
      </c>
      <c r="D899" s="1" t="s">
        <v>4564</v>
      </c>
      <c r="E899" s="1" t="s">
        <v>4564</v>
      </c>
      <c r="F899" s="1" t="s">
        <v>4565</v>
      </c>
      <c r="G899" s="1" t="s">
        <v>4564</v>
      </c>
      <c r="H899" s="1" t="str">
        <f>IFERROR(__xludf.DUMMYFUNCTION("GOOGLETRANSLATE(D899,""EN"",""JA"")"),"細胞密度")</f>
        <v>細胞密度</v>
      </c>
      <c r="I899" s="1" t="str">
        <f>IFERROR(__xludf.DUMMYFUNCTION("GOOGLETRANSLATE(E899,""EN"",""JA"")"),"細胞密度")</f>
        <v>細胞密度</v>
      </c>
      <c r="J899" s="1" t="str">
        <f>IFERROR(__xludf.DUMMYFUNCTION("GOOGLETRANSLATE(F899,""EN"",""JA"")"),"単位体積または単位面積に含まれるセルの数の測定値。")</f>
        <v>単位体積または単位面積に含まれるセルの数の測定値。</v>
      </c>
      <c r="K899" s="1" t="str">
        <f>IFERROR(__xludf.DUMMYFUNCTION("GOOGLETRANSLATE(G899,""EN"",""JA"")"),"細胞密度")</f>
        <v>細胞密度</v>
      </c>
    </row>
    <row r="900" ht="13.5" customHeight="1">
      <c r="A900" s="1" t="s">
        <v>134</v>
      </c>
      <c r="B900" s="1" t="s">
        <v>4566</v>
      </c>
      <c r="C900" s="1" t="s">
        <v>4567</v>
      </c>
      <c r="D900" s="1" t="s">
        <v>4568</v>
      </c>
      <c r="E900" s="1" t="s">
        <v>4568</v>
      </c>
      <c r="F900" s="1" t="s">
        <v>4569</v>
      </c>
      <c r="G900" s="1" t="s">
        <v>4570</v>
      </c>
      <c r="H900" s="1" t="str">
        <f>IFERROR(__xludf.DUMMYFUNCTION("GOOGLETRANSLATE(D900,""EN"",""JA"")"),"細胞分化")</f>
        <v>細胞分化</v>
      </c>
      <c r="I900" s="1" t="str">
        <f>IFERROR(__xludf.DUMMYFUNCTION("GOOGLETRANSLATE(E900,""EN"",""JA"")"),"細胞分化")</f>
        <v>細胞分化</v>
      </c>
      <c r="J900" s="1" t="str">
        <f>IFERROR(__xludf.DUMMYFUNCTION("GOOGLETRANSLATE(F900,""EN"",""JA"")"),"生物標本における細胞の成熟度と特殊化の評価。")</f>
        <v>生物標本における細胞の成熟度と特殊化の評価。</v>
      </c>
      <c r="K900" s="1" t="str">
        <f>IFERROR(__xludf.DUMMYFUNCTION("GOOGLETRANSLATE(G900,""EN"",""JA"")"),"細胞分化評価")</f>
        <v>細胞分化評価</v>
      </c>
    </row>
    <row r="901" ht="13.5" customHeight="1">
      <c r="A901" s="1" t="s">
        <v>1997</v>
      </c>
      <c r="B901" s="1" t="s">
        <v>4571</v>
      </c>
      <c r="C901" s="1" t="s">
        <v>4572</v>
      </c>
      <c r="D901" s="1" t="s">
        <v>4573</v>
      </c>
      <c r="E901" s="1" t="s">
        <v>4573</v>
      </c>
      <c r="F901" s="1" t="s">
        <v>4574</v>
      </c>
      <c r="G901" s="1" t="s">
        <v>4575</v>
      </c>
      <c r="H901" s="1" t="str">
        <f>IFERROR(__xludf.DUMMYFUNCTION("GOOGLETRANSLATE(D901,""EN"",""JA"")"),"細胞密度、最大")</f>
        <v>細胞密度、最大</v>
      </c>
      <c r="I901" s="1" t="str">
        <f>IFERROR(__xludf.DUMMYFUNCTION("GOOGLETRANSLATE(E901,""EN"",""JA"")"),"細胞密度、最大")</f>
        <v>細胞密度、最大</v>
      </c>
      <c r="J901" s="1" t="str">
        <f>IFERROR(__xludf.DUMMYFUNCTION("GOOGLETRANSLATE(F901,""EN"",""JA"")"),"セル密度を表す値のグループ内の最大数。")</f>
        <v>セル密度を表す値のグループ内の最大数。</v>
      </c>
      <c r="K901" s="1" t="str">
        <f>IFERROR(__xludf.DUMMYFUNCTION("GOOGLETRANSLATE(G901,""EN"",""JA"")"),"最大細胞密度")</f>
        <v>最大細胞密度</v>
      </c>
    </row>
    <row r="902" ht="13.5" customHeight="1">
      <c r="A902" s="1" t="s">
        <v>1997</v>
      </c>
      <c r="B902" s="1" t="s">
        <v>4576</v>
      </c>
      <c r="C902" s="1" t="s">
        <v>4577</v>
      </c>
      <c r="D902" s="1" t="s">
        <v>4578</v>
      </c>
      <c r="E902" s="1" t="s">
        <v>4578</v>
      </c>
      <c r="F902" s="1" t="s">
        <v>4579</v>
      </c>
      <c r="G902" s="1" t="s">
        <v>4580</v>
      </c>
      <c r="H902" s="1" t="str">
        <f>IFERROR(__xludf.DUMMYFUNCTION("GOOGLETRANSLATE(D902,""EN"",""JA"")"),"細胞密度、最小")</f>
        <v>細胞密度、最小</v>
      </c>
      <c r="I902" s="1" t="str">
        <f>IFERROR(__xludf.DUMMYFUNCTION("GOOGLETRANSLATE(E902,""EN"",""JA"")"),"細胞密度、最小")</f>
        <v>細胞密度、最小</v>
      </c>
      <c r="J902" s="1" t="str">
        <f>IFERROR(__xludf.DUMMYFUNCTION("GOOGLETRANSLATE(F902,""EN"",""JA"")"),"セル密度を表す値のグループ内の最小数。")</f>
        <v>セル密度を表す値のグループ内の最小数。</v>
      </c>
      <c r="K902" s="1" t="str">
        <f>IFERROR(__xludf.DUMMYFUNCTION("GOOGLETRANSLATE(G902,""EN"",""JA"")"),"最小細胞密度")</f>
        <v>最小細胞密度</v>
      </c>
    </row>
    <row r="903" ht="13.5" customHeight="1">
      <c r="A903" s="1" t="s">
        <v>1997</v>
      </c>
      <c r="B903" s="1" t="s">
        <v>4581</v>
      </c>
      <c r="C903" s="1" t="s">
        <v>4582</v>
      </c>
      <c r="D903" s="1" t="s">
        <v>4583</v>
      </c>
      <c r="E903" s="1" t="s">
        <v>4583</v>
      </c>
      <c r="F903" s="1" t="s">
        <v>4584</v>
      </c>
      <c r="G903" s="1" t="s">
        <v>4585</v>
      </c>
      <c r="H903" s="1" t="str">
        <f>IFERROR(__xludf.DUMMYFUNCTION("GOOGLETRANSLATE(D903,""EN"",""JA"")"),"細胞密度、平均")</f>
        <v>細胞密度、平均</v>
      </c>
      <c r="I903" s="1" t="str">
        <f>IFERROR(__xludf.DUMMYFUNCTION("GOOGLETRANSLATE(E903,""EN"",""JA"")"),"細胞密度、平均")</f>
        <v>細胞密度、平均</v>
      </c>
      <c r="J903" s="1" t="str">
        <f>IFERROR(__xludf.DUMMYFUNCTION("GOOGLETRANSLATE(F903,""EN"",""JA"")"),"細胞密度を表す値のグループ内の平均数。")</f>
        <v>細胞密度を表す値のグループ内の平均数。</v>
      </c>
      <c r="K903" s="1" t="str">
        <f>IFERROR(__xludf.DUMMYFUNCTION("GOOGLETRANSLATE(G903,""EN"",""JA"")"),"平均細胞密度")</f>
        <v>平均細胞密度</v>
      </c>
    </row>
    <row r="904" ht="13.5" customHeight="1">
      <c r="A904" s="1" t="s">
        <v>1997</v>
      </c>
      <c r="B904" s="1" t="s">
        <v>4586</v>
      </c>
      <c r="C904" s="1" t="s">
        <v>4587</v>
      </c>
      <c r="D904" s="1" t="s">
        <v>4588</v>
      </c>
      <c r="E904" s="1" t="s">
        <v>4588</v>
      </c>
      <c r="F904" s="1" t="s">
        <v>4589</v>
      </c>
      <c r="G904" s="1" t="s">
        <v>4590</v>
      </c>
      <c r="H904" s="1" t="str">
        <f>IFERROR(__xludf.DUMMYFUNCTION("GOOGLETRANSLATE(D904,""EN"",""JA"")"),"細胞密度、標準偏差")</f>
        <v>細胞密度、標準偏差</v>
      </c>
      <c r="I904" s="1" t="str">
        <f>IFERROR(__xludf.DUMMYFUNCTION("GOOGLETRANSLATE(E904,""EN"",""JA"")"),"細胞密度、標準偏差")</f>
        <v>細胞密度、標準偏差</v>
      </c>
      <c r="J904" s="1" t="str">
        <f>IFERROR(__xludf.DUMMYFUNCTION("GOOGLETRANSLATE(F904,""EN"",""JA"")"),"セル密度を表す値のグループ内の標準偏差。")</f>
        <v>セル密度を表す値のグループ内の標準偏差。</v>
      </c>
      <c r="K904" s="1" t="str">
        <f>IFERROR(__xludf.DUMMYFUNCTION("GOOGLETRANSLATE(G904,""EN"",""JA"")"),"細胞密度の標準偏差")</f>
        <v>細胞密度の標準偏差</v>
      </c>
    </row>
    <row r="905" ht="13.5" customHeight="1">
      <c r="A905" s="1" t="s">
        <v>134</v>
      </c>
      <c r="B905" s="1" t="s">
        <v>4591</v>
      </c>
      <c r="C905" s="1" t="s">
        <v>4592</v>
      </c>
      <c r="D905" s="1" t="s">
        <v>4593</v>
      </c>
      <c r="E905" s="1" t="s">
        <v>4594</v>
      </c>
      <c r="F905" s="1" t="s">
        <v>4595</v>
      </c>
      <c r="G905" s="1" t="s">
        <v>4596</v>
      </c>
      <c r="H905" s="1" t="str">
        <f>IFERROR(__xludf.DUMMYFUNCTION("GOOGLETRANSLATE(D905,""EN"",""JA"")"),"細胞")</f>
        <v>細胞</v>
      </c>
      <c r="I905" s="1" t="str">
        <f>IFERROR(__xludf.DUMMYFUNCTION("GOOGLETRANSLATE(E905,""EN"",""JA"")"),"細胞; 総細胞数")</f>
        <v>細胞; 総細胞数</v>
      </c>
      <c r="J905" s="1" t="str">
        <f>IFERROR(__xludf.DUMMYFUNCTION("GOOGLETRANSLATE(F905,""EN"",""JA"")"),"生物標本中の核細胞の総数の測定。")</f>
        <v>生物標本中の核細胞の総数の測定。</v>
      </c>
      <c r="K905" s="1" t="str">
        <f>IFERROR(__xludf.DUMMYFUNCTION("GOOGLETRANSLATE(G905,""EN"",""JA"")"),"細胞数")</f>
        <v>細胞数</v>
      </c>
    </row>
    <row r="906" ht="13.5" customHeight="1">
      <c r="A906" s="1" t="s">
        <v>11</v>
      </c>
      <c r="B906" s="1" t="s">
        <v>4591</v>
      </c>
      <c r="C906" s="1" t="s">
        <v>4592</v>
      </c>
      <c r="D906" s="1" t="s">
        <v>4593</v>
      </c>
      <c r="E906" s="1" t="s">
        <v>4594</v>
      </c>
      <c r="F906" s="1" t="s">
        <v>4595</v>
      </c>
      <c r="G906" s="1" t="s">
        <v>4596</v>
      </c>
      <c r="H906" s="1" t="str">
        <f>IFERROR(__xludf.DUMMYFUNCTION("GOOGLETRANSLATE(D906,""EN"",""JA"")"),"細胞")</f>
        <v>細胞</v>
      </c>
      <c r="I906" s="1" t="str">
        <f>IFERROR(__xludf.DUMMYFUNCTION("GOOGLETRANSLATE(E906,""EN"",""JA"")"),"細胞; 総細胞数")</f>
        <v>細胞; 総細胞数</v>
      </c>
      <c r="J906" s="1" t="str">
        <f>IFERROR(__xludf.DUMMYFUNCTION("GOOGLETRANSLATE(F906,""EN"",""JA"")"),"生物標本中の核細胞の総数の測定。")</f>
        <v>生物標本中の核細胞の総数の測定。</v>
      </c>
      <c r="K906" s="1" t="str">
        <f>IFERROR(__xludf.DUMMYFUNCTION("GOOGLETRANSLATE(G906,""EN"",""JA"")"),"細胞数")</f>
        <v>細胞数</v>
      </c>
    </row>
    <row r="907" ht="13.5" customHeight="1">
      <c r="A907" s="1" t="s">
        <v>11</v>
      </c>
      <c r="B907" s="1" t="s">
        <v>4597</v>
      </c>
      <c r="C907" s="1" t="s">
        <v>4598</v>
      </c>
      <c r="D907" s="1" t="s">
        <v>4599</v>
      </c>
      <c r="E907" s="1" t="s">
        <v>4599</v>
      </c>
      <c r="F907" s="1" t="s">
        <v>4600</v>
      </c>
      <c r="G907" s="1" t="s">
        <v>4601</v>
      </c>
      <c r="H907" s="1" t="str">
        <f>IFERROR(__xludf.DUMMYFUNCTION("GOOGLETRANSLATE(D907,""EN"",""JA"")"),"未熟細胞")</f>
        <v>未熟細胞</v>
      </c>
      <c r="I907" s="1" t="str">
        <f>IFERROR(__xludf.DUMMYFUNCTION("GOOGLETRANSLATE(E907,""EN"",""JA"")"),"未熟細胞")</f>
        <v>未熟細胞</v>
      </c>
      <c r="J907" s="1" t="str">
        <f>IFERROR(__xludf.DUMMYFUNCTION("GOOGLETRANSLATE(F907,""EN"",""JA"")"),"血液標本中の未熟細胞の総数の測定値。")</f>
        <v>血液標本中の未熟細胞の総数の測定値。</v>
      </c>
      <c r="K907" s="1" t="str">
        <f>IFERROR(__xludf.DUMMYFUNCTION("GOOGLETRANSLATE(G907,""EN"",""JA"")"),"未熟細胞数")</f>
        <v>未熟細胞数</v>
      </c>
    </row>
    <row r="908" ht="13.5" customHeight="1">
      <c r="A908" s="1" t="s">
        <v>134</v>
      </c>
      <c r="B908" s="1" t="s">
        <v>4602</v>
      </c>
      <c r="C908" s="1" t="s">
        <v>4603</v>
      </c>
      <c r="D908" s="1" t="s">
        <v>4604</v>
      </c>
      <c r="E908" s="1" t="s">
        <v>4605</v>
      </c>
      <c r="F908" s="1" t="s">
        <v>4606</v>
      </c>
      <c r="G908" s="1" t="s">
        <v>4607</v>
      </c>
      <c r="H908" s="1" t="str">
        <f>IFERROR(__xludf.DUMMYFUNCTION("GOOGLETRANSLATE(D908,""EN"",""JA"")"),"細胞性")</f>
        <v>細胞性</v>
      </c>
      <c r="I908" s="1" t="str">
        <f>IFERROR(__xludf.DUMMYFUNCTION("GOOGLETRANSLATE(E908,""EN"",""JA"")"),"細胞密度; 細胞密度グレード")</f>
        <v>細胞密度; 細胞密度グレード</v>
      </c>
      <c r="J908" s="1" t="str">
        <f>IFERROR(__xludf.DUMMYFUNCTION("GOOGLETRANSLATE(F908,""EN"",""JA"")"),"生物標本内の細胞の程度、品質、または状態を測定すること。")</f>
        <v>生物標本内の細胞の程度、品質、または状態を測定すること。</v>
      </c>
      <c r="K908" s="1" t="str">
        <f>IFERROR(__xludf.DUMMYFUNCTION("GOOGLETRANSLATE(G908,""EN"",""JA"")"),"細胞密度測定")</f>
        <v>細胞密度測定</v>
      </c>
    </row>
    <row r="909" ht="13.5" customHeight="1">
      <c r="A909" s="1" t="s">
        <v>11</v>
      </c>
      <c r="B909" s="1" t="s">
        <v>4602</v>
      </c>
      <c r="C909" s="1" t="s">
        <v>4603</v>
      </c>
      <c r="D909" s="1" t="s">
        <v>4604</v>
      </c>
      <c r="E909" s="1" t="s">
        <v>4605</v>
      </c>
      <c r="F909" s="1" t="s">
        <v>4606</v>
      </c>
      <c r="G909" s="1" t="s">
        <v>4607</v>
      </c>
      <c r="H909" s="1" t="str">
        <f>IFERROR(__xludf.DUMMYFUNCTION("GOOGLETRANSLATE(D909,""EN"",""JA"")"),"細胞性")</f>
        <v>細胞性</v>
      </c>
      <c r="I909" s="1" t="str">
        <f>IFERROR(__xludf.DUMMYFUNCTION("GOOGLETRANSLATE(E909,""EN"",""JA"")"),"細胞密度; 細胞密度グレード")</f>
        <v>細胞密度; 細胞密度グレード</v>
      </c>
      <c r="J909" s="1" t="str">
        <f>IFERROR(__xludf.DUMMYFUNCTION("GOOGLETRANSLATE(F909,""EN"",""JA"")"),"生物標本内の細胞の程度、品質、または状態を測定すること。")</f>
        <v>生物標本内の細胞の程度、品質、または状態を測定すること。</v>
      </c>
      <c r="K909" s="1" t="str">
        <f>IFERROR(__xludf.DUMMYFUNCTION("GOOGLETRANSLATE(G909,""EN"",""JA"")"),"細胞密度測定")</f>
        <v>細胞密度測定</v>
      </c>
    </row>
    <row r="910" ht="13.5" customHeight="1">
      <c r="A910" s="1" t="s">
        <v>11</v>
      </c>
      <c r="B910" s="1" t="s">
        <v>4608</v>
      </c>
      <c r="C910" s="1" t="s">
        <v>4609</v>
      </c>
      <c r="D910" s="1" t="s">
        <v>4610</v>
      </c>
      <c r="E910" s="1" t="s">
        <v>4610</v>
      </c>
      <c r="F910" s="1" t="s">
        <v>4611</v>
      </c>
      <c r="G910" s="1" t="s">
        <v>4612</v>
      </c>
      <c r="H910" s="1" t="str">
        <f>IFERROR(__xludf.DUMMYFUNCTION("GOOGLETRANSLATE(D910,""EN"",""JA"")"),"細胞形態学")</f>
        <v>細胞形態学</v>
      </c>
      <c r="I910" s="1" t="str">
        <f>IFERROR(__xludf.DUMMYFUNCTION("GOOGLETRANSLATE(E910,""EN"",""JA"")"),"細胞形態学")</f>
        <v>細胞形態学</v>
      </c>
      <c r="J910" s="1" t="str">
        <f>IFERROR(__xludf.DUMMYFUNCTION("GOOGLETRANSLATE(F910,""EN"",""JA"")"),"細胞の形状と構造の検査または評価。")</f>
        <v>細胞の形状と構造の検査または評価。</v>
      </c>
      <c r="K910" s="1" t="str">
        <f>IFERROR(__xludf.DUMMYFUNCTION("GOOGLETRANSLATE(G910,""EN"",""JA"")"),"細胞形態評価")</f>
        <v>細胞形態評価</v>
      </c>
    </row>
    <row r="911" ht="13.5" customHeight="1">
      <c r="A911" s="1" t="s">
        <v>11</v>
      </c>
      <c r="B911" s="1" t="s">
        <v>4613</v>
      </c>
      <c r="C911" s="1" t="s">
        <v>4614</v>
      </c>
      <c r="D911" s="1" t="s">
        <v>4615</v>
      </c>
      <c r="E911" s="1" t="s">
        <v>4615</v>
      </c>
      <c r="F911" s="1" t="s">
        <v>4616</v>
      </c>
      <c r="G911" s="1" t="s">
        <v>4617</v>
      </c>
      <c r="H911" s="1" t="str">
        <f>IFERROR(__xludf.DUMMYFUNCTION("GOOGLETRANSLATE(D911,""EN"",""JA"")"),"コレステロールエステル転移タンパク質")</f>
        <v>コレステロールエステル転移タンパク質</v>
      </c>
      <c r="I911" s="1" t="str">
        <f>IFERROR(__xludf.DUMMYFUNCTION("GOOGLETRANSLATE(E911,""EN"",""JA"")"),"コレステロールエステル転移タンパク質")</f>
        <v>コレステロールエステル転移タンパク質</v>
      </c>
      <c r="J911" s="1" t="str">
        <f>IFERROR(__xludf.DUMMYFUNCTION("GOOGLETRANSLATE(F911,""EN"",""JA"")"),"生物標本中のコレステロールエステル転送タンパク質の測定。")</f>
        <v>生物標本中のコレステロールエステル転送タンパク質の測定。</v>
      </c>
      <c r="K911" s="1" t="str">
        <f>IFERROR(__xludf.DUMMYFUNCTION("GOOGLETRANSLATE(G911,""EN"",""JA"")"),"コレステロールエステル転移タンパク質測定")</f>
        <v>コレステロールエステル転移タンパク質測定</v>
      </c>
    </row>
    <row r="912" ht="13.5" customHeight="1">
      <c r="A912" s="1" t="s">
        <v>11</v>
      </c>
      <c r="B912" s="1" t="s">
        <v>4618</v>
      </c>
      <c r="C912" s="1" t="s">
        <v>4619</v>
      </c>
      <c r="D912" s="1" t="s">
        <v>4620</v>
      </c>
      <c r="E912" s="1" t="s">
        <v>4620</v>
      </c>
      <c r="F912" s="1" t="s">
        <v>4621</v>
      </c>
      <c r="G912" s="1" t="s">
        <v>4622</v>
      </c>
      <c r="H912" s="1" t="str">
        <f>IFERROR(__xludf.DUMMYFUNCTION("GOOGLETRANSLATE(D912,""EN"",""JA"")"),"コレステロールエステル転送タンパク質法")</f>
        <v>コレステロールエステル転送タンパク質法</v>
      </c>
      <c r="I912" s="1" t="str">
        <f>IFERROR(__xludf.DUMMYFUNCTION("GOOGLETRANSLATE(E912,""EN"",""JA"")"),"コレステロールエステル転送タンパク質法")</f>
        <v>コレステロールエステル転送タンパク質法</v>
      </c>
      <c r="J912" s="1" t="str">
        <f>IFERROR(__xludf.DUMMYFUNCTION("GOOGLETRANSLATE(F912,""EN"",""JA"")"),"生物標本中のコレステロールエステル転送タンパク質の生物活性の測定。")</f>
        <v>生物標本中のコレステロールエステル転送タンパク質の生物活性の測定。</v>
      </c>
      <c r="K912" s="1" t="str">
        <f>IFERROR(__xludf.DUMMYFUNCTION("GOOGLETRANSLATE(G912,""EN"",""JA"")"),"コレステロールエステル転移タンパク質活性測定")</f>
        <v>コレステロールエステル転移タンパク質活性測定</v>
      </c>
    </row>
    <row r="913" ht="13.5" customHeight="1">
      <c r="A913" s="1" t="s">
        <v>11</v>
      </c>
      <c r="B913" s="1" t="s">
        <v>4623</v>
      </c>
      <c r="C913" s="1" t="s">
        <v>4624</v>
      </c>
      <c r="D913" s="1" t="s">
        <v>4625</v>
      </c>
      <c r="E913" s="1" t="s">
        <v>4625</v>
      </c>
      <c r="F913" s="1" t="s">
        <v>4626</v>
      </c>
      <c r="G913" s="1" t="s">
        <v>4627</v>
      </c>
      <c r="H913" s="1" t="str">
        <f>IFERROR(__xludf.DUMMYFUNCTION("GOOGLETRANSLATE(D913,""EN"",""JA"")"),"脂肪吸収係数")</f>
        <v>脂肪吸収係数</v>
      </c>
      <c r="I913" s="1" t="str">
        <f>IFERROR(__xludf.DUMMYFUNCTION("GOOGLETRANSLATE(E913,""EN"",""JA"")"),"脂肪吸収係数")</f>
        <v>脂肪吸収係数</v>
      </c>
      <c r="J913" s="1" t="str">
        <f>IFERROR(__xludf.DUMMYFUNCTION("GOOGLETRANSLATE(F913,""EN"",""JA"")"),"生物標本における脂肪吸収係数の測定。")</f>
        <v>生物標本における脂肪吸収係数の測定。</v>
      </c>
      <c r="K913" s="1" t="str">
        <f>IFERROR(__xludf.DUMMYFUNCTION("GOOGLETRANSLATE(G913,""EN"",""JA"")"),"脂肪吸収係数測定")</f>
        <v>脂肪吸収係数測定</v>
      </c>
    </row>
    <row r="914" ht="13.5" customHeight="1">
      <c r="A914" s="1" t="s">
        <v>11</v>
      </c>
      <c r="B914" s="1" t="s">
        <v>4628</v>
      </c>
      <c r="C914" s="1" t="s">
        <v>4629</v>
      </c>
      <c r="D914" s="1" t="s">
        <v>4630</v>
      </c>
      <c r="E914" s="1" t="s">
        <v>4631</v>
      </c>
      <c r="F914" s="1" t="s">
        <v>4632</v>
      </c>
      <c r="G914" s="1" t="s">
        <v>4633</v>
      </c>
      <c r="H914" s="1" t="str">
        <f>IFERROR(__xludf.DUMMYFUNCTION("GOOGLETRANSLATE(D914,""EN"",""JA"")"),"補体因子H")</f>
        <v>補体因子H</v>
      </c>
      <c r="I914" s="1" t="str">
        <f>IFERROR(__xludf.DUMMYFUNCTION("GOOGLETRANSLATE(E914,""EN"",""JA"")"),"ベータ1Hグロブリン; 補体因子H; 因子H; H因子1")</f>
        <v>ベータ1Hグロブリン; 補体因子H; 因子H; H因子1</v>
      </c>
      <c r="J914" s="1" t="str">
        <f>IFERROR(__xludf.DUMMYFUNCTION("GOOGLETRANSLATE(F914,""EN"",""JA"")"),"生物標本中の補体因子 H の測定。")</f>
        <v>生物標本中の補体因子 H の測定。</v>
      </c>
      <c r="K914" s="1" t="str">
        <f>IFERROR(__xludf.DUMMYFUNCTION("GOOGLETRANSLATE(G914,""EN"",""JA"")"),"補体因子H測定")</f>
        <v>補体因子H測定</v>
      </c>
    </row>
    <row r="915" ht="13.5" customHeight="1">
      <c r="A915" s="1" t="s">
        <v>11</v>
      </c>
      <c r="B915" s="1" t="s">
        <v>4634</v>
      </c>
      <c r="C915" s="1" t="s">
        <v>4635</v>
      </c>
      <c r="D915" s="1" t="s">
        <v>4636</v>
      </c>
      <c r="E915" s="1" t="s">
        <v>4637</v>
      </c>
      <c r="F915" s="1" t="s">
        <v>4638</v>
      </c>
      <c r="G915" s="1" t="s">
        <v>4639</v>
      </c>
      <c r="H915" s="1" t="str">
        <f>IFERROR(__xludf.DUMMYFUNCTION("GOOGLETRANSLATE(D915,""EN"",""JA"")"),"補体因子H関連タンパク質1")</f>
        <v>補体因子H関連タンパク質1</v>
      </c>
      <c r="I915" s="1" t="str">
        <f>IFERROR(__xludf.DUMMYFUNCTION("GOOGLETRANSLATE(E915,""EN"",""JA"")"),"補体因子H関連1; 補体因子H関連タンパク質1; FHL-1; FHR-1; H因子様タンパク質1; H因子様1")</f>
        <v>補体因子H関連1; 補体因子H関連タンパク質1; FHL-1; FHR-1; H因子様タンパク質1; H因子様1</v>
      </c>
      <c r="J915" s="1" t="str">
        <f>IFERROR(__xludf.DUMMYFUNCTION("GOOGLETRANSLATE(F915,""EN"",""JA"")"),"生物標本中の補体因子 H 関連タンパク質 1 の測定。")</f>
        <v>生物標本中の補体因子 H 関連タンパク質 1 の測定。</v>
      </c>
      <c r="K915" s="1" t="str">
        <f>IFERROR(__xludf.DUMMYFUNCTION("GOOGLETRANSLATE(G915,""EN"",""JA"")"),"補体因子H関連タンパク質1の測定")</f>
        <v>補体因子H関連タンパク質1の測定</v>
      </c>
    </row>
    <row r="916" ht="13.5" customHeight="1">
      <c r="A916" s="1" t="s">
        <v>67</v>
      </c>
      <c r="B916" s="1" t="s">
        <v>4640</v>
      </c>
      <c r="C916" s="1" t="s">
        <v>4641</v>
      </c>
      <c r="D916" s="1" t="s">
        <v>4642</v>
      </c>
      <c r="E916" s="1" t="s">
        <v>4642</v>
      </c>
      <c r="F916" s="1" t="s">
        <v>4643</v>
      </c>
      <c r="G916" s="1" t="s">
        <v>4644</v>
      </c>
      <c r="H916" s="1" t="str">
        <f>IFERROR(__xludf.DUMMYFUNCTION("GOOGLETRANSLATE(D916,""EN"",""JA"")"),"シトロバクター・フロインディ")</f>
        <v>シトロバクター・フロインディ</v>
      </c>
      <c r="I916" s="1" t="str">
        <f>IFERROR(__xludf.DUMMYFUNCTION("GOOGLETRANSLATE(E916,""EN"",""JA"")"),"シトロバクター・フロインディ")</f>
        <v>シトロバクター・フロインディ</v>
      </c>
      <c r="J916" s="1" t="str">
        <f>IFERROR(__xludf.DUMMYFUNCTION("GOOGLETRANSLATE(F916,""EN"",""JA"")"),"生物標本中の Citrobacter freundi の測定。")</f>
        <v>生物標本中の Citrobacter freundi の測定。</v>
      </c>
      <c r="K916" s="1" t="str">
        <f>IFERROR(__xludf.DUMMYFUNCTION("GOOGLETRANSLATE(G916,""EN"",""JA"")"),"シトロバクター・フロインディ測定")</f>
        <v>シトロバクター・フロインディ測定</v>
      </c>
    </row>
    <row r="917" ht="13.5" customHeight="1">
      <c r="A917" s="1" t="s">
        <v>90</v>
      </c>
      <c r="B917" s="1" t="s">
        <v>4645</v>
      </c>
      <c r="C917" s="1" t="s">
        <v>4646</v>
      </c>
      <c r="D917" s="1" t="s">
        <v>4647</v>
      </c>
      <c r="E917" s="1" t="s">
        <v>4647</v>
      </c>
      <c r="F917" s="1" t="s">
        <v>4648</v>
      </c>
      <c r="G917" s="1" t="s">
        <v>4649</v>
      </c>
      <c r="H917" s="1" t="str">
        <f>IFERROR(__xludf.DUMMYFUNCTION("GOOGLETRANSLATE(D917,""EN"",""JA"")"),"円周方向の歪み")</f>
        <v>円周方向の歪み</v>
      </c>
      <c r="I917" s="1" t="str">
        <f>IFERROR(__xludf.DUMMYFUNCTION("GOOGLETRANSLATE(E917,""EN"",""JA"")"),"円周方向の歪み")</f>
        <v>円周方向の歪み</v>
      </c>
      <c r="J917" s="1" t="str">
        <f>IFERROR(__xludf.DUMMYFUNCTION("GOOGLETRANSLATE(F917,""EN"",""JA"")"),"短軸から見た心室または心房の円周軸に沿った心筋の長さの変化の測定値。")</f>
        <v>短軸から見た心室または心房の円周軸に沿った心筋の長さの変化の測定値。</v>
      </c>
      <c r="K917" s="1" t="str">
        <f>IFERROR(__xludf.DUMMYFUNCTION("GOOGLETRANSLATE(G917,""EN"",""JA"")"),"円周方向ひずみ測定")</f>
        <v>円周方向ひずみ測定</v>
      </c>
    </row>
    <row r="918" ht="13.5" customHeight="1">
      <c r="A918" s="1" t="s">
        <v>11</v>
      </c>
      <c r="B918" s="1" t="s">
        <v>4650</v>
      </c>
      <c r="C918" s="1" t="s">
        <v>4651</v>
      </c>
      <c r="D918" s="1" t="s">
        <v>4652</v>
      </c>
      <c r="E918" s="1" t="s">
        <v>4652</v>
      </c>
      <c r="F918" s="1" t="s">
        <v>4653</v>
      </c>
      <c r="G918" s="1" t="s">
        <v>4654</v>
      </c>
      <c r="H918" s="1" t="str">
        <f>IFERROR(__xludf.DUMMYFUNCTION("GOOGLETRANSLATE(D918,""EN"",""JA"")"),"クロモグラニンA")</f>
        <v>クロモグラニンA</v>
      </c>
      <c r="I918" s="1" t="str">
        <f>IFERROR(__xludf.DUMMYFUNCTION("GOOGLETRANSLATE(E918,""EN"",""JA"")"),"クロモグラニンA")</f>
        <v>クロモグラニンA</v>
      </c>
      <c r="J918" s="1" t="str">
        <f>IFERROR(__xludf.DUMMYFUNCTION("GOOGLETRANSLATE(F918,""EN"",""JA"")"),"生物標本中のクロモグラニン A の測定。")</f>
        <v>生物標本中のクロモグラニン A の測定。</v>
      </c>
      <c r="K918" s="1" t="str">
        <f>IFERROR(__xludf.DUMMYFUNCTION("GOOGLETRANSLATE(G918,""EN"",""JA"")"),"クロモグラニンA測定")</f>
        <v>クロモグラニンA測定</v>
      </c>
    </row>
    <row r="919" ht="13.5" customHeight="1">
      <c r="A919" s="1" t="s">
        <v>11</v>
      </c>
      <c r="B919" s="1" t="s">
        <v>4655</v>
      </c>
      <c r="C919" s="1" t="s">
        <v>4656</v>
      </c>
      <c r="D919" s="1" t="s">
        <v>4657</v>
      </c>
      <c r="E919" s="1" t="s">
        <v>4658</v>
      </c>
      <c r="F919" s="1" t="s">
        <v>4659</v>
      </c>
      <c r="G919" s="1" t="s">
        <v>4660</v>
      </c>
      <c r="H919" s="1" t="str">
        <f>IFERROR(__xludf.DUMMYFUNCTION("GOOGLETRANSLATE(D919,""EN"",""JA"")"),"母体体重に対する絨毛性ゴナドトロピン調整値")</f>
        <v>母体体重に対する絨毛性ゴナドトロピン調整値</v>
      </c>
      <c r="I919" s="1" t="str">
        <f>IFERROR(__xludf.DUMMYFUNCTION("GOOGLETRANSLATE(E919,""EN"",""JA"")"),"母体体重に対する絨毛性ゴナドトロピン調整値；母体体重に対する絨毛性ゴナドトロピン調整値")</f>
        <v>母体体重に対する絨毛性ゴナドトロピン調整値；母体体重に対する絨毛性ゴナドトロピン調整値</v>
      </c>
      <c r="J919" s="1" t="str">
        <f>IFERROR(__xludf.DUMMYFUNCTION("GOOGLETRANSLATE(F919,""EN"",""JA"")"),"生物学的標本中の絨毛性ゴナドトロピンの測定値（母親の体重に合わせて調整）。")</f>
        <v>生物学的標本中の絨毛性ゴナドトロピンの測定値（母親の体重に合わせて調整）。</v>
      </c>
      <c r="K919" s="1" t="str">
        <f>IFERROR(__xludf.DUMMYFUNCTION("GOOGLETRANSLATE(G919,""EN"",""JA"")"),"母体体重測定に合わせて調整された絨毛性ゴナドトロピン")</f>
        <v>母体体重測定に合わせて調整された絨毛性ゴナドトロピン</v>
      </c>
    </row>
    <row r="920" ht="13.5" customHeight="1">
      <c r="A920" s="1" t="s">
        <v>67</v>
      </c>
      <c r="B920" s="1" t="s">
        <v>4661</v>
      </c>
      <c r="C920" s="1" t="s">
        <v>4662</v>
      </c>
      <c r="D920" s="1" t="s">
        <v>4663</v>
      </c>
      <c r="E920" s="1" t="s">
        <v>4663</v>
      </c>
      <c r="F920" s="1" t="s">
        <v>4664</v>
      </c>
      <c r="G920" s="1" t="s">
        <v>4665</v>
      </c>
      <c r="H920" s="1" t="str">
        <f>IFERROR(__xludf.DUMMYFUNCTION("GOOGLETRANSLATE(D920,""EN"",""JA"")"),"カンジダ・グラブラタ")</f>
        <v>カンジダ・グラブラタ</v>
      </c>
      <c r="I920" s="1" t="str">
        <f>IFERROR(__xludf.DUMMYFUNCTION("GOOGLETRANSLATE(E920,""EN"",""JA"")"),"カンジダ・グラブラタ")</f>
        <v>カンジダ・グラブラタ</v>
      </c>
      <c r="J920" s="1" t="str">
        <f>IFERROR(__xludf.DUMMYFUNCTION("GOOGLETRANSLATE(F920,""EN"",""JA"")"),"生物標本中の Candida glabrata の測定。")</f>
        <v>生物標本中の Candida glabrata の測定。</v>
      </c>
      <c r="K920" s="1" t="str">
        <f>IFERROR(__xludf.DUMMYFUNCTION("GOOGLETRANSLATE(G920,""EN"",""JA"")"),"カンジダ・グラブラタ測定")</f>
        <v>カンジダ・グラブラタ測定</v>
      </c>
    </row>
    <row r="921" ht="13.5" customHeight="1">
      <c r="A921" s="1" t="s">
        <v>11</v>
      </c>
      <c r="B921" s="1" t="s">
        <v>4666</v>
      </c>
      <c r="C921" s="1" t="s">
        <v>4667</v>
      </c>
      <c r="D921" s="1" t="s">
        <v>4668</v>
      </c>
      <c r="E921" s="1" t="s">
        <v>4668</v>
      </c>
      <c r="F921" s="1" t="s">
        <v>4669</v>
      </c>
      <c r="G921" s="1" t="s">
        <v>4670</v>
      </c>
      <c r="H921" s="1" t="str">
        <f>IFERROR(__xludf.DUMMYFUNCTION("GOOGLETRANSLATE(D921,""EN"",""JA"")"),"環状グアノシン一リン酸")</f>
        <v>環状グアノシン一リン酸</v>
      </c>
      <c r="I921" s="1" t="str">
        <f>IFERROR(__xludf.DUMMYFUNCTION("GOOGLETRANSLATE(E921,""EN"",""JA"")"),"環状グアノシン一リン酸")</f>
        <v>環状グアノシン一リン酸</v>
      </c>
      <c r="J921" s="1" t="str">
        <f>IFERROR(__xludf.DUMMYFUNCTION("GOOGLETRANSLATE(F921,""EN"",""JA"")"),"生物標本中の環状グアノシン 3,5-一リン酸の測定。")</f>
        <v>生物標本中の環状グアノシン 3,5-一リン酸の測定。</v>
      </c>
      <c r="K921" s="1" t="str">
        <f>IFERROR(__xludf.DUMMYFUNCTION("GOOGLETRANSLATE(G921,""EN"",""JA"")"),"環状グアノシン一リン酸測定")</f>
        <v>環状グアノシン一リン酸測定</v>
      </c>
    </row>
    <row r="922" ht="13.5" customHeight="1">
      <c r="A922" s="1" t="s">
        <v>11</v>
      </c>
      <c r="B922" s="1" t="s">
        <v>4671</v>
      </c>
      <c r="C922" s="1" t="s">
        <v>4672</v>
      </c>
      <c r="D922" s="1" t="s">
        <v>4673</v>
      </c>
      <c r="E922" s="1" t="s">
        <v>4674</v>
      </c>
      <c r="F922" s="1" t="s">
        <v>4675</v>
      </c>
      <c r="G922" s="1" t="s">
        <v>4676</v>
      </c>
      <c r="H922" s="1" t="str">
        <f>IFERROR(__xludf.DUMMYFUNCTION("GOOGLETRANSLATE(D922,""EN"",""JA"")"),"補体CH100")</f>
        <v>補体CH100</v>
      </c>
      <c r="I922" s="1" t="str">
        <f>IFERROR(__xludf.DUMMYFUNCTION("GOOGLETRANSLATE(E922,""EN"",""JA"")"),"CH100; 補体 CH100; 総溶血補体 CH100")</f>
        <v>CH100; 補体 CH100; 総溶血補体 CH100</v>
      </c>
      <c r="J922" s="1" t="str">
        <f>IFERROR(__xludf.DUMMYFUNCTION("GOOGLETRANSLATE(F922,""EN"",""JA"")"),"生物学的標本内の赤血球を 100% 溶解するために必要な補数の測定値。")</f>
        <v>生物学的標本内の赤血球を 100% 溶解するために必要な補数の測定値。</v>
      </c>
      <c r="K922" s="1" t="str">
        <f>IFERROR(__xludf.DUMMYFUNCTION("GOOGLETRANSLATE(G922,""EN"",""JA"")"),"補体CH100測定")</f>
        <v>補体CH100測定</v>
      </c>
    </row>
    <row r="923" ht="13.5" customHeight="1">
      <c r="A923" s="1" t="s">
        <v>11</v>
      </c>
      <c r="B923" s="1" t="s">
        <v>4677</v>
      </c>
      <c r="C923" s="1" t="s">
        <v>4678</v>
      </c>
      <c r="D923" s="1" t="s">
        <v>4679</v>
      </c>
      <c r="E923" s="1" t="s">
        <v>4680</v>
      </c>
      <c r="F923" s="1" t="s">
        <v>4681</v>
      </c>
      <c r="G923" s="1" t="s">
        <v>4682</v>
      </c>
      <c r="H923" s="1" t="str">
        <f>IFERROR(__xludf.DUMMYFUNCTION("GOOGLETRANSLATE(D923,""EN"",""JA"")"),"補体CH50")</f>
        <v>補体CH50</v>
      </c>
      <c r="I923" s="1" t="str">
        <f>IFERROR(__xludf.DUMMYFUNCTION("GOOGLETRANSLATE(E923,""EN"",""JA"")"),"CH50; 補体 CH50; 総溶血補体 CH50")</f>
        <v>CH50; 補体 CH50; 総溶血補体 CH50</v>
      </c>
      <c r="J923" s="1" t="str">
        <f>IFERROR(__xludf.DUMMYFUNCTION("GOOGLETRANSLATE(F923,""EN"",""JA"")"),"生物学的標本内の赤血球の 50% を溶解するために必要な補数の測定値。")</f>
        <v>生物学的標本内の赤血球の 50% を溶解するために必要な補数の測定値。</v>
      </c>
      <c r="K923" s="1" t="str">
        <f>IFERROR(__xludf.DUMMYFUNCTION("GOOGLETRANSLATE(G923,""EN"",""JA"")"),"CH50測定")</f>
        <v>CH50測定</v>
      </c>
    </row>
    <row r="924" ht="13.5" customHeight="1">
      <c r="A924" s="1" t="s">
        <v>11</v>
      </c>
      <c r="B924" s="1" t="s">
        <v>4683</v>
      </c>
      <c r="C924" s="1" t="s">
        <v>4684</v>
      </c>
      <c r="D924" s="1" t="s">
        <v>4685</v>
      </c>
      <c r="E924" s="1" t="s">
        <v>4685</v>
      </c>
      <c r="F924" s="1" t="s">
        <v>4686</v>
      </c>
      <c r="G924" s="1" t="s">
        <v>4687</v>
      </c>
      <c r="H924" s="1" t="str">
        <f>IFERROR(__xludf.DUMMYFUNCTION("GOOGLETRANSLATE(D924,""EN"",""JA"")"),"血球HGB濃度平均")</f>
        <v>血球HGB濃度平均</v>
      </c>
      <c r="I924" s="1" t="str">
        <f>IFERROR(__xludf.DUMMYFUNCTION("GOOGLETRANSLATE(E924,""EN"",""JA"")"),"血球HGB濃度平均")</f>
        <v>血球HGB濃度平均</v>
      </c>
      <c r="J924" s="1" t="str">
        <f>IFERROR(__xludf.DUMMYFUNCTION("GOOGLETRANSLATE(F924,""EN"",""JA"")"),"生物標本内の個々の赤血球内のヘモグロビン濃度を直接測定し、平均値として報告します。")</f>
        <v>生物標本内の個々の赤血球内のヘモグロビン濃度を直接測定し、平均値として報告します。</v>
      </c>
      <c r="K924" s="1" t="str">
        <f>IFERROR(__xludf.DUMMYFUNCTION("GOOGLETRANSLATE(G924,""EN"",""JA"")"),"血球ヘモグロビン濃度平均")</f>
        <v>血球ヘモグロビン濃度平均</v>
      </c>
    </row>
    <row r="925" ht="13.5" customHeight="1">
      <c r="A925" s="1" t="s">
        <v>11</v>
      </c>
      <c r="B925" s="1" t="s">
        <v>4688</v>
      </c>
      <c r="C925" s="1" t="s">
        <v>4689</v>
      </c>
      <c r="D925" s="1" t="s">
        <v>4690</v>
      </c>
      <c r="E925" s="1" t="s">
        <v>4691</v>
      </c>
      <c r="F925" s="1" t="s">
        <v>4692</v>
      </c>
      <c r="G925" s="1" t="s">
        <v>4693</v>
      </c>
      <c r="H925" s="1" t="str">
        <f>IFERROR(__xludf.DUMMYFUNCTION("GOOGLETRANSLATE(D925,""EN"",""JA"")"),"網膜赤血球HGB濃度平均")</f>
        <v>網膜赤血球HGB濃度平均</v>
      </c>
      <c r="I925" s="1" t="str">
        <f>IFERROR(__xludf.DUMMYFUNCTION("GOOGLETRANSLATE(E925,""EN"",""JA"")"),"網赤血球HGB濃度平均; 網赤血球Hb濃度平均")</f>
        <v>網赤血球HGB濃度平均; 網赤血球Hb濃度平均</v>
      </c>
      <c r="J925" s="1" t="str">
        <f>IFERROR(__xludf.DUMMYFUNCTION("GOOGLETRANSLATE(F925,""EN"",""JA"")"),"生物標本中の網状赤血球あたりのヘモグロビンの平均濃度を間接的に測定し、ヘモグロビンとヘマトクリットの比率として計算します。")</f>
        <v>生物標本中の網状赤血球あたりのヘモグロビンの平均濃度を間接的に測定し、ヘモグロビンとヘマトクリットの比率として計算します。</v>
      </c>
      <c r="K925" s="1" t="str">
        <f>IFERROR(__xludf.DUMMYFUNCTION("GOOGLETRANSLATE(G925,""EN"",""JA"")"),"網状赤血球ヘモグロビン濃度平均")</f>
        <v>網状赤血球ヘモグロビン濃度平均</v>
      </c>
    </row>
    <row r="926" ht="13.5" customHeight="1">
      <c r="A926" s="1" t="s">
        <v>11</v>
      </c>
      <c r="B926" s="1" t="s">
        <v>4694</v>
      </c>
      <c r="C926" s="1" t="s">
        <v>4695</v>
      </c>
      <c r="D926" s="1" t="s">
        <v>4696</v>
      </c>
      <c r="E926" s="1" t="s">
        <v>4697</v>
      </c>
      <c r="F926" s="1" t="s">
        <v>4698</v>
      </c>
      <c r="G926" s="1" t="s">
        <v>4696</v>
      </c>
      <c r="H926" s="1" t="str">
        <f>IFERROR(__xludf.DUMMYFUNCTION("GOOGLETRANSLATE(D926,""EN"",""JA"")"),"赤血球ヘモグロビン含有量")</f>
        <v>赤血球ヘモグロビン含有量</v>
      </c>
      <c r="I926" s="1" t="str">
        <f>IFERROR(__xludf.DUMMYFUNCTION("GOOGLETRANSLATE(E926,""EN"",""JA"")"),"細胞ヘモグロビン含量; CH; 赤血球ヘモグロビン含量")</f>
        <v>細胞ヘモグロビン含量; CH; 赤血球ヘモグロビン含量</v>
      </c>
      <c r="J926" s="1" t="str">
        <f>IFERROR(__xludf.DUMMYFUNCTION("GOOGLETRANSLATE(F926,""EN"",""JA"")"),"個々の赤血球内の赤血球ヘモグロビン含有量の平均の測定値。細胞容積と細胞ヘモグロビン濃度の積として計算されます。")</f>
        <v>個々の赤血球内の赤血球ヘモグロビン含有量の平均の測定値。細胞容積と細胞ヘモグロビン濃度の積として計算されます。</v>
      </c>
      <c r="K926" s="1" t="str">
        <f>IFERROR(__xludf.DUMMYFUNCTION("GOOGLETRANSLATE(G926,""EN"",""JA"")"),"赤血球ヘモグロビン含有量")</f>
        <v>赤血球ヘモグロビン含有量</v>
      </c>
    </row>
    <row r="927" ht="13.5" customHeight="1">
      <c r="A927" s="1" t="s">
        <v>11</v>
      </c>
      <c r="B927" s="1" t="s">
        <v>4699</v>
      </c>
      <c r="C927" s="1" t="s">
        <v>4700</v>
      </c>
      <c r="D927" s="1" t="s">
        <v>4701</v>
      </c>
      <c r="E927" s="1" t="s">
        <v>4701</v>
      </c>
      <c r="F927" s="1" t="s">
        <v>4702</v>
      </c>
      <c r="G927" s="1" t="s">
        <v>4703</v>
      </c>
      <c r="H927" s="1" t="str">
        <f>IFERROR(__xludf.DUMMYFUNCTION("GOOGLETRANSLATE(D927,""EN"",""JA"")"),"7α,25-ジヒドロキシコレステロール")</f>
        <v>7α,25-ジヒドロキシコレステロール</v>
      </c>
      <c r="I927" s="1" t="str">
        <f>IFERROR(__xludf.DUMMYFUNCTION("GOOGLETRANSLATE(E927,""EN"",""JA"")"),"7α,25-ジヒドロキシコレステロール")</f>
        <v>7α,25-ジヒドロキシコレステロール</v>
      </c>
      <c r="J927" s="1" t="str">
        <f>IFERROR(__xludf.DUMMYFUNCTION("GOOGLETRANSLATE(F927,""EN"",""JA"")"),"生物標本中の 7alpha,25-ジヒドロキシコレステロールの測定。")</f>
        <v>生物標本中の 7alpha,25-ジヒドロキシコレステロールの測定。</v>
      </c>
      <c r="K927" s="1" t="str">
        <f>IFERROR(__xludf.DUMMYFUNCTION("GOOGLETRANSLATE(G927,""EN"",""JA"")"),"7α,25-ジヒドロキシコレステロール測定")</f>
        <v>7α,25-ジヒドロキシコレステロール測定</v>
      </c>
    </row>
    <row r="928" ht="13.5" customHeight="1">
      <c r="A928" s="1" t="s">
        <v>11</v>
      </c>
      <c r="B928" s="1" t="s">
        <v>4704</v>
      </c>
      <c r="C928" s="1" t="s">
        <v>4705</v>
      </c>
      <c r="D928" s="1" t="s">
        <v>4706</v>
      </c>
      <c r="E928" s="1" t="s">
        <v>4706</v>
      </c>
      <c r="F928" s="1" t="s">
        <v>4707</v>
      </c>
      <c r="G928" s="1" t="s">
        <v>4708</v>
      </c>
      <c r="H928" s="1" t="str">
        <f>IFERROR(__xludf.DUMMYFUNCTION("GOOGLETRANSLATE(D928,""EN"",""JA"")"),"7α,27-ジヒドロキシコレステロール")</f>
        <v>7α,27-ジヒドロキシコレステロール</v>
      </c>
      <c r="I928" s="1" t="str">
        <f>IFERROR(__xludf.DUMMYFUNCTION("GOOGLETRANSLATE(E928,""EN"",""JA"")"),"7α,27-ジヒドロキシコレステロール")</f>
        <v>7α,27-ジヒドロキシコレステロール</v>
      </c>
      <c r="J928" s="1" t="str">
        <f>IFERROR(__xludf.DUMMYFUNCTION("GOOGLETRANSLATE(F928,""EN"",""JA"")"),"生物標本中の 7alpha,27-ジヒドロキシコレステロールの測定。")</f>
        <v>生物標本中の 7alpha,27-ジヒドロキシコレステロールの測定。</v>
      </c>
      <c r="K928" s="1" t="str">
        <f>IFERROR(__xludf.DUMMYFUNCTION("GOOGLETRANSLATE(G928,""EN"",""JA"")"),"7α,27-ジヒドロキシコレステロール測定")</f>
        <v>7α,27-ジヒドロキシコレステロール測定</v>
      </c>
    </row>
    <row r="929" ht="13.5" customHeight="1">
      <c r="A929" s="1" t="s">
        <v>11</v>
      </c>
      <c r="B929" s="1" t="s">
        <v>4709</v>
      </c>
      <c r="C929" s="1" t="s">
        <v>4710</v>
      </c>
      <c r="D929" s="1" t="s">
        <v>4711</v>
      </c>
      <c r="E929" s="1" t="s">
        <v>4712</v>
      </c>
      <c r="F929" s="1" t="s">
        <v>4713</v>
      </c>
      <c r="G929" s="1" t="s">
        <v>4714</v>
      </c>
      <c r="H929" s="1" t="str">
        <f>IFERROR(__xludf.DUMMYFUNCTION("GOOGLETRANSLATE(D929,""EN"",""JA"")"),"血球HGB濃度分布幅")</f>
        <v>血球HGB濃度分布幅</v>
      </c>
      <c r="I929" s="1" t="str">
        <f>IFERROR(__xludf.DUMMYFUNCTION("GOOGLETRANSLATE(E929,""EN"",""JA"")"),"血球ヘモグロビン濃度分布幅; 血球HGB濃度分布幅")</f>
        <v>血球ヘモグロビン濃度分布幅; 血球HGB濃度分布幅</v>
      </c>
      <c r="J929" s="1" t="str">
        <f>IFERROR(__xludf.DUMMYFUNCTION("GOOGLETRANSLATE(F929,""EN"",""JA"")"),"生物標本内の赤血球のヘモグロビン濃度の標準偏差の測定値。ヘモグロビン含有量の標準偏差を平均ヘモグロビン含有量で割って算出されます。")</f>
        <v>生物標本内の赤血球のヘモグロビン濃度の標準偏差の測定値。ヘモグロビン含有量の標準偏差を平均ヘモグロビン含有量で割って算出されます。</v>
      </c>
      <c r="K929" s="1" t="str">
        <f>IFERROR(__xludf.DUMMYFUNCTION("GOOGLETRANSLATE(G929,""EN"",""JA"")"),"赤血球ヘモグロビン濃度分布幅")</f>
        <v>赤血球ヘモグロビン濃度分布幅</v>
      </c>
    </row>
    <row r="930" ht="13.5" customHeight="1">
      <c r="A930" s="1" t="s">
        <v>11</v>
      </c>
      <c r="B930" s="1" t="s">
        <v>4715</v>
      </c>
      <c r="C930" s="1" t="s">
        <v>4716</v>
      </c>
      <c r="D930" s="1" t="s">
        <v>4717</v>
      </c>
      <c r="E930" s="1" t="s">
        <v>4718</v>
      </c>
      <c r="F930" s="1" t="s">
        <v>4719</v>
      </c>
      <c r="G930" s="1" t="s">
        <v>4720</v>
      </c>
      <c r="H930" s="1" t="str">
        <f>IFERROR(__xludf.DUMMYFUNCTION("GOOGLETRANSLATE(D930,""EN"",""JA"")"),"網膜小体HGB濃度分布幅")</f>
        <v>網膜小体HGB濃度分布幅</v>
      </c>
      <c r="I930" s="1" t="str">
        <f>IFERROR(__xludf.DUMMYFUNCTION("GOOGLETRANSLATE(E930,""EN"",""JA"")"),"網赤血球ヘモグロビン濃度分布幅; 網赤血球ヘモグロビン分布幅")</f>
        <v>網赤血球ヘモグロビン濃度分布幅; 網赤血球ヘモグロビン分布幅</v>
      </c>
      <c r="J930" s="1" t="str">
        <f>IFERROR(__xludf.DUMMYFUNCTION("GOOGLETRANSLATE(F930,""EN"",""JA"")"),"生物標本中の網状赤血球のヘモグロビン濃度の標準偏差の測定値。ヘモグロビン含有量の標準偏差を平均ヘモグロビン含有量で割って算出されます。")</f>
        <v>生物標本中の網状赤血球のヘモグロビン濃度の標準偏差の測定値。ヘモグロビン含有量の標準偏差を平均ヘモグロビン含有量で割って算出されます。</v>
      </c>
      <c r="K930" s="1" t="str">
        <f>IFERROR(__xludf.DUMMYFUNCTION("GOOGLETRANSLATE(G930,""EN"",""JA"")"),"網状赤血球ヘモグロビン分布幅")</f>
        <v>網状赤血球ヘモグロビン分布幅</v>
      </c>
    </row>
    <row r="931" ht="13.5" customHeight="1">
      <c r="A931" s="1" t="s">
        <v>11</v>
      </c>
      <c r="B931" s="1" t="s">
        <v>4721</v>
      </c>
      <c r="C931" s="1" t="s">
        <v>4722</v>
      </c>
      <c r="D931" s="1" t="s">
        <v>4723</v>
      </c>
      <c r="E931" s="1" t="s">
        <v>4723</v>
      </c>
      <c r="F931" s="1" t="s">
        <v>4724</v>
      </c>
      <c r="G931" s="1" t="s">
        <v>4725</v>
      </c>
      <c r="H931" s="1" t="str">
        <f>IFERROR(__xludf.DUMMYFUNCTION("GOOGLETRANSLATE(D931,""EN"",""JA"")"),"24(S),25-エポキシコレステロール")</f>
        <v>24(S),25-エポキシコレステロール</v>
      </c>
      <c r="I931" s="1" t="str">
        <f>IFERROR(__xludf.DUMMYFUNCTION("GOOGLETRANSLATE(E931,""EN"",""JA"")"),"24(S),25-エポキシコレステロール")</f>
        <v>24(S),25-エポキシコレステロール</v>
      </c>
      <c r="J931" s="1" t="str">
        <f>IFERROR(__xludf.DUMMYFUNCTION("GOOGLETRANSLATE(F931,""EN"",""JA"")"),"生物標本中の24(S),25-エポキシコレステロールの測定。")</f>
        <v>生物標本中の24(S),25-エポキシコレステロールの測定。</v>
      </c>
      <c r="K931" s="1" t="str">
        <f>IFERROR(__xludf.DUMMYFUNCTION("GOOGLETRANSLATE(G931,""EN"",""JA"")"),"24(S),25-エポキシコレステロール測定")</f>
        <v>24(S),25-エポキシコレステロール測定</v>
      </c>
    </row>
    <row r="932" ht="13.5" customHeight="1">
      <c r="A932" s="1" t="s">
        <v>129</v>
      </c>
      <c r="B932" s="1" t="s">
        <v>4726</v>
      </c>
      <c r="C932" s="1" t="s">
        <v>4727</v>
      </c>
      <c r="D932" s="1" t="s">
        <v>4728</v>
      </c>
      <c r="E932" s="1" t="s">
        <v>4728</v>
      </c>
      <c r="F932" s="1" t="s">
        <v>4729</v>
      </c>
      <c r="G932" s="1" t="s">
        <v>4728</v>
      </c>
      <c r="H932" s="1" t="str">
        <f>IFERROR(__xludf.DUMMYFUNCTION("GOOGLETRANSLATE(D932,""EN"",""JA"")"),"胸囲")</f>
        <v>胸囲</v>
      </c>
      <c r="I932" s="1" t="str">
        <f>IFERROR(__xludf.DUMMYFUNCTION("GOOGLETRANSLATE(E932,""EN"",""JA"")"),"胸囲")</f>
        <v>胸囲</v>
      </c>
      <c r="J932" s="1" t="str">
        <f>IFERROR(__xludf.DUMMYFUNCTION("GOOGLETRANSLATE(F932,""EN"",""JA"")"),"人の胸の周りの距離。")</f>
        <v>人の胸の周りの距離。</v>
      </c>
      <c r="K932" s="1" t="str">
        <f>IFERROR(__xludf.DUMMYFUNCTION("GOOGLETRANSLATE(G932,""EN"",""JA"")"),"胸囲")</f>
        <v>胸囲</v>
      </c>
    </row>
    <row r="933" ht="13.5" customHeight="1">
      <c r="A933" s="1" t="s">
        <v>160</v>
      </c>
      <c r="B933" s="1" t="s">
        <v>4730</v>
      </c>
      <c r="C933" s="1" t="s">
        <v>4731</v>
      </c>
      <c r="D933" s="1" t="s">
        <v>4732</v>
      </c>
      <c r="E933" s="1" t="s">
        <v>4732</v>
      </c>
      <c r="F933" s="1" t="s">
        <v>4733</v>
      </c>
      <c r="G933" s="1" t="s">
        <v>4732</v>
      </c>
      <c r="H933" s="1" t="str">
        <f>IFERROR(__xludf.DUMMYFUNCTION("GOOGLETRANSLATE(D933,""EN"",""JA"")"),"出産の可能性")</f>
        <v>出産の可能性</v>
      </c>
      <c r="I933" s="1" t="str">
        <f>IFERROR(__xludf.DUMMYFUNCTION("GOOGLETRANSLATE(E933,""EN"",""JA"")"),"出産の可能性")</f>
        <v>出産の可能性</v>
      </c>
      <c r="J933" s="1" t="str">
        <f>IFERROR(__xludf.DUMMYFUNCTION("GOOGLETRANSLATE(F933,""EN"",""JA"")"),"女性被験者が妊娠する可能性があるかどうかを示す指標。(NCI)")</f>
        <v>女性被験者が妊娠する可能性があるかどうかを示す指標。(NCI)</v>
      </c>
      <c r="K933" s="1" t="str">
        <f>IFERROR(__xludf.DUMMYFUNCTION("GOOGLETRANSLATE(G933,""EN"",""JA"")"),"出産の可能性")</f>
        <v>出産の可能性</v>
      </c>
    </row>
    <row r="934" ht="13.5" customHeight="1">
      <c r="A934" s="1" t="s">
        <v>134</v>
      </c>
      <c r="B934" s="1" t="s">
        <v>4734</v>
      </c>
      <c r="C934" s="1" t="s">
        <v>4735</v>
      </c>
      <c r="D934" s="1" t="s">
        <v>4736</v>
      </c>
      <c r="E934" s="1" t="s">
        <v>4736</v>
      </c>
      <c r="F934" s="1" t="s">
        <v>4737</v>
      </c>
      <c r="G934" s="1" t="s">
        <v>4738</v>
      </c>
      <c r="H934" s="1" t="str">
        <f>IFERROR(__xludf.DUMMYFUNCTION("GOOGLETRANSLATE(D934,""EN"",""JA"")"),"慢性炎症性浸潤")</f>
        <v>慢性炎症性浸潤</v>
      </c>
      <c r="I934" s="1" t="str">
        <f>IFERROR(__xludf.DUMMYFUNCTION("GOOGLETRANSLATE(E934,""EN"",""JA"")"),"慢性炎症性浸潤")</f>
        <v>慢性炎症性浸潤</v>
      </c>
      <c r="J934" s="1" t="str">
        <f>IFERROR(__xludf.DUMMYFUNCTION("GOOGLETRANSLATE(F934,""EN"",""JA"")"),"生物学的標本における慢性炎症性浸潤の評価。")</f>
        <v>生物学的標本における慢性炎症性浸潤の評価。</v>
      </c>
      <c r="K934" s="1" t="str">
        <f>IFERROR(__xludf.DUMMYFUNCTION("GOOGLETRANSLATE(G934,""EN"",""JA"")"),"慢性炎症性浸潤評価")</f>
        <v>慢性炎症性浸潤評価</v>
      </c>
    </row>
    <row r="935" ht="13.5" customHeight="1">
      <c r="A935" s="1" t="s">
        <v>11</v>
      </c>
      <c r="B935" s="1" t="s">
        <v>4739</v>
      </c>
      <c r="C935" s="1" t="s">
        <v>4740</v>
      </c>
      <c r="D935" s="1" t="s">
        <v>4741</v>
      </c>
      <c r="E935" s="1" t="s">
        <v>4742</v>
      </c>
      <c r="F935" s="1" t="s">
        <v>4743</v>
      </c>
      <c r="G935" s="1" t="s">
        <v>4744</v>
      </c>
      <c r="H935" s="1" t="str">
        <f>IFERROR(__xludf.DUMMYFUNCTION("GOOGLETRANSLATE(D935,""EN"",""JA"")"),"キトトリオシダーゼ")</f>
        <v>キトトリオシダーゼ</v>
      </c>
      <c r="I935" s="1" t="str">
        <f>IFERROR(__xludf.DUMMYFUNCTION("GOOGLETRANSLATE(E935,""EN"",""JA"")"),"キチナーゼ1; キトトリオシダーゼ; キトトリオシダーゼ-1")</f>
        <v>キチナーゼ1; キトトリオシダーゼ; キトトリオシダーゼ-1</v>
      </c>
      <c r="J935" s="1" t="str">
        <f>IFERROR(__xludf.DUMMYFUNCTION("GOOGLETRANSLATE(F935,""EN"",""JA"")"),"生物標本中のキトトリオシダーゼ-1の測定。")</f>
        <v>生物標本中のキトトリオシダーゼ-1の測定。</v>
      </c>
      <c r="K935" s="1" t="str">
        <f>IFERROR(__xludf.DUMMYFUNCTION("GOOGLETRANSLATE(G935,""EN"",""JA"")"),"キトトリオシダーゼ-1測定")</f>
        <v>キトトリオシダーゼ-1測定</v>
      </c>
    </row>
    <row r="936" ht="13.5" customHeight="1">
      <c r="A936" s="1" t="s">
        <v>67</v>
      </c>
      <c r="B936" s="1" t="s">
        <v>4745</v>
      </c>
      <c r="C936" s="1" t="s">
        <v>4746</v>
      </c>
      <c r="D936" s="1" t="s">
        <v>4747</v>
      </c>
      <c r="E936" s="1" t="s">
        <v>4747</v>
      </c>
      <c r="F936" s="1" t="s">
        <v>4748</v>
      </c>
      <c r="G936" s="1" t="s">
        <v>4749</v>
      </c>
      <c r="H936" s="1" t="str">
        <f>IFERROR(__xludf.DUMMYFUNCTION("GOOGLETRANSLATE(D936,""EN"",""JA"")"),"チクングニアウイルスRNA")</f>
        <v>チクングニアウイルスRNA</v>
      </c>
      <c r="I936" s="1" t="str">
        <f>IFERROR(__xludf.DUMMYFUNCTION("GOOGLETRANSLATE(E936,""EN"",""JA"")"),"チクングニアウイルスRNA")</f>
        <v>チクングニアウイルスRNA</v>
      </c>
      <c r="J936" s="1" t="str">
        <f>IFERROR(__xludf.DUMMYFUNCTION("GOOGLETRANSLATE(F936,""EN"",""JA"")"),"生物標本中のチクングニアウイルスRNAの測定。")</f>
        <v>生物標本中のチクングニアウイルスRNAの測定。</v>
      </c>
      <c r="K936" s="1" t="str">
        <f>IFERROR(__xludf.DUMMYFUNCTION("GOOGLETRANSLATE(G936,""EN"",""JA"")"),"チクングニアウイルスRNA測定")</f>
        <v>チクングニアウイルスRNA測定</v>
      </c>
    </row>
    <row r="937" ht="13.5" customHeight="1">
      <c r="A937" s="1" t="s">
        <v>67</v>
      </c>
      <c r="B937" s="1" t="s">
        <v>4750</v>
      </c>
      <c r="C937" s="1" t="s">
        <v>4751</v>
      </c>
      <c r="D937" s="1" t="s">
        <v>4752</v>
      </c>
      <c r="E937" s="1" t="s">
        <v>4752</v>
      </c>
      <c r="F937" s="1" t="s">
        <v>4753</v>
      </c>
      <c r="G937" s="1" t="s">
        <v>4754</v>
      </c>
      <c r="H937" s="1" t="str">
        <f>IFERROR(__xludf.DUMMYFUNCTION("GOOGLETRANSLATE(D937,""EN"",""JA"")"),"クラミジア")</f>
        <v>クラミジア</v>
      </c>
      <c r="I937" s="1" t="str">
        <f>IFERROR(__xludf.DUMMYFUNCTION("GOOGLETRANSLATE(E937,""EN"",""JA"")"),"クラミジア")</f>
        <v>クラミジア</v>
      </c>
      <c r="J937" s="1" t="str">
        <f>IFERROR(__xludf.DUMMYFUNCTION("GOOGLETRANSLATE(F937,""EN"",""JA"")"),"生物標本において、種レベルには割り当てられていないが、クラミジア属レベルに割り当てられている生物の測定値。")</f>
        <v>生物標本において、種レベルには割り当てられていないが、クラミジア属レベルに割り当てられている生物の測定値。</v>
      </c>
      <c r="K937" s="1" t="str">
        <f>IFERROR(__xludf.DUMMYFUNCTION("GOOGLETRANSLATE(G937,""EN"",""JA"")"),"クラミジア測定")</f>
        <v>クラミジア測定</v>
      </c>
    </row>
    <row r="938" ht="13.5" customHeight="1">
      <c r="A938" s="1" t="s">
        <v>601</v>
      </c>
      <c r="B938" s="1" t="s">
        <v>4755</v>
      </c>
      <c r="C938" s="1" t="s">
        <v>4756</v>
      </c>
      <c r="D938" s="1" t="s">
        <v>4757</v>
      </c>
      <c r="E938" s="1" t="s">
        <v>4757</v>
      </c>
      <c r="F938" s="1" t="s">
        <v>4758</v>
      </c>
      <c r="G938" s="1" t="s">
        <v>4757</v>
      </c>
      <c r="H938" s="1" t="str">
        <f>IFERROR(__xludf.DUMMYFUNCTION("GOOGLETRANSLATE(D938,""EN"",""JA"")"),"世帯内の子供の数")</f>
        <v>世帯内の子供の数</v>
      </c>
      <c r="I938" s="1" t="str">
        <f>IFERROR(__xludf.DUMMYFUNCTION("GOOGLETRANSLATE(E938,""EN"",""JA"")"),"世帯内の子供の数")</f>
        <v>世帯内の子供の数</v>
      </c>
      <c r="J938" s="1" t="str">
        <f>IFERROR(__xludf.DUMMYFUNCTION("GOOGLETRANSLATE(F938,""EN"",""JA"")"),"世帯内に住む子供の数（新生児を含む）。")</f>
        <v>世帯内に住む子供の数（新生児を含む）。</v>
      </c>
      <c r="K938" s="1" t="str">
        <f>IFERROR(__xludf.DUMMYFUNCTION("GOOGLETRANSLATE(G938,""EN"",""JA"")"),"世帯内の子供の数")</f>
        <v>世帯内の子供の数</v>
      </c>
    </row>
    <row r="939" ht="13.5" customHeight="1">
      <c r="A939" s="1" t="s">
        <v>11</v>
      </c>
      <c r="B939" s="1" t="s">
        <v>4759</v>
      </c>
      <c r="C939" s="1" t="s">
        <v>4760</v>
      </c>
      <c r="D939" s="1" t="s">
        <v>4761</v>
      </c>
      <c r="E939" s="1" t="s">
        <v>4761</v>
      </c>
      <c r="F939" s="1" t="s">
        <v>4762</v>
      </c>
      <c r="G939" s="1" t="s">
        <v>4763</v>
      </c>
      <c r="H939" s="1" t="str">
        <f>IFERROR(__xludf.DUMMYFUNCTION("GOOGLETRANSLATE(D939,""EN"",""JA"")"),"カイロミクロン")</f>
        <v>カイロミクロン</v>
      </c>
      <c r="I939" s="1" t="str">
        <f>IFERROR(__xludf.DUMMYFUNCTION("GOOGLETRANSLATE(E939,""EN"",""JA"")"),"カイロミクロン")</f>
        <v>カイロミクロン</v>
      </c>
      <c r="J939" s="1" t="str">
        <f>IFERROR(__xludf.DUMMYFUNCTION("GOOGLETRANSLATE(F939,""EN"",""JA"")"),"生物標本中のキロミクロンの測定。")</f>
        <v>生物標本中のキロミクロンの測定。</v>
      </c>
      <c r="K939" s="1" t="str">
        <f>IFERROR(__xludf.DUMMYFUNCTION("GOOGLETRANSLATE(G939,""EN"",""JA"")"),"カイロミクロン測定")</f>
        <v>カイロミクロン測定</v>
      </c>
    </row>
    <row r="940" ht="13.5" customHeight="1">
      <c r="A940" s="1" t="s">
        <v>11</v>
      </c>
      <c r="B940" s="1" t="s">
        <v>4764</v>
      </c>
      <c r="C940" s="1" t="s">
        <v>4765</v>
      </c>
      <c r="D940" s="1" t="s">
        <v>4766</v>
      </c>
      <c r="E940" s="1" t="s">
        <v>4766</v>
      </c>
      <c r="F940" s="1" t="s">
        <v>4767</v>
      </c>
      <c r="G940" s="1" t="s">
        <v>4768</v>
      </c>
      <c r="H940" s="1" t="str">
        <f>IFERROR(__xludf.DUMMYFUNCTION("GOOGLETRANSLATE(D940,""EN"",""JA"")"),"カイロミクロントリグリセリド")</f>
        <v>カイロミクロントリグリセリド</v>
      </c>
      <c r="I940" s="1" t="str">
        <f>IFERROR(__xludf.DUMMYFUNCTION("GOOGLETRANSLATE(E940,""EN"",""JA"")"),"カイロミクロントリグリセリド")</f>
        <v>カイロミクロントリグリセリド</v>
      </c>
      <c r="J940" s="1" t="str">
        <f>IFERROR(__xludf.DUMMYFUNCTION("GOOGLETRANSLATE(F940,""EN"",""JA"")"),"生物標本中のキロミクロントリグリセリドの測定。")</f>
        <v>生物標本中のキロミクロントリグリセリドの測定。</v>
      </c>
      <c r="K940" s="1" t="str">
        <f>IFERROR(__xludf.DUMMYFUNCTION("GOOGLETRANSLATE(G940,""EN"",""JA"")"),"カイロミクロントリグリセリド測定")</f>
        <v>カイロミクロントリグリセリド測定</v>
      </c>
    </row>
    <row r="941" ht="13.5" customHeight="1">
      <c r="A941" s="1" t="s">
        <v>11</v>
      </c>
      <c r="B941" s="1" t="s">
        <v>4769</v>
      </c>
      <c r="C941" s="1" t="s">
        <v>4770</v>
      </c>
      <c r="D941" s="1" t="s">
        <v>4771</v>
      </c>
      <c r="E941" s="1" t="s">
        <v>4772</v>
      </c>
      <c r="F941" s="1" t="s">
        <v>4773</v>
      </c>
      <c r="G941" s="1" t="s">
        <v>4774</v>
      </c>
      <c r="H941" s="1" t="str">
        <f>IFERROR(__xludf.DUMMYFUNCTION("GOOGLETRANSLATE(D941,""EN"",""JA"")"),"クロラール水和物")</f>
        <v>クロラール水和物</v>
      </c>
      <c r="I941" s="1" t="str">
        <f>IFERROR(__xludf.DUMMYFUNCTION("GOOGLETRANSLATE(E941,""EN"",""JA"")"),"クロラール水和物; ミッキー・フィン; トリクロロアセトアルデヒド一水和物")</f>
        <v>クロラール水和物; ミッキー・フィン; トリクロロアセトアルデヒド一水和物</v>
      </c>
      <c r="J941" s="1" t="str">
        <f>IFERROR(__xludf.DUMMYFUNCTION("GOOGLETRANSLATE(F941,""EN"",""JA"")"),"生物標本中のクロラール水和物の測定。")</f>
        <v>生物標本中のクロラール水和物の測定。</v>
      </c>
      <c r="K941" s="1" t="str">
        <f>IFERROR(__xludf.DUMMYFUNCTION("GOOGLETRANSLATE(G941,""EN"",""JA"")"),"クロラール水和物測定")</f>
        <v>クロラール水和物測定</v>
      </c>
    </row>
    <row r="942" ht="13.5" customHeight="1">
      <c r="A942" s="1" t="s">
        <v>11</v>
      </c>
      <c r="B942" s="1" t="s">
        <v>4775</v>
      </c>
      <c r="C942" s="1" t="s">
        <v>4776</v>
      </c>
      <c r="D942" s="1" t="s">
        <v>4777</v>
      </c>
      <c r="E942" s="1" t="s">
        <v>4777</v>
      </c>
      <c r="F942" s="1" t="s">
        <v>4778</v>
      </c>
      <c r="G942" s="1" t="s">
        <v>4779</v>
      </c>
      <c r="H942" s="1" t="str">
        <f>IFERROR(__xludf.DUMMYFUNCTION("GOOGLETRANSLATE(D942,""EN"",""JA"")"),"クロルプロマジン")</f>
        <v>クロルプロマジン</v>
      </c>
      <c r="I942" s="1" t="str">
        <f>IFERROR(__xludf.DUMMYFUNCTION("GOOGLETRANSLATE(E942,""EN"",""JA"")"),"クロルプロマジン")</f>
        <v>クロルプロマジン</v>
      </c>
      <c r="J942" s="1" t="str">
        <f>IFERROR(__xludf.DUMMYFUNCTION("GOOGLETRANSLATE(F942,""EN"",""JA"")"),"生物標本中のクロルプロマジンの測定。")</f>
        <v>生物標本中のクロルプロマジンの測定。</v>
      </c>
      <c r="K942" s="1" t="str">
        <f>IFERROR(__xludf.DUMMYFUNCTION("GOOGLETRANSLATE(G942,""EN"",""JA"")"),"クロルプロマジン測定")</f>
        <v>クロルプロマジン測定</v>
      </c>
    </row>
    <row r="943" ht="13.5" customHeight="1">
      <c r="A943" s="1" t="s">
        <v>176</v>
      </c>
      <c r="B943" s="1" t="s">
        <v>4780</v>
      </c>
      <c r="C943" s="1" t="s">
        <v>4781</v>
      </c>
      <c r="D943" s="1" t="s">
        <v>4782</v>
      </c>
      <c r="E943" s="1" t="s">
        <v>4782</v>
      </c>
      <c r="F943" s="1" t="s">
        <v>4783</v>
      </c>
      <c r="G943" s="1" t="s">
        <v>4784</v>
      </c>
      <c r="H943" s="1" t="str">
        <f>IFERROR(__xludf.DUMMYFUNCTION("GOOGLETRANSLATE(D943,""EN"",""JA"")"),"コリン/クレアチン")</f>
        <v>コリン/クレアチン</v>
      </c>
      <c r="I943" s="1" t="str">
        <f>IFERROR(__xludf.DUMMYFUNCTION("GOOGLETRANSLATE(E943,""EN"",""JA"")"),"コリン/クレアチン")</f>
        <v>コリン/クレアチン</v>
      </c>
      <c r="J943" s="1" t="str">
        <f>IFERROR(__xludf.DUMMYFUNCTION("GOOGLETRANSLATE(F943,""EN"",""JA"")"),"生物標本中のコリンとクレアチンの相対的な測定値（比率）。")</f>
        <v>生物標本中のコリンとクレアチンの相対的な測定値（比率）。</v>
      </c>
      <c r="K943" s="1" t="str">
        <f>IFERROR(__xludf.DUMMYFUNCTION("GOOGLETRANSLATE(G943,""EN"",""JA"")"),"コリンとクレアチンの比率測定")</f>
        <v>コリンとクレアチンの比率測定</v>
      </c>
    </row>
    <row r="944" ht="13.5" customHeight="1">
      <c r="A944" s="1" t="s">
        <v>11</v>
      </c>
      <c r="B944" s="1" t="s">
        <v>4785</v>
      </c>
      <c r="C944" s="1" t="s">
        <v>4786</v>
      </c>
      <c r="D944" s="1" t="s">
        <v>4787</v>
      </c>
      <c r="E944" s="1" t="s">
        <v>4788</v>
      </c>
      <c r="F944" s="1" t="s">
        <v>4789</v>
      </c>
      <c r="G944" s="1" t="s">
        <v>4790</v>
      </c>
      <c r="H944" s="1" t="str">
        <f>IFERROR(__xludf.DUMMYFUNCTION("GOOGLETRANSLATE(D944,""EN"",""JA"")"),"コレステロール")</f>
        <v>コレステロール</v>
      </c>
      <c r="I944" s="1" t="str">
        <f>IFERROR(__xludf.DUMMYFUNCTION("GOOGLETRANSLATE(E944,""EN"",""JA"")"),"コレステロール; 総コレステロール")</f>
        <v>コレステロール; 総コレステロール</v>
      </c>
      <c r="J944" s="1" t="str">
        <f>IFERROR(__xludf.DUMMYFUNCTION("GOOGLETRANSLATE(F944,""EN"",""JA"")"),"生物標本中のコレステロールの測定。")</f>
        <v>生物標本中のコレステロールの測定。</v>
      </c>
      <c r="K944" s="1" t="str">
        <f>IFERROR(__xludf.DUMMYFUNCTION("GOOGLETRANSLATE(G944,""EN"",""JA"")"),"コレステロール測定")</f>
        <v>コレステロール測定</v>
      </c>
    </row>
    <row r="945" ht="13.5" customHeight="1">
      <c r="A945" s="1" t="s">
        <v>11</v>
      </c>
      <c r="B945" s="1" t="s">
        <v>4791</v>
      </c>
      <c r="C945" s="1" t="s">
        <v>4792</v>
      </c>
      <c r="D945" s="1" t="s">
        <v>4793</v>
      </c>
      <c r="E945" s="1" t="s">
        <v>4794</v>
      </c>
      <c r="F945" s="1" t="s">
        <v>4795</v>
      </c>
      <c r="G945" s="1" t="s">
        <v>4796</v>
      </c>
      <c r="H945" s="1" t="str">
        <f>IFERROR(__xludf.DUMMYFUNCTION("GOOGLETRANSLATE(D945,""EN"",""JA"")"),"コール酸")</f>
        <v>コール酸</v>
      </c>
      <c r="I945" s="1" t="str">
        <f>IFERROR(__xludf.DUMMYFUNCTION("GOOGLETRANSLATE(E945,""EN"",""JA"")"),"コール酸")</f>
        <v>コール酸</v>
      </c>
      <c r="J945" s="1" t="str">
        <f>IFERROR(__xludf.DUMMYFUNCTION("GOOGLETRANSLATE(F945,""EN"",""JA"")"),"生物標本中のコール酸の測定。")</f>
        <v>生物標本中のコール酸の測定。</v>
      </c>
      <c r="K945" s="1" t="str">
        <f>IFERROR(__xludf.DUMMYFUNCTION("GOOGLETRANSLATE(G945,""EN"",""JA"")"),"コール酸測定")</f>
        <v>コール酸測定</v>
      </c>
    </row>
    <row r="946" ht="13.5" customHeight="1">
      <c r="A946" s="1" t="s">
        <v>11</v>
      </c>
      <c r="B946" s="1" t="s">
        <v>4797</v>
      </c>
      <c r="C946" s="1" t="s">
        <v>4798</v>
      </c>
      <c r="D946" s="1" t="s">
        <v>4799</v>
      </c>
      <c r="E946" s="1" t="s">
        <v>4800</v>
      </c>
      <c r="F946" s="1" t="s">
        <v>4801</v>
      </c>
      <c r="G946" s="1" t="s">
        <v>4802</v>
      </c>
      <c r="H946" s="1" t="str">
        <f>IFERROR(__xludf.DUMMYFUNCTION("GOOGLETRANSLATE(D946,""EN"",""JA"")"),"コール酸化合物")</f>
        <v>コール酸化合物</v>
      </c>
      <c r="I946" s="1" t="str">
        <f>IFERROR(__xludf.DUMMYFUNCTION("GOOGLETRANSLATE(E946,""EN"",""JA"")"),"コール酸化合物; コール酸化合物")</f>
        <v>コール酸化合物; コール酸化合物</v>
      </c>
      <c r="J946" s="1" t="str">
        <f>IFERROR(__xludf.DUMMYFUNCTION("GOOGLETRANSLATE(F946,""EN"",""JA"")"),"生物標本中のコール酸、グリココール酸、ヒオコール酸、タウロコール酸の測定。")</f>
        <v>生物標本中のコール酸、グリココール酸、ヒオコール酸、タウロコール酸の測定。</v>
      </c>
      <c r="K946" s="1" t="str">
        <f>IFERROR(__xludf.DUMMYFUNCTION("GOOGLETRANSLATE(G946,""EN"",""JA"")"),"コール酸化合物の測定")</f>
        <v>コール酸化合物の測定</v>
      </c>
    </row>
    <row r="947" ht="13.5" customHeight="1">
      <c r="A947" s="1" t="s">
        <v>11</v>
      </c>
      <c r="B947" s="1" t="s">
        <v>4803</v>
      </c>
      <c r="C947" s="1" t="s">
        <v>4804</v>
      </c>
      <c r="D947" s="1" t="s">
        <v>4805</v>
      </c>
      <c r="E947" s="1" t="s">
        <v>4806</v>
      </c>
      <c r="F947" s="1" t="s">
        <v>4807</v>
      </c>
      <c r="G947" s="1" t="s">
        <v>4808</v>
      </c>
      <c r="H947" s="1" t="str">
        <f>IFERROR(__xludf.DUMMYFUNCTION("GOOGLETRANSLATE(D947,""EN"",""JA"")"),"20(S)-ヒドロキシコレステロール")</f>
        <v>20(S)-ヒドロキシコレステロール</v>
      </c>
      <c r="I947" s="1" t="str">
        <f>IFERROR(__xludf.DUMMYFUNCTION("GOOGLETRANSLATE(E947,""EN"",""JA"")"),"20(S)-ヒドロキシコレステロール; 20-アルファ-ヒドロキシコレステロール")</f>
        <v>20(S)-ヒドロキシコレステロール; 20-アルファ-ヒドロキシコレステロール</v>
      </c>
      <c r="J947" s="1" t="str">
        <f>IFERROR(__xludf.DUMMYFUNCTION("GOOGLETRANSLATE(F947,""EN"",""JA"")"),"生物標本中の20(S)-ヒドロキシコレステロールの測定。")</f>
        <v>生物標本中の20(S)-ヒドロキシコレステロールの測定。</v>
      </c>
      <c r="K947" s="1" t="str">
        <f>IFERROR(__xludf.DUMMYFUNCTION("GOOGLETRANSLATE(G947,""EN"",""JA"")"),"20(S)-ヒドロキシコレステロール測定")</f>
        <v>20(S)-ヒドロキシコレステロール測定</v>
      </c>
    </row>
    <row r="948" ht="13.5" customHeight="1">
      <c r="A948" s="1" t="s">
        <v>11</v>
      </c>
      <c r="B948" s="1" t="s">
        <v>4809</v>
      </c>
      <c r="C948" s="1" t="s">
        <v>4810</v>
      </c>
      <c r="D948" s="1" t="s">
        <v>4811</v>
      </c>
      <c r="E948" s="1" t="s">
        <v>4811</v>
      </c>
      <c r="F948" s="1" t="s">
        <v>4812</v>
      </c>
      <c r="G948" s="1" t="s">
        <v>4813</v>
      </c>
      <c r="H948" s="1" t="str">
        <f>IFERROR(__xludf.DUMMYFUNCTION("GOOGLETRANSLATE(D948,""EN"",""JA"")"),"22(R)-ヒドロキシコレステロール")</f>
        <v>22(R)-ヒドロキシコレステロール</v>
      </c>
      <c r="I948" s="1" t="str">
        <f>IFERROR(__xludf.DUMMYFUNCTION("GOOGLETRANSLATE(E948,""EN"",""JA"")"),"22(R)-ヒドロキシコレステロール")</f>
        <v>22(R)-ヒドロキシコレステロール</v>
      </c>
      <c r="J948" s="1" t="str">
        <f>IFERROR(__xludf.DUMMYFUNCTION("GOOGLETRANSLATE(F948,""EN"",""JA"")"),"生物標本中の 22(R)-ヒドロキシコレステロールの測定。")</f>
        <v>生物標本中の 22(R)-ヒドロキシコレステロールの測定。</v>
      </c>
      <c r="K948" s="1" t="str">
        <f>IFERROR(__xludf.DUMMYFUNCTION("GOOGLETRANSLATE(G948,""EN"",""JA"")"),"22(R)-ヒドロキシコレステロール測定")</f>
        <v>22(R)-ヒドロキシコレステロール測定</v>
      </c>
    </row>
    <row r="949" ht="13.5" customHeight="1">
      <c r="A949" s="1" t="s">
        <v>11</v>
      </c>
      <c r="B949" s="1" t="s">
        <v>4814</v>
      </c>
      <c r="C949" s="1" t="s">
        <v>4815</v>
      </c>
      <c r="D949" s="1" t="s">
        <v>4816</v>
      </c>
      <c r="E949" s="1" t="s">
        <v>4816</v>
      </c>
      <c r="F949" s="1" t="s">
        <v>4817</v>
      </c>
      <c r="G949" s="1" t="s">
        <v>4818</v>
      </c>
      <c r="H949" s="1" t="str">
        <f>IFERROR(__xludf.DUMMYFUNCTION("GOOGLETRANSLATE(D949,""EN"",""JA"")"),"22(S)-ヒドロキシコレステロール")</f>
        <v>22(S)-ヒドロキシコレステロール</v>
      </c>
      <c r="I949" s="1" t="str">
        <f>IFERROR(__xludf.DUMMYFUNCTION("GOOGLETRANSLATE(E949,""EN"",""JA"")"),"22(S)-ヒドロキシコレステロール")</f>
        <v>22(S)-ヒドロキシコレステロール</v>
      </c>
      <c r="J949" s="1" t="str">
        <f>IFERROR(__xludf.DUMMYFUNCTION("GOOGLETRANSLATE(F949,""EN"",""JA"")"),"生物標本中の22(S)-ヒドロキシコレステロールの測定。")</f>
        <v>生物標本中の22(S)-ヒドロキシコレステロールの測定。</v>
      </c>
      <c r="K949" s="1" t="str">
        <f>IFERROR(__xludf.DUMMYFUNCTION("GOOGLETRANSLATE(G949,""EN"",""JA"")"),"22(S)-ヒドロキシコレステロール測定")</f>
        <v>22(S)-ヒドロキシコレステロール測定</v>
      </c>
    </row>
    <row r="950" ht="13.5" customHeight="1">
      <c r="A950" s="1" t="s">
        <v>11</v>
      </c>
      <c r="B950" s="1" t="s">
        <v>4819</v>
      </c>
      <c r="C950" s="1" t="s">
        <v>4820</v>
      </c>
      <c r="D950" s="1" t="s">
        <v>4821</v>
      </c>
      <c r="E950" s="1" t="s">
        <v>4821</v>
      </c>
      <c r="F950" s="1" t="s">
        <v>4822</v>
      </c>
      <c r="G950" s="1" t="s">
        <v>4823</v>
      </c>
      <c r="H950" s="1" t="str">
        <f>IFERROR(__xludf.DUMMYFUNCTION("GOOGLETRANSLATE(D950,""EN"",""JA"")"),"24(R)-ヒドロキシコレステロール")</f>
        <v>24(R)-ヒドロキシコレステロール</v>
      </c>
      <c r="I950" s="1" t="str">
        <f>IFERROR(__xludf.DUMMYFUNCTION("GOOGLETRANSLATE(E950,""EN"",""JA"")"),"24(R)-ヒドロキシコレステロール")</f>
        <v>24(R)-ヒドロキシコレステロール</v>
      </c>
      <c r="J950" s="1" t="str">
        <f>IFERROR(__xludf.DUMMYFUNCTION("GOOGLETRANSLATE(F950,""EN"",""JA"")"),"生物標本中の 24(R)-ヒドロキシコレステロールの測定。")</f>
        <v>生物標本中の 24(R)-ヒドロキシコレステロールの測定。</v>
      </c>
      <c r="K950" s="1" t="str">
        <f>IFERROR(__xludf.DUMMYFUNCTION("GOOGLETRANSLATE(G950,""EN"",""JA"")"),"24(R)-ヒドロキシコレステロール測定")</f>
        <v>24(R)-ヒドロキシコレステロール測定</v>
      </c>
    </row>
    <row r="951" ht="13.5" customHeight="1">
      <c r="A951" s="1" t="s">
        <v>11</v>
      </c>
      <c r="B951" s="1" t="s">
        <v>4824</v>
      </c>
      <c r="C951" s="1" t="s">
        <v>4825</v>
      </c>
      <c r="D951" s="1" t="s">
        <v>4826</v>
      </c>
      <c r="E951" s="1" t="s">
        <v>4826</v>
      </c>
      <c r="F951" s="1" t="s">
        <v>4827</v>
      </c>
      <c r="G951" s="1" t="s">
        <v>4828</v>
      </c>
      <c r="H951" s="1" t="str">
        <f>IFERROR(__xludf.DUMMYFUNCTION("GOOGLETRANSLATE(D951,""EN"",""JA"")"),"24(S)-ヒドロキシコレステロール")</f>
        <v>24(S)-ヒドロキシコレステロール</v>
      </c>
      <c r="I951" s="1" t="str">
        <f>IFERROR(__xludf.DUMMYFUNCTION("GOOGLETRANSLATE(E951,""EN"",""JA"")"),"24(S)-ヒドロキシコレステロール")</f>
        <v>24(S)-ヒドロキシコレステロール</v>
      </c>
      <c r="J951" s="1" t="str">
        <f>IFERROR(__xludf.DUMMYFUNCTION("GOOGLETRANSLATE(F951,""EN"",""JA"")"),"生物標本中の24(S)-ヒドロキシコレステロールの測定。")</f>
        <v>生物標本中の24(S)-ヒドロキシコレステロールの測定。</v>
      </c>
      <c r="K951" s="1" t="str">
        <f>IFERROR(__xludf.DUMMYFUNCTION("GOOGLETRANSLATE(G951,""EN"",""JA"")"),"24(S)-ヒドロキシコレステロール測定")</f>
        <v>24(S)-ヒドロキシコレステロール測定</v>
      </c>
    </row>
    <row r="952" ht="13.5" customHeight="1">
      <c r="A952" s="1" t="s">
        <v>11</v>
      </c>
      <c r="B952" s="1" t="s">
        <v>4829</v>
      </c>
      <c r="C952" s="1" t="s">
        <v>4830</v>
      </c>
      <c r="D952" s="1" t="s">
        <v>4831</v>
      </c>
      <c r="E952" s="1" t="s">
        <v>4831</v>
      </c>
      <c r="F952" s="1" t="s">
        <v>4832</v>
      </c>
      <c r="G952" s="1" t="s">
        <v>4833</v>
      </c>
      <c r="H952" s="1" t="str">
        <f>IFERROR(__xludf.DUMMYFUNCTION("GOOGLETRANSLATE(D952,""EN"",""JA"")"),"25-ヒドロキシコレステロール")</f>
        <v>25-ヒドロキシコレステロール</v>
      </c>
      <c r="I952" s="1" t="str">
        <f>IFERROR(__xludf.DUMMYFUNCTION("GOOGLETRANSLATE(E952,""EN"",""JA"")"),"25-ヒドロキシコレステロール")</f>
        <v>25-ヒドロキシコレステロール</v>
      </c>
      <c r="J952" s="1" t="str">
        <f>IFERROR(__xludf.DUMMYFUNCTION("GOOGLETRANSLATE(F952,""EN"",""JA"")"),"生物標本中の 25-ヒドロキシコレステロールの測定。")</f>
        <v>生物標本中の 25-ヒドロキシコレステロールの測定。</v>
      </c>
      <c r="K952" s="1" t="str">
        <f>IFERROR(__xludf.DUMMYFUNCTION("GOOGLETRANSLATE(G952,""EN"",""JA"")"),"25-ヒドロキシコレステロール測定")</f>
        <v>25-ヒドロキシコレステロール測定</v>
      </c>
    </row>
    <row r="953" ht="13.5" customHeight="1">
      <c r="A953" s="1" t="s">
        <v>11</v>
      </c>
      <c r="B953" s="1" t="s">
        <v>4834</v>
      </c>
      <c r="C953" s="1" t="s">
        <v>4835</v>
      </c>
      <c r="D953" s="1" t="s">
        <v>4836</v>
      </c>
      <c r="E953" s="1" t="s">
        <v>4836</v>
      </c>
      <c r="F953" s="1" t="s">
        <v>4837</v>
      </c>
      <c r="G953" s="1" t="s">
        <v>4838</v>
      </c>
      <c r="H953" s="1" t="str">
        <f>IFERROR(__xludf.DUMMYFUNCTION("GOOGLETRANSLATE(D953,""EN"",""JA"")"),"27-ヒドロキシコレステロール")</f>
        <v>27-ヒドロキシコレステロール</v>
      </c>
      <c r="I953" s="1" t="str">
        <f>IFERROR(__xludf.DUMMYFUNCTION("GOOGLETRANSLATE(E953,""EN"",""JA"")"),"27-ヒドロキシコレステロール")</f>
        <v>27-ヒドロキシコレステロール</v>
      </c>
      <c r="J953" s="1" t="str">
        <f>IFERROR(__xludf.DUMMYFUNCTION("GOOGLETRANSLATE(F953,""EN"",""JA"")"),"生物標本中の 27-ヒドロキシコレステロールの測定。")</f>
        <v>生物標本中の 27-ヒドロキシコレステロールの測定。</v>
      </c>
      <c r="K953" s="1" t="str">
        <f>IFERROR(__xludf.DUMMYFUNCTION("GOOGLETRANSLATE(G953,""EN"",""JA"")"),"27-ヒドロキシコレステロール測定")</f>
        <v>27-ヒドロキシコレステロール測定</v>
      </c>
    </row>
    <row r="954" ht="13.5" customHeight="1">
      <c r="A954" s="1" t="s">
        <v>11</v>
      </c>
      <c r="B954" s="1" t="s">
        <v>4839</v>
      </c>
      <c r="C954" s="1" t="s">
        <v>4840</v>
      </c>
      <c r="D954" s="1" t="s">
        <v>4841</v>
      </c>
      <c r="E954" s="1" t="s">
        <v>4841</v>
      </c>
      <c r="F954" s="1" t="s">
        <v>4842</v>
      </c>
      <c r="G954" s="1" t="s">
        <v>4843</v>
      </c>
      <c r="H954" s="1" t="str">
        <f>IFERROR(__xludf.DUMMYFUNCTION("GOOGLETRANSLATE(D954,""EN"",""JA"")"),"7α-ヒドロキシコレステロール")</f>
        <v>7α-ヒドロキシコレステロール</v>
      </c>
      <c r="I954" s="1" t="str">
        <f>IFERROR(__xludf.DUMMYFUNCTION("GOOGLETRANSLATE(E954,""EN"",""JA"")"),"7α-ヒドロキシコレステロール")</f>
        <v>7α-ヒドロキシコレステロール</v>
      </c>
      <c r="J954" s="1" t="str">
        <f>IFERROR(__xludf.DUMMYFUNCTION("GOOGLETRANSLATE(F954,""EN"",""JA"")"),"生物標本中の 7α-ヒドロキシコレステロールの測定。")</f>
        <v>生物標本中の 7α-ヒドロキシコレステロールの測定。</v>
      </c>
      <c r="K954" s="1" t="str">
        <f>IFERROR(__xludf.DUMMYFUNCTION("GOOGLETRANSLATE(G954,""EN"",""JA"")"),"7α-ヒドロキシコレステロール測定")</f>
        <v>7α-ヒドロキシコレステロール測定</v>
      </c>
    </row>
    <row r="955" ht="13.5" customHeight="1">
      <c r="A955" s="1" t="s">
        <v>11</v>
      </c>
      <c r="B955" s="1" t="s">
        <v>4844</v>
      </c>
      <c r="C955" s="1" t="s">
        <v>4845</v>
      </c>
      <c r="D955" s="1" t="s">
        <v>4846</v>
      </c>
      <c r="E955" s="1" t="s">
        <v>4846</v>
      </c>
      <c r="F955" s="1" t="s">
        <v>4847</v>
      </c>
      <c r="G955" s="1" t="s">
        <v>4848</v>
      </c>
      <c r="H955" s="1" t="str">
        <f>IFERROR(__xludf.DUMMYFUNCTION("GOOGLETRANSLATE(D955,""EN"",""JA"")"),"7β-ヒドロキシコレステロール")</f>
        <v>7β-ヒドロキシコレステロール</v>
      </c>
      <c r="I955" s="1" t="str">
        <f>IFERROR(__xludf.DUMMYFUNCTION("GOOGLETRANSLATE(E955,""EN"",""JA"")"),"7β-ヒドロキシコレステロール")</f>
        <v>7β-ヒドロキシコレステロール</v>
      </c>
      <c r="J955" s="1" t="str">
        <f>IFERROR(__xludf.DUMMYFUNCTION("GOOGLETRANSLATE(F955,""EN"",""JA"")"),"生物標本中の 7beta-ヒドロキシコレステロールの測定。")</f>
        <v>生物標本中の 7beta-ヒドロキシコレステロールの測定。</v>
      </c>
      <c r="K955" s="1" t="str">
        <f>IFERROR(__xludf.DUMMYFUNCTION("GOOGLETRANSLATE(G955,""EN"",""JA"")"),"7β-ヒドロキシコレステロール測定")</f>
        <v>7β-ヒドロキシコレステロール測定</v>
      </c>
    </row>
    <row r="956" ht="13.5" customHeight="1">
      <c r="A956" s="1" t="s">
        <v>11</v>
      </c>
      <c r="B956" s="1" t="s">
        <v>4849</v>
      </c>
      <c r="C956" s="1" t="s">
        <v>4850</v>
      </c>
      <c r="D956" s="1" t="s">
        <v>4851</v>
      </c>
      <c r="E956" s="1" t="s">
        <v>4851</v>
      </c>
      <c r="F956" s="1" t="s">
        <v>4852</v>
      </c>
      <c r="G956" s="1" t="s">
        <v>4853</v>
      </c>
      <c r="H956" s="1" t="str">
        <f>IFERROR(__xludf.DUMMYFUNCTION("GOOGLETRANSLATE(D956,""EN"",""JA"")"),"コレステロール/HDLコレステロール")</f>
        <v>コレステロール/HDLコレステロール</v>
      </c>
      <c r="I956" s="1" t="str">
        <f>IFERROR(__xludf.DUMMYFUNCTION("GOOGLETRANSLATE(E956,""EN"",""JA"")"),"コレステロール/HDLコレステロール")</f>
        <v>コレステロール/HDLコレステロール</v>
      </c>
      <c r="J956" s="1" t="str">
        <f>IFERROR(__xludf.DUMMYFUNCTION("GOOGLETRANSLATE(F956,""EN"",""JA"")"),"生物標本中の総コレステロールと高密度リポタンパク質コレステロール (HDL-C) の相対的な測定値 (比率またはパーセンテージ)。")</f>
        <v>生物標本中の総コレステロールと高密度リポタンパク質コレステロール (HDL-C) の相対的な測定値 (比率またはパーセンテージ)。</v>
      </c>
      <c r="K956" s="1" t="str">
        <f>IFERROR(__xludf.DUMMYFUNCTION("GOOGLETRANSLATE(G956,""EN"",""JA"")"),"コレステロールとHDLコレステロールの比測定")</f>
        <v>コレステロールとHDLコレステロールの比測定</v>
      </c>
    </row>
    <row r="957" ht="13.5" customHeight="1">
      <c r="A957" s="1" t="s">
        <v>176</v>
      </c>
      <c r="B957" s="1" t="s">
        <v>4854</v>
      </c>
      <c r="C957" s="1" t="s">
        <v>4855</v>
      </c>
      <c r="D957" s="1" t="s">
        <v>4856</v>
      </c>
      <c r="E957" s="1" t="s">
        <v>4856</v>
      </c>
      <c r="F957" s="1" t="s">
        <v>4857</v>
      </c>
      <c r="G957" s="1" t="s">
        <v>4858</v>
      </c>
      <c r="H957" s="1" t="str">
        <f>IFERROR(__xludf.DUMMYFUNCTION("GOOGLETRANSLATE(D957,""EN"",""JA"")"),"コリン")</f>
        <v>コリン</v>
      </c>
      <c r="I957" s="1" t="str">
        <f>IFERROR(__xludf.DUMMYFUNCTION("GOOGLETRANSLATE(E957,""EN"",""JA"")"),"コリン")</f>
        <v>コリン</v>
      </c>
      <c r="J957" s="1" t="str">
        <f>IFERROR(__xludf.DUMMYFUNCTION("GOOGLETRANSLATE(F957,""EN"",""JA"")"),"生物標本中のコリンの測定。")</f>
        <v>生物標本中のコリンの測定。</v>
      </c>
      <c r="K957" s="1" t="str">
        <f>IFERROR(__xludf.DUMMYFUNCTION("GOOGLETRANSLATE(G957,""EN"",""JA"")"),"コリン測定")</f>
        <v>コリン測定</v>
      </c>
    </row>
    <row r="958" ht="13.5" customHeight="1">
      <c r="A958" s="1" t="s">
        <v>11</v>
      </c>
      <c r="B958" s="1" t="s">
        <v>4859</v>
      </c>
      <c r="C958" s="1" t="s">
        <v>4860</v>
      </c>
      <c r="D958" s="1" t="s">
        <v>4861</v>
      </c>
      <c r="E958" s="1" t="s">
        <v>4861</v>
      </c>
      <c r="F958" s="1" t="s">
        <v>4862</v>
      </c>
      <c r="G958" s="1" t="s">
        <v>4863</v>
      </c>
      <c r="H958" s="1" t="str">
        <f>IFERROR(__xludf.DUMMYFUNCTION("GOOGLETRANSLATE(D958,""EN"",""JA"")"),"コリンエステラーゼ")</f>
        <v>コリンエステラーゼ</v>
      </c>
      <c r="I958" s="1" t="str">
        <f>IFERROR(__xludf.DUMMYFUNCTION("GOOGLETRANSLATE(E958,""EN"",""JA"")"),"コリンエステラーゼ")</f>
        <v>コリンエステラーゼ</v>
      </c>
      <c r="J958" s="1" t="str">
        <f>IFERROR(__xludf.DUMMYFUNCTION("GOOGLETRANSLATE(F958,""EN"",""JA"")"),"生物標本中のコリンエステラーゼの測定。")</f>
        <v>生物標本中のコリンエステラーゼの測定。</v>
      </c>
      <c r="K958" s="1" t="str">
        <f>IFERROR(__xludf.DUMMYFUNCTION("GOOGLETRANSLATE(G958,""EN"",""JA"")"),"コリンエステラーゼ測定")</f>
        <v>コリンエステラーゼ測定</v>
      </c>
    </row>
    <row r="959" ht="13.5" customHeight="1">
      <c r="A959" s="1" t="s">
        <v>11</v>
      </c>
      <c r="B959" s="1" t="s">
        <v>4864</v>
      </c>
      <c r="C959" s="1" t="s">
        <v>4865</v>
      </c>
      <c r="D959" s="1" t="s">
        <v>4866</v>
      </c>
      <c r="E959" s="1" t="s">
        <v>4867</v>
      </c>
      <c r="F959" s="1" t="s">
        <v>4868</v>
      </c>
      <c r="G959" s="1" t="s">
        <v>4869</v>
      </c>
      <c r="H959" s="1" t="str">
        <f>IFERROR(__xludf.DUMMYFUNCTION("GOOGLETRANSLATE(D959,""EN"",""JA"")"),"7-ケトコレステロール")</f>
        <v>7-ケトコレステロール</v>
      </c>
      <c r="I959" s="1" t="str">
        <f>IFERROR(__xludf.DUMMYFUNCTION("GOOGLETRANSLATE(E959,""EN"",""JA"")"),"7-ケトコレステロール; 7-オキソコレステロール")</f>
        <v>7-ケトコレステロール; 7-オキソコレステロール</v>
      </c>
      <c r="J959" s="1" t="str">
        <f>IFERROR(__xludf.DUMMYFUNCTION("GOOGLETRANSLATE(F959,""EN"",""JA"")"),"生物標本中の 7-ケトコレステロールの測定。")</f>
        <v>生物標本中の 7-ケトコレステロールの測定。</v>
      </c>
      <c r="K959" s="1" t="str">
        <f>IFERROR(__xludf.DUMMYFUNCTION("GOOGLETRANSLATE(G959,""EN"",""JA"")"),"7-ケトコレステロール測定")</f>
        <v>7-ケトコレステロール測定</v>
      </c>
    </row>
    <row r="960" ht="13.5" customHeight="1">
      <c r="A960" s="1" t="s">
        <v>11</v>
      </c>
      <c r="B960" s="1" t="s">
        <v>4870</v>
      </c>
      <c r="C960" s="1" t="s">
        <v>4871</v>
      </c>
      <c r="D960" s="1" t="s">
        <v>4872</v>
      </c>
      <c r="E960" s="1" t="s">
        <v>4872</v>
      </c>
      <c r="F960" s="1" t="s">
        <v>4873</v>
      </c>
      <c r="G960" s="1" t="s">
        <v>4874</v>
      </c>
      <c r="H960" s="1" t="str">
        <f>IFERROR(__xludf.DUMMYFUNCTION("GOOGLETRANSLATE(D960,""EN"",""JA"")"),"4-β-ヒドロキシコレステロール")</f>
        <v>4-β-ヒドロキシコレステロール</v>
      </c>
      <c r="I960" s="1" t="str">
        <f>IFERROR(__xludf.DUMMYFUNCTION("GOOGLETRANSLATE(E960,""EN"",""JA"")"),"4-β-ヒドロキシコレステロール")</f>
        <v>4-β-ヒドロキシコレステロール</v>
      </c>
      <c r="J960" s="1" t="str">
        <f>IFERROR(__xludf.DUMMYFUNCTION("GOOGLETRANSLATE(F960,""EN"",""JA"")"),"生物標本中の 4-β-ヒドロキシコレステロールの測定。")</f>
        <v>生物標本中の 4-β-ヒドロキシコレステロールの測定。</v>
      </c>
      <c r="K960" s="1" t="str">
        <f>IFERROR(__xludf.DUMMYFUNCTION("GOOGLETRANSLATE(G960,""EN"",""JA"")"),"4-β-ヒドロキシコレステロール測定")</f>
        <v>4-β-ヒドロキシコレステロール測定</v>
      </c>
    </row>
    <row r="961" ht="13.5" customHeight="1">
      <c r="A961" s="1" t="s">
        <v>11</v>
      </c>
      <c r="B961" s="1" t="s">
        <v>4875</v>
      </c>
      <c r="C961" s="1" t="s">
        <v>4876</v>
      </c>
      <c r="D961" s="1" t="s">
        <v>4877</v>
      </c>
      <c r="E961" s="1" t="s">
        <v>4878</v>
      </c>
      <c r="F961" s="1" t="s">
        <v>4879</v>
      </c>
      <c r="G961" s="1" t="s">
        <v>4880</v>
      </c>
      <c r="H961" s="1" t="str">
        <f>IFERROR(__xludf.DUMMYFUNCTION("GOOGLETRANSLATE(D961,""EN"",""JA"")"),"コレスタノール")</f>
        <v>コレスタノール</v>
      </c>
      <c r="I961" s="1" t="str">
        <f>IFERROR(__xludf.DUMMYFUNCTION("GOOGLETRANSLATE(E961,""EN"",""JA"")"),"5α-コレスタノール; β-コレスタノール; コレスタノール; デヒドロコレステロール; ザイモスタノール")</f>
        <v>5α-コレスタノール; β-コレスタノール; コレスタノール; デヒドロコレステロール; ザイモスタノール</v>
      </c>
      <c r="J961" s="1" t="str">
        <f>IFERROR(__xludf.DUMMYFUNCTION("GOOGLETRANSLATE(F961,""EN"",""JA"")"),"生物標本中のコレスタノールの測定。")</f>
        <v>生物標本中のコレスタノールの測定。</v>
      </c>
      <c r="K961" s="1" t="str">
        <f>IFERROR(__xludf.DUMMYFUNCTION("GOOGLETRANSLATE(G961,""EN"",""JA"")"),"コレスタノール測定")</f>
        <v>コレスタノール測定</v>
      </c>
    </row>
    <row r="962" ht="13.5" customHeight="1">
      <c r="A962" s="1" t="s">
        <v>11</v>
      </c>
      <c r="B962" s="1" t="s">
        <v>4881</v>
      </c>
      <c r="C962" s="1" t="s">
        <v>4882</v>
      </c>
      <c r="D962" s="1" t="s">
        <v>4883</v>
      </c>
      <c r="E962" s="1" t="s">
        <v>4883</v>
      </c>
      <c r="F962" s="1" t="s">
        <v>4884</v>
      </c>
      <c r="G962" s="1" t="s">
        <v>4885</v>
      </c>
      <c r="H962" s="1" t="str">
        <f>IFERROR(__xludf.DUMMYFUNCTION("GOOGLETRANSLATE(D962,""EN"",""JA"")"),"コレステロール硫酸塩")</f>
        <v>コレステロール硫酸塩</v>
      </c>
      <c r="I962" s="1" t="str">
        <f>IFERROR(__xludf.DUMMYFUNCTION("GOOGLETRANSLATE(E962,""EN"",""JA"")"),"コレステロール硫酸塩")</f>
        <v>コレステロール硫酸塩</v>
      </c>
      <c r="J962" s="1" t="str">
        <f>IFERROR(__xludf.DUMMYFUNCTION("GOOGLETRANSLATE(F962,""EN"",""JA"")"),"生物標本中のコレステロール硫酸塩の測定。")</f>
        <v>生物標本中のコレステロール硫酸塩の測定。</v>
      </c>
      <c r="K962" s="1" t="str">
        <f>IFERROR(__xludf.DUMMYFUNCTION("GOOGLETRANSLATE(G962,""EN"",""JA"")"),"コレステロール硫酸塩測定")</f>
        <v>コレステロール硫酸塩測定</v>
      </c>
    </row>
    <row r="963" ht="13.5" customHeight="1">
      <c r="A963" s="1" t="s">
        <v>870</v>
      </c>
      <c r="B963" s="1" t="s">
        <v>4886</v>
      </c>
      <c r="C963" s="1" t="s">
        <v>4887</v>
      </c>
      <c r="D963" s="1" t="s">
        <v>4888</v>
      </c>
      <c r="E963" s="1" t="s">
        <v>4888</v>
      </c>
      <c r="F963" s="1" t="s">
        <v>4889</v>
      </c>
      <c r="G963" s="1" t="s">
        <v>4888</v>
      </c>
      <c r="H963" s="1" t="str">
        <f>IFERROR(__xludf.DUMMYFUNCTION("GOOGLETRANSLATE(D963,""EN"",""JA"")"),"半温度最高温度における濃度")</f>
        <v>半温度最高温度における濃度</v>
      </c>
      <c r="I963" s="1" t="str">
        <f>IFERROR(__xludf.DUMMYFUNCTION("GOOGLETRANSLATE(E963,""EN"",""JA"")"),"半温度最高温度における濃度")</f>
        <v>半温度最高温度における濃度</v>
      </c>
      <c r="J963" s="1" t="str">
        <f>IFERROR(__xludf.DUMMYFUNCTION("GOOGLETRANSLATE(F963,""EN"",""JA"")"),"投与時間と Tmax の中間時間に発生する濃度。")</f>
        <v>投与時間と Tmax の中間時間に発生する濃度。</v>
      </c>
      <c r="K963" s="1" t="str">
        <f>IFERROR(__xludf.DUMMYFUNCTION("GOOGLETRANSLATE(G963,""EN"",""JA"")"),"半温度最高温度における濃度")</f>
        <v>半温度最高温度における濃度</v>
      </c>
    </row>
    <row r="964" ht="13.5" customHeight="1">
      <c r="A964" s="1" t="s">
        <v>1168</v>
      </c>
      <c r="B964" s="1" t="s">
        <v>4890</v>
      </c>
      <c r="C964" s="1" t="s">
        <v>4891</v>
      </c>
      <c r="D964" s="1" t="s">
        <v>4892</v>
      </c>
      <c r="E964" s="1" t="s">
        <v>4892</v>
      </c>
      <c r="F964" s="1" t="s">
        <v>4893</v>
      </c>
      <c r="G964" s="1" t="s">
        <v>4894</v>
      </c>
      <c r="H964" s="1" t="str">
        <f>IFERROR(__xludf.DUMMYFUNCTION("GOOGLETRANSLATE(D964,""EN"",""JA"")"),"心室肥大または拡大")</f>
        <v>心室肥大または拡大</v>
      </c>
      <c r="I964" s="1" t="str">
        <f>IFERROR(__xludf.DUMMYFUNCTION("GOOGLETRANSLATE(E964,""EN"",""JA"")"),"心室肥大または拡大")</f>
        <v>心室肥大または拡大</v>
      </c>
      <c r="J964" s="1" t="str">
        <f>IFERROR(__xludf.DUMMYFUNCTION("GOOGLETRANSLATE(F964,""EN"",""JA"")"),"心室肥大または拡大の心電図評価。")</f>
        <v>心室肥大または拡大の心電図評価。</v>
      </c>
      <c r="K964" s="1" t="str">
        <f>IFERROR(__xludf.DUMMYFUNCTION("GOOGLETRANSLATE(G964,""EN"",""JA"")"),"心室肥大または拡大の心電図評価")</f>
        <v>心室肥大または拡大の心電図評価</v>
      </c>
    </row>
    <row r="965" ht="13.5" customHeight="1">
      <c r="A965" s="1" t="s">
        <v>1168</v>
      </c>
      <c r="B965" s="1" t="s">
        <v>4890</v>
      </c>
      <c r="C965" s="1" t="s">
        <v>4891</v>
      </c>
      <c r="D965" s="1" t="s">
        <v>4892</v>
      </c>
      <c r="E965" s="1" t="s">
        <v>4892</v>
      </c>
      <c r="F965" s="1" t="s">
        <v>4893</v>
      </c>
      <c r="G965" s="1" t="s">
        <v>4894</v>
      </c>
      <c r="H965" s="1" t="str">
        <f>IFERROR(__xludf.DUMMYFUNCTION("GOOGLETRANSLATE(D965,""EN"",""JA"")"),"心室肥大または拡大")</f>
        <v>心室肥大または拡大</v>
      </c>
      <c r="I965" s="1" t="str">
        <f>IFERROR(__xludf.DUMMYFUNCTION("GOOGLETRANSLATE(E965,""EN"",""JA"")"),"心室肥大または拡大")</f>
        <v>心室肥大または拡大</v>
      </c>
      <c r="J965" s="1" t="str">
        <f>IFERROR(__xludf.DUMMYFUNCTION("GOOGLETRANSLATE(F965,""EN"",""JA"")"),"心室肥大または拡大の心電図評価。")</f>
        <v>心室肥大または拡大の心電図評価。</v>
      </c>
      <c r="K965" s="1" t="str">
        <f>IFERROR(__xludf.DUMMYFUNCTION("GOOGLETRANSLATE(G965,""EN"",""JA"")"),"心室肥大または拡大の心電図評価")</f>
        <v>心室肥大または拡大の心電図評価</v>
      </c>
    </row>
    <row r="966" ht="13.5" customHeight="1">
      <c r="A966" s="1" t="s">
        <v>1168</v>
      </c>
      <c r="B966" s="1" t="s">
        <v>4890</v>
      </c>
      <c r="C966" s="1" t="s">
        <v>4891</v>
      </c>
      <c r="D966" s="1" t="s">
        <v>4892</v>
      </c>
      <c r="E966" s="1" t="s">
        <v>4892</v>
      </c>
      <c r="F966" s="1" t="s">
        <v>4893</v>
      </c>
      <c r="G966" s="1" t="s">
        <v>4894</v>
      </c>
      <c r="H966" s="1" t="str">
        <f>IFERROR(__xludf.DUMMYFUNCTION("GOOGLETRANSLATE(D966,""EN"",""JA"")"),"心室肥大または拡大")</f>
        <v>心室肥大または拡大</v>
      </c>
      <c r="I966" s="1" t="str">
        <f>IFERROR(__xludf.DUMMYFUNCTION("GOOGLETRANSLATE(E966,""EN"",""JA"")"),"心室肥大または拡大")</f>
        <v>心室肥大または拡大</v>
      </c>
      <c r="J966" s="1" t="str">
        <f>IFERROR(__xludf.DUMMYFUNCTION("GOOGLETRANSLATE(F966,""EN"",""JA"")"),"心室肥大または拡大の心電図評価。")</f>
        <v>心室肥大または拡大の心電図評価。</v>
      </c>
      <c r="K966" s="1" t="str">
        <f>IFERROR(__xludf.DUMMYFUNCTION("GOOGLETRANSLATE(G966,""EN"",""JA"")"),"心室肥大または拡大の心電図評価")</f>
        <v>心室肥大または拡大の心電図評価</v>
      </c>
    </row>
    <row r="967" ht="13.5" customHeight="1">
      <c r="A967" s="1" t="s">
        <v>1168</v>
      </c>
      <c r="B967" s="1" t="s">
        <v>4890</v>
      </c>
      <c r="C967" s="1" t="s">
        <v>4891</v>
      </c>
      <c r="D967" s="1" t="s">
        <v>4892</v>
      </c>
      <c r="E967" s="1" t="s">
        <v>4892</v>
      </c>
      <c r="F967" s="1" t="s">
        <v>4893</v>
      </c>
      <c r="G967" s="1" t="s">
        <v>4894</v>
      </c>
      <c r="H967" s="1" t="str">
        <f>IFERROR(__xludf.DUMMYFUNCTION("GOOGLETRANSLATE(D967,""EN"",""JA"")"),"心室肥大または拡大")</f>
        <v>心室肥大または拡大</v>
      </c>
      <c r="I967" s="1" t="str">
        <f>IFERROR(__xludf.DUMMYFUNCTION("GOOGLETRANSLATE(E967,""EN"",""JA"")"),"心室肥大または拡大")</f>
        <v>心室肥大または拡大</v>
      </c>
      <c r="J967" s="1" t="str">
        <f>IFERROR(__xludf.DUMMYFUNCTION("GOOGLETRANSLATE(F967,""EN"",""JA"")"),"心室肥大または拡大の心電図評価。")</f>
        <v>心室肥大または拡大の心電図評価。</v>
      </c>
      <c r="K967" s="1" t="str">
        <f>IFERROR(__xludf.DUMMYFUNCTION("GOOGLETRANSLATE(G967,""EN"",""JA"")"),"心室肥大または拡大の心電図評価")</f>
        <v>心室肥大または拡大の心電図評価</v>
      </c>
    </row>
    <row r="968" ht="13.5" customHeight="1">
      <c r="A968" s="1" t="s">
        <v>11</v>
      </c>
      <c r="B968" s="1" t="s">
        <v>4895</v>
      </c>
      <c r="C968" s="1" t="s">
        <v>4896</v>
      </c>
      <c r="D968" s="1" t="s">
        <v>4897</v>
      </c>
      <c r="E968" s="1" t="s">
        <v>4897</v>
      </c>
      <c r="F968" s="1" t="s">
        <v>4898</v>
      </c>
      <c r="G968" s="1" t="s">
        <v>4899</v>
      </c>
      <c r="H968" s="1" t="str">
        <f>IFERROR(__xludf.DUMMYFUNCTION("GOOGLETRANSLATE(D968,""EN"",""JA"")"),"キモトリプシン")</f>
        <v>キモトリプシン</v>
      </c>
      <c r="I968" s="1" t="str">
        <f>IFERROR(__xludf.DUMMYFUNCTION("GOOGLETRANSLATE(E968,""EN"",""JA"")"),"キモトリプシン")</f>
        <v>キモトリプシン</v>
      </c>
      <c r="J968" s="1" t="str">
        <f>IFERROR(__xludf.DUMMYFUNCTION("GOOGLETRANSLATE(F968,""EN"",""JA"")"),"生物標本中のキモトリプシンの総量の測定。")</f>
        <v>生物標本中のキモトリプシンの総量の測定。</v>
      </c>
      <c r="K968" s="1" t="str">
        <f>IFERROR(__xludf.DUMMYFUNCTION("GOOGLETRANSLATE(G968,""EN"",""JA"")"),"キモトリプシン測定")</f>
        <v>キモトリプシン測定</v>
      </c>
    </row>
    <row r="969" ht="13.5" customHeight="1">
      <c r="A969" s="1" t="s">
        <v>11</v>
      </c>
      <c r="B969" s="1" t="s">
        <v>4900</v>
      </c>
      <c r="C969" s="1" t="s">
        <v>4901</v>
      </c>
      <c r="D969" s="1" t="s">
        <v>4902</v>
      </c>
      <c r="E969" s="1" t="s">
        <v>4902</v>
      </c>
      <c r="F969" s="1" t="s">
        <v>4903</v>
      </c>
      <c r="G969" s="1" t="s">
        <v>4904</v>
      </c>
      <c r="H969" s="1" t="str">
        <f>IFERROR(__xludf.DUMMYFUNCTION("GOOGLETRANSLATE(D969,""EN"",""JA"")"),"循環免疫複合体")</f>
        <v>循環免疫複合体</v>
      </c>
      <c r="I969" s="1" t="str">
        <f>IFERROR(__xludf.DUMMYFUNCTION("GOOGLETRANSLATE(E969,""EN"",""JA"")"),"循環免疫複合体")</f>
        <v>循環免疫複合体</v>
      </c>
      <c r="J969" s="1" t="str">
        <f>IFERROR(__xludf.DUMMYFUNCTION("GOOGLETRANSLATE(F969,""EN"",""JA"")"),"生物学的標本内の循環免疫複合体の測定。")</f>
        <v>生物学的標本内の循環免疫複合体の測定。</v>
      </c>
      <c r="K969" s="1" t="str">
        <f>IFERROR(__xludf.DUMMYFUNCTION("GOOGLETRANSLATE(G969,""EN"",""JA"")"),"循環免疫複合体測定")</f>
        <v>循環免疫複合体測定</v>
      </c>
    </row>
    <row r="970" ht="13.5" customHeight="1">
      <c r="A970" s="1" t="s">
        <v>601</v>
      </c>
      <c r="B970" s="1" t="s">
        <v>4905</v>
      </c>
      <c r="C970" s="1" t="s">
        <v>4906</v>
      </c>
      <c r="D970" s="1" t="s">
        <v>4907</v>
      </c>
      <c r="E970" s="1" t="s">
        <v>4907</v>
      </c>
      <c r="F970" s="1" t="s">
        <v>4908</v>
      </c>
      <c r="G970" s="1" t="s">
        <v>4909</v>
      </c>
      <c r="H970" s="1" t="str">
        <f>IFERROR(__xludf.DUMMYFUNCTION("GOOGLETRANSLATE(D970,""EN"",""JA"")"),"接触調査インジケーター")</f>
        <v>接触調査インジケーター</v>
      </c>
      <c r="I970" s="1" t="str">
        <f>IFERROR(__xludf.DUMMYFUNCTION("GOOGLETRANSLATE(E970,""EN"",""JA"")"),"接触調査インジケーター")</f>
        <v>接触調査インジケーター</v>
      </c>
      <c r="J970" s="1" t="str">
        <f>IFERROR(__xludf.DUMMYFUNCTION("GOOGLETRANSLATE(F970,""EN"",""JA"")"),"対象者に対して接触調査（伝染病の疑いまたは感染が確認された人と接触した個人を特定し、接触者追跡を行う公衆衛生活動）が実施されたかどうかを示します。")</f>
        <v>対象者に対して接触調査（伝染病の疑いまたは感染が確認された人と接触した個人を特定し、接触者追跡を行う公衆衛生活動）が実施されたかどうかを示します。</v>
      </c>
      <c r="K970" s="1" t="str">
        <f>IFERROR(__xludf.DUMMYFUNCTION("GOOGLETRANSLATE(G970,""EN"",""JA"")"),"疾病接触調査指標")</f>
        <v>疾病接触調査指標</v>
      </c>
    </row>
    <row r="971" ht="13.5" customHeight="1">
      <c r="A971" s="1" t="s">
        <v>11</v>
      </c>
      <c r="B971" s="1" t="s">
        <v>4910</v>
      </c>
      <c r="C971" s="1" t="s">
        <v>4911</v>
      </c>
      <c r="D971" s="1" t="s">
        <v>4912</v>
      </c>
      <c r="E971" s="1" t="s">
        <v>4912</v>
      </c>
      <c r="F971" s="1" t="s">
        <v>4913</v>
      </c>
      <c r="G971" s="1" t="s">
        <v>4914</v>
      </c>
      <c r="H971" s="1" t="str">
        <f>IFERROR(__xludf.DUMMYFUNCTION("GOOGLETRANSLATE(D971,""EN"",""JA"")"),"シトルリン")</f>
        <v>シトルリン</v>
      </c>
      <c r="I971" s="1" t="str">
        <f>IFERROR(__xludf.DUMMYFUNCTION("GOOGLETRANSLATE(E971,""EN"",""JA"")"),"シトルリン")</f>
        <v>シトルリン</v>
      </c>
      <c r="J971" s="1" t="str">
        <f>IFERROR(__xludf.DUMMYFUNCTION("GOOGLETRANSLATE(F971,""EN"",""JA"")"),"生物標本中のシトルリンの測定。")</f>
        <v>生物標本中のシトルリンの測定。</v>
      </c>
      <c r="K971" s="1" t="str">
        <f>IFERROR(__xludf.DUMMYFUNCTION("GOOGLETRANSLATE(G971,""EN"",""JA"")"),"シトルリン測定")</f>
        <v>シトルリン測定</v>
      </c>
    </row>
    <row r="972" ht="13.5" customHeight="1">
      <c r="A972" s="1" t="s">
        <v>11</v>
      </c>
      <c r="B972" s="1" t="s">
        <v>4915</v>
      </c>
      <c r="C972" s="1" t="s">
        <v>4916</v>
      </c>
      <c r="D972" s="1" t="s">
        <v>4917</v>
      </c>
      <c r="E972" s="1" t="s">
        <v>4918</v>
      </c>
      <c r="F972" s="1" t="s">
        <v>4919</v>
      </c>
      <c r="G972" s="1" t="s">
        <v>4920</v>
      </c>
      <c r="H972" s="1" t="str">
        <f>IFERROR(__xludf.DUMMYFUNCTION("GOOGLETRANSLATE(D972,""EN"",""JA"")"),"クエン酸/クレアチニン")</f>
        <v>クエン酸/クレアチニン</v>
      </c>
      <c r="I972" s="1" t="str">
        <f>IFERROR(__xludf.DUMMYFUNCTION("GOOGLETRANSLATE(E972,""EN"",""JA"")"),"クエン酸/クレアチニン; クエン酸/クレアチニン")</f>
        <v>クエン酸/クレアチニン; クエン酸/クレアチニン</v>
      </c>
      <c r="J972" s="1" t="str">
        <f>IFERROR(__xludf.DUMMYFUNCTION("GOOGLETRANSLATE(F972,""EN"",""JA"")"),"生物標本中のクエン酸とクレアチニンの相対的な測定値（比率またはパーセンテージ）。")</f>
        <v>生物標本中のクエン酸とクレアチニンの相対的な測定値（比率またはパーセンテージ）。</v>
      </c>
      <c r="K972" s="1" t="str">
        <f>IFERROR(__xludf.DUMMYFUNCTION("GOOGLETRANSLATE(G972,""EN"",""JA"")"),"クエン酸とクレアチニンの比率測定")</f>
        <v>クエン酸とクレアチニンの比率測定</v>
      </c>
    </row>
    <row r="973" ht="13.5" customHeight="1">
      <c r="A973" s="1" t="s">
        <v>397</v>
      </c>
      <c r="B973" s="1" t="s">
        <v>4921</v>
      </c>
      <c r="C973" s="1" t="s">
        <v>4922</v>
      </c>
      <c r="D973" s="1" t="s">
        <v>4923</v>
      </c>
      <c r="E973" s="1" t="s">
        <v>4923</v>
      </c>
      <c r="F973" s="1" t="s">
        <v>4924</v>
      </c>
      <c r="G973" s="1" t="s">
        <v>4925</v>
      </c>
      <c r="H973" s="1" t="str">
        <f>IFERROR(__xludf.DUMMYFUNCTION("GOOGLETRANSLATE(D973,""EN"",""JA"")"),"研究で使用された引用")</f>
        <v>研究で使用された引用</v>
      </c>
      <c r="I973" s="1" t="str">
        <f>IFERROR(__xludf.DUMMYFUNCTION("GOOGLETRANSLATE(E973,""EN"",""JA"")"),"研究で使用された引用")</f>
        <v>研究で使用された引用</v>
      </c>
      <c r="J973" s="1" t="str">
        <f>IFERROR(__xludf.DUMMYFUNCTION("GOOGLETRANSLATE(F973,""EN"",""JA"")"),"特定の研究に関連する書誌情報。")</f>
        <v>特定の研究に関連する書誌情報。</v>
      </c>
      <c r="K973" s="1" t="str">
        <f>IFERROR(__xludf.DUMMYFUNCTION("GOOGLETRANSLATE(G973,""EN"",""JA"")"),"臨床研究の引用")</f>
        <v>臨床研究の引用</v>
      </c>
    </row>
    <row r="974" ht="13.5" customHeight="1">
      <c r="A974" s="1" t="s">
        <v>11</v>
      </c>
      <c r="B974" s="1" t="s">
        <v>4926</v>
      </c>
      <c r="C974" s="1" t="s">
        <v>4927</v>
      </c>
      <c r="D974" s="1" t="s">
        <v>4928</v>
      </c>
      <c r="E974" s="1" t="s">
        <v>4929</v>
      </c>
      <c r="F974" s="1" t="s">
        <v>4930</v>
      </c>
      <c r="G974" s="1" t="s">
        <v>4931</v>
      </c>
      <c r="H974" s="1" t="str">
        <f>IFERROR(__xludf.DUMMYFUNCTION("GOOGLETRANSLATE(D974,""EN"",""JA"")"),"クエン酸")</f>
        <v>クエン酸</v>
      </c>
      <c r="I974" s="1" t="str">
        <f>IFERROR(__xludf.DUMMYFUNCTION("GOOGLETRANSLATE(E974,""EN"",""JA"")"),"クエン酸塩; クエン酸")</f>
        <v>クエン酸塩; クエン酸</v>
      </c>
      <c r="J974" s="1" t="str">
        <f>IFERROR(__xludf.DUMMYFUNCTION("GOOGLETRANSLATE(F974,""EN"",""JA"")"),"生物標本中のクエン酸の測定。")</f>
        <v>生物標本中のクエン酸の測定。</v>
      </c>
      <c r="K974" s="1" t="str">
        <f>IFERROR(__xludf.DUMMYFUNCTION("GOOGLETRANSLATE(G974,""EN"",""JA"")"),"クエン酸測定")</f>
        <v>クエン酸測定</v>
      </c>
    </row>
    <row r="975" ht="13.5" customHeight="1">
      <c r="A975" s="1" t="s">
        <v>11</v>
      </c>
      <c r="B975" s="1" t="s">
        <v>4932</v>
      </c>
      <c r="C975" s="1" t="s">
        <v>4933</v>
      </c>
      <c r="D975" s="1" t="s">
        <v>4934</v>
      </c>
      <c r="E975" s="1" t="s">
        <v>4934</v>
      </c>
      <c r="F975" s="1" t="s">
        <v>4935</v>
      </c>
      <c r="G975" s="1" t="s">
        <v>4934</v>
      </c>
      <c r="H975" s="1" t="str">
        <f>IFERROR(__xludf.DUMMYFUNCTION("GOOGLETRANSLATE(D975,""EN"",""JA"")"),"クエン酸排泄率")</f>
        <v>クエン酸排泄率</v>
      </c>
      <c r="I975" s="1" t="str">
        <f>IFERROR(__xludf.DUMMYFUNCTION("GOOGLETRANSLATE(E975,""EN"",""JA"")"),"クエン酸排泄率")</f>
        <v>クエン酸排泄率</v>
      </c>
      <c r="J975" s="1" t="str">
        <f>IFERROR(__xludf.DUMMYFUNCTION("GOOGLETRANSLATE(F975,""EN"",""JA"")"),"定義された時間（例：1 時間）にわたって生物標本に排出されるクエン酸の量を測定します。")</f>
        <v>定義された時間（例：1 時間）にわたって生物標本に排出されるクエン酸の量を測定します。</v>
      </c>
      <c r="K975" s="1" t="str">
        <f>IFERROR(__xludf.DUMMYFUNCTION("GOOGLETRANSLATE(G975,""EN"",""JA"")"),"クエン酸排泄率")</f>
        <v>クエン酸排泄率</v>
      </c>
    </row>
    <row r="976" ht="13.5" customHeight="1">
      <c r="A976" s="1" t="s">
        <v>67</v>
      </c>
      <c r="B976" s="1" t="s">
        <v>4936</v>
      </c>
      <c r="C976" s="1" t="s">
        <v>4937</v>
      </c>
      <c r="D976" s="1" t="s">
        <v>4938</v>
      </c>
      <c r="E976" s="1" t="s">
        <v>4938</v>
      </c>
      <c r="F976" s="1" t="s">
        <v>4939</v>
      </c>
      <c r="G976" s="1" t="s">
        <v>4940</v>
      </c>
      <c r="H976" s="1" t="str">
        <f>IFERROR(__xludf.DUMMYFUNCTION("GOOGLETRANSLATE(D976,""EN"",""JA"")"),"カンピロバクター・ジェジュニ")</f>
        <v>カンピロバクター・ジェジュニ</v>
      </c>
      <c r="I976" s="1" t="str">
        <f>IFERROR(__xludf.DUMMYFUNCTION("GOOGLETRANSLATE(E976,""EN"",""JA"")"),"カンピロバクター・ジェジュニ")</f>
        <v>カンピロバクター・ジェジュニ</v>
      </c>
      <c r="J976" s="1" t="str">
        <f>IFERROR(__xludf.DUMMYFUNCTION("GOOGLETRANSLATE(F976,""EN"",""JA"")"),"生物標本中の Campylobacter jejuni の測定。")</f>
        <v>生物標本中の Campylobacter jejuni の測定。</v>
      </c>
      <c r="K976" s="1" t="str">
        <f>IFERROR(__xludf.DUMMYFUNCTION("GOOGLETRANSLATE(G976,""EN"",""JA"")"),"カンピロバクター・ジェジュニ測定")</f>
        <v>カンピロバクター・ジェジュニ測定</v>
      </c>
    </row>
    <row r="977" ht="13.5" customHeight="1">
      <c r="A977" s="1" t="s">
        <v>67</v>
      </c>
      <c r="B977" s="1" t="s">
        <v>4941</v>
      </c>
      <c r="C977" s="1" t="s">
        <v>4942</v>
      </c>
      <c r="D977" s="1" t="s">
        <v>4943</v>
      </c>
      <c r="E977" s="1" t="s">
        <v>4943</v>
      </c>
      <c r="F977" s="1" t="s">
        <v>4944</v>
      </c>
      <c r="G977" s="1" t="s">
        <v>4945</v>
      </c>
      <c r="H977" s="1" t="str">
        <f>IFERROR(__xludf.DUMMYFUNCTION("GOOGLETRANSLATE(D977,""EN"",""JA"")"),"コリネバクテリウム・ジェイケイウム")</f>
        <v>コリネバクテリウム・ジェイケイウム</v>
      </c>
      <c r="I977" s="1" t="str">
        <f>IFERROR(__xludf.DUMMYFUNCTION("GOOGLETRANSLATE(E977,""EN"",""JA"")"),"コリネバクテリウム・ジェイケイウム")</f>
        <v>コリネバクテリウム・ジェイケイウム</v>
      </c>
      <c r="J977" s="1" t="str">
        <f>IFERROR(__xludf.DUMMYFUNCTION("GOOGLETRANSLATE(F977,""EN"",""JA"")"),"生物標本中の Corynebacterium jeikeium の測定。")</f>
        <v>生物標本中の Corynebacterium jeikeium の測定。</v>
      </c>
      <c r="K977" s="1" t="str">
        <f>IFERROR(__xludf.DUMMYFUNCTION("GOOGLETRANSLATE(G977,""EN"",""JA"")"),"コリネバクテリウムジェイケイウム測定")</f>
        <v>コリネバクテリウムジェイケイウム測定</v>
      </c>
    </row>
    <row r="978" ht="13.5" customHeight="1">
      <c r="A978" s="1" t="s">
        <v>11</v>
      </c>
      <c r="B978" s="1" t="s">
        <v>4946</v>
      </c>
      <c r="C978" s="1" t="s">
        <v>4947</v>
      </c>
      <c r="D978" s="1" t="s">
        <v>4948</v>
      </c>
      <c r="E978" s="1" t="s">
        <v>4949</v>
      </c>
      <c r="F978" s="1" t="s">
        <v>4950</v>
      </c>
      <c r="G978" s="1" t="s">
        <v>4951</v>
      </c>
      <c r="H978" s="1" t="str">
        <f>IFERROR(__xludf.DUMMYFUNCTION("GOOGLETRANSLATE(D978,""EN"",""JA"")"),"クレアチンキナーゼ")</f>
        <v>クレアチンキナーゼ</v>
      </c>
      <c r="I978" s="1" t="str">
        <f>IFERROR(__xludf.DUMMYFUNCTION("GOOGLETRANSLATE(E978,""EN"",""JA"")"),"CPK; クレアチンキナーゼ; クレアチンホスホキナーゼ")</f>
        <v>CPK; クレアチンキナーゼ; クレアチンホスホキナーゼ</v>
      </c>
      <c r="J978" s="1" t="str">
        <f>IFERROR(__xludf.DUMMYFUNCTION("GOOGLETRANSLATE(F978,""EN"",""JA"")"),"生物標本中のクレアチンキナーゼの総量の測定。")</f>
        <v>生物標本中のクレアチンキナーゼの総量の測定。</v>
      </c>
      <c r="K978" s="1" t="str">
        <f>IFERROR(__xludf.DUMMYFUNCTION("GOOGLETRANSLATE(G978,""EN"",""JA"")"),"クレアチンキナーゼ測定")</f>
        <v>クレアチンキナーゼ測定</v>
      </c>
    </row>
    <row r="979" ht="13.5" customHeight="1">
      <c r="A979" s="1" t="s">
        <v>11</v>
      </c>
      <c r="B979" s="1" t="s">
        <v>4952</v>
      </c>
      <c r="C979" s="1" t="s">
        <v>4953</v>
      </c>
      <c r="D979" s="1" t="s">
        <v>4954</v>
      </c>
      <c r="E979" s="1" t="s">
        <v>4954</v>
      </c>
      <c r="F979" s="1" t="s">
        <v>4955</v>
      </c>
      <c r="G979" s="1" t="s">
        <v>4956</v>
      </c>
      <c r="H979" s="1" t="str">
        <f>IFERROR(__xludf.DUMMYFUNCTION("GOOGLETRANSLATE(D979,""EN"",""JA"")"),"クレアチンキナーゼBB")</f>
        <v>クレアチンキナーゼBB</v>
      </c>
      <c r="I979" s="1" t="str">
        <f>IFERROR(__xludf.DUMMYFUNCTION("GOOGLETRANSLATE(E979,""EN"",""JA"")"),"クレアチンキナーゼBB")</f>
        <v>クレアチンキナーゼBB</v>
      </c>
      <c r="J979" s="1" t="str">
        <f>IFERROR(__xludf.DUMMYFUNCTION("GOOGLETRANSLATE(F979,""EN"",""JA"")"),"生物標本中のホモ接合型 B 型クレアチンキナーゼの測定。")</f>
        <v>生物標本中のホモ接合型 B 型クレアチンキナーゼの測定。</v>
      </c>
      <c r="K979" s="1" t="str">
        <f>IFERROR(__xludf.DUMMYFUNCTION("GOOGLETRANSLATE(G979,""EN"",""JA"")"),"クレアチンキナーゼBB測定")</f>
        <v>クレアチンキナーゼBB測定</v>
      </c>
    </row>
    <row r="980" ht="13.5" customHeight="1">
      <c r="A980" s="1" t="s">
        <v>11</v>
      </c>
      <c r="B980" s="1" t="s">
        <v>4957</v>
      </c>
      <c r="C980" s="1" t="s">
        <v>4958</v>
      </c>
      <c r="D980" s="1" t="s">
        <v>4959</v>
      </c>
      <c r="E980" s="1" t="s">
        <v>4959</v>
      </c>
      <c r="F980" s="1" t="s">
        <v>4960</v>
      </c>
      <c r="G980" s="1" t="s">
        <v>4961</v>
      </c>
      <c r="H980" s="1" t="str">
        <f>IFERROR(__xludf.DUMMYFUNCTION("GOOGLETRANSLATE(D980,""EN"",""JA"")"),"クレアチンキナーゼBB/総クレアチンキナーゼ")</f>
        <v>クレアチンキナーゼBB/総クレアチンキナーゼ</v>
      </c>
      <c r="I980" s="1" t="str">
        <f>IFERROR(__xludf.DUMMYFUNCTION("GOOGLETRANSLATE(E980,""EN"",""JA"")"),"クレアチンキナーゼBB/総クレアチンキナーゼ")</f>
        <v>クレアチンキナーゼBB/総クレアチンキナーゼ</v>
      </c>
      <c r="J980" s="1" t="str">
        <f>IFERROR(__xludf.DUMMYFUNCTION("GOOGLETRANSLATE(F980,""EN"",""JA"")"),"生物標本中の BB 型クレアチンキナーゼと総クレアチンキナーゼの相対測定値 (比率またはパーセンテージ)。")</f>
        <v>生物標本中の BB 型クレアチンキナーゼと総クレアチンキナーゼの相対測定値 (比率またはパーセンテージ)。</v>
      </c>
      <c r="K980" s="1" t="str">
        <f>IFERROR(__xludf.DUMMYFUNCTION("GOOGLETRANSLATE(G980,""EN"",""JA"")"),"クレアチンキナーゼBBと総クレアチンキナーゼの比率測定")</f>
        <v>クレアチンキナーゼBBと総クレアチンキナーゼの比率測定</v>
      </c>
    </row>
    <row r="981" ht="13.5" customHeight="1">
      <c r="A981" s="1" t="s">
        <v>11</v>
      </c>
      <c r="B981" s="1" t="s">
        <v>4962</v>
      </c>
      <c r="C981" s="1" t="s">
        <v>4963</v>
      </c>
      <c r="D981" s="1" t="s">
        <v>4964</v>
      </c>
      <c r="E981" s="1" t="s">
        <v>4964</v>
      </c>
      <c r="F981" s="1" t="s">
        <v>4965</v>
      </c>
      <c r="G981" s="1" t="s">
        <v>4966</v>
      </c>
      <c r="H981" s="1" t="str">
        <f>IFERROR(__xludf.DUMMYFUNCTION("GOOGLETRANSLATE(D981,""EN"",""JA"")"),"クレアチンキナーゼMB")</f>
        <v>クレアチンキナーゼMB</v>
      </c>
      <c r="I981" s="1" t="str">
        <f>IFERROR(__xludf.DUMMYFUNCTION("GOOGLETRANSLATE(E981,""EN"",""JA"")"),"クレアチンキナーゼMB")</f>
        <v>クレアチンキナーゼMB</v>
      </c>
      <c r="J981" s="1" t="str">
        <f>IFERROR(__xludf.DUMMYFUNCTION("GOOGLETRANSLATE(F981,""EN"",""JA"")"),"生物標本中のヘテロ接合性 MB 型クレアチンキナーゼの測定。")</f>
        <v>生物標本中のヘテロ接合性 MB 型クレアチンキナーゼの測定。</v>
      </c>
      <c r="K981" s="1" t="str">
        <f>IFERROR(__xludf.DUMMYFUNCTION("GOOGLETRANSLATE(G981,""EN"",""JA"")"),"クレアチンキナーゼMB測定")</f>
        <v>クレアチンキナーゼMB測定</v>
      </c>
    </row>
    <row r="982" ht="13.5" customHeight="1">
      <c r="A982" s="1" t="s">
        <v>11</v>
      </c>
      <c r="B982" s="1" t="s">
        <v>4967</v>
      </c>
      <c r="C982" s="1" t="s">
        <v>4968</v>
      </c>
      <c r="D982" s="1" t="s">
        <v>4969</v>
      </c>
      <c r="E982" s="1" t="s">
        <v>4969</v>
      </c>
      <c r="F982" s="1" t="s">
        <v>4970</v>
      </c>
      <c r="G982" s="1" t="s">
        <v>4971</v>
      </c>
      <c r="H982" s="1" t="str">
        <f>IFERROR(__xludf.DUMMYFUNCTION("GOOGLETRANSLATE(D982,""EN"",""JA"")"),"クレアチンキナーゼMB/総クレアチンキナーゼ")</f>
        <v>クレアチンキナーゼMB/総クレアチンキナーゼ</v>
      </c>
      <c r="I982" s="1" t="str">
        <f>IFERROR(__xludf.DUMMYFUNCTION("GOOGLETRANSLATE(E982,""EN"",""JA"")"),"クレアチンキナーゼMB/総クレアチンキナーゼ")</f>
        <v>クレアチンキナーゼMB/総クレアチンキナーゼ</v>
      </c>
      <c r="J982" s="1" t="str">
        <f>IFERROR(__xludf.DUMMYFUNCTION("GOOGLETRANSLATE(F982,""EN"",""JA"")"),"生物標本中の MB 型クレアチンキナーゼと総クレアチンキナーゼの相対測定値 (比率またはパーセンテージ)。")</f>
        <v>生物標本中の MB 型クレアチンキナーゼと総クレアチンキナーゼの相対測定値 (比率またはパーセンテージ)。</v>
      </c>
      <c r="K982" s="1" t="str">
        <f>IFERROR(__xludf.DUMMYFUNCTION("GOOGLETRANSLATE(G982,""EN"",""JA"")"),"クレアチンキナーゼMBと総クレアチンキナーゼの比率測定")</f>
        <v>クレアチンキナーゼMBと総クレアチンキナーゼの比率測定</v>
      </c>
    </row>
    <row r="983" ht="13.5" customHeight="1">
      <c r="A983" s="1" t="s">
        <v>11</v>
      </c>
      <c r="B983" s="1" t="s">
        <v>4972</v>
      </c>
      <c r="C983" s="1" t="s">
        <v>4973</v>
      </c>
      <c r="D983" s="1" t="s">
        <v>4974</v>
      </c>
      <c r="E983" s="1" t="s">
        <v>4974</v>
      </c>
      <c r="F983" s="1" t="s">
        <v>4975</v>
      </c>
      <c r="G983" s="1" t="s">
        <v>4976</v>
      </c>
      <c r="H983" s="1" t="str">
        <f>IFERROR(__xludf.DUMMYFUNCTION("GOOGLETRANSLATE(D983,""EN"",""JA"")"),"クレアチンキナーゼMM")</f>
        <v>クレアチンキナーゼMM</v>
      </c>
      <c r="I983" s="1" t="str">
        <f>IFERROR(__xludf.DUMMYFUNCTION("GOOGLETRANSLATE(E983,""EN"",""JA"")"),"クレアチンキナーゼMM")</f>
        <v>クレアチンキナーゼMM</v>
      </c>
      <c r="J983" s="1" t="str">
        <f>IFERROR(__xludf.DUMMYFUNCTION("GOOGLETRANSLATE(F983,""EN"",""JA"")"),"生物標本中のホモ接合型 M 型クレアチンキナーゼの測定。")</f>
        <v>生物標本中のホモ接合型 M 型クレアチンキナーゼの測定。</v>
      </c>
      <c r="K983" s="1" t="str">
        <f>IFERROR(__xludf.DUMMYFUNCTION("GOOGLETRANSLATE(G983,""EN"",""JA"")"),"クレアチンキナーゼMM測定")</f>
        <v>クレアチンキナーゼMM測定</v>
      </c>
    </row>
    <row r="984" ht="13.5" customHeight="1">
      <c r="A984" s="1" t="s">
        <v>11</v>
      </c>
      <c r="B984" s="1" t="s">
        <v>4977</v>
      </c>
      <c r="C984" s="1" t="s">
        <v>4978</v>
      </c>
      <c r="D984" s="1" t="s">
        <v>4979</v>
      </c>
      <c r="E984" s="1" t="s">
        <v>4979</v>
      </c>
      <c r="F984" s="1" t="s">
        <v>4980</v>
      </c>
      <c r="G984" s="1" t="s">
        <v>4981</v>
      </c>
      <c r="H984" s="1" t="str">
        <f>IFERROR(__xludf.DUMMYFUNCTION("GOOGLETRANSLATE(D984,""EN"",""JA"")"),"クレアチンキナーゼ MM/総クレアチンキナーゼ")</f>
        <v>クレアチンキナーゼ MM/総クレアチンキナーゼ</v>
      </c>
      <c r="I984" s="1" t="str">
        <f>IFERROR(__xludf.DUMMYFUNCTION("GOOGLETRANSLATE(E984,""EN"",""JA"")"),"クレアチンキナーゼ MM/総クレアチンキナーゼ")</f>
        <v>クレアチンキナーゼ MM/総クレアチンキナーゼ</v>
      </c>
      <c r="J984" s="1" t="str">
        <f>IFERROR(__xludf.DUMMYFUNCTION("GOOGLETRANSLATE(F984,""EN"",""JA"")"),"生物標本中の MM 型クレアチンキナーゼと総クレアチンキナーゼの相対測定値 (比率またはパーセンテージ)。")</f>
        <v>生物標本中の MM 型クレアチンキナーゼと総クレアチンキナーゼの相対測定値 (比率またはパーセンテージ)。</v>
      </c>
      <c r="K984" s="1" t="str">
        <f>IFERROR(__xludf.DUMMYFUNCTION("GOOGLETRANSLATE(G984,""EN"",""JA"")"),"クレアチンキナーゼMM対総クレアチンキナーゼ比測定")</f>
        <v>クレアチンキナーゼMM対総クレアチンキナーゼ比測定</v>
      </c>
    </row>
    <row r="985" ht="13.5" customHeight="1">
      <c r="A985" s="1" t="s">
        <v>11</v>
      </c>
      <c r="B985" s="1" t="s">
        <v>4982</v>
      </c>
      <c r="C985" s="1" t="s">
        <v>4983</v>
      </c>
      <c r="D985" s="1" t="s">
        <v>4984</v>
      </c>
      <c r="E985" s="1" t="s">
        <v>4985</v>
      </c>
      <c r="F985" s="1" t="s">
        <v>4986</v>
      </c>
      <c r="G985" s="1" t="s">
        <v>4987</v>
      </c>
      <c r="H985" s="1" t="str">
        <f>IFERROR(__xludf.DUMMYFUNCTION("GOOGLETRANSLATE(D985,""EN"",""JA"")"),"CK、高分子型1型/総CK")</f>
        <v>CK、高分子型1型/総CK</v>
      </c>
      <c r="I985" s="1" t="str">
        <f>IFERROR(__xludf.DUMMYFUNCTION("GOOGLETRANSLATE(E985,""EN"",""JA"")"),"CK、高分子型1型/総CK; クレアチンキナーゼ、高分子型1型/総クレアチンキナーゼ")</f>
        <v>CK、高分子型1型/総CK; クレアチンキナーゼ、高分子型1型/総クレアチンキナーゼ</v>
      </c>
      <c r="J985" s="1" t="str">
        <f>IFERROR(__xludf.DUMMYFUNCTION("GOOGLETRANSLATE(F985,""EN"",""JA"")"),"生物標本中の総クレアチンキナーゼに対する高分子タイプ 1 クレアチンキナーゼの相対測定値 (比率またはパーセンテージ)。")</f>
        <v>生物標本中の総クレアチンキナーゼに対する高分子タイプ 1 クレアチンキナーゼの相対測定値 (比率またはパーセンテージ)。</v>
      </c>
      <c r="K985" s="1" t="str">
        <f>IFERROR(__xludf.DUMMYFUNCTION("GOOGLETRANSLATE(G985,""EN"",""JA"")"),"高分子型1型クレアチンキナーゼと総クレアチンキナーゼの比率測定")</f>
        <v>高分子型1型クレアチンキナーゼと総クレアチンキナーゼの比率測定</v>
      </c>
    </row>
    <row r="986" ht="13.5" customHeight="1">
      <c r="A986" s="1" t="s">
        <v>11</v>
      </c>
      <c r="B986" s="1" t="s">
        <v>4988</v>
      </c>
      <c r="C986" s="1" t="s">
        <v>4989</v>
      </c>
      <c r="D986" s="1" t="s">
        <v>4990</v>
      </c>
      <c r="E986" s="1" t="s">
        <v>4991</v>
      </c>
      <c r="F986" s="1" t="s">
        <v>4992</v>
      </c>
      <c r="G986" s="1" t="s">
        <v>4993</v>
      </c>
      <c r="H986" s="1" t="str">
        <f>IFERROR(__xludf.DUMMYFUNCTION("GOOGLETRANSLATE(D986,""EN"",""JA"")"),"CK、高分子型2/総CK")</f>
        <v>CK、高分子型2/総CK</v>
      </c>
      <c r="I986" s="1" t="str">
        <f>IFERROR(__xludf.DUMMYFUNCTION("GOOGLETRANSLATE(E986,""EN"",""JA"")"),"CK、高分子型2/総CK; クレアチンキナーゼ、高分子型2/総クレアチンキナーゼ")</f>
        <v>CK、高分子型2/総CK; クレアチンキナーゼ、高分子型2/総クレアチンキナーゼ</v>
      </c>
      <c r="J986" s="1" t="str">
        <f>IFERROR(__xludf.DUMMYFUNCTION("GOOGLETRANSLATE(F986,""EN"",""JA"")"),"生物標本中の総クレアチンキナーゼに対する高分子タイプ 2 クレアチンキナーゼの相対測定値 (比率またはパーセンテージ)。")</f>
        <v>生物標本中の総クレアチンキナーゼに対する高分子タイプ 2 クレアチンキナーゼの相対測定値 (比率またはパーセンテージ)。</v>
      </c>
      <c r="K986" s="1" t="str">
        <f>IFERROR(__xludf.DUMMYFUNCTION("GOOGLETRANSLATE(G986,""EN"",""JA"")"),"高分子2型クレアチンキナーゼと総クレアチンキナーゼの比率測定")</f>
        <v>高分子2型クレアチンキナーゼと総クレアチンキナーゼの比率測定</v>
      </c>
    </row>
    <row r="987" ht="13.5" customHeight="1">
      <c r="A987" s="1" t="s">
        <v>67</v>
      </c>
      <c r="B987" s="1" t="s">
        <v>4994</v>
      </c>
      <c r="C987" s="1" t="s">
        <v>4995</v>
      </c>
      <c r="D987" s="1" t="s">
        <v>4996</v>
      </c>
      <c r="E987" s="1" t="s">
        <v>4996</v>
      </c>
      <c r="F987" s="1" t="s">
        <v>4997</v>
      </c>
      <c r="G987" s="1" t="s">
        <v>4998</v>
      </c>
      <c r="H987" s="1" t="str">
        <f>IFERROR(__xludf.DUMMYFUNCTION("GOOGLETRANSLATE(D987,""EN"",""JA"")"),"シトロバクター・コセリ")</f>
        <v>シトロバクター・コセリ</v>
      </c>
      <c r="I987" s="1" t="str">
        <f>IFERROR(__xludf.DUMMYFUNCTION("GOOGLETRANSLATE(E987,""EN"",""JA"")"),"シトロバクター・コセリ")</f>
        <v>シトロバクター・コセリ</v>
      </c>
      <c r="J987" s="1" t="str">
        <f>IFERROR(__xludf.DUMMYFUNCTION("GOOGLETRANSLATE(F987,""EN"",""JA"")"),"生物標本中の Citrobacter koseri の測定。")</f>
        <v>生物標本中の Citrobacter koseri の測定。</v>
      </c>
      <c r="K987" s="1" t="str">
        <f>IFERROR(__xludf.DUMMYFUNCTION("GOOGLETRANSLATE(G987,""EN"",""JA"")"),"シトロバクター・コセリ測定")</f>
        <v>シトロバクター・コセリ測定</v>
      </c>
    </row>
    <row r="988" ht="13.5" customHeight="1">
      <c r="A988" s="1" t="s">
        <v>11</v>
      </c>
      <c r="B988" s="1" t="s">
        <v>4999</v>
      </c>
      <c r="C988" s="1" t="s">
        <v>5000</v>
      </c>
      <c r="D988" s="1" t="s">
        <v>5001</v>
      </c>
      <c r="E988" s="1" t="s">
        <v>5001</v>
      </c>
      <c r="F988" s="1" t="s">
        <v>5002</v>
      </c>
      <c r="G988" s="1" t="s">
        <v>5003</v>
      </c>
      <c r="H988" s="1" t="str">
        <f>IFERROR(__xludf.DUMMYFUNCTION("GOOGLETRANSLATE(D988,""EN"",""JA"")"),"塩化")</f>
        <v>塩化</v>
      </c>
      <c r="I988" s="1" t="str">
        <f>IFERROR(__xludf.DUMMYFUNCTION("GOOGLETRANSLATE(E988,""EN"",""JA"")"),"塩化")</f>
        <v>塩化</v>
      </c>
      <c r="J988" s="1" t="str">
        <f>IFERROR(__xludf.DUMMYFUNCTION("GOOGLETRANSLATE(F988,""EN"",""JA"")"),"生物標本中の塩化物濃度の測定。")</f>
        <v>生物標本中の塩化物濃度の測定。</v>
      </c>
      <c r="K988" s="1" t="str">
        <f>IFERROR(__xludf.DUMMYFUNCTION("GOOGLETRANSLATE(G988,""EN"",""JA"")"),"塩化物測定")</f>
        <v>塩化物測定</v>
      </c>
    </row>
    <row r="989" ht="13.5" customHeight="1">
      <c r="A989" s="1" t="s">
        <v>11</v>
      </c>
      <c r="B989" s="1" t="s">
        <v>5004</v>
      </c>
      <c r="C989" s="1" t="s">
        <v>5005</v>
      </c>
      <c r="D989" s="1" t="s">
        <v>5006</v>
      </c>
      <c r="E989" s="1" t="s">
        <v>5006</v>
      </c>
      <c r="F989" s="1" t="s">
        <v>5007</v>
      </c>
      <c r="G989" s="1" t="s">
        <v>5008</v>
      </c>
      <c r="H989" s="1" t="str">
        <f>IFERROR(__xludf.DUMMYFUNCTION("GOOGLETRANSLATE(D989,""EN"",""JA"")"),"明瞭さ")</f>
        <v>明瞭さ</v>
      </c>
      <c r="I989" s="1" t="str">
        <f>IFERROR(__xludf.DUMMYFUNCTION("GOOGLETRANSLATE(E989,""EN"",""JA"")"),"明瞭さ")</f>
        <v>明瞭さ</v>
      </c>
      <c r="J989" s="1" t="str">
        <f>IFERROR(__xludf.DUMMYFUNCTION("GOOGLETRANSLATE(F989,""EN"",""JA"")"),"生物標本の透明度の測定値。")</f>
        <v>生物標本の透明度の測定値。</v>
      </c>
      <c r="K989" s="1" t="str">
        <f>IFERROR(__xludf.DUMMYFUNCTION("GOOGLETRANSLATE(G989,""EN"",""JA"")"),"透明度測定")</f>
        <v>透明度測定</v>
      </c>
    </row>
    <row r="990" ht="13.5" customHeight="1">
      <c r="A990" s="1" t="s">
        <v>11</v>
      </c>
      <c r="B990" s="1" t="s">
        <v>5009</v>
      </c>
      <c r="C990" s="1" t="s">
        <v>5010</v>
      </c>
      <c r="D990" s="1" t="s">
        <v>5011</v>
      </c>
      <c r="E990" s="1" t="s">
        <v>5011</v>
      </c>
      <c r="F990" s="1" t="s">
        <v>5012</v>
      </c>
      <c r="G990" s="1" t="s">
        <v>5013</v>
      </c>
      <c r="H990" s="1" t="str">
        <f>IFERROR(__xludf.DUMMYFUNCTION("GOOGLETRANSLATE(D990,""EN"",""JA"")"),"塩化物除去")</f>
        <v>塩化物除去</v>
      </c>
      <c r="I990" s="1" t="str">
        <f>IFERROR(__xludf.DUMMYFUNCTION("GOOGLETRANSLATE(E990,""EN"",""JA"")"),"塩化物除去")</f>
        <v>塩化物除去</v>
      </c>
      <c r="J990" s="1" t="str">
        <f>IFERROR(__xludf.DUMMYFUNCTION("GOOGLETRANSLATE(F990,""EN"",""JA"")"),"指定された時間単位（例：1 分）に尿として排出され、塩化物が除去される血清または血漿の量の測定値。")</f>
        <v>指定された時間単位（例：1 分）に尿として排出され、塩化物が除去される血清または血漿の量の測定値。</v>
      </c>
      <c r="K990" s="1" t="str">
        <f>IFERROR(__xludf.DUMMYFUNCTION("GOOGLETRANSLATE(G990,""EN"",""JA"")"),"塩化物クリアランス測定")</f>
        <v>塩化物クリアランス測定</v>
      </c>
    </row>
    <row r="991" ht="13.5" customHeight="1">
      <c r="A991" s="1" t="s">
        <v>11</v>
      </c>
      <c r="B991" s="1" t="s">
        <v>5014</v>
      </c>
      <c r="C991" s="1" t="s">
        <v>5015</v>
      </c>
      <c r="D991" s="1" t="s">
        <v>5016</v>
      </c>
      <c r="E991" s="1" t="s">
        <v>5016</v>
      </c>
      <c r="F991" s="1" t="s">
        <v>5017</v>
      </c>
      <c r="G991" s="1" t="s">
        <v>5018</v>
      </c>
      <c r="H991" s="1" t="str">
        <f>IFERROR(__xludf.DUMMYFUNCTION("GOOGLETRANSLATE(D991,""EN"",""JA"")"),"塩化物/クレアチニン")</f>
        <v>塩化物/クレアチニン</v>
      </c>
      <c r="I991" s="1" t="str">
        <f>IFERROR(__xludf.DUMMYFUNCTION("GOOGLETRANSLATE(E991,""EN"",""JA"")"),"塩化物/クレアチニン")</f>
        <v>塩化物/クレアチニン</v>
      </c>
      <c r="J991" s="1" t="str">
        <f>IFERROR(__xludf.DUMMYFUNCTION("GOOGLETRANSLATE(F991,""EN"",""JA"")"),"生物標本中の塩化物とクレアチニンの相対的な測定値（比率またはパーセンテージ）。")</f>
        <v>生物標本中の塩化物とクレアチニンの相対的な測定値（比率またはパーセンテージ）。</v>
      </c>
      <c r="K991" s="1" t="str">
        <f>IFERROR(__xludf.DUMMYFUNCTION("GOOGLETRANSLATE(G991,""EN"",""JA"")"),"塩化物とクレアチニンの比の測定")</f>
        <v>塩化物とクレアチニンの比の測定</v>
      </c>
    </row>
    <row r="992" ht="13.5" customHeight="1">
      <c r="A992" s="1" t="s">
        <v>11</v>
      </c>
      <c r="B992" s="1" t="s">
        <v>5019</v>
      </c>
      <c r="C992" s="1" t="s">
        <v>5020</v>
      </c>
      <c r="D992" s="1" t="s">
        <v>5021</v>
      </c>
      <c r="E992" s="1" t="s">
        <v>5021</v>
      </c>
      <c r="F992" s="1" t="s">
        <v>5022</v>
      </c>
      <c r="G992" s="1" t="s">
        <v>5023</v>
      </c>
      <c r="H992" s="1" t="str">
        <f>IFERROR(__xludf.DUMMYFUNCTION("GOOGLETRANSLATE(D992,""EN"",""JA"")"),"カルシトニン")</f>
        <v>カルシトニン</v>
      </c>
      <c r="I992" s="1" t="str">
        <f>IFERROR(__xludf.DUMMYFUNCTION("GOOGLETRANSLATE(E992,""EN"",""JA"")"),"カルシトニン")</f>
        <v>カルシトニン</v>
      </c>
      <c r="J992" s="1" t="str">
        <f>IFERROR(__xludf.DUMMYFUNCTION("GOOGLETRANSLATE(F992,""EN"",""JA"")"),"生物標本中のカルシトニン ホルモンの測定。")</f>
        <v>生物標本中のカルシトニン ホルモンの測定。</v>
      </c>
      <c r="K992" s="1" t="str">
        <f>IFERROR(__xludf.DUMMYFUNCTION("GOOGLETRANSLATE(G992,""EN"",""JA"")"),"カルシトニン測定")</f>
        <v>カルシトニン測定</v>
      </c>
    </row>
    <row r="993" ht="13.5" customHeight="1">
      <c r="A993" s="1" t="s">
        <v>11</v>
      </c>
      <c r="B993" s="1" t="s">
        <v>5024</v>
      </c>
      <c r="C993" s="1" t="s">
        <v>5025</v>
      </c>
      <c r="D993" s="1" t="s">
        <v>5026</v>
      </c>
      <c r="E993" s="1" t="s">
        <v>5026</v>
      </c>
      <c r="F993" s="1" t="s">
        <v>5027</v>
      </c>
      <c r="G993" s="1" t="s">
        <v>5028</v>
      </c>
      <c r="H993" s="1" t="str">
        <f>IFERROR(__xludf.DUMMYFUNCTION("GOOGLETRANSLATE(D993,""EN"",""JA"")"),"カルシトリオール")</f>
        <v>カルシトリオール</v>
      </c>
      <c r="I993" s="1" t="str">
        <f>IFERROR(__xludf.DUMMYFUNCTION("GOOGLETRANSLATE(E993,""EN"",""JA"")"),"カルシトリオール")</f>
        <v>カルシトリオール</v>
      </c>
      <c r="J993" s="1" t="str">
        <f>IFERROR(__xludf.DUMMYFUNCTION("GOOGLETRANSLATE(F993,""EN"",""JA"")"),"生物標本中のカルシトリオールホルモンの測定。")</f>
        <v>生物標本中のカルシトリオールホルモンの測定。</v>
      </c>
      <c r="K993" s="1" t="str">
        <f>IFERROR(__xludf.DUMMYFUNCTION("GOOGLETRANSLATE(G993,""EN"",""JA"")"),"カルシトリオール測定")</f>
        <v>カルシトリオール測定</v>
      </c>
    </row>
    <row r="994" ht="13.5" customHeight="1">
      <c r="A994" s="1" t="s">
        <v>1997</v>
      </c>
      <c r="B994" s="1" t="s">
        <v>5029</v>
      </c>
      <c r="C994" s="1" t="s">
        <v>5030</v>
      </c>
      <c r="D994" s="1" t="s">
        <v>5031</v>
      </c>
      <c r="E994" s="1" t="s">
        <v>5031</v>
      </c>
      <c r="F994" s="1" t="s">
        <v>5032</v>
      </c>
      <c r="G994" s="1" t="s">
        <v>5031</v>
      </c>
      <c r="H994" s="1" t="str">
        <f>IFERROR(__xludf.DUMMYFUNCTION("GOOGLETRANSLATE(D994,""EN"",""JA"")"),"距離表示用矯正レンズ")</f>
        <v>距離表示用矯正レンズ</v>
      </c>
      <c r="I994" s="1" t="str">
        <f>IFERROR(__xludf.DUMMYFUNCTION("GOOGLETRANSLATE(E994,""EN"",""JA"")"),"距離表示用矯正レンズ")</f>
        <v>距離表示用矯正レンズ</v>
      </c>
      <c r="J994" s="1" t="str">
        <f>IFERROR(__xludf.DUMMYFUNCTION("GOOGLETRANSLATE(F994,""EN"",""JA"")"),"対象者が距離を補正するために眼用レンズを装着しているかどうかを示します。")</f>
        <v>対象者が距離を補正するために眼用レンズを装着しているかどうかを示します。</v>
      </c>
      <c r="K994" s="1" t="str">
        <f>IFERROR(__xludf.DUMMYFUNCTION("GOOGLETRANSLATE(G994,""EN"",""JA"")"),"距離表示用矯正レンズ")</f>
        <v>距離表示用矯正レンズ</v>
      </c>
    </row>
    <row r="995" ht="13.5" customHeight="1">
      <c r="A995" s="1" t="s">
        <v>1997</v>
      </c>
      <c r="B995" s="1" t="s">
        <v>5033</v>
      </c>
      <c r="C995" s="1" t="s">
        <v>5034</v>
      </c>
      <c r="D995" s="1" t="s">
        <v>5035</v>
      </c>
      <c r="E995" s="1" t="s">
        <v>5035</v>
      </c>
      <c r="F995" s="1" t="s">
        <v>5036</v>
      </c>
      <c r="G995" s="1" t="s">
        <v>5035</v>
      </c>
      <c r="H995" s="1" t="str">
        <f>IFERROR(__xludf.DUMMYFUNCTION("GOOGLETRANSLATE(D995,""EN"",""JA"")"),"遠視用矯正レンズの種類")</f>
        <v>遠視用矯正レンズの種類</v>
      </c>
      <c r="I995" s="1" t="str">
        <f>IFERROR(__xludf.DUMMYFUNCTION("GOOGLETRANSLATE(E995,""EN"",""JA"")"),"遠視用矯正レンズの種類")</f>
        <v>遠視用矯正レンズの種類</v>
      </c>
      <c r="J995" s="1" t="str">
        <f>IFERROR(__xludf.DUMMYFUNCTION("GOOGLETRANSLATE(F995,""EN"",""JA"")"),"対象者が距離を補正するために装着する眼レンズの種類の説明。")</f>
        <v>対象者が距離を補正するために装着する眼レンズの種類の説明。</v>
      </c>
      <c r="K995" s="1" t="str">
        <f>IFERROR(__xludf.DUMMYFUNCTION("GOOGLETRANSLATE(G995,""EN"",""JA"")"),"遠視用矯正レンズの種類")</f>
        <v>遠視用矯正レンズの種類</v>
      </c>
    </row>
    <row r="996" ht="13.5" customHeight="1">
      <c r="A996" s="1" t="s">
        <v>11</v>
      </c>
      <c r="B996" s="1" t="s">
        <v>5037</v>
      </c>
      <c r="C996" s="1" t="s">
        <v>5038</v>
      </c>
      <c r="D996" s="1" t="s">
        <v>5039</v>
      </c>
      <c r="E996" s="1" t="s">
        <v>5039</v>
      </c>
      <c r="F996" s="1" t="s">
        <v>5040</v>
      </c>
      <c r="G996" s="1" t="s">
        <v>5041</v>
      </c>
      <c r="H996" s="1" t="str">
        <f>IFERROR(__xludf.DUMMYFUNCTION("GOOGLETRANSLATE(D996,""EN"",""JA"")"),"円柱上皮細胞/非扁平上皮細胞")</f>
        <v>円柱上皮細胞/非扁平上皮細胞</v>
      </c>
      <c r="I996" s="1" t="str">
        <f>IFERROR(__xludf.DUMMYFUNCTION("GOOGLETRANSLATE(E996,""EN"",""JA"")"),"円柱上皮細胞/非扁平上皮細胞")</f>
        <v>円柱上皮細胞/非扁平上皮細胞</v>
      </c>
      <c r="J996" s="1" t="str">
        <f>IFERROR(__xludf.DUMMYFUNCTION("GOOGLETRANSLATE(F996,""EN"",""JA"")"),"生物標本中の円柱上皮細胞と非扁平上皮細胞の相対的な測定値（比率またはパーセンテージ）。")</f>
        <v>生物標本中の円柱上皮細胞と非扁平上皮細胞の相対的な測定値（比率またはパーセンテージ）。</v>
      </c>
      <c r="K996" s="1" t="str">
        <f>IFERROR(__xludf.DUMMYFUNCTION("GOOGLETRANSLATE(G996,""EN"",""JA"")"),"円柱上皮細胞と非扁平上皮細胞の比率測定")</f>
        <v>円柱上皮細胞と非扁平上皮細胞の比率測定</v>
      </c>
    </row>
    <row r="997" ht="13.5" customHeight="1">
      <c r="A997" s="1" t="s">
        <v>11</v>
      </c>
      <c r="B997" s="1" t="s">
        <v>5042</v>
      </c>
      <c r="C997" s="1" t="s">
        <v>5043</v>
      </c>
      <c r="D997" s="1" t="s">
        <v>5044</v>
      </c>
      <c r="E997" s="1" t="s">
        <v>5044</v>
      </c>
      <c r="F997" s="1" t="s">
        <v>5045</v>
      </c>
      <c r="G997" s="1" t="s">
        <v>5044</v>
      </c>
      <c r="H997" s="1" t="str">
        <f>IFERROR(__xludf.DUMMYFUNCTION("GOOGLETRANSLATE(D997,""EN"",""JA"")"),"塩化物排泄率")</f>
        <v>塩化物排泄率</v>
      </c>
      <c r="I997" s="1" t="str">
        <f>IFERROR(__xludf.DUMMYFUNCTION("GOOGLETRANSLATE(E997,""EN"",""JA"")"),"塩化物排泄率")</f>
        <v>塩化物排泄率</v>
      </c>
      <c r="J997" s="1" t="str">
        <f>IFERROR(__xludf.DUMMYFUNCTION("GOOGLETRANSLATE(F997,""EN"",""JA"")"),"定義された期間（例：1 時間）にわたって生物標本に排出される塩化物の量を測定します。")</f>
        <v>定義された期間（例：1 時間）にわたって生物標本に排出される塩化物の量を測定します。</v>
      </c>
      <c r="K997" s="1" t="str">
        <f>IFERROR(__xludf.DUMMYFUNCTION("GOOGLETRANSLATE(G997,""EN"",""JA"")"),"塩化物排泄率")</f>
        <v>塩化物排泄率</v>
      </c>
    </row>
    <row r="998" ht="13.5" customHeight="1">
      <c r="A998" s="1" t="s">
        <v>870</v>
      </c>
      <c r="B998" s="1" t="s">
        <v>5046</v>
      </c>
      <c r="C998" s="1" t="s">
        <v>5047</v>
      </c>
      <c r="D998" s="1" t="s">
        <v>5048</v>
      </c>
      <c r="E998" s="1" t="s">
        <v>5048</v>
      </c>
      <c r="F998" s="1" t="s">
        <v>5049</v>
      </c>
      <c r="G998" s="1" t="s">
        <v>5050</v>
      </c>
      <c r="H998" s="1" t="str">
        <f>IFERROR(__xludf.DUMMYFUNCTION("GOOGLETRANSLATE(D998,""EN"",""JA"")"),"Fによる合計CL観測値")</f>
        <v>Fによる合計CL観測値</v>
      </c>
      <c r="I998" s="1" t="str">
        <f>IFERROR(__xludf.DUMMYFUNCTION("GOOGLETRANSLATE(E998,""EN"",""JA"")"),"Fによる合計CL観測値")</f>
        <v>Fによる合計CL観測値</v>
      </c>
      <c r="J998" s="1" t="str">
        <f>IFERROR(__xludf.DUMMYFUNCTION("GOOGLETRANSLATE(F998,""EN"",""JA"")"),"最後の非ゼロ濃度の観測値に基づく AUCINF を使用して計算された、吸収された投与量の割合で割った血管外投与の全身クリアランス。")</f>
        <v>最後の非ゼロ濃度の観測値に基づく AUCINF を使用して計算された、吸収された投与量の割合で割った血管外投与の全身クリアランス。</v>
      </c>
      <c r="K998" s="1" t="str">
        <f>IFERROR(__xludf.DUMMYFUNCTION("GOOGLETRANSLATE(G998,""EN"",""JA"")"),"吸収された線量の割合による全身クリアランスの観察")</f>
        <v>吸収された線量の割合による全身クリアランスの観察</v>
      </c>
    </row>
    <row r="999" ht="13.5" customHeight="1">
      <c r="A999" s="1" t="s">
        <v>870</v>
      </c>
      <c r="B999" s="1" t="s">
        <v>5051</v>
      </c>
      <c r="C999" s="1" t="s">
        <v>5052</v>
      </c>
      <c r="D999" s="1" t="s">
        <v>5053</v>
      </c>
      <c r="E999" s="1" t="s">
        <v>5053</v>
      </c>
      <c r="F999" s="1" t="s">
        <v>5054</v>
      </c>
      <c r="G999" s="1" t="s">
        <v>5055</v>
      </c>
      <c r="H999" s="1" t="str">
        <f>IFERROR(__xludf.DUMMYFUNCTION("GOOGLETRANSLATE(D999,""EN"",""JA"")"),"合計CL Obs（F別、BMI別、正常値別）")</f>
        <v>合計CL Obs（F別、BMI別、正常値別）</v>
      </c>
      <c r="I999" s="1" t="str">
        <f>IFERROR(__xludf.DUMMYFUNCTION("GOOGLETRANSLATE(E999,""EN"",""JA"")"),"合計CL Obs（F別、BMI別、正常値別）")</f>
        <v>合計CL Obs（F別、BMI別、正常値別）</v>
      </c>
      <c r="J999" s="1" t="str">
        <f>IFERROR(__xludf.DUMMYFUNCTION("GOOGLETRANSLATE(F999,""EN"",""JA"")"),"血管外投与の全体内クリアランスを、吸収された投与量の割合で割った値。これは、最後のゼロ以外の濃度の観測値に基づく AUCINF を使用して計算され、ボディマス指数で割った値です。")</f>
        <v>血管外投与の全体内クリアランスを、吸収された投与量の割合で割った値。これは、最後のゼロ以外の濃度の観測値に基づく AUCINF を使用して計算され、ボディマス指数で割った値です。</v>
      </c>
      <c r="K999" s="1" t="str">
        <f>IFERROR(__xludf.DUMMYFUNCTION("GOOGLETRANSLATE(G999,""EN"",""JA"")"),"ボディマス指数で標準化した分割投与量で観察された全クリアランス")</f>
        <v>ボディマス指数で標準化した分割投与量で観察された全クリアランス</v>
      </c>
    </row>
    <row r="1000" ht="13.5" customHeight="1">
      <c r="A1000" s="1" t="s">
        <v>870</v>
      </c>
      <c r="B1000" s="1" t="s">
        <v>5056</v>
      </c>
      <c r="C1000" s="1" t="s">
        <v>5057</v>
      </c>
      <c r="D1000" s="1" t="s">
        <v>5058</v>
      </c>
      <c r="E1000" s="1" t="s">
        <v>5058</v>
      </c>
      <c r="F1000" s="1" t="s">
        <v>5059</v>
      </c>
      <c r="G1000" s="1" t="s">
        <v>5060</v>
      </c>
      <c r="H1000" s="1" t="str">
        <f>IFERROR(__xludf.DUMMYFUNCTION("GOOGLETRANSLATE(D1000,""EN"",""JA"")"),"総CL観察数（F基準値別）（線量別）")</f>
        <v>総CL観察数（F基準値別）（線量別）</v>
      </c>
      <c r="I1000" s="1" t="str">
        <f>IFERROR(__xludf.DUMMYFUNCTION("GOOGLETRANSLATE(E1000,""EN"",""JA"")"),"総CL観察数（F基準値別）（線量別）")</f>
        <v>総CL観察数（F基準値別）（線量別）</v>
      </c>
      <c r="J1000" s="1" t="str">
        <f>IFERROR(__xludf.DUMMYFUNCTION("GOOGLETRANSLATE(F1000,""EN"",""JA"")"),"最後の非ゼロ濃度の観測値に基づく AUCINF を使用して計算し、投与量で割った、血管外投与の全身クリアランスを吸収投与量の割合で割ったもの。")</f>
        <v>最後の非ゼロ濃度の観測値に基づく AUCINF を使用して計算し、投与量で割った、血管外投与の全身クリアランスを吸収投与量の割合で割ったもの。</v>
      </c>
      <c r="K1000" s="1" t="str">
        <f>IFERROR(__xludf.DUMMYFUNCTION("GOOGLETRANSLATE(G1000,""EN"",""JA"")"),"投与量別に正規化した分割投与量別に観察された全クリアランス")</f>
        <v>投与量別に正規化した分割投与量別に観察された全クリアランス</v>
      </c>
    </row>
    <row r="1001" ht="13.5" customHeight="1">
      <c r="A1001" s="1" t="s">
        <v>870</v>
      </c>
      <c r="B1001" s="1" t="s">
        <v>5061</v>
      </c>
      <c r="C1001" s="1" t="s">
        <v>5062</v>
      </c>
      <c r="D1001" s="1" t="s">
        <v>5063</v>
      </c>
      <c r="E1001" s="1" t="s">
        <v>5063</v>
      </c>
      <c r="F1001" s="1" t="s">
        <v>5064</v>
      </c>
      <c r="G1001" s="1" t="s">
        <v>5065</v>
      </c>
      <c r="H1001" s="1" t="str">
        <f>IFERROR(__xludf.DUMMYFUNCTION("GOOGLETRANSLATE(D1001,""EN"",""JA"")"),"FによるCL観測値合計、SAによるノルム")</f>
        <v>FによるCL観測値合計、SAによるノルム</v>
      </c>
      <c r="I1001" s="1" t="str">
        <f>IFERROR(__xludf.DUMMYFUNCTION("GOOGLETRANSLATE(E1001,""EN"",""JA"")"),"FによるCL観測値合計、SAによるノルム")</f>
        <v>FによるCL観測値合計、SAによるノルム</v>
      </c>
      <c r="J1001" s="1" t="str">
        <f>IFERROR(__xludf.DUMMYFUNCTION("GOOGLETRANSLATE(F1001,""EN"",""JA"")"),"血管外投与の全身クリアランスを、吸収された投与量の割合で割った値。これは、最後のゼロ以外の濃度の観測値に基づく AUCINF を使用して計算され、表面積で割った値です。")</f>
        <v>血管外投与の全身クリアランスを、吸収された投与量の割合で割った値。これは、最後のゼロ以外の濃度の観測値に基づく AUCINF を使用して計算され、表面積で割った値です。</v>
      </c>
      <c r="K1001" s="1" t="str">
        <f>IFERROR(__xludf.DUMMYFUNCTION("GOOGLETRANSLATE(G1001,""EN"",""JA"")"),"面積で正規化した分割線量で観察された全クリアランス")</f>
        <v>面積で正規化した分割線量で観察された全クリアランス</v>
      </c>
    </row>
    <row r="1002" ht="13.5" customHeight="1">
      <c r="A1002" s="1" t="s">
        <v>870</v>
      </c>
      <c r="B1002" s="1" t="s">
        <v>5066</v>
      </c>
      <c r="C1002" s="1" t="s">
        <v>5067</v>
      </c>
      <c r="D1002" s="1" t="s">
        <v>5068</v>
      </c>
      <c r="E1002" s="1" t="s">
        <v>5068</v>
      </c>
      <c r="F1002" s="1" t="s">
        <v>5069</v>
      </c>
      <c r="G1002" s="1" t="s">
        <v>5070</v>
      </c>
      <c r="H1002" s="1" t="str">
        <f>IFERROR(__xludf.DUMMYFUNCTION("GOOGLETRANSLATE(D1002,""EN"",""JA"")"),"F別CL観測値合計、WT別ノルム")</f>
        <v>F別CL観測値合計、WT別ノルム</v>
      </c>
      <c r="I1002" s="1" t="str">
        <f>IFERROR(__xludf.DUMMYFUNCTION("GOOGLETRANSLATE(E1002,""EN"",""JA"")"),"F別CL観測値合計、WT別ノルム")</f>
        <v>F別CL観測値合計、WT別ノルム</v>
      </c>
      <c r="J1002" s="1" t="str">
        <f>IFERROR(__xludf.DUMMYFUNCTION("GOOGLETRANSLATE(F1002,""EN"",""JA"")"),"最後の非ゼロ濃度の観測値に基づく AUCINF を使用して計算された、吸収された投与量の割合で割った血管外投与の全身クリアランスを、体重で割ったもの。")</f>
        <v>最後の非ゼロ濃度の観測値に基づく AUCINF を使用して計算された、吸収された投与量の割合で割った血管外投与の全身クリアランスを、体重で割ったもの。</v>
      </c>
      <c r="K1002" s="1" t="str">
        <f>IFERROR(__xludf.DUMMYFUNCTION("GOOGLETRANSLATE(G1002,""EN"",""JA"")"),"体重で標準化した分割投与量で観察された総クリアランス")</f>
        <v>体重で標準化した分割投与量で観察された総クリアランス</v>
      </c>
    </row>
    <row r="1003" ht="13.5" customHeight="1">
      <c r="A1003" s="1" t="s">
        <v>870</v>
      </c>
      <c r="B1003" s="1" t="s">
        <v>5071</v>
      </c>
      <c r="C1003" s="1" t="s">
        <v>5072</v>
      </c>
      <c r="D1003" s="1" t="s">
        <v>5073</v>
      </c>
      <c r="E1003" s="1" t="s">
        <v>5073</v>
      </c>
      <c r="F1003" s="1" t="s">
        <v>5074</v>
      </c>
      <c r="G1003" s="1" t="s">
        <v>5075</v>
      </c>
      <c r="H1003" s="1" t="str">
        <f>IFERROR(__xludf.DUMMYFUNCTION("GOOGLETRANSLATE(D1003,""EN"",""JA"")"),"Fによる合計CL予測")</f>
        <v>Fによる合計CL予測</v>
      </c>
      <c r="I1003" s="1" t="str">
        <f>IFERROR(__xludf.DUMMYFUNCTION("GOOGLETRANSLATE(E1003,""EN"",""JA"")"),"Fによる合計CL予測")</f>
        <v>Fによる合計CL予測</v>
      </c>
      <c r="J1003" s="1" t="str">
        <f>IFERROR(__xludf.DUMMYFUNCTION("GOOGLETRANSLATE(F1003,""EN"",""JA"")"),"最後の非ゼロ濃度の予測値に基づく AUCINF を使用して計算された、吸収された投与量の割合で割った血管外投与の全身クリアランス。")</f>
        <v>最後の非ゼロ濃度の予測値に基づく AUCINF を使用して計算された、吸収された投与量の割合で割った血管外投与の全身クリアランス。</v>
      </c>
      <c r="K1003" s="1" t="str">
        <f>IFERROR(__xludf.DUMMYFUNCTION("GOOGLETRANSLATE(G1003,""EN"",""JA"")"),"吸収された線量の割合による予測全身クリアランス")</f>
        <v>吸収された線量の割合による予測全身クリアランス</v>
      </c>
    </row>
    <row r="1004" ht="13.5" customHeight="1">
      <c r="A1004" s="1" t="s">
        <v>870</v>
      </c>
      <c r="B1004" s="1" t="s">
        <v>5076</v>
      </c>
      <c r="C1004" s="1" t="s">
        <v>5077</v>
      </c>
      <c r="D1004" s="1" t="s">
        <v>5078</v>
      </c>
      <c r="E1004" s="1" t="s">
        <v>5078</v>
      </c>
      <c r="F1004" s="1" t="s">
        <v>5079</v>
      </c>
      <c r="G1004" s="1" t="s">
        <v>5080</v>
      </c>
      <c r="H1004" s="1" t="str">
        <f>IFERROR(__xludf.DUMMYFUNCTION("GOOGLETRANSLATE(D1004,""EN"",""JA"")"),"合計CL予測値（F基準値、BMI基準値）")</f>
        <v>合計CL予測値（F基準値、BMI基準値）</v>
      </c>
      <c r="I1004" s="1" t="str">
        <f>IFERROR(__xludf.DUMMYFUNCTION("GOOGLETRANSLATE(E1004,""EN"",""JA"")"),"合計CL予測値（F基準値、BMI基準値）")</f>
        <v>合計CL予測値（F基準値、BMI基準値）</v>
      </c>
      <c r="J1004" s="1" t="str">
        <f>IFERROR(__xludf.DUMMYFUNCTION("GOOGLETRANSLATE(F1004,""EN"",""JA"")"),"血管外投与の全体内クリアランスを、吸収された投与量の割合で割った値。これは、最後のゼロ以外の濃度の予測値に基づく AUCINF を使用して計算され、ボディマス指数で割った値です。")</f>
        <v>血管外投与の全体内クリアランスを、吸収された投与量の割合で割った値。これは、最後のゼロ以外の濃度の予測値に基づく AUCINF を使用して計算され、ボディマス指数で割った値です。</v>
      </c>
      <c r="K1004" s="1" t="str">
        <f>IFERROR(__xludf.DUMMYFUNCTION("GOOGLETRANSLATE(G1004,""EN"",""JA"")"),"ボディマス指数で標準化した分割投与量で予測される総クリアランス")</f>
        <v>ボディマス指数で標準化した分割投与量で予測される総クリアランス</v>
      </c>
    </row>
    <row r="1005" ht="13.5" customHeight="1">
      <c r="A1005" s="1" t="s">
        <v>870</v>
      </c>
      <c r="B1005" s="1" t="s">
        <v>5081</v>
      </c>
      <c r="C1005" s="1" t="s">
        <v>5082</v>
      </c>
      <c r="D1005" s="1" t="s">
        <v>5083</v>
      </c>
      <c r="E1005" s="1" t="s">
        <v>5083</v>
      </c>
      <c r="F1005" s="1" t="s">
        <v>5084</v>
      </c>
      <c r="G1005" s="1" t="s">
        <v>5085</v>
      </c>
      <c r="H1005" s="1" t="str">
        <f>IFERROR(__xludf.DUMMYFUNCTION("GOOGLETRANSLATE(D1005,""EN"",""JA"")"),"総CL予測値（F基準値別）投与量別")</f>
        <v>総CL予測値（F基準値別）投与量別</v>
      </c>
      <c r="I1005" s="1" t="str">
        <f>IFERROR(__xludf.DUMMYFUNCTION("GOOGLETRANSLATE(E1005,""EN"",""JA"")"),"総CL予測値（F基準値別）投与量別")</f>
        <v>総CL予測値（F基準値別）投与量別</v>
      </c>
      <c r="J1005" s="1" t="str">
        <f>IFERROR(__xludf.DUMMYFUNCTION("GOOGLETRANSLATE(F1005,""EN"",""JA"")"),"血管外投与の全身クリアランスを、吸収された投与量の割合で割った値。これは、最後のゼロ以外の濃度の予測値に基づく AUCINF を使用して計算され、投与量で割った値です。")</f>
        <v>血管外投与の全身クリアランスを、吸収された投与量の割合で割った値。これは、最後のゼロ以外の濃度の予測値に基づく AUCINF を使用して計算され、投与量で割った値です。</v>
      </c>
      <c r="K1005" s="1" t="str">
        <f>IFERROR(__xludf.DUMMYFUNCTION("GOOGLETRANSLATE(G1005,""EN"",""JA"")"),"投与量で正規化された分割投与量で予測される総クリアランス")</f>
        <v>投与量で正規化された分割投与量で予測される総クリアランス</v>
      </c>
    </row>
    <row r="1006" ht="13.5" customHeight="1">
      <c r="A1006" s="1" t="s">
        <v>870</v>
      </c>
      <c r="B1006" s="1" t="s">
        <v>5086</v>
      </c>
      <c r="C1006" s="1" t="s">
        <v>5087</v>
      </c>
      <c r="D1006" s="1" t="s">
        <v>5088</v>
      </c>
      <c r="E1006" s="1" t="s">
        <v>5088</v>
      </c>
      <c r="F1006" s="1" t="s">
        <v>5089</v>
      </c>
      <c r="G1006" s="1" t="s">
        <v>5090</v>
      </c>
      <c r="H1006" s="1" t="str">
        <f>IFERROR(__xludf.DUMMYFUNCTION("GOOGLETRANSLATE(D1006,""EN"",""JA"")"),"Fによる合計CL予測、SAによる標準")</f>
        <v>Fによる合計CL予測、SAによる標準</v>
      </c>
      <c r="I1006" s="1" t="str">
        <f>IFERROR(__xludf.DUMMYFUNCTION("GOOGLETRANSLATE(E1006,""EN"",""JA"")"),"Fによる合計CL予測、SAによる標準")</f>
        <v>Fによる合計CL予測、SAによる標準</v>
      </c>
      <c r="J1006" s="1" t="str">
        <f>IFERROR(__xludf.DUMMYFUNCTION("GOOGLETRANSLATE(F1006,""EN"",""JA"")"),"血管外投与の全身クリアランスを、吸収された投与量の割合で割った値。これは、最後のゼロ以外の濃度の予測値に基づく AUCINF を使用して計算され、表面積で割った値です。")</f>
        <v>血管外投与の全身クリアランスを、吸収された投与量の割合で割った値。これは、最後のゼロ以外の濃度の予測値に基づく AUCINF を使用して計算され、表面積で割った値です。</v>
      </c>
      <c r="K1006" s="1" t="str">
        <f>IFERROR(__xludf.DUMMYFUNCTION("GOOGLETRANSLATE(G1006,""EN"",""JA"")"),"表面積で正規化した分割投与量で予測される総クリアランス")</f>
        <v>表面積で正規化した分割投与量で予測される総クリアランス</v>
      </c>
    </row>
    <row r="1007" ht="13.5" customHeight="1">
      <c r="A1007" s="1" t="s">
        <v>870</v>
      </c>
      <c r="B1007" s="1" t="s">
        <v>5091</v>
      </c>
      <c r="C1007" s="1" t="s">
        <v>5092</v>
      </c>
      <c r="D1007" s="1" t="s">
        <v>5093</v>
      </c>
      <c r="E1007" s="1" t="s">
        <v>5093</v>
      </c>
      <c r="F1007" s="1" t="s">
        <v>5094</v>
      </c>
      <c r="G1007" s="1" t="s">
        <v>5095</v>
      </c>
      <c r="H1007" s="1" t="str">
        <f>IFERROR(__xludf.DUMMYFUNCTION("GOOGLETRANSLATE(D1007,""EN"",""JA"")"),"合計CL予測値（F別）標準値（WT別）")</f>
        <v>合計CL予測値（F別）標準値（WT別）</v>
      </c>
      <c r="I1007" s="1" t="str">
        <f>IFERROR(__xludf.DUMMYFUNCTION("GOOGLETRANSLATE(E1007,""EN"",""JA"")"),"合計CL予測値（F別）標準値（WT別）")</f>
        <v>合計CL予測値（F別）標準値（WT別）</v>
      </c>
      <c r="J1007" s="1" t="str">
        <f>IFERROR(__xludf.DUMMYFUNCTION("GOOGLETRANSLATE(F1007,""EN"",""JA"")"),"血管外投与の全身クリアランスを、吸収された投与量の割合で割り、最後のゼロ以外の濃度の予測値に基づく AUCINF を使用して計算し、体重で割ったもの。")</f>
        <v>血管外投与の全身クリアランスを、吸収された投与量の割合で割り、最後のゼロ以外の濃度の予測値に基づく AUCINF を使用して計算し、体重で割ったもの。</v>
      </c>
      <c r="K1007" s="1" t="str">
        <f>IFERROR(__xludf.DUMMYFUNCTION("GOOGLETRANSLATE(G1007,""EN"",""JA"")"),"体重で標準化した分割投与量による総クリアランス予測")</f>
        <v>体重で標準化した分割投与量による総クリアランス予測</v>
      </c>
    </row>
    <row r="1008" ht="13.5" customHeight="1">
      <c r="A1008" s="1" t="s">
        <v>870</v>
      </c>
      <c r="B1008" s="1" t="s">
        <v>5096</v>
      </c>
      <c r="C1008" s="1" t="s">
        <v>5097</v>
      </c>
      <c r="D1008" s="1" t="s">
        <v>5098</v>
      </c>
      <c r="E1008" s="1" t="s">
        <v>5098</v>
      </c>
      <c r="F1008" s="1" t="s">
        <v>5099</v>
      </c>
      <c r="G1008" s="1" t="s">
        <v>5100</v>
      </c>
      <c r="H1008" s="1" t="str">
        <f>IFERROR(__xludf.DUMMYFUNCTION("GOOGLETRANSLATE(D1008,""EN"",""JA"")"),"投与量内訳のF別合計CL")</f>
        <v>投与量内訳のF別合計CL</v>
      </c>
      <c r="I1008" s="1" t="str">
        <f>IFERROR(__xludf.DUMMYFUNCTION("GOOGLETRANSLATE(E1008,""EN"",""JA"")"),"投与量内訳のF別合計CL")</f>
        <v>投与量内訳のF別合計CL</v>
      </c>
      <c r="J1008" s="1" t="str">
        <f>IFERROR(__xludf.DUMMYFUNCTION("GOOGLETRANSLATE(F1008,""EN"",""JA"")"),"AUCTAU を使用して計算された、血管外投与の全身クリアランスを吸収された投与量の割合で割ったもの。")</f>
        <v>AUCTAU を使用して計算された、血管外投与の全身クリアランスを吸収された投与量の割合で割ったもの。</v>
      </c>
      <c r="K1008" s="1" t="str">
        <f>IFERROR(__xludf.DUMMYFUNCTION("GOOGLETRANSLATE(G1008,""EN"",""JA"")"),"投与間隔ごとの投与量の割合による全身クリアランス")</f>
        <v>投与間隔ごとの投与量の割合による全身クリアランス</v>
      </c>
    </row>
    <row r="1009" ht="13.5" customHeight="1">
      <c r="A1009" s="1" t="s">
        <v>870</v>
      </c>
      <c r="B1009" s="1" t="s">
        <v>5101</v>
      </c>
      <c r="C1009" s="1" t="s">
        <v>5102</v>
      </c>
      <c r="D1009" s="1" t="s">
        <v>5103</v>
      </c>
      <c r="E1009" s="1" t="s">
        <v>5103</v>
      </c>
      <c r="F1009" s="1" t="s">
        <v>5104</v>
      </c>
      <c r="G1009" s="1" t="s">
        <v>5105</v>
      </c>
      <c r="H1009" s="1" t="str">
        <f>IFERROR(__xludf.DUMMYFUNCTION("GOOGLETRANSLATE(D1009,""EN"",""JA"")"),"BMI別の投与量内規準のF別合計CL")</f>
        <v>BMI別の投与量内規準のF別合計CL</v>
      </c>
      <c r="I1009" s="1" t="str">
        <f>IFERROR(__xludf.DUMMYFUNCTION("GOOGLETRANSLATE(E1009,""EN"",""JA"")"),"BMI別の投与量内規準のF別合計CL")</f>
        <v>BMI別の投与量内規準のF別合計CL</v>
      </c>
      <c r="J1009" s="1" t="str">
        <f>IFERROR(__xludf.DUMMYFUNCTION("GOOGLETRANSLATE(F1009,""EN"",""JA"")"),"血管外投与の全体内クリアランスを、AUCTAU を使用して計算した吸収投与量の割合で割り、さらにボディマス指数で割ったもの。")</f>
        <v>血管外投与の全体内クリアランスを、AUCTAU を使用して計算した吸収投与量の割合で割り、さらにボディマス指数で割ったもの。</v>
      </c>
      <c r="K1009" s="1" t="str">
        <f>IFERROR(__xludf.DUMMYFUNCTION("GOOGLETRANSLATE(G1009,""EN"",""JA"")"),"ボディマス指数で標準化した投与間隔における投与量の割合による全身クリアランス")</f>
        <v>ボディマス指数で標準化した投与間隔における投与量の割合による全身クリアランス</v>
      </c>
    </row>
    <row r="1010" ht="13.5" customHeight="1">
      <c r="A1010" s="1" t="s">
        <v>870</v>
      </c>
      <c r="B1010" s="1" t="s">
        <v>5106</v>
      </c>
      <c r="C1010" s="1" t="s">
        <v>5107</v>
      </c>
      <c r="D1010" s="1" t="s">
        <v>5108</v>
      </c>
      <c r="E1010" s="1" t="s">
        <v>5108</v>
      </c>
      <c r="F1010" s="1" t="s">
        <v>5109</v>
      </c>
      <c r="G1010" s="1" t="s">
        <v>5110</v>
      </c>
      <c r="H1010" s="1" t="str">
        <f>IFERROR(__xludf.DUMMYFUNCTION("GOOGLETRANSLATE(D1010,""EN"",""JA"")"),"投与量別のF別CL合計、投与量別の正常値")</f>
        <v>投与量別のF別CL合計、投与量別の正常値</v>
      </c>
      <c r="I1010" s="1" t="str">
        <f>IFERROR(__xludf.DUMMYFUNCTION("GOOGLETRANSLATE(E1010,""EN"",""JA"")"),"投与量別のF別CL合計、投与量別の正常値")</f>
        <v>投与量別のF別CL合計、投与量別の正常値</v>
      </c>
      <c r="J1010" s="1" t="str">
        <f>IFERROR(__xludf.DUMMYFUNCTION("GOOGLETRANSLATE(F1010,""EN"",""JA"")"),"血管外投与の全身クリアランスを、AUCTAU を使用して計算した吸収投与量の割合で割り、投与量で割ったもの。")</f>
        <v>血管外投与の全身クリアランスを、AUCTAU を使用して計算した吸収投与量の割合で割り、投与量で割ったもの。</v>
      </c>
      <c r="K1010" s="1" t="str">
        <f>IFERROR(__xludf.DUMMYFUNCTION("GOOGLETRANSLATE(G1010,""EN"",""JA"")"),"投与量で標準化した投与量間隔における投与量の割合による全身クリアランス")</f>
        <v>投与量で標準化した投与量間隔における投与量の割合による全身クリアランス</v>
      </c>
    </row>
    <row r="1011" ht="13.5" customHeight="1">
      <c r="A1011" s="1" t="s">
        <v>870</v>
      </c>
      <c r="B1011" s="1" t="s">
        <v>5111</v>
      </c>
      <c r="C1011" s="1" t="s">
        <v>5112</v>
      </c>
      <c r="D1011" s="1" t="s">
        <v>5113</v>
      </c>
      <c r="E1011" s="1" t="s">
        <v>5113</v>
      </c>
      <c r="F1011" s="1" t="s">
        <v>5114</v>
      </c>
      <c r="G1011" s="1" t="s">
        <v>5115</v>
      </c>
      <c r="H1011" s="1" t="str">
        <f>IFERROR(__xludf.DUMMYFUNCTION("GOOGLETRANSLATE(D1011,""EN"",""JA"")"),"SAによる線量内規準のFによる合計CL")</f>
        <v>SAによる線量内規準のFによる合計CL</v>
      </c>
      <c r="I1011" s="1" t="str">
        <f>IFERROR(__xludf.DUMMYFUNCTION("GOOGLETRANSLATE(E1011,""EN"",""JA"")"),"SAによる線量内規準のFによる合計CL")</f>
        <v>SAによる線量内規準のFによる合計CL</v>
      </c>
      <c r="J1011" s="1" t="str">
        <f>IFERROR(__xludf.DUMMYFUNCTION("GOOGLETRANSLATE(F1011,""EN"",""JA"")"),"血管外投与の全身クリアランスを、AUCTAU を使用して計算した吸収投与量の割合で割り、表面積で割ったもの。")</f>
        <v>血管外投与の全身クリアランスを、AUCTAU を使用して計算した吸収投与量の割合で割り、表面積で割ったもの。</v>
      </c>
      <c r="K1011" s="1" t="str">
        <f>IFERROR(__xludf.DUMMYFUNCTION("GOOGLETRANSLATE(G1011,""EN"",""JA"")"),"体表面積で標準化した投与間隔における投与量の割合による全身クリアランス")</f>
        <v>体表面積で標準化した投与間隔における投与量の割合による全身クリアランス</v>
      </c>
    </row>
    <row r="1012" ht="13.5" customHeight="1">
      <c r="A1012" s="1" t="s">
        <v>870</v>
      </c>
      <c r="B1012" s="1" t="s">
        <v>5116</v>
      </c>
      <c r="C1012" s="1" t="s">
        <v>5117</v>
      </c>
      <c r="D1012" s="1" t="s">
        <v>5118</v>
      </c>
      <c r="E1012" s="1" t="s">
        <v>5118</v>
      </c>
      <c r="F1012" s="1" t="s">
        <v>5119</v>
      </c>
      <c r="G1012" s="1" t="s">
        <v>5120</v>
      </c>
      <c r="H1012" s="1" t="str">
        <f>IFERROR(__xludf.DUMMYFUNCTION("GOOGLETRANSLATE(D1012,""EN"",""JA"")"),"WT別の線量内標準値のF別合計CL")</f>
        <v>WT別の線量内標準値のF別合計CL</v>
      </c>
      <c r="I1012" s="1" t="str">
        <f>IFERROR(__xludf.DUMMYFUNCTION("GOOGLETRANSLATE(E1012,""EN"",""JA"")"),"WT別の線量内標準値のF別合計CL")</f>
        <v>WT別の線量内標準値のF別合計CL</v>
      </c>
      <c r="J1012" s="1" t="str">
        <f>IFERROR(__xludf.DUMMYFUNCTION("GOOGLETRANSLATE(F1012,""EN"",""JA"")"),"血管外投与の全身クリアランスを、AUCTAU を使用して計算した吸収投与量の割合で割り、さらに体重で割ったもの。")</f>
        <v>血管外投与の全身クリアランスを、AUCTAU を使用して計算した吸収投与量の割合で割り、さらに体重で割ったもの。</v>
      </c>
      <c r="K1012" s="1" t="str">
        <f>IFERROR(__xludf.DUMMYFUNCTION("GOOGLETRANSLATE(G1012,""EN"",""JA"")"),"体重で標準化した投与間隔における投与量の割合による全身クリアランス")</f>
        <v>体重で標準化した投与間隔における投与量の割合による全身クリアランス</v>
      </c>
    </row>
    <row r="1013" ht="13.5" customHeight="1">
      <c r="A1013" s="1" t="s">
        <v>870</v>
      </c>
      <c r="B1013" s="1" t="s">
        <v>5121</v>
      </c>
      <c r="C1013" s="1" t="s">
        <v>5122</v>
      </c>
      <c r="D1013" s="1" t="s">
        <v>5123</v>
      </c>
      <c r="E1013" s="1" t="s">
        <v>5123</v>
      </c>
      <c r="F1013" s="1" t="s">
        <v>5124</v>
      </c>
      <c r="G1013" s="1" t="s">
        <v>5125</v>
      </c>
      <c r="H1013" s="1" t="str">
        <f>IFERROR(__xludf.DUMMYFUNCTION("GOOGLETRANSLATE(D1013,""EN"",""JA"")"),"非結合薬物の見かけのCL")</f>
        <v>非結合薬物の見かけのCL</v>
      </c>
      <c r="I1013" s="1" t="str">
        <f>IFERROR(__xludf.DUMMYFUNCTION("GOOGLETRANSLATE(E1013,""EN"",""JA"")"),"非結合薬物の見かけのCL")</f>
        <v>非結合薬物の見かけのCL</v>
      </c>
      <c r="J1013" s="1" t="str">
        <f>IFERROR(__xludf.DUMMYFUNCTION("GOOGLETRANSLATE(F1013,""EN"",""JA"")"),"生物学的利用能に合わせて調整された、薬物の非結合部分の見かけの総クリアランス。")</f>
        <v>生物学的利用能に合わせて調整された、薬物の非結合部分の見かけの総クリアランス。</v>
      </c>
      <c r="K1013" s="1" t="str">
        <f>IFERROR(__xludf.DUMMYFUNCTION("GOOGLETRANSLATE(G1013,""EN"",""JA"")"),"非結合薬物の見かけのクリアランス")</f>
        <v>非結合薬物の見かけのクリアランス</v>
      </c>
    </row>
    <row r="1014" ht="13.5" customHeight="1">
      <c r="A1014" s="1" t="s">
        <v>1997</v>
      </c>
      <c r="B1014" s="1" t="s">
        <v>5126</v>
      </c>
      <c r="C1014" s="1" t="s">
        <v>5127</v>
      </c>
      <c r="D1014" s="1" t="s">
        <v>5128</v>
      </c>
      <c r="E1014" s="1" t="s">
        <v>5128</v>
      </c>
      <c r="F1014" s="1" t="s">
        <v>5129</v>
      </c>
      <c r="G1014" s="1" t="s">
        <v>5128</v>
      </c>
      <c r="H1014" s="1" t="str">
        <f>IFERROR(__xludf.DUMMYFUNCTION("GOOGLETRANSLATE(D1014,""EN"",""JA"")"),"矯正レンズインジケーター")</f>
        <v>矯正レンズインジケーター</v>
      </c>
      <c r="I1014" s="1" t="str">
        <f>IFERROR(__xludf.DUMMYFUNCTION("GOOGLETRANSLATE(E1014,""EN"",""JA"")"),"矯正レンズインジケーター")</f>
        <v>矯正レンズインジケーター</v>
      </c>
      <c r="J1014" s="1" t="str">
        <f>IFERROR(__xludf.DUMMYFUNCTION("GOOGLETRANSLATE(F1014,""EN"",""JA"")"),"対象者が何らかの視覚障害を矯正するために眼用レンズを装着しているかどうかを示します。")</f>
        <v>対象者が何らかの視覚障害を矯正するために眼用レンズを装着しているかどうかを示します。</v>
      </c>
      <c r="K1014" s="1" t="str">
        <f>IFERROR(__xludf.DUMMYFUNCTION("GOOGLETRANSLATE(G1014,""EN"",""JA"")"),"矯正レンズインジケーター")</f>
        <v>矯正レンズインジケーター</v>
      </c>
    </row>
    <row r="1015" ht="13.5" customHeight="1">
      <c r="A1015" s="1" t="s">
        <v>1342</v>
      </c>
      <c r="B1015" s="1" t="s">
        <v>5130</v>
      </c>
      <c r="C1015" s="1" t="s">
        <v>5131</v>
      </c>
      <c r="D1015" s="1" t="s">
        <v>5132</v>
      </c>
      <c r="E1015" s="1" t="s">
        <v>5132</v>
      </c>
      <c r="F1015" s="1" t="s">
        <v>5133</v>
      </c>
      <c r="G1015" s="1" t="s">
        <v>5132</v>
      </c>
      <c r="H1015" s="1" t="str">
        <f>IFERROR(__xludf.DUMMYFUNCTION("GOOGLETRANSLATE(D1015,""EN"",""JA"")"),"臨床反応")</f>
        <v>臨床反応</v>
      </c>
      <c r="I1015" s="1" t="str">
        <f>IFERROR(__xludf.DUMMYFUNCTION("GOOGLETRANSLATE(E1015,""EN"",""JA"")"),"臨床反応")</f>
        <v>臨床反応</v>
      </c>
      <c r="J1015" s="1" t="str">
        <f>IFERROR(__xludf.DUMMYFUNCTION("GOOGLETRANSLATE(F1015,""EN"",""JA"")"),"治療に対する疾患の臨床反応の評価。")</f>
        <v>治療に対する疾患の臨床反応の評価。</v>
      </c>
      <c r="K1015" s="1" t="str">
        <f>IFERROR(__xludf.DUMMYFUNCTION("GOOGLETRANSLATE(G1015,""EN"",""JA"")"),"臨床反応")</f>
        <v>臨床反応</v>
      </c>
    </row>
    <row r="1016" ht="13.5" customHeight="1">
      <c r="A1016" s="1" t="s">
        <v>134</v>
      </c>
      <c r="B1016" s="1" t="s">
        <v>5134</v>
      </c>
      <c r="C1016" s="1" t="s">
        <v>5135</v>
      </c>
      <c r="D1016" s="1" t="s">
        <v>5136</v>
      </c>
      <c r="E1016" s="1" t="s">
        <v>5136</v>
      </c>
      <c r="F1016" s="1" t="s">
        <v>5137</v>
      </c>
      <c r="G1016" s="1" t="s">
        <v>5138</v>
      </c>
      <c r="H1016" s="1" t="str">
        <f>IFERROR(__xludf.DUMMYFUNCTION("GOOGLETRANSLATE(D1016,""EN"",""JA"")"),"コラーゲン線維症")</f>
        <v>コラーゲン線維症</v>
      </c>
      <c r="I1016" s="1" t="str">
        <f>IFERROR(__xludf.DUMMYFUNCTION("GOOGLETRANSLATE(E1016,""EN"",""JA"")"),"コラーゲン線維症")</f>
        <v>コラーゲン線維症</v>
      </c>
      <c r="J1016" s="1" t="str">
        <f>IFERROR(__xludf.DUMMYFUNCTION("GOOGLETRANSLATE(F1016,""EN"",""JA"")"),"生物標本におけるコラーゲン線維症の評価。")</f>
        <v>生物標本におけるコラーゲン線維症の評価。</v>
      </c>
      <c r="K1016" s="1" t="str">
        <f>IFERROR(__xludf.DUMMYFUNCTION("GOOGLETRANSLATE(G1016,""EN"",""JA"")"),"コラーゲン線維症の評価")</f>
        <v>コラーゲン線維症の評価</v>
      </c>
    </row>
    <row r="1017" ht="13.5" customHeight="1">
      <c r="A1017" s="1" t="s">
        <v>11</v>
      </c>
      <c r="B1017" s="1" t="s">
        <v>5139</v>
      </c>
      <c r="C1017" s="1" t="s">
        <v>5140</v>
      </c>
      <c r="D1017" s="1" t="s">
        <v>5141</v>
      </c>
      <c r="E1017" s="1" t="s">
        <v>5141</v>
      </c>
      <c r="F1017" s="1" t="s">
        <v>5142</v>
      </c>
      <c r="G1017" s="1" t="s">
        <v>5143</v>
      </c>
      <c r="H1017" s="1" t="str">
        <f>IFERROR(__xludf.DUMMYFUNCTION("GOOGLETRANSLATE(D1017,""EN"",""JA"")"),"クロナゼパム")</f>
        <v>クロナゼパム</v>
      </c>
      <c r="I1017" s="1" t="str">
        <f>IFERROR(__xludf.DUMMYFUNCTION("GOOGLETRANSLATE(E1017,""EN"",""JA"")"),"クロナゼパム")</f>
        <v>クロナゼパム</v>
      </c>
      <c r="J1017" s="1" t="str">
        <f>IFERROR(__xludf.DUMMYFUNCTION("GOOGLETRANSLATE(F1017,""EN"",""JA"")"),"生物学的標本中に存在するクロナゼパムの測定。")</f>
        <v>生物学的標本中に存在するクロナゼパムの測定。</v>
      </c>
      <c r="K1017" s="1" t="str">
        <f>IFERROR(__xludf.DUMMYFUNCTION("GOOGLETRANSLATE(G1017,""EN"",""JA"")"),"クロナゼパム測定")</f>
        <v>クロナゼパム測定</v>
      </c>
    </row>
    <row r="1018" ht="13.5" customHeight="1">
      <c r="A1018" s="1" t="s">
        <v>870</v>
      </c>
      <c r="B1018" s="1" t="s">
        <v>5144</v>
      </c>
      <c r="C1018" s="1" t="s">
        <v>5145</v>
      </c>
      <c r="D1018" s="1" t="s">
        <v>5146</v>
      </c>
      <c r="E1018" s="1" t="s">
        <v>5146</v>
      </c>
      <c r="F1018" s="1" t="s">
        <v>5147</v>
      </c>
      <c r="G1018" s="1" t="s">
        <v>5148</v>
      </c>
      <c r="H1018" s="1" t="str">
        <f>IFERROR(__xludf.DUMMYFUNCTION("GOOGLETRANSLATE(D1018,""EN"",""JA"")"),"合計CL観測")</f>
        <v>合計CL観測</v>
      </c>
      <c r="I1018" s="1" t="str">
        <f>IFERROR(__xludf.DUMMYFUNCTION("GOOGLETRANSLATE(E1018,""EN"",""JA"")"),"合計CL観測")</f>
        <v>合計CL観測</v>
      </c>
      <c r="J1018" s="1" t="str">
        <f>IFERROR(__xludf.DUMMYFUNCTION("GOOGLETRANSLATE(F1018,""EN"",""JA"")"),"最後のゼロ以外の濃度の観測値に基づいて AUCINF を使用して計算された、血管内投与の全身クリアランス。")</f>
        <v>最後のゼロ以外の濃度の観測値に基づいて AUCINF を使用して計算された、血管内投与の全身クリアランス。</v>
      </c>
      <c r="K1018" s="1" t="str">
        <f>IFERROR(__xludf.DUMMYFUNCTION("GOOGLETRANSLATE(G1018,""EN"",""JA"")"),"観察された全身クリアランス率")</f>
        <v>観察された全身クリアランス率</v>
      </c>
    </row>
    <row r="1019" ht="13.5" customHeight="1">
      <c r="A1019" s="1" t="s">
        <v>870</v>
      </c>
      <c r="B1019" s="1" t="s">
        <v>5149</v>
      </c>
      <c r="C1019" s="1" t="s">
        <v>5150</v>
      </c>
      <c r="D1019" s="1" t="s">
        <v>5151</v>
      </c>
      <c r="E1019" s="1" t="s">
        <v>5151</v>
      </c>
      <c r="F1019" s="1" t="s">
        <v>5152</v>
      </c>
      <c r="G1019" s="1" t="s">
        <v>5153</v>
      </c>
      <c r="H1019" s="1" t="str">
        <f>IFERROR(__xludf.DUMMYFUNCTION("GOOGLETRANSLATE(D1019,""EN"",""JA"")"),"BMI別CL Obs Norm合計")</f>
        <v>BMI別CL Obs Norm合計</v>
      </c>
      <c r="I1019" s="1" t="str">
        <f>IFERROR(__xludf.DUMMYFUNCTION("GOOGLETRANSLATE(E1019,""EN"",""JA"")"),"BMI別CL Obs Norm合計")</f>
        <v>BMI別CL Obs Norm合計</v>
      </c>
      <c r="J1019" s="1" t="str">
        <f>IFERROR(__xludf.DUMMYFUNCTION("GOOGLETRANSLATE(F1019,""EN"",""JA"")"),"最後の非ゼロ濃度の観測値に基づく AUCINF を使用して計算された血管内投与の全身クリアランスをボディマス指数で割ったもの。")</f>
        <v>最後の非ゼロ濃度の観測値に基づく AUCINF を使用して計算された血管内投与の全身クリアランスをボディマス指数で割ったもの。</v>
      </c>
      <c r="K1019" s="1" t="str">
        <f>IFERROR(__xludf.DUMMYFUNCTION("GOOGLETRANSLATE(G1019,""EN"",""JA"")"),"ボディマス指数で正規化した全クリアランス")</f>
        <v>ボディマス指数で正規化した全クリアランス</v>
      </c>
    </row>
    <row r="1020" ht="13.5" customHeight="1">
      <c r="A1020" s="1" t="s">
        <v>11</v>
      </c>
      <c r="B1020" s="1" t="s">
        <v>5154</v>
      </c>
      <c r="C1020" s="1" t="s">
        <v>5155</v>
      </c>
      <c r="D1020" s="1" t="s">
        <v>5156</v>
      </c>
      <c r="E1020" s="1" t="s">
        <v>5157</v>
      </c>
      <c r="F1020" s="1" t="s">
        <v>5158</v>
      </c>
      <c r="G1020" s="1" t="s">
        <v>5159</v>
      </c>
      <c r="H1020" s="1" t="str">
        <f>IFERROR(__xludf.DUMMYFUNCTION("GOOGLETRANSLATE(D1020,""EN"",""JA"")"),"クロバザム")</f>
        <v>クロバザム</v>
      </c>
      <c r="I1020" s="1" t="str">
        <f>IFERROR(__xludf.DUMMYFUNCTION("GOOGLETRANSLATE(E1020,""EN"",""JA"")"),"クロバザム; クロバザム")</f>
        <v>クロバザム; クロバザム</v>
      </c>
      <c r="J1020" s="1" t="str">
        <f>IFERROR(__xludf.DUMMYFUNCTION("GOOGLETRANSLATE(F1020,""EN"",""JA"")"),"生物標本中のクロバザムの測定。")</f>
        <v>生物標本中のクロバザムの測定。</v>
      </c>
      <c r="K1020" s="1" t="str">
        <f>IFERROR(__xludf.DUMMYFUNCTION("GOOGLETRANSLATE(G1020,""EN"",""JA"")"),"クロバザム測定")</f>
        <v>クロバザム測定</v>
      </c>
    </row>
    <row r="1021" ht="13.5" customHeight="1">
      <c r="A1021" s="1" t="s">
        <v>134</v>
      </c>
      <c r="B1021" s="1" t="s">
        <v>5160</v>
      </c>
      <c r="C1021" s="1" t="s">
        <v>5161</v>
      </c>
      <c r="D1021" s="1" t="s">
        <v>5162</v>
      </c>
      <c r="E1021" s="1" t="s">
        <v>5162</v>
      </c>
      <c r="F1021" s="1" t="s">
        <v>5163</v>
      </c>
      <c r="G1021" s="1" t="s">
        <v>5164</v>
      </c>
      <c r="H1021" s="1" t="str">
        <f>IFERROR(__xludf.DUMMYFUNCTION("GOOGLETRANSLATE(D1021,""EN"",""JA"")"),"クローン細胞/総細胞")</f>
        <v>クローン細胞/総細胞</v>
      </c>
      <c r="I1021" s="1" t="str">
        <f>IFERROR(__xludf.DUMMYFUNCTION("GOOGLETRANSLATE(E1021,""EN"",""JA"")"),"クローン細胞/総細胞")</f>
        <v>クローン細胞/総細胞</v>
      </c>
      <c r="J1021" s="1" t="str">
        <f>IFERROR(__xludf.DUMMYFUNCTION("GOOGLETRANSLATE(F1021,""EN"",""JA"")"),"生物学的標本（骨髄標本など）内のクローン細胞と総細胞の相対的な測定値（比率またはパーセンテージ）。")</f>
        <v>生物学的標本（骨髄標本など）内のクローン細胞と総細胞の相対的な測定値（比率またはパーセンテージ）。</v>
      </c>
      <c r="K1021" s="1" t="str">
        <f>IFERROR(__xludf.DUMMYFUNCTION("GOOGLETRANSLATE(G1021,""EN"",""JA"")"),"クローン細胞と総細胞数の比率測定")</f>
        <v>クローン細胞と総細胞数の比率測定</v>
      </c>
    </row>
    <row r="1022" ht="13.5" customHeight="1">
      <c r="A1022" s="1" t="s">
        <v>870</v>
      </c>
      <c r="B1022" s="1" t="s">
        <v>5165</v>
      </c>
      <c r="C1022" s="1" t="s">
        <v>5166</v>
      </c>
      <c r="D1022" s="1" t="s">
        <v>5167</v>
      </c>
      <c r="E1022" s="1" t="s">
        <v>5167</v>
      </c>
      <c r="F1022" s="1" t="s">
        <v>5168</v>
      </c>
      <c r="G1022" s="1" t="s">
        <v>5169</v>
      </c>
      <c r="H1022" s="1" t="str">
        <f>IFERROR(__xludf.DUMMYFUNCTION("GOOGLETRANSLATE(D1022,""EN"",""JA"")"),"線量別CL観察基準値合計")</f>
        <v>線量別CL観察基準値合計</v>
      </c>
      <c r="I1022" s="1" t="str">
        <f>IFERROR(__xludf.DUMMYFUNCTION("GOOGLETRANSLATE(E1022,""EN"",""JA"")"),"線量別CL観察基準値合計")</f>
        <v>線量別CL観察基準値合計</v>
      </c>
      <c r="J1022" s="1" t="str">
        <f>IFERROR(__xludf.DUMMYFUNCTION("GOOGLETRANSLATE(F1022,""EN"",""JA"")"),"最後の非ゼロ濃度の観測値に基づく AUCINF を使用して計算された、血管内投与の全身クリアランスを投与量で割ったもの。")</f>
        <v>最後の非ゼロ濃度の観測値に基づく AUCINF を使用して計算された、血管内投与の全身クリアランスを投与量で割ったもの。</v>
      </c>
      <c r="K1022" s="1" t="str">
        <f>IFERROR(__xludf.DUMMYFUNCTION("GOOGLETRANSLATE(G1022,""EN"",""JA"")"),"投与量で標準化された観察された総クリアランス")</f>
        <v>投与量で標準化された観察された総クリアランス</v>
      </c>
    </row>
    <row r="1023" ht="13.5" customHeight="1">
      <c r="A1023" s="1" t="s">
        <v>870</v>
      </c>
      <c r="B1023" s="1" t="s">
        <v>5170</v>
      </c>
      <c r="C1023" s="1" t="s">
        <v>5171</v>
      </c>
      <c r="D1023" s="1" t="s">
        <v>5172</v>
      </c>
      <c r="E1023" s="1" t="s">
        <v>5172</v>
      </c>
      <c r="F1023" s="1" t="s">
        <v>5173</v>
      </c>
      <c r="G1023" s="1" t="s">
        <v>5174</v>
      </c>
      <c r="H1023" s="1" t="str">
        <f>IFERROR(__xludf.DUMMYFUNCTION("GOOGLETRANSLATE(D1023,""EN"",""JA"")"),"SAによる合計CL観測基準")</f>
        <v>SAによる合計CL観測基準</v>
      </c>
      <c r="I1023" s="1" t="str">
        <f>IFERROR(__xludf.DUMMYFUNCTION("GOOGLETRANSLATE(E1023,""EN"",""JA"")"),"SAによる合計CL観測基準")</f>
        <v>SAによる合計CL観測基準</v>
      </c>
      <c r="J1023" s="1" t="str">
        <f>IFERROR(__xludf.DUMMYFUNCTION("GOOGLETRANSLATE(F1023,""EN"",""JA"")"),"最後の非ゼロ濃度の観測値に基づく AUCINF を使用して計算された血管内投与の全身クリアランスを表面積で割ったもの。")</f>
        <v>最後の非ゼロ濃度の観測値に基づく AUCINF を使用して計算された血管内投与の全身クリアランスを表面積で割ったもの。</v>
      </c>
      <c r="K1023" s="1" t="str">
        <f>IFERROR(__xludf.DUMMYFUNCTION("GOOGLETRANSLATE(G1023,""EN"",""JA"")"),"観測された全クリアランスを表面積で正規化")</f>
        <v>観測された全クリアランスを表面積で正規化</v>
      </c>
    </row>
    <row r="1024" ht="13.5" customHeight="1">
      <c r="A1024" s="1" t="s">
        <v>11</v>
      </c>
      <c r="B1024" s="1" t="s">
        <v>5175</v>
      </c>
      <c r="C1024" s="1" t="s">
        <v>5176</v>
      </c>
      <c r="D1024" s="1" t="s">
        <v>5177</v>
      </c>
      <c r="E1024" s="1" t="s">
        <v>5177</v>
      </c>
      <c r="F1024" s="1" t="s">
        <v>5178</v>
      </c>
      <c r="G1024" s="1" t="s">
        <v>5179</v>
      </c>
      <c r="H1024" s="1" t="str">
        <f>IFERROR(__xludf.DUMMYFUNCTION("GOOGLETRANSLATE(D1024,""EN"",""JA"")"),"クロステボル")</f>
        <v>クロステボル</v>
      </c>
      <c r="I1024" s="1" t="str">
        <f>IFERROR(__xludf.DUMMYFUNCTION("GOOGLETRANSLATE(E1024,""EN"",""JA"")"),"クロステボル")</f>
        <v>クロステボル</v>
      </c>
      <c r="J1024" s="1" t="str">
        <f>IFERROR(__xludf.DUMMYFUNCTION("GOOGLETRANSLATE(F1024,""EN"",""JA"")"),"生物標本中のクロステボルの測定。")</f>
        <v>生物標本中のクロステボルの測定。</v>
      </c>
      <c r="K1024" s="1" t="str">
        <f>IFERROR(__xludf.DUMMYFUNCTION("GOOGLETRANSLATE(G1024,""EN"",""JA"")"),"クロステボル測定")</f>
        <v>クロステボル測定</v>
      </c>
    </row>
    <row r="1025" ht="13.5" customHeight="1">
      <c r="A1025" s="1" t="s">
        <v>11</v>
      </c>
      <c r="B1025" s="1" t="s">
        <v>5180</v>
      </c>
      <c r="C1025" s="1" t="s">
        <v>5181</v>
      </c>
      <c r="D1025" s="1" t="s">
        <v>5182</v>
      </c>
      <c r="E1025" s="1" t="s">
        <v>5183</v>
      </c>
      <c r="F1025" s="1" t="s">
        <v>5184</v>
      </c>
      <c r="G1025" s="1" t="s">
        <v>5185</v>
      </c>
      <c r="H1025" s="1" t="str">
        <f>IFERROR(__xludf.DUMMYFUNCTION("GOOGLETRANSLATE(D1025,""EN"",""JA"")"),"血栓形成アルファ角")</f>
        <v>血栓形成アルファ角</v>
      </c>
      <c r="I1025" s="1" t="str">
        <f>IFERROR(__xludf.DUMMYFUNCTION("GOOGLETRANSLATE(E1025,""EN"",""JA"")"),"アルファ角; アルファ角; 血栓形成アルファ角")</f>
        <v>アルファ角; アルファ角; 血栓形成アルファ角</v>
      </c>
      <c r="J1025" s="1" t="str">
        <f>IFERROR(__xludf.DUMMYFUNCTION("GOOGLETRANSLATE(F1025,""EN"",""JA"")"),"血栓形成プロセス中のトロンボエラストグラム曲線の上昇期における傾斜角度（20mm での接線と正中線）の測定。")</f>
        <v>血栓形成プロセス中のトロンボエラストグラム曲線の上昇期における傾斜角度（20mm での接線と正中線）の測定。</v>
      </c>
      <c r="K1025" s="1" t="str">
        <f>IFERROR(__xludf.DUMMYFUNCTION("GOOGLETRANSLATE(G1025,""EN"",""JA"")"),"血栓形成アルファ角測定")</f>
        <v>血栓形成アルファ角測定</v>
      </c>
    </row>
    <row r="1026" ht="13.5" customHeight="1">
      <c r="A1026" s="1" t="s">
        <v>11</v>
      </c>
      <c r="B1026" s="1" t="s">
        <v>5186</v>
      </c>
      <c r="C1026" s="1" t="s">
        <v>5187</v>
      </c>
      <c r="D1026" s="1" t="s">
        <v>5188</v>
      </c>
      <c r="E1026" s="1" t="s">
        <v>5189</v>
      </c>
      <c r="F1026" s="1" t="s">
        <v>5190</v>
      </c>
      <c r="G1026" s="1" t="s">
        <v>5191</v>
      </c>
      <c r="H1026" s="1" t="str">
        <f>IFERROR(__xludf.DUMMYFUNCTION("GOOGLETRANSLATE(D1026,""EN"",""JA"")"),"血栓の硬さ")</f>
        <v>血栓の硬さ</v>
      </c>
      <c r="I1026" s="1" t="str">
        <f>IFERROR(__xludf.DUMMYFUNCTION("GOOGLETRANSLATE(E1026,""EN"",""JA"")"),"血栓の振幅；血栓の硬さ")</f>
        <v>血栓の振幅；血栓の硬さ</v>
      </c>
      <c r="J1026" s="1" t="str">
        <f>IFERROR(__xludf.DUMMYFUNCTION("GOOGLETRANSLATE(F1026,""EN"",""JA"")"),"血栓の硬さの測定値。")</f>
        <v>血栓の硬さの測定値。</v>
      </c>
      <c r="K1026" s="1" t="str">
        <f>IFERROR(__xludf.DUMMYFUNCTION("GOOGLETRANSLATE(G1026,""EN"",""JA"")"),"血栓の硬さの測定")</f>
        <v>血栓の硬さの測定</v>
      </c>
    </row>
    <row r="1027" ht="13.5" customHeight="1">
      <c r="A1027" s="1" t="s">
        <v>11</v>
      </c>
      <c r="B1027" s="1" t="s">
        <v>5192</v>
      </c>
      <c r="C1027" s="1" t="s">
        <v>5193</v>
      </c>
      <c r="D1027" s="1" t="s">
        <v>5194</v>
      </c>
      <c r="E1027" s="1" t="s">
        <v>5195</v>
      </c>
      <c r="F1027" s="1" t="s">
        <v>5196</v>
      </c>
      <c r="G1027" s="1" t="s">
        <v>5197</v>
      </c>
      <c r="H1027" s="1" t="str">
        <f>IFERROR(__xludf.DUMMYFUNCTION("GOOGLETRANSLATE(D1027,""EN"",""JA"")"),"最大の血栓硬度")</f>
        <v>最大の血栓硬度</v>
      </c>
      <c r="I1027" s="1" t="str">
        <f>IFERROR(__xludf.DUMMYFUNCTION("GOOGLETRANSLATE(E1027,""EN"",""JA"")"),"最大凝血振幅；最大凝血硬度")</f>
        <v>最大凝血振幅；最大凝血硬度</v>
      </c>
      <c r="J1027" s="1" t="str">
        <f>IFERROR(__xludf.DUMMYFUNCTION("GOOGLETRANSLATE(F1027,""EN"",""JA"")"),"血栓の最大の硬さの測定値。")</f>
        <v>血栓の最大の硬さの測定値。</v>
      </c>
      <c r="K1027" s="1" t="str">
        <f>IFERROR(__xludf.DUMMYFUNCTION("GOOGLETRANSLATE(G1027,""EN"",""JA"")"),"最大血栓硬度測定")</f>
        <v>最大血栓硬度測定</v>
      </c>
    </row>
    <row r="1028" ht="13.5" customHeight="1">
      <c r="A1028" s="1" t="s">
        <v>11</v>
      </c>
      <c r="B1028" s="1" t="s">
        <v>5198</v>
      </c>
      <c r="C1028" s="1" t="s">
        <v>5199</v>
      </c>
      <c r="D1028" s="1" t="s">
        <v>5200</v>
      </c>
      <c r="E1028" s="1" t="s">
        <v>5201</v>
      </c>
      <c r="F1028" s="1" t="s">
        <v>5202</v>
      </c>
      <c r="G1028" s="1" t="s">
        <v>5203</v>
      </c>
      <c r="H1028" s="1" t="str">
        <f>IFERROR(__xludf.DUMMYFUNCTION("GOOGLETRANSLATE(D1028,""EN"",""JA"")"),"血栓形成時間")</f>
        <v>血栓形成時間</v>
      </c>
      <c r="I1028" s="1" t="str">
        <f>IFERROR(__xludf.DUMMYFUNCTION("GOOGLETRANSLATE(E1028,""EN"",""JA"")"),"CFT; 血栓形成時間")</f>
        <v>CFT; 血栓形成時間</v>
      </c>
      <c r="J1028" s="1" t="str">
        <f>IFERROR(__xludf.DUMMYFUNCTION("GOOGLETRANSLATE(F1028,""EN"",""JA"")"),"血栓形成の開始から血栓の硬さが 20 mm に達するまでの経過時間を測定します。")</f>
        <v>血栓形成の開始から血栓の硬さが 20 mm に達するまでの経過時間を測定します。</v>
      </c>
      <c r="K1028" s="1" t="str">
        <f>IFERROR(__xludf.DUMMYFUNCTION("GOOGLETRANSLATE(G1028,""EN"",""JA"")"),"血栓形成時間測定")</f>
        <v>血栓形成時間測定</v>
      </c>
    </row>
    <row r="1029" ht="13.5" customHeight="1">
      <c r="A1029" s="1" t="s">
        <v>11</v>
      </c>
      <c r="B1029" s="1" t="s">
        <v>5204</v>
      </c>
      <c r="C1029" s="1" t="s">
        <v>5205</v>
      </c>
      <c r="D1029" s="1" t="s">
        <v>5206</v>
      </c>
      <c r="E1029" s="1" t="s">
        <v>5207</v>
      </c>
      <c r="F1029" s="1" t="s">
        <v>5208</v>
      </c>
      <c r="G1029" s="1" t="s">
        <v>5209</v>
      </c>
      <c r="H1029" s="1" t="str">
        <f>IFERROR(__xludf.DUMMYFUNCTION("GOOGLETRANSLATE(D1029,""EN"",""JA"")"),"凝固開始時間")</f>
        <v>凝固開始時間</v>
      </c>
      <c r="I1029" s="1" t="str">
        <f>IFERROR(__xludf.DUMMYFUNCTION("GOOGLETRANSLATE(E1029,""EN"",""JA"")"),"凝固開始時間; 凝固時間; CT")</f>
        <v>凝固開始時間; 凝固時間; CT</v>
      </c>
      <c r="J1029" s="1" t="str">
        <f>IFERROR(__xludf.DUMMYFUNCTION("GOOGLETRANSLATE(F1029,""EN"",""JA"")"),"凝固活性化剤を添加してから凝固形成が始まるまでの経過時間を測定します。")</f>
        <v>凝固活性化剤を添加してから凝固形成が始まるまでの経過時間を測定します。</v>
      </c>
      <c r="K1029" s="1" t="str">
        <f>IFERROR(__xludf.DUMMYFUNCTION("GOOGLETRANSLATE(G1029,""EN"",""JA"")"),"凝固開始時間の測定")</f>
        <v>凝固開始時間の測定</v>
      </c>
    </row>
    <row r="1030" ht="13.5" customHeight="1">
      <c r="A1030" s="1" t="s">
        <v>11</v>
      </c>
      <c r="B1030" s="1" t="s">
        <v>5210</v>
      </c>
      <c r="C1030" s="1" t="s">
        <v>5211</v>
      </c>
      <c r="D1030" s="1" t="s">
        <v>5212</v>
      </c>
      <c r="E1030" s="1" t="s">
        <v>5213</v>
      </c>
      <c r="F1030" s="1" t="s">
        <v>5214</v>
      </c>
      <c r="G1030" s="1" t="s">
        <v>5212</v>
      </c>
      <c r="H1030" s="1" t="str">
        <f>IFERROR(__xludf.DUMMYFUNCTION("GOOGLETRANSLATE(D1030,""EN"",""JA"")"),"血栓溶解指数")</f>
        <v>血栓溶解指数</v>
      </c>
      <c r="I1030" s="1" t="str">
        <f>IFERROR(__xludf.DUMMYFUNCTION("GOOGLETRANSLATE(E1030,""EN"",""JA"")"),"血栓溶解指数（CLOT LI）")</f>
        <v>血栓溶解指数（CLOT LI）</v>
      </c>
      <c r="J1030" s="1" t="str">
        <f>IFERROR(__xludf.DUMMYFUNCTION("GOOGLETRANSLATE(F1030,""EN"",""JA"")"),"凝固開始時間後のある時点での最大凝固硬度値に対する残存凝固安定性の相対的測定値 (パーセンテージ)。")</f>
        <v>凝固開始時間後のある時点での最大凝固硬度値に対する残存凝固安定性の相対的測定値 (パーセンテージ)。</v>
      </c>
      <c r="K1030" s="1" t="str">
        <f>IFERROR(__xludf.DUMMYFUNCTION("GOOGLETRANSLATE(G1030,""EN"",""JA"")"),"血栓溶解指数")</f>
        <v>血栓溶解指数</v>
      </c>
    </row>
    <row r="1031" ht="13.5" customHeight="1">
      <c r="A1031" s="1" t="s">
        <v>11</v>
      </c>
      <c r="B1031" s="1" t="s">
        <v>5215</v>
      </c>
      <c r="C1031" s="1" t="s">
        <v>5216</v>
      </c>
      <c r="D1031" s="1" t="s">
        <v>5217</v>
      </c>
      <c r="E1031" s="1" t="s">
        <v>5218</v>
      </c>
      <c r="F1031" s="1" t="s">
        <v>5219</v>
      </c>
      <c r="G1031" s="1" t="s">
        <v>5220</v>
      </c>
      <c r="H1031" s="1" t="str">
        <f>IFERROR(__xludf.DUMMYFUNCTION("GOOGLETRANSLATE(D1031,""EN"",""JA"")"),"最大血栓溶解")</f>
        <v>最大血栓溶解</v>
      </c>
      <c r="I1031" s="1" t="str">
        <f>IFERROR(__xludf.DUMMYFUNCTION("GOOGLETRANSLATE(E1031,""EN"",""JA"")"),"最大血栓溶解; 最大溶解")</f>
        <v>最大血栓溶解; 最大溶解</v>
      </c>
      <c r="J1031" s="1" t="str">
        <f>IFERROR(__xludf.DUMMYFUNCTION("GOOGLETRANSLATE(F1031,""EN"",""JA"")"),"回転式トロンボエラストメトリー検査の完了時の波形の振幅の減少の相対的な測定値 (パーセンテージ)。")</f>
        <v>回転式トロンボエラストメトリー検査の完了時の波形の振幅の減少の相対的な測定値 (パーセンテージ)。</v>
      </c>
      <c r="K1031" s="1" t="str">
        <f>IFERROR(__xludf.DUMMYFUNCTION("GOOGLETRANSLATE(G1031,""EN"",""JA"")"),"最大血栓溶解測定")</f>
        <v>最大血栓溶解測定</v>
      </c>
    </row>
    <row r="1032" ht="13.5" customHeight="1">
      <c r="A1032" s="1" t="s">
        <v>11</v>
      </c>
      <c r="B1032" s="1" t="s">
        <v>5221</v>
      </c>
      <c r="C1032" s="1" t="s">
        <v>5222</v>
      </c>
      <c r="D1032" s="1" t="s">
        <v>5223</v>
      </c>
      <c r="E1032" s="1" t="s">
        <v>5224</v>
      </c>
      <c r="F1032" s="1" t="s">
        <v>5225</v>
      </c>
      <c r="G1032" s="1" t="s">
        <v>5226</v>
      </c>
      <c r="H1032" s="1" t="str">
        <f>IFERROR(__xludf.DUMMYFUNCTION("GOOGLETRANSLATE(D1032,""EN"",""JA"")"),"血栓退縮")</f>
        <v>血栓退縮</v>
      </c>
      <c r="I1032" s="1" t="str">
        <f>IFERROR(__xludf.DUMMYFUNCTION("GOOGLETRANSLATE(E1032,""EN"",""JA"")"),"血栓退縮; 血栓退縮、定性的")</f>
        <v>血栓退縮; 血栓退縮、定性的</v>
      </c>
      <c r="J1032" s="1" t="str">
        <f>IFERROR(__xludf.DUMMYFUNCTION("GOOGLETRANSLATE(F1032,""EN"",""JA"")"),"生物標本における血栓退縮の定性的評価。")</f>
        <v>生物標本における血栓退縮の定性的評価。</v>
      </c>
      <c r="K1032" s="1" t="str">
        <f>IFERROR(__xludf.DUMMYFUNCTION("GOOGLETRANSLATE(G1032,""EN"",""JA"")"),"定性的な血栓退縮測定")</f>
        <v>定性的な血栓退縮測定</v>
      </c>
    </row>
    <row r="1033" ht="13.5" customHeight="1">
      <c r="A1033" s="1" t="s">
        <v>11</v>
      </c>
      <c r="B1033" s="1" t="s">
        <v>5227</v>
      </c>
      <c r="C1033" s="1" t="s">
        <v>5228</v>
      </c>
      <c r="D1033" s="1" t="s">
        <v>5229</v>
      </c>
      <c r="E1033" s="1" t="s">
        <v>5229</v>
      </c>
      <c r="F1033" s="1" t="s">
        <v>5230</v>
      </c>
      <c r="G1033" s="1" t="s">
        <v>5231</v>
      </c>
      <c r="H1033" s="1" t="str">
        <f>IFERROR(__xludf.DUMMYFUNCTION("GOOGLETRANSLATE(D1033,""EN"",""JA"")"),"血栓退縮時間")</f>
        <v>血栓退縮時間</v>
      </c>
      <c r="I1033" s="1" t="str">
        <f>IFERROR(__xludf.DUMMYFUNCTION("GOOGLETRANSLATE(E1033,""EN"",""JA"")"),"血栓退縮時間")</f>
        <v>血栓退縮時間</v>
      </c>
      <c r="J1033" s="1" t="str">
        <f>IFERROR(__xludf.DUMMYFUNCTION("GOOGLETRANSLATE(F1033,""EN"",""JA"")"),"血栓がガラス採取容器の壁から引っ込む、つまり離れるまでにかかる時間を測定します。")</f>
        <v>血栓がガラス採取容器の壁から引っ込む、つまり離れるまでにかかる時間を測定します。</v>
      </c>
      <c r="K1033" s="1" t="str">
        <f>IFERROR(__xludf.DUMMYFUNCTION("GOOGLETRANSLATE(G1033,""EN"",""JA"")"),"血栓退縮時間測定")</f>
        <v>血栓退縮時間測定</v>
      </c>
    </row>
    <row r="1034" ht="13.5" customHeight="1">
      <c r="A1034" s="1" t="s">
        <v>870</v>
      </c>
      <c r="B1034" s="1" t="s">
        <v>5232</v>
      </c>
      <c r="C1034" s="1" t="s">
        <v>5233</v>
      </c>
      <c r="D1034" s="1" t="s">
        <v>5234</v>
      </c>
      <c r="E1034" s="1" t="s">
        <v>5234</v>
      </c>
      <c r="F1034" s="1" t="s">
        <v>5235</v>
      </c>
      <c r="G1034" s="1" t="s">
        <v>5236</v>
      </c>
      <c r="H1034" s="1" t="str">
        <f>IFERROR(__xludf.DUMMYFUNCTION("GOOGLETRANSLATE(D1034,""EN"",""JA"")"),"非結合薬物の総CL Obs")</f>
        <v>非結合薬物の総CL Obs</v>
      </c>
      <c r="I1034" s="1" t="str">
        <f>IFERROR(__xludf.DUMMYFUNCTION("GOOGLETRANSLATE(E1034,""EN"",""JA"")"),"非結合薬物の総CL Obs")</f>
        <v>非結合薬物の総CL Obs</v>
      </c>
      <c r="J1034" s="1" t="str">
        <f>IFERROR(__xludf.DUMMYFUNCTION("GOOGLETRANSLATE(F1034,""EN"",""JA"")"),"血管内投与の全体内クリアランスを薬物非結合分率で割った値。最後のゼロ以外の濃度の観測値に基づく AUCINF を使用して計算されます。")</f>
        <v>血管内投与の全体内クリアランスを薬物非結合分率で割った値。最後のゼロ以外の濃度の観測値に基づく AUCINF を使用して計算されます。</v>
      </c>
      <c r="K1034" s="1" t="str">
        <f>IFERROR(__xludf.DUMMYFUNCTION("GOOGLETRANSLATE(G1034,""EN"",""JA"")"),"非結合薬物の全クリアランスが観察された")</f>
        <v>非結合薬物の全クリアランスが観察された</v>
      </c>
    </row>
    <row r="1035" ht="13.5" customHeight="1">
      <c r="A1035" s="1" t="s">
        <v>870</v>
      </c>
      <c r="B1035" s="1" t="s">
        <v>5237</v>
      </c>
      <c r="C1035" s="1" t="s">
        <v>5238</v>
      </c>
      <c r="D1035" s="1" t="s">
        <v>5239</v>
      </c>
      <c r="E1035" s="1" t="s">
        <v>5239</v>
      </c>
      <c r="F1035" s="1" t="s">
        <v>5240</v>
      </c>
      <c r="G1035" s="1" t="s">
        <v>5241</v>
      </c>
      <c r="H1035" s="1" t="str">
        <f>IFERROR(__xludf.DUMMYFUNCTION("GOOGLETRANSLATE(D1035,""EN"",""JA"")"),"体重別のCL観測値合計正常値")</f>
        <v>体重別のCL観測値合計正常値</v>
      </c>
      <c r="I1035" s="1" t="str">
        <f>IFERROR(__xludf.DUMMYFUNCTION("GOOGLETRANSLATE(E1035,""EN"",""JA"")"),"体重別のCL観測値合計正常値")</f>
        <v>体重別のCL観測値合計正常値</v>
      </c>
      <c r="J1035" s="1" t="str">
        <f>IFERROR(__xludf.DUMMYFUNCTION("GOOGLETRANSLATE(F1035,""EN"",""JA"")"),"最後のゼロ以外の濃度の観測値に基づく AUCINF を使用して計算された、血管内投与の全身クリアランスを体重で割ったもの。")</f>
        <v>最後のゼロ以外の濃度の観測値に基づく AUCINF を使用して計算された、血管内投与の全身クリアランスを体重で割ったもの。</v>
      </c>
      <c r="K1035" s="1" t="str">
        <f>IFERROR(__xludf.DUMMYFUNCTION("GOOGLETRANSLATE(G1035,""EN"",""JA"")"),"重量で正規化された観測された全クリアランス")</f>
        <v>重量で正規化された観測された全クリアランス</v>
      </c>
    </row>
    <row r="1036" ht="13.5" customHeight="1">
      <c r="A1036" s="1" t="s">
        <v>870</v>
      </c>
      <c r="B1036" s="1" t="s">
        <v>5242</v>
      </c>
      <c r="C1036" s="1" t="s">
        <v>5243</v>
      </c>
      <c r="D1036" s="1" t="s">
        <v>5244</v>
      </c>
      <c r="E1036" s="1" t="s">
        <v>5244</v>
      </c>
      <c r="F1036" s="1" t="s">
        <v>5245</v>
      </c>
      <c r="G1036" s="1" t="s">
        <v>5246</v>
      </c>
      <c r="H1036" s="1" t="str">
        <f>IFERROR(__xludf.DUMMYFUNCTION("GOOGLETRANSLATE(D1036,""EN"",""JA"")"),"合計CL予測")</f>
        <v>合計CL予測</v>
      </c>
      <c r="I1036" s="1" t="str">
        <f>IFERROR(__xludf.DUMMYFUNCTION("GOOGLETRANSLATE(E1036,""EN"",""JA"")"),"合計CL予測")</f>
        <v>合計CL予測</v>
      </c>
      <c r="J1036" s="1" t="str">
        <f>IFERROR(__xludf.DUMMYFUNCTION("GOOGLETRANSLATE(F1036,""EN"",""JA"")"),"最後のゼロ以外の濃度の予測値に基づいて AUCINF を使用して計算された、血管内投与の全身クリアランス。")</f>
        <v>最後のゼロ以外の濃度の予測値に基づいて AUCINF を使用して計算された、血管内投与の全身クリアランス。</v>
      </c>
      <c r="K1036" s="1" t="str">
        <f>IFERROR(__xludf.DUMMYFUNCTION("GOOGLETRANSLATE(G1036,""EN"",""JA"")"),"予測される全身クリアランス率")</f>
        <v>予測される全身クリアランス率</v>
      </c>
    </row>
    <row r="1037" ht="13.5" customHeight="1">
      <c r="A1037" s="1" t="s">
        <v>870</v>
      </c>
      <c r="B1037" s="1" t="s">
        <v>5247</v>
      </c>
      <c r="C1037" s="1" t="s">
        <v>5248</v>
      </c>
      <c r="D1037" s="1" t="s">
        <v>5249</v>
      </c>
      <c r="E1037" s="1" t="s">
        <v>5249</v>
      </c>
      <c r="F1037" s="1" t="s">
        <v>5250</v>
      </c>
      <c r="G1037" s="1" t="s">
        <v>5251</v>
      </c>
      <c r="H1037" s="1" t="str">
        <f>IFERROR(__xludf.DUMMYFUNCTION("GOOGLETRANSLATE(D1037,""EN"",""JA"")"),"BMI別CL予測正常値合計")</f>
        <v>BMI別CL予測正常値合計</v>
      </c>
      <c r="I1037" s="1" t="str">
        <f>IFERROR(__xludf.DUMMYFUNCTION("GOOGLETRANSLATE(E1037,""EN"",""JA"")"),"BMI別CL予測正常値合計")</f>
        <v>BMI別CL予測正常値合計</v>
      </c>
      <c r="J1037" s="1" t="str">
        <f>IFERROR(__xludf.DUMMYFUNCTION("GOOGLETRANSLATE(F1037,""EN"",""JA"")"),"最後の非ゼロ濃度の予測値に基づく AUCINF を使用して計算された血管内投与の全身クリアランスをボディマス指数で割ったもの。")</f>
        <v>最後の非ゼロ濃度の予測値に基づく AUCINF を使用して計算された血管内投与の全身クリアランスをボディマス指数で割ったもの。</v>
      </c>
      <c r="K1037" s="1" t="str">
        <f>IFERROR(__xludf.DUMMYFUNCTION("GOOGLETRANSLATE(G1037,""EN"",""JA"")"),"ボディマス指数で標準化された総クリアランス予測値")</f>
        <v>ボディマス指数で標準化された総クリアランス予測値</v>
      </c>
    </row>
    <row r="1038" ht="13.5" customHeight="1">
      <c r="A1038" s="1" t="s">
        <v>870</v>
      </c>
      <c r="B1038" s="1" t="s">
        <v>5252</v>
      </c>
      <c r="C1038" s="1" t="s">
        <v>5253</v>
      </c>
      <c r="D1038" s="1" t="s">
        <v>5254</v>
      </c>
      <c r="E1038" s="1" t="s">
        <v>5254</v>
      </c>
      <c r="F1038" s="1" t="s">
        <v>5255</v>
      </c>
      <c r="G1038" s="1" t="s">
        <v>5256</v>
      </c>
      <c r="H1038" s="1" t="str">
        <f>IFERROR(__xludf.DUMMYFUNCTION("GOOGLETRANSLATE(D1038,""EN"",""JA"")"),"投与量別の総CL予測正常値")</f>
        <v>投与量別の総CL予測正常値</v>
      </c>
      <c r="I1038" s="1" t="str">
        <f>IFERROR(__xludf.DUMMYFUNCTION("GOOGLETRANSLATE(E1038,""EN"",""JA"")"),"投与量別の総CL予測正常値")</f>
        <v>投与量別の総CL予測正常値</v>
      </c>
      <c r="J1038" s="1" t="str">
        <f>IFERROR(__xludf.DUMMYFUNCTION("GOOGLETRANSLATE(F1038,""EN"",""JA"")"),"最後の非ゼロ濃度の予測値に基づく AUCINF を使用して計算された、血管内投与の全身クリアランスを投与量で割ったもの。")</f>
        <v>最後の非ゼロ濃度の予測値に基づく AUCINF を使用して計算された、血管内投与の全身クリアランスを投与量で割ったもの。</v>
      </c>
      <c r="K1038" s="1" t="str">
        <f>IFERROR(__xludf.DUMMYFUNCTION("GOOGLETRANSLATE(G1038,""EN"",""JA"")"),"投与量別に標準化した予測総クリアランス")</f>
        <v>投与量別に標準化した予測総クリアランス</v>
      </c>
    </row>
    <row r="1039" ht="13.5" customHeight="1">
      <c r="A1039" s="1" t="s">
        <v>11</v>
      </c>
      <c r="B1039" s="1" t="s">
        <v>5257</v>
      </c>
      <c r="C1039" s="1" t="s">
        <v>5258</v>
      </c>
      <c r="D1039" s="1" t="s">
        <v>5259</v>
      </c>
      <c r="E1039" s="1" t="s">
        <v>5259</v>
      </c>
      <c r="F1039" s="1" t="s">
        <v>5260</v>
      </c>
      <c r="G1039" s="1" t="s">
        <v>5261</v>
      </c>
      <c r="H1039" s="1" t="str">
        <f>IFERROR(__xludf.DUMMYFUNCTION("GOOGLETRANSLATE(D1039,""EN"",""JA"")"),"クロルフェンテルミン")</f>
        <v>クロルフェンテルミン</v>
      </c>
      <c r="I1039" s="1" t="str">
        <f>IFERROR(__xludf.DUMMYFUNCTION("GOOGLETRANSLATE(E1039,""EN"",""JA"")"),"クロルフェンテルミン")</f>
        <v>クロルフェンテルミン</v>
      </c>
      <c r="J1039" s="1" t="str">
        <f>IFERROR(__xludf.DUMMYFUNCTION("GOOGLETRANSLATE(F1039,""EN"",""JA"")"),"生物標本中のクロルフェンテルミンの測定。")</f>
        <v>生物標本中のクロルフェンテルミンの測定。</v>
      </c>
      <c r="K1039" s="1" t="str">
        <f>IFERROR(__xludf.DUMMYFUNCTION("GOOGLETRANSLATE(G1039,""EN"",""JA"")"),"クロルフェンテルミン測定")</f>
        <v>クロルフェンテルミン測定</v>
      </c>
    </row>
    <row r="1040" ht="13.5" customHeight="1">
      <c r="A1040" s="1" t="s">
        <v>870</v>
      </c>
      <c r="B1040" s="1" t="s">
        <v>5262</v>
      </c>
      <c r="C1040" s="1" t="s">
        <v>5263</v>
      </c>
      <c r="D1040" s="1" t="s">
        <v>5264</v>
      </c>
      <c r="E1040" s="1" t="s">
        <v>5264</v>
      </c>
      <c r="F1040" s="1" t="s">
        <v>5265</v>
      </c>
      <c r="G1040" s="1" t="s">
        <v>5266</v>
      </c>
      <c r="H1040" s="1" t="str">
        <f>IFERROR(__xludf.DUMMYFUNCTION("GOOGLETRANSLATE(D1040,""EN"",""JA"")"),"SAによる合計CL予測基準")</f>
        <v>SAによる合計CL予測基準</v>
      </c>
      <c r="I1040" s="1" t="str">
        <f>IFERROR(__xludf.DUMMYFUNCTION("GOOGLETRANSLATE(E1040,""EN"",""JA"")"),"SAによる合計CL予測基準")</f>
        <v>SAによる合計CL予測基準</v>
      </c>
      <c r="J1040" s="1" t="str">
        <f>IFERROR(__xludf.DUMMYFUNCTION("GOOGLETRANSLATE(F1040,""EN"",""JA"")"),"最後のゼロ以外の濃度の予測値に基づく AUCINF を使用して計算された血管内投与の全身クリアランスを表面積で割ったもの。")</f>
        <v>最後のゼロ以外の濃度の予測値に基づく AUCINF を使用して計算された血管内投与の全身クリアランスを表面積で割ったもの。</v>
      </c>
      <c r="K1040" s="1" t="str">
        <f>IFERROR(__xludf.DUMMYFUNCTION("GOOGLETRANSLATE(G1040,""EN"",""JA"")"),"表面積で正規化された予測総クリアランス")</f>
        <v>表面積で正規化された予測総クリアランス</v>
      </c>
    </row>
    <row r="1041" ht="13.5" customHeight="1">
      <c r="A1041" s="1" t="s">
        <v>870</v>
      </c>
      <c r="B1041" s="1" t="s">
        <v>5267</v>
      </c>
      <c r="C1041" s="1" t="s">
        <v>5268</v>
      </c>
      <c r="D1041" s="1" t="s">
        <v>5269</v>
      </c>
      <c r="E1041" s="1" t="s">
        <v>5269</v>
      </c>
      <c r="F1041" s="1" t="s">
        <v>5270</v>
      </c>
      <c r="G1041" s="1" t="s">
        <v>5271</v>
      </c>
      <c r="H1041" s="1" t="str">
        <f>IFERROR(__xludf.DUMMYFUNCTION("GOOGLETRANSLATE(D1041,""EN"",""JA"")"),"非結合薬物の総CL予測値")</f>
        <v>非結合薬物の総CL予測値</v>
      </c>
      <c r="I1041" s="1" t="str">
        <f>IFERROR(__xludf.DUMMYFUNCTION("GOOGLETRANSLATE(E1041,""EN"",""JA"")"),"非結合薬物の総CL予測値")</f>
        <v>非結合薬物の総CL予測値</v>
      </c>
      <c r="J1041" s="1" t="str">
        <f>IFERROR(__xludf.DUMMYFUNCTION("GOOGLETRANSLATE(F1041,""EN"",""JA"")"),"血管内投与の全体内クリアランスを薬物非結合分率で割った値。最後のゼロ以外の濃度の予測値に基づいて AUCINF を使用して計算されます。")</f>
        <v>血管内投与の全体内クリアランスを薬物非結合分率で割った値。最後のゼロ以外の濃度の予測値に基づいて AUCINF を使用して計算されます。</v>
      </c>
      <c r="K1041" s="1" t="str">
        <f>IFERROR(__xludf.DUMMYFUNCTION("GOOGLETRANSLATE(G1041,""EN"",""JA"")"),"非結合薬物の予測総クリアランス")</f>
        <v>非結合薬物の予測総クリアランス</v>
      </c>
    </row>
    <row r="1042" ht="13.5" customHeight="1">
      <c r="A1042" s="1" t="s">
        <v>870</v>
      </c>
      <c r="B1042" s="1" t="s">
        <v>5272</v>
      </c>
      <c r="C1042" s="1" t="s">
        <v>5273</v>
      </c>
      <c r="D1042" s="1" t="s">
        <v>5274</v>
      </c>
      <c r="E1042" s="1" t="s">
        <v>5274</v>
      </c>
      <c r="F1042" s="1" t="s">
        <v>5275</v>
      </c>
      <c r="G1042" s="1" t="s">
        <v>5276</v>
      </c>
      <c r="H1042" s="1" t="str">
        <f>IFERROR(__xludf.DUMMYFUNCTION("GOOGLETRANSLATE(D1042,""EN"",""JA"")"),"体重別総CL予測正常値")</f>
        <v>体重別総CL予測正常値</v>
      </c>
      <c r="I1042" s="1" t="str">
        <f>IFERROR(__xludf.DUMMYFUNCTION("GOOGLETRANSLATE(E1042,""EN"",""JA"")"),"体重別総CL予測正常値")</f>
        <v>体重別総CL予測正常値</v>
      </c>
      <c r="J1042" s="1" t="str">
        <f>IFERROR(__xludf.DUMMYFUNCTION("GOOGLETRANSLATE(F1042,""EN"",""JA"")"),"最後のゼロ以外の濃度の予測値に基づく AUCINF を使用して計算された、血管内投与の全身クリアランスを体重で割ったもの。")</f>
        <v>最後のゼロ以外の濃度の予測値に基づく AUCINF を使用して計算された、血管内投与の全身クリアランスを体重で割ったもの。</v>
      </c>
      <c r="K1042" s="1" t="str">
        <f>IFERROR(__xludf.DUMMYFUNCTION("GOOGLETRANSLATE(G1042,""EN"",""JA"")"),"重量で正規化された予測総クリアランス")</f>
        <v>重量で正規化された予測総クリアランス</v>
      </c>
    </row>
    <row r="1043" ht="13.5" customHeight="1">
      <c r="A1043" s="1" t="s">
        <v>11</v>
      </c>
      <c r="B1043" s="1" t="s">
        <v>5277</v>
      </c>
      <c r="C1043" s="1" t="s">
        <v>5278</v>
      </c>
      <c r="D1043" s="1" t="s">
        <v>5279</v>
      </c>
      <c r="E1043" s="1" t="s">
        <v>5279</v>
      </c>
      <c r="F1043" s="1" t="s">
        <v>5280</v>
      </c>
      <c r="G1043" s="1" t="s">
        <v>5281</v>
      </c>
      <c r="H1043" s="1" t="str">
        <f>IFERROR(__xludf.DUMMYFUNCTION("GOOGLETRANSLATE(D1043,""EN"",""JA"")"),"クロルジアゼポキシド")</f>
        <v>クロルジアゼポキシド</v>
      </c>
      <c r="I1043" s="1" t="str">
        <f>IFERROR(__xludf.DUMMYFUNCTION("GOOGLETRANSLATE(E1043,""EN"",""JA"")"),"クロルジアゼポキシド")</f>
        <v>クロルジアゼポキシド</v>
      </c>
      <c r="J1043" s="1" t="str">
        <f>IFERROR(__xludf.DUMMYFUNCTION("GOOGLETRANSLATE(F1043,""EN"",""JA"")"),"生物学的標本中に存在するクロルジアゼポキシドの測定。")</f>
        <v>生物学的標本中に存在するクロルジアゼポキシドの測定。</v>
      </c>
      <c r="K1043" s="1" t="str">
        <f>IFERROR(__xludf.DUMMYFUNCTION("GOOGLETRANSLATE(G1043,""EN"",""JA"")"),"クロルジアゼポキシド測定")</f>
        <v>クロルジアゼポキシド測定</v>
      </c>
    </row>
    <row r="1044" ht="13.5" customHeight="1">
      <c r="A1044" s="1" t="s">
        <v>870</v>
      </c>
      <c r="B1044" s="1" t="s">
        <v>5282</v>
      </c>
      <c r="C1044" s="1" t="s">
        <v>5283</v>
      </c>
      <c r="D1044" s="1" t="s">
        <v>5284</v>
      </c>
      <c r="E1044" s="1" t="s">
        <v>5284</v>
      </c>
      <c r="F1044" s="1" t="s">
        <v>5285</v>
      </c>
      <c r="G1044" s="1" t="s">
        <v>5286</v>
      </c>
      <c r="H1044" s="1" t="str">
        <f>IFERROR(__xludf.DUMMYFUNCTION("GOOGLETRANSLATE(D1044,""EN"",""JA"")"),"腎臓CL（%CL EV）")</f>
        <v>腎臓CL（%CL EV）</v>
      </c>
      <c r="I1044" s="1" t="str">
        <f>IFERROR(__xludf.DUMMYFUNCTION("GOOGLETRANSLATE(E1044,""EN"",""JA"")"),"腎臓CL（%CL EV）")</f>
        <v>腎臓CL（%CL EV）</v>
      </c>
      <c r="J1044" s="1" t="str">
        <f>IFERROR(__xludf.DUMMYFUNCTION("GOOGLETRANSLATE(F1044,""EN"",""JA"")"),"血管外投与後に腎臓でクリアランスされる総量の割合をパーセンテージで表したものです。")</f>
        <v>血管外投与後に腎臓でクリアランスされる総量の割合をパーセンテージで表したものです。</v>
      </c>
      <c r="K1044" s="1" t="str">
        <f>IFERROR(__xludf.DUMMYFUNCTION("GOOGLETRANSLATE(G1044,""EN"",""JA"")"),"経口投与後の腎クリアランス対総クリアランス比測定")</f>
        <v>経口投与後の腎クリアランス対総クリアランス比測定</v>
      </c>
    </row>
    <row r="1045" ht="13.5" customHeight="1">
      <c r="A1045" s="1" t="s">
        <v>870</v>
      </c>
      <c r="B1045" s="1" t="s">
        <v>5287</v>
      </c>
      <c r="C1045" s="1" t="s">
        <v>5288</v>
      </c>
      <c r="D1045" s="1" t="s">
        <v>5289</v>
      </c>
      <c r="E1045" s="1" t="s">
        <v>5289</v>
      </c>
      <c r="F1045" s="1" t="s">
        <v>5290</v>
      </c>
      <c r="G1045" s="1" t="s">
        <v>5291</v>
      </c>
      <c r="H1045" s="1" t="str">
        <f>IFERROR(__xludf.DUMMYFUNCTION("GOOGLETRANSLATE(D1045,""EN"",""JA"")"),"腎臓CL（CL IVの割合）")</f>
        <v>腎臓CL（CL IVの割合）</v>
      </c>
      <c r="I1045" s="1" t="str">
        <f>IFERROR(__xludf.DUMMYFUNCTION("GOOGLETRANSLATE(E1045,""EN"",""JA"")"),"腎臓CL（CL IVの割合）")</f>
        <v>腎臓CL（CL IVの割合）</v>
      </c>
      <c r="J1045" s="1" t="str">
        <f>IFERROR(__xludf.DUMMYFUNCTION("GOOGLETRANSLATE(F1045,""EN"",""JA"")"),"静脈内投与後に腎臓で除去される総量の割合をパーセンテージで表します。")</f>
        <v>静脈内投与後に腎臓で除去される総量の割合をパーセンテージで表します。</v>
      </c>
      <c r="K1045" s="1" t="str">
        <f>IFERROR(__xludf.DUMMYFUNCTION("GOOGLETRANSLATE(G1045,""EN"",""JA"")"),"静脈内投与後の腎クリアランス対総クリアランス比測定")</f>
        <v>静脈内投与後の腎クリアランス対総クリアランス比測定</v>
      </c>
    </row>
    <row r="1046" ht="13.5" customHeight="1">
      <c r="A1046" s="1" t="s">
        <v>11</v>
      </c>
      <c r="B1046" s="1" t="s">
        <v>5292</v>
      </c>
      <c r="C1046" s="1" t="s">
        <v>5293</v>
      </c>
      <c r="D1046" s="1" t="s">
        <v>5294</v>
      </c>
      <c r="E1046" s="1" t="s">
        <v>5294</v>
      </c>
      <c r="F1046" s="1" t="s">
        <v>5295</v>
      </c>
      <c r="G1046" s="1" t="s">
        <v>5296</v>
      </c>
      <c r="H1046" s="1" t="str">
        <f>IFERROR(__xludf.DUMMYFUNCTION("GOOGLETRANSLATE(D1046,""EN"",""JA"")"),"クロラゼプ酸")</f>
        <v>クロラゼプ酸</v>
      </c>
      <c r="I1046" s="1" t="str">
        <f>IFERROR(__xludf.DUMMYFUNCTION("GOOGLETRANSLATE(E1046,""EN"",""JA"")"),"クロラゼプ酸")</f>
        <v>クロラゼプ酸</v>
      </c>
      <c r="J1046" s="1" t="str">
        <f>IFERROR(__xludf.DUMMYFUNCTION("GOOGLETRANSLATE(F1046,""EN"",""JA"")"),"生物標本中に存在するクロラゼペートの測定。")</f>
        <v>生物標本中に存在するクロラゼペートの測定。</v>
      </c>
      <c r="K1046" s="1" t="str">
        <f>IFERROR(__xludf.DUMMYFUNCTION("GOOGLETRANSLATE(G1046,""EN"",""JA"")"),"クロラゼペート測定")</f>
        <v>クロラゼペート測定</v>
      </c>
    </row>
    <row r="1047" ht="13.5" customHeight="1">
      <c r="A1047" s="1" t="s">
        <v>870</v>
      </c>
      <c r="B1047" s="1" t="s">
        <v>5297</v>
      </c>
      <c r="C1047" s="1" t="s">
        <v>5298</v>
      </c>
      <c r="D1047" s="1" t="s">
        <v>5299</v>
      </c>
      <c r="E1047" s="1" t="s">
        <v>5299</v>
      </c>
      <c r="F1047" s="1" t="s">
        <v>5300</v>
      </c>
      <c r="G1047" s="1" t="s">
        <v>5301</v>
      </c>
      <c r="H1047" s="1" t="str">
        <f>IFERROR(__xludf.DUMMYFUNCTION("GOOGLETRANSLATE(D1047,""EN"",""JA"")"),"最後の非ゼロコンク")</f>
        <v>最後の非ゼロコンク</v>
      </c>
      <c r="I1047" s="1" t="str">
        <f>IFERROR(__xludf.DUMMYFUNCTION("GOOGLETRANSLATE(E1047,""EN"",""JA"")"),"最後の非ゼロコンク")</f>
        <v>最後の非ゼロコンク</v>
      </c>
      <c r="J1047" s="1" t="str">
        <f>IFERROR(__xludf.DUMMYFUNCTION("GOOGLETRANSLATE(F1047,""EN"",""JA"")"),"Tlastに対応する濃度。")</f>
        <v>Tlastに対応する濃度。</v>
      </c>
      <c r="K1047" s="1" t="str">
        <f>IFERROR(__xludf.DUMMYFUNCTION("GOOGLETRANSLATE(G1047,""EN"",""JA"")"),"最後の集中")</f>
        <v>最後の集中</v>
      </c>
    </row>
    <row r="1048" ht="13.5" customHeight="1">
      <c r="A1048" s="1" t="s">
        <v>870</v>
      </c>
      <c r="B1048" s="1" t="s">
        <v>5302</v>
      </c>
      <c r="C1048" s="1" t="s">
        <v>5303</v>
      </c>
      <c r="D1048" s="1" t="s">
        <v>5304</v>
      </c>
      <c r="E1048" s="1" t="s">
        <v>5304</v>
      </c>
      <c r="F1048" s="1" t="s">
        <v>5305</v>
      </c>
      <c r="G1048" s="1" t="s">
        <v>5306</v>
      </c>
      <c r="H1048" s="1" t="str">
        <f>IFERROR(__xludf.DUMMYFUNCTION("GOOGLETRANSLATE(D1048,""EN"",""JA"")"),"BMIによる最後の非ゼロ濃度ノルム")</f>
        <v>BMIによる最後の非ゼロ濃度ノルム</v>
      </c>
      <c r="I1048" s="1" t="str">
        <f>IFERROR(__xludf.DUMMYFUNCTION("GOOGLETRANSLATE(E1048,""EN"",""JA"")"),"BMIによる最後の非ゼロ濃度ノルム")</f>
        <v>BMIによる最後の非ゼロ濃度ノルム</v>
      </c>
      <c r="J1048" s="1" t="str">
        <f>IFERROR(__xludf.DUMMYFUNCTION("GOOGLETRANSLATE(F1048,""EN"",""JA"")"),"Tlast に相当する濃度をボディマス指数で割ったもの。")</f>
        <v>Tlast に相当する濃度をボディマス指数で割ったもの。</v>
      </c>
      <c r="K1048" s="1" t="str">
        <f>IFERROR(__xludf.DUMMYFUNCTION("GOOGLETRANSLATE(G1048,""EN"",""JA"")"),"最終濃度をBMIで正規化")</f>
        <v>最終濃度をBMIで正規化</v>
      </c>
    </row>
    <row r="1049" ht="13.5" customHeight="1">
      <c r="A1049" s="1" t="s">
        <v>870</v>
      </c>
      <c r="B1049" s="1" t="s">
        <v>5307</v>
      </c>
      <c r="C1049" s="1" t="s">
        <v>5308</v>
      </c>
      <c r="D1049" s="1" t="s">
        <v>5309</v>
      </c>
      <c r="E1049" s="1" t="s">
        <v>5309</v>
      </c>
      <c r="F1049" s="1" t="s">
        <v>5310</v>
      </c>
      <c r="G1049" s="1" t="s">
        <v>5311</v>
      </c>
      <c r="H1049" s="1" t="str">
        <f>IFERROR(__xludf.DUMMYFUNCTION("GOOGLETRANSLATE(D1049,""EN"",""JA"")"),"投与量別の最後の非ゼロ濃度ノルム")</f>
        <v>投与量別の最後の非ゼロ濃度ノルム</v>
      </c>
      <c r="I1049" s="1" t="str">
        <f>IFERROR(__xludf.DUMMYFUNCTION("GOOGLETRANSLATE(E1049,""EN"",""JA"")"),"投与量別の最後の非ゼロ濃度ノルム")</f>
        <v>投与量別の最後の非ゼロ濃度ノルム</v>
      </c>
      <c r="J1049" s="1" t="str">
        <f>IFERROR(__xludf.DUMMYFUNCTION("GOOGLETRANSLATE(F1049,""EN"",""JA"")"),"Tlast に対応する濃度を投与量で割ったもの。")</f>
        <v>Tlast に対応する濃度を投与量で割ったもの。</v>
      </c>
      <c r="K1049" s="1" t="str">
        <f>IFERROR(__xludf.DUMMYFUNCTION("GOOGLETRANSLATE(G1049,""EN"",""JA"")"),"投与量で正規化された最終濃度")</f>
        <v>投与量で正規化された最終濃度</v>
      </c>
    </row>
    <row r="1050" ht="13.5" customHeight="1">
      <c r="A1050" s="1" t="s">
        <v>870</v>
      </c>
      <c r="B1050" s="1" t="s">
        <v>5312</v>
      </c>
      <c r="C1050" s="1" t="s">
        <v>5313</v>
      </c>
      <c r="D1050" s="1" t="s">
        <v>5314</v>
      </c>
      <c r="E1050" s="1" t="s">
        <v>5314</v>
      </c>
      <c r="F1050" s="1" t="s">
        <v>5315</v>
      </c>
      <c r="G1050" s="1" t="s">
        <v>5316</v>
      </c>
      <c r="H1050" s="1" t="str">
        <f>IFERROR(__xludf.DUMMYFUNCTION("GOOGLETRANSLATE(D1050,""EN"",""JA"")"),"SAによる最後の非ゼロ濃度ノルム")</f>
        <v>SAによる最後の非ゼロ濃度ノルム</v>
      </c>
      <c r="I1050" s="1" t="str">
        <f>IFERROR(__xludf.DUMMYFUNCTION("GOOGLETRANSLATE(E1050,""EN"",""JA"")"),"SAによる最後の非ゼロ濃度ノルム")</f>
        <v>SAによる最後の非ゼロ濃度ノルム</v>
      </c>
      <c r="J1050" s="1" t="str">
        <f>IFERROR(__xludf.DUMMYFUNCTION("GOOGLETRANSLATE(F1050,""EN"",""JA"")"),"Tlast に対応する濃度を表面積で割ったもの。")</f>
        <v>Tlast に対応する濃度を表面積で割ったもの。</v>
      </c>
      <c r="K1050" s="1" t="str">
        <f>IFERROR(__xludf.DUMMYFUNCTION("GOOGLETRANSLATE(G1050,""EN"",""JA"")"),"最終濃度を表面積で正規化")</f>
        <v>最終濃度を表面積で正規化</v>
      </c>
    </row>
    <row r="1051" ht="13.5" customHeight="1">
      <c r="A1051" s="1" t="s">
        <v>870</v>
      </c>
      <c r="B1051" s="1" t="s">
        <v>5317</v>
      </c>
      <c r="C1051" s="1" t="s">
        <v>5318</v>
      </c>
      <c r="D1051" s="1" t="s">
        <v>5319</v>
      </c>
      <c r="E1051" s="1" t="s">
        <v>5319</v>
      </c>
      <c r="F1051" s="1" t="s">
        <v>5320</v>
      </c>
      <c r="G1051" s="1" t="s">
        <v>5321</v>
      </c>
      <c r="H1051" s="1" t="str">
        <f>IFERROR(__xludf.DUMMYFUNCTION("GOOGLETRANSLATE(D1051,""EN"",""JA"")"),"WTによる最後の非ゼロ濃度ノルム")</f>
        <v>WTによる最後の非ゼロ濃度ノルム</v>
      </c>
      <c r="I1051" s="1" t="str">
        <f>IFERROR(__xludf.DUMMYFUNCTION("GOOGLETRANSLATE(E1051,""EN"",""JA"")"),"WTによる最後の非ゼロ濃度ノルム")</f>
        <v>WTによる最後の非ゼロ濃度ノルム</v>
      </c>
      <c r="J1051" s="1" t="str">
        <f>IFERROR(__xludf.DUMMYFUNCTION("GOOGLETRANSLATE(F1051,""EN"",""JA"")"),"Tlast に対応する濃度を重量で割ったもの。")</f>
        <v>Tlast に対応する濃度を重量で割ったもの。</v>
      </c>
      <c r="K1051" s="1" t="str">
        <f>IFERROR(__xludf.DUMMYFUNCTION("GOOGLETRANSLATE(G1051,""EN"",""JA"")"),"重量で正規化された最終濃度")</f>
        <v>重量で正規化された最終濃度</v>
      </c>
    </row>
    <row r="1052" ht="13.5" customHeight="1">
      <c r="A1052" s="1" t="s">
        <v>11</v>
      </c>
      <c r="B1052" s="1" t="s">
        <v>5322</v>
      </c>
      <c r="C1052" s="1" t="s">
        <v>5323</v>
      </c>
      <c r="D1052" s="1" t="s">
        <v>5324</v>
      </c>
      <c r="E1052" s="1" t="s">
        <v>5325</v>
      </c>
      <c r="F1052" s="1" t="s">
        <v>5326</v>
      </c>
      <c r="G1052" s="1" t="s">
        <v>5327</v>
      </c>
      <c r="H1052" s="1" t="str">
        <f>IFERROR(__xludf.DUMMYFUNCTION("GOOGLETRANSLATE(D1052,""EN"",""JA"")"),"血栓溶解時間")</f>
        <v>血栓溶解時間</v>
      </c>
      <c r="I1052" s="1" t="str">
        <f>IFERROR(__xludf.DUMMYFUNCTION("GOOGLETRANSLATE(E1052,""EN"",""JA"")"),"血栓溶解時間; ECLT; ELT; ユーグロブリン血栓溶解時間; ユーグロブリン溶解時間")</f>
        <v>血栓溶解時間; ECLT; ELT; ユーグロブリン血栓溶解時間; ユーグロブリン溶解時間</v>
      </c>
      <c r="J1052" s="1" t="str">
        <f>IFERROR(__xludf.DUMMYFUNCTION("GOOGLETRANSLATE(F1052,""EN"",""JA"")"),"生物標本内のフィブリン塊が溶解するまでにかかる時間の測定値。")</f>
        <v>生物標本内のフィブリン塊が溶解するまでにかかる時間の測定値。</v>
      </c>
      <c r="K1052" s="1" t="str">
        <f>IFERROR(__xludf.DUMMYFUNCTION("GOOGLETRANSLATE(G1052,""EN"",""JA"")"),"ユーグロブリン血栓溶解時間")</f>
        <v>ユーグロブリン血栓溶解時間</v>
      </c>
    </row>
    <row r="1053" ht="13.5" customHeight="1">
      <c r="A1053" s="1" t="s">
        <v>870</v>
      </c>
      <c r="B1053" s="1" t="s">
        <v>5328</v>
      </c>
      <c r="C1053" s="1" t="s">
        <v>5329</v>
      </c>
      <c r="D1053" s="1" t="s">
        <v>5330</v>
      </c>
      <c r="E1053" s="1" t="s">
        <v>5330</v>
      </c>
      <c r="F1053" s="1" t="s">
        <v>5331</v>
      </c>
      <c r="G1053" s="1" t="s">
        <v>5332</v>
      </c>
      <c r="H1053" s="1" t="str">
        <f>IFERROR(__xludf.DUMMYFUNCTION("GOOGLETRANSLATE(D1053,""EN"",""JA"")"),"投与量内訳合計CL")</f>
        <v>投与量内訳合計CL</v>
      </c>
      <c r="I1053" s="1" t="str">
        <f>IFERROR(__xludf.DUMMYFUNCTION("GOOGLETRANSLATE(E1053,""EN"",""JA"")"),"投与量内訳合計CL")</f>
        <v>投与量内訳合計CL</v>
      </c>
      <c r="J1053" s="1" t="str">
        <f>IFERROR(__xludf.DUMMYFUNCTION("GOOGLETRANSLATE(F1053,""EN"",""JA"")"),"AUCTAU を使用して計算された血管内投与の全身クリアランス。")</f>
        <v>AUCTAU を使用して計算された血管内投与の全身クリアランス。</v>
      </c>
      <c r="K1053" s="1" t="str">
        <f>IFERROR(__xludf.DUMMYFUNCTION("GOOGLETRANSLATE(G1053,""EN"",""JA"")"),"投与間隔における全身クリアランス")</f>
        <v>投与間隔における全身クリアランス</v>
      </c>
    </row>
    <row r="1054" ht="13.5" customHeight="1">
      <c r="A1054" s="1" t="s">
        <v>870</v>
      </c>
      <c r="B1054" s="1" t="s">
        <v>5333</v>
      </c>
      <c r="C1054" s="1" t="s">
        <v>5334</v>
      </c>
      <c r="D1054" s="1" t="s">
        <v>5335</v>
      </c>
      <c r="E1054" s="1" t="s">
        <v>5335</v>
      </c>
      <c r="F1054" s="1" t="s">
        <v>5336</v>
      </c>
      <c r="G1054" s="1" t="s">
        <v>5337</v>
      </c>
      <c r="H1054" s="1" t="str">
        <f>IFERROR(__xludf.DUMMYFUNCTION("GOOGLETRANSLATE(D1054,""EN"",""JA"")"),"BMI別線量内標準値の合計CL")</f>
        <v>BMI別線量内標準値の合計CL</v>
      </c>
      <c r="I1054" s="1" t="str">
        <f>IFERROR(__xludf.DUMMYFUNCTION("GOOGLETRANSLATE(E1054,""EN"",""JA"")"),"BMI別線量内標準値の合計CL")</f>
        <v>BMI別線量内標準値の合計CL</v>
      </c>
      <c r="J1054" s="1" t="str">
        <f>IFERROR(__xludf.DUMMYFUNCTION("GOOGLETRANSLATE(F1054,""EN"",""JA"")"),"AUCTAU を使用して計算された血管内投与の全身クリアランスをボディマス指数で割ったもの。")</f>
        <v>AUCTAU を使用して計算された血管内投与の全身クリアランスをボディマス指数で割ったもの。</v>
      </c>
      <c r="K1054" s="1" t="str">
        <f>IFERROR(__xludf.DUMMYFUNCTION("GOOGLETRANSLATE(G1054,""EN"",""JA"")"),"ボディマス指数で標準化した投与間隔における全身クリアランス")</f>
        <v>ボディマス指数で標準化した投与間隔における全身クリアランス</v>
      </c>
    </row>
    <row r="1055" ht="13.5" customHeight="1">
      <c r="A1055" s="1" t="s">
        <v>870</v>
      </c>
      <c r="B1055" s="1" t="s">
        <v>5338</v>
      </c>
      <c r="C1055" s="1" t="s">
        <v>5339</v>
      </c>
      <c r="D1055" s="1" t="s">
        <v>5340</v>
      </c>
      <c r="E1055" s="1" t="s">
        <v>5340</v>
      </c>
      <c r="F1055" s="1" t="s">
        <v>5341</v>
      </c>
      <c r="G1055" s="1" t="s">
        <v>5342</v>
      </c>
      <c r="H1055" s="1" t="str">
        <f>IFERROR(__xludf.DUMMYFUNCTION("GOOGLETRANSLATE(D1055,""EN"",""JA"")"),"投与量別投与量内標準値の合計CL")</f>
        <v>投与量別投与量内標準値の合計CL</v>
      </c>
      <c r="I1055" s="1" t="str">
        <f>IFERROR(__xludf.DUMMYFUNCTION("GOOGLETRANSLATE(E1055,""EN"",""JA"")"),"投与量別投与量内標準値の合計CL")</f>
        <v>投与量別投与量内標準値の合計CL</v>
      </c>
      <c r="J1055" s="1" t="str">
        <f>IFERROR(__xludf.DUMMYFUNCTION("GOOGLETRANSLATE(F1055,""EN"",""JA"")"),"AUCTAU を使用して計算された血管内投与の全身クリアランスを投与量で割ったもの。")</f>
        <v>AUCTAU を使用して計算された血管内投与の全身クリアランスを投与量で割ったもの。</v>
      </c>
      <c r="K1055" s="1" t="str">
        <f>IFERROR(__xludf.DUMMYFUNCTION("GOOGLETRANSLATE(G1055,""EN"",""JA"")"),"投与量で標準化した投与間隔における全身クリアランス")</f>
        <v>投与量で標準化した投与間隔における全身クリアランス</v>
      </c>
    </row>
    <row r="1056" ht="13.5" customHeight="1">
      <c r="A1056" s="1" t="s">
        <v>870</v>
      </c>
      <c r="B1056" s="1" t="s">
        <v>5343</v>
      </c>
      <c r="C1056" s="1" t="s">
        <v>5344</v>
      </c>
      <c r="D1056" s="1" t="s">
        <v>5345</v>
      </c>
      <c r="E1056" s="1" t="s">
        <v>5345</v>
      </c>
      <c r="F1056" s="1" t="s">
        <v>5346</v>
      </c>
      <c r="G1056" s="1" t="s">
        <v>5347</v>
      </c>
      <c r="H1056" s="1" t="str">
        <f>IFERROR(__xludf.DUMMYFUNCTION("GOOGLETRANSLATE(D1056,""EN"",""JA"")"),"SAによる線量内標準値の合計CL")</f>
        <v>SAによる線量内標準値の合計CL</v>
      </c>
      <c r="I1056" s="1" t="str">
        <f>IFERROR(__xludf.DUMMYFUNCTION("GOOGLETRANSLATE(E1056,""EN"",""JA"")"),"SAによる線量内標準値の合計CL")</f>
        <v>SAによる線量内標準値の合計CL</v>
      </c>
      <c r="J1056" s="1" t="str">
        <f>IFERROR(__xludf.DUMMYFUNCTION("GOOGLETRANSLATE(F1056,""EN"",""JA"")"),"AUCTAU を使用して計算された血管内投与の全身クリアランスを表面積で割ったもの。")</f>
        <v>AUCTAU を使用して計算された血管内投与の全身クリアランスを表面積で割ったもの。</v>
      </c>
      <c r="K1056" s="1" t="str">
        <f>IFERROR(__xludf.DUMMYFUNCTION("GOOGLETRANSLATE(G1056,""EN"",""JA"")"),"体表面積で正規化した投与間隔における全身クリアランス")</f>
        <v>体表面積で正規化した投与間隔における全身クリアランス</v>
      </c>
    </row>
    <row r="1057" ht="13.5" customHeight="1">
      <c r="A1057" s="1" t="s">
        <v>870</v>
      </c>
      <c r="B1057" s="1" t="s">
        <v>5348</v>
      </c>
      <c r="C1057" s="1" t="s">
        <v>5349</v>
      </c>
      <c r="D1057" s="1" t="s">
        <v>5350</v>
      </c>
      <c r="E1057" s="1" t="s">
        <v>5350</v>
      </c>
      <c r="F1057" s="1" t="s">
        <v>5351</v>
      </c>
      <c r="G1057" s="1" t="s">
        <v>5352</v>
      </c>
      <c r="H1057" s="1" t="str">
        <f>IFERROR(__xludf.DUMMYFUNCTION("GOOGLETRANSLATE(D1057,""EN"",""JA"")"),"WT別の線量内標準値の合計CL")</f>
        <v>WT別の線量内標準値の合計CL</v>
      </c>
      <c r="I1057" s="1" t="str">
        <f>IFERROR(__xludf.DUMMYFUNCTION("GOOGLETRANSLATE(E1057,""EN"",""JA"")"),"WT別の線量内標準値の合計CL")</f>
        <v>WT別の線量内標準値の合計CL</v>
      </c>
      <c r="J1057" s="1" t="str">
        <f>IFERROR(__xludf.DUMMYFUNCTION("GOOGLETRANSLATE(F1057,""EN"",""JA"")"),"AUCTAU を使用して計算された血管内投与の全身クリアランスを体重で割ったもの。")</f>
        <v>AUCTAU を使用して計算された血管内投与の全身クリアランスを体重で割ったもの。</v>
      </c>
      <c r="K1057" s="1" t="str">
        <f>IFERROR(__xludf.DUMMYFUNCTION("GOOGLETRANSLATE(G1057,""EN"",""JA"")"),"体重で標準化した投与間隔における全身クリアランス")</f>
        <v>体重で標準化した投与間隔における全身クリアランス</v>
      </c>
    </row>
    <row r="1058" ht="13.5" customHeight="1">
      <c r="A1058" s="1" t="s">
        <v>11</v>
      </c>
      <c r="B1058" s="1" t="s">
        <v>5353</v>
      </c>
      <c r="C1058" s="1" t="s">
        <v>5354</v>
      </c>
      <c r="D1058" s="1" t="s">
        <v>5355</v>
      </c>
      <c r="E1058" s="1" t="s">
        <v>5355</v>
      </c>
      <c r="F1058" s="1" t="s">
        <v>5356</v>
      </c>
      <c r="G1058" s="1" t="s">
        <v>5357</v>
      </c>
      <c r="H1058" s="1" t="str">
        <f>IFERROR(__xludf.DUMMYFUNCTION("GOOGLETRANSLATE(D1058,""EN"",""JA"")"),"手がかり細胞")</f>
        <v>手がかり細胞</v>
      </c>
      <c r="I1058" s="1" t="str">
        <f>IFERROR(__xludf.DUMMYFUNCTION("GOOGLETRANSLATE(E1058,""EN"",""JA"")"),"手がかり細胞")</f>
        <v>手がかり細胞</v>
      </c>
      <c r="J1058" s="1" t="str">
        <f>IFERROR(__xludf.DUMMYFUNCTION("GOOGLETRANSLATE(F1058,""EN"",""JA"")"),"生物標本内の手がかり細胞の測定。")</f>
        <v>生物標本内の手がかり細胞の測定。</v>
      </c>
      <c r="K1058" s="1" t="str">
        <f>IFERROR(__xludf.DUMMYFUNCTION("GOOGLETRANSLATE(G1058,""EN"",""JA"")"),"手がかりセル数")</f>
        <v>手がかりセル数</v>
      </c>
    </row>
    <row r="1059" ht="13.5" customHeight="1">
      <c r="A1059" s="1" t="s">
        <v>1342</v>
      </c>
      <c r="B1059" s="1" t="s">
        <v>5358</v>
      </c>
      <c r="C1059" s="1" t="s">
        <v>5359</v>
      </c>
      <c r="D1059" s="1" t="s">
        <v>5360</v>
      </c>
      <c r="E1059" s="1" t="s">
        <v>5360</v>
      </c>
      <c r="F1059" s="1" t="s">
        <v>5361</v>
      </c>
      <c r="G1059" s="1" t="s">
        <v>5362</v>
      </c>
      <c r="H1059" s="1" t="str">
        <f>IFERROR(__xludf.DUMMYFUNCTION("GOOGLETRANSLATE(D1059,""EN"",""JA"")"),"循環リンパ球反応")</f>
        <v>循環リンパ球反応</v>
      </c>
      <c r="I1059" s="1" t="str">
        <f>IFERROR(__xludf.DUMMYFUNCTION("GOOGLETRANSLATE(E1059,""EN"",""JA"")"),"循環リンパ球反応")</f>
        <v>循環リンパ球反応</v>
      </c>
      <c r="J1059" s="1" t="str">
        <f>IFERROR(__xludf.DUMMYFUNCTION("GOOGLETRANSLATE(F1059,""EN"",""JA"")"),"循環リンパ球数に基づいた治療に対する疾患反応の評価。")</f>
        <v>循環リンパ球数に基づいた治療に対する疾患反応の評価。</v>
      </c>
      <c r="K1059" s="1" t="str">
        <f>IFERROR(__xludf.DUMMYFUNCTION("GOOGLETRANSLATE(G1059,""EN"",""JA"")"),"循環リンパ球反応")</f>
        <v>循環リンパ球反応</v>
      </c>
    </row>
    <row r="1060" ht="13.5" customHeight="1">
      <c r="A1060" s="1" t="s">
        <v>11</v>
      </c>
      <c r="B1060" s="1" t="s">
        <v>5363</v>
      </c>
      <c r="C1060" s="1" t="s">
        <v>5364</v>
      </c>
      <c r="D1060" s="1" t="s">
        <v>5365</v>
      </c>
      <c r="E1060" s="1" t="s">
        <v>5365</v>
      </c>
      <c r="F1060" s="1" t="s">
        <v>5366</v>
      </c>
      <c r="G1060" s="1" t="s">
        <v>5367</v>
      </c>
      <c r="H1060" s="1" t="str">
        <f>IFERROR(__xludf.DUMMYFUNCTION("GOOGLETRANSLATE(D1060,""EN"",""JA"")"),"クロナゼパムおよび/または代謝物")</f>
        <v>クロナゼパムおよび/または代謝物</v>
      </c>
      <c r="I1060" s="1" t="str">
        <f>IFERROR(__xludf.DUMMYFUNCTION("GOOGLETRANSLATE(E1060,""EN"",""JA"")"),"クロナゼパムおよび/または代謝物")</f>
        <v>クロナゼパムおよび/または代謝物</v>
      </c>
      <c r="J1060" s="1" t="str">
        <f>IFERROR(__xludf.DUMMYFUNCTION("GOOGLETRANSLATE(F1060,""EN"",""JA"")"),"クロナゼパムとその代謝物の両方を測定できるアッセイのために、生物学的標本中に存在するクロナゼパムおよび/またはその代謝物の測定。")</f>
        <v>クロナゼパムとその代謝物の両方を測定できるアッセイのために、生物学的標本中に存在するクロナゼパムおよび/またはその代謝物の測定。</v>
      </c>
      <c r="K1060" s="1" t="str">
        <f>IFERROR(__xludf.DUMMYFUNCTION("GOOGLETRANSLATE(G1060,""EN"",""JA"")"),"クロナゼパムおよび/または代謝物の測定")</f>
        <v>クロナゼパムおよび/または代謝物の測定</v>
      </c>
    </row>
    <row r="1061" ht="13.5" customHeight="1">
      <c r="A1061" s="1" t="s">
        <v>870</v>
      </c>
      <c r="B1061" s="1" t="s">
        <v>5368</v>
      </c>
      <c r="C1061" s="1" t="s">
        <v>5369</v>
      </c>
      <c r="D1061" s="1" t="s">
        <v>5370</v>
      </c>
      <c r="E1061" s="1" t="s">
        <v>5371</v>
      </c>
      <c r="F1061" s="1" t="s">
        <v>5372</v>
      </c>
      <c r="G1061" s="1" t="s">
        <v>5373</v>
      </c>
      <c r="H1061" s="1" t="str">
        <f>IFERROR(__xludf.DUMMYFUNCTION("GOOGLETRANSLATE(D1061,""EN"",""JA"")"),"最大濃度")</f>
        <v>最大濃度</v>
      </c>
      <c r="I1061" s="1" t="str">
        <f>IFERROR(__xludf.DUMMYFUNCTION("GOOGLETRANSLATE(E1061,""EN"",""JA"")"),"Cmax; 最大濃度; 最大濃度")</f>
        <v>Cmax; 最大濃度; 最大濃度</v>
      </c>
      <c r="J1061" s="1" t="str">
        <f>IFERROR(__xludf.DUMMYFUNCTION("GOOGLETRANSLATE(F1061,""EN"",""JA"")"),"Tmax で発生する最大濃度。")</f>
        <v>Tmax で発生する最大濃度。</v>
      </c>
      <c r="K1061" s="1" t="str">
        <f>IFERROR(__xludf.DUMMYFUNCTION("GOOGLETRANSLATE(G1061,""EN"",""JA"")"),"Cmax")</f>
        <v>Cmax</v>
      </c>
    </row>
    <row r="1062" ht="13.5" customHeight="1">
      <c r="A1062" s="1" t="s">
        <v>870</v>
      </c>
      <c r="B1062" s="1" t="s">
        <v>5374</v>
      </c>
      <c r="C1062" s="1" t="s">
        <v>5375</v>
      </c>
      <c r="D1062" s="1" t="s">
        <v>5376</v>
      </c>
      <c r="E1062" s="1" t="s">
        <v>5376</v>
      </c>
      <c r="F1062" s="1" t="s">
        <v>5377</v>
      </c>
      <c r="G1062" s="1" t="s">
        <v>5378</v>
      </c>
      <c r="H1062" s="1" t="str">
        <f>IFERROR(__xludf.DUMMYFUNCTION("GOOGLETRANSLATE(D1062,""EN"",""JA"")"),"BMIによる最大濃度基準")</f>
        <v>BMIによる最大濃度基準</v>
      </c>
      <c r="I1062" s="1" t="str">
        <f>IFERROR(__xludf.DUMMYFUNCTION("GOOGLETRANSLATE(E1062,""EN"",""JA"")"),"BMIによる最大濃度基準")</f>
        <v>BMIによる最大濃度基準</v>
      </c>
      <c r="J1062" s="1" t="str">
        <f>IFERROR(__xludf.DUMMYFUNCTION("GOOGLETRANSLATE(F1062,""EN"",""JA"")"),"Tmax で発生する最大濃度をボディマス指数で割ったもの。")</f>
        <v>Tmax で発生する最大濃度をボディマス指数で割ったもの。</v>
      </c>
      <c r="K1062" s="1" t="str">
        <f>IFERROR(__xludf.DUMMYFUNCTION("GOOGLETRANSLATE(G1062,""EN"",""JA"")"),"体格指数で正規化した最大濃度")</f>
        <v>体格指数で正規化した最大濃度</v>
      </c>
    </row>
    <row r="1063" ht="13.5" customHeight="1">
      <c r="A1063" s="1" t="s">
        <v>870</v>
      </c>
      <c r="B1063" s="1" t="s">
        <v>5379</v>
      </c>
      <c r="C1063" s="1" t="s">
        <v>5380</v>
      </c>
      <c r="D1063" s="1" t="s">
        <v>5381</v>
      </c>
      <c r="E1063" s="1" t="s">
        <v>5381</v>
      </c>
      <c r="F1063" s="1" t="s">
        <v>5382</v>
      </c>
      <c r="G1063" s="1" t="s">
        <v>5383</v>
      </c>
      <c r="H1063" s="1" t="str">
        <f>IFERROR(__xludf.DUMMYFUNCTION("GOOGLETRANSLATE(D1063,""EN"",""JA"")"),"投与量別の最大濃度基準")</f>
        <v>投与量別の最大濃度基準</v>
      </c>
      <c r="I1063" s="1" t="str">
        <f>IFERROR(__xludf.DUMMYFUNCTION("GOOGLETRANSLATE(E1063,""EN"",""JA"")"),"投与量別の最大濃度基準")</f>
        <v>投与量別の最大濃度基準</v>
      </c>
      <c r="J1063" s="1" t="str">
        <f>IFERROR(__xludf.DUMMYFUNCTION("GOOGLETRANSLATE(F1063,""EN"",""JA"")"),"Tmax で発生する最大濃度を投与量で割ったもの。")</f>
        <v>Tmax で発生する最大濃度を投与量で割ったもの。</v>
      </c>
      <c r="K1063" s="1" t="str">
        <f>IFERROR(__xludf.DUMMYFUNCTION("GOOGLETRANSLATE(G1063,""EN"",""JA"")"),"最大濃度線量正規化")</f>
        <v>最大濃度線量正規化</v>
      </c>
    </row>
    <row r="1064" ht="13.5" customHeight="1">
      <c r="A1064" s="1" t="s">
        <v>870</v>
      </c>
      <c r="B1064" s="1" t="s">
        <v>5384</v>
      </c>
      <c r="C1064" s="1" t="s">
        <v>5385</v>
      </c>
      <c r="D1064" s="1" t="s">
        <v>5386</v>
      </c>
      <c r="E1064" s="1" t="s">
        <v>5386</v>
      </c>
      <c r="F1064" s="1" t="s">
        <v>5387</v>
      </c>
      <c r="G1064" s="1" t="s">
        <v>5388</v>
      </c>
      <c r="H1064" s="1" t="str">
        <f>IFERROR(__xludf.DUMMYFUNCTION("GOOGLETRANSLATE(D1064,""EN"",""JA"")"),"用量/体重別の最大濃度基準")</f>
        <v>用量/体重別の最大濃度基準</v>
      </c>
      <c r="I1064" s="1" t="str">
        <f>IFERROR(__xludf.DUMMYFUNCTION("GOOGLETRANSLATE(E1064,""EN"",""JA"")"),"用量/体重別の最大濃度基準")</f>
        <v>用量/体重別の最大濃度基準</v>
      </c>
      <c r="J1064" s="1" t="str">
        <f>IFERROR(__xludf.DUMMYFUNCTION("GOOGLETRANSLATE(F1064,""EN"",""JA"")"),"Tmax で発生する最大濃度を体重調整投与量で割ったもの。")</f>
        <v>Tmax で発生する最大濃度を体重調整投与量で割ったもの。</v>
      </c>
      <c r="K1064" s="1" t="str">
        <f>IFERROR(__xludf.DUMMYFUNCTION("GOOGLETRANSLATE(G1064,""EN"",""JA"")"),"体重調整投与量で正規化された最大濃度")</f>
        <v>体重調整投与量で正規化された最大濃度</v>
      </c>
    </row>
    <row r="1065" ht="13.5" customHeight="1">
      <c r="A1065" s="1" t="s">
        <v>870</v>
      </c>
      <c r="B1065" s="1" t="s">
        <v>5389</v>
      </c>
      <c r="C1065" s="1" t="s">
        <v>5390</v>
      </c>
      <c r="D1065" s="1" t="s">
        <v>5391</v>
      </c>
      <c r="E1065" s="1" t="s">
        <v>5391</v>
      </c>
      <c r="F1065" s="1" t="s">
        <v>5392</v>
      </c>
      <c r="G1065" s="1" t="s">
        <v>5393</v>
      </c>
      <c r="H1065" s="1" t="str">
        <f>IFERROR(__xludf.DUMMYFUNCTION("GOOGLETRANSLATE(D1065,""EN"",""JA"")"),"最大濃度LN変換")</f>
        <v>最大濃度LN変換</v>
      </c>
      <c r="I1065" s="1" t="str">
        <f>IFERROR(__xludf.DUMMYFUNCTION("GOOGLETRANSLATE(E1065,""EN"",""JA"")"),"最大濃度LN変換")</f>
        <v>最大濃度LN変換</v>
      </c>
      <c r="J1065" s="1" t="str">
        <f>IFERROR(__xludf.DUMMYFUNCTION("GOOGLETRANSLATE(F1065,""EN"",""JA"")"),"Tmax で発生する最大濃度を自然対数に変換したものです。")</f>
        <v>Tmax で発生する最大濃度を自然対数に変換したものです。</v>
      </c>
      <c r="K1065" s="1" t="str">
        <f>IFERROR(__xludf.DUMMYFUNCTION("GOOGLETRANSLATE(G1065,""EN"",""JA"")"),"自然対数変換されたCmax")</f>
        <v>自然対数変換されたCmax</v>
      </c>
    </row>
    <row r="1066" ht="13.5" customHeight="1">
      <c r="A1066" s="1" t="s">
        <v>870</v>
      </c>
      <c r="B1066" s="1" t="s">
        <v>5394</v>
      </c>
      <c r="C1066" s="1" t="s">
        <v>5395</v>
      </c>
      <c r="D1066" s="1" t="s">
        <v>5396</v>
      </c>
      <c r="E1066" s="1" t="s">
        <v>5396</v>
      </c>
      <c r="F1066" s="1" t="s">
        <v>5397</v>
      </c>
      <c r="G1066" s="1" t="s">
        <v>5398</v>
      </c>
      <c r="H1066" s="1" t="str">
        <f>IFERROR(__xludf.DUMMYFUNCTION("GOOGLETRANSLATE(D1066,""EN"",""JA"")"),"SAによる最大濃度基準")</f>
        <v>SAによる最大濃度基準</v>
      </c>
      <c r="I1066" s="1" t="str">
        <f>IFERROR(__xludf.DUMMYFUNCTION("GOOGLETRANSLATE(E1066,""EN"",""JA"")"),"SAによる最大濃度基準")</f>
        <v>SAによる最大濃度基準</v>
      </c>
      <c r="J1066" s="1" t="str">
        <f>IFERROR(__xludf.DUMMYFUNCTION("GOOGLETRANSLATE(F1066,""EN"",""JA"")"),"Tmax で発生する最大濃度を表面積で割ったもの。")</f>
        <v>Tmax で発生する最大濃度を表面積で割ったもの。</v>
      </c>
      <c r="K1066" s="1" t="str">
        <f>IFERROR(__xludf.DUMMYFUNCTION("GOOGLETRANSLATE(G1066,""EN"",""JA"")"),"表面積で正規化した最大濃度")</f>
        <v>表面積で正規化した最大濃度</v>
      </c>
    </row>
    <row r="1067" ht="13.5" customHeight="1">
      <c r="A1067" s="1" t="s">
        <v>870</v>
      </c>
      <c r="B1067" s="1" t="s">
        <v>5399</v>
      </c>
      <c r="C1067" s="1" t="s">
        <v>5400</v>
      </c>
      <c r="D1067" s="1" t="s">
        <v>5401</v>
      </c>
      <c r="E1067" s="1" t="s">
        <v>5401</v>
      </c>
      <c r="F1067" s="1" t="s">
        <v>5402</v>
      </c>
      <c r="G1067" s="1" t="s">
        <v>5403</v>
      </c>
      <c r="H1067" s="1" t="str">
        <f>IFERROR(__xludf.DUMMYFUNCTION("GOOGLETRANSLATE(D1067,""EN"",""JA"")"),"最大濃度、非結合薬物")</f>
        <v>最大濃度、非結合薬物</v>
      </c>
      <c r="I1067" s="1" t="str">
        <f>IFERROR(__xludf.DUMMYFUNCTION("GOOGLETRANSLATE(E1067,""EN"",""JA"")"),"最大濃度、非結合薬物")</f>
        <v>最大濃度、非結合薬物</v>
      </c>
      <c r="J1067" s="1" t="str">
        <f>IFERROR(__xludf.DUMMYFUNCTION("GOOGLETRANSLATE(F1067,""EN"",""JA"")"),"Tmax で発生する薬物の非結合分率によって表される最大濃度。")</f>
        <v>Tmax で発生する薬物の非結合分率によって表される最大濃度。</v>
      </c>
      <c r="K1067" s="1" t="str">
        <f>IFERROR(__xludf.DUMMYFUNCTION("GOOGLETRANSLATE(G1067,""EN"",""JA"")"),"非結合薬物の最大濃度")</f>
        <v>非結合薬物の最大濃度</v>
      </c>
    </row>
    <row r="1068" ht="13.5" customHeight="1">
      <c r="A1068" s="1" t="s">
        <v>870</v>
      </c>
      <c r="B1068" s="1" t="s">
        <v>5404</v>
      </c>
      <c r="C1068" s="1" t="s">
        <v>5405</v>
      </c>
      <c r="D1068" s="1" t="s">
        <v>5406</v>
      </c>
      <c r="E1068" s="1" t="s">
        <v>5406</v>
      </c>
      <c r="F1068" s="1" t="s">
        <v>5407</v>
      </c>
      <c r="G1068" s="1" t="s">
        <v>5408</v>
      </c>
      <c r="H1068" s="1" t="str">
        <f>IFERROR(__xludf.DUMMYFUNCTION("GOOGLETRANSLATE(D1068,""EN"",""JA"")"),"WTによる最大濃度基準")</f>
        <v>WTによる最大濃度基準</v>
      </c>
      <c r="I1068" s="1" t="str">
        <f>IFERROR(__xludf.DUMMYFUNCTION("GOOGLETRANSLATE(E1068,""EN"",""JA"")"),"WTによる最大濃度基準")</f>
        <v>WTによる最大濃度基準</v>
      </c>
      <c r="J1068" s="1" t="str">
        <f>IFERROR(__xludf.DUMMYFUNCTION("GOOGLETRANSLATE(F1068,""EN"",""JA"")"),"Tmax で発生する最大濃度を重量で割ったもの。")</f>
        <v>Tmax で発生する最大濃度を重量で割ったもの。</v>
      </c>
      <c r="K1068" s="1" t="str">
        <f>IFERROR(__xludf.DUMMYFUNCTION("GOOGLETRANSLATE(G1068,""EN"",""JA"")"),"重量で正規化した最大濃度")</f>
        <v>重量で正規化した最大濃度</v>
      </c>
    </row>
    <row r="1069" ht="13.5" customHeight="1">
      <c r="A1069" s="1" t="s">
        <v>90</v>
      </c>
      <c r="B1069" s="1" t="s">
        <v>5409</v>
      </c>
      <c r="C1069" s="1" t="s">
        <v>5410</v>
      </c>
      <c r="D1069" s="1" t="s">
        <v>5411</v>
      </c>
      <c r="E1069" s="1" t="s">
        <v>5411</v>
      </c>
      <c r="F1069" s="1" t="s">
        <v>5412</v>
      </c>
      <c r="G1069" s="1" t="s">
        <v>5413</v>
      </c>
      <c r="H1069" s="1" t="str">
        <f>IFERROR(__xludf.DUMMYFUNCTION("GOOGLETRANSLATE(D1069,""EN"",""JA"")"),"心筋肥大指標")</f>
        <v>心筋肥大指標</v>
      </c>
      <c r="I1069" s="1" t="str">
        <f>IFERROR(__xludf.DUMMYFUNCTION("GOOGLETRANSLATE(E1069,""EN"",""JA"")"),"心筋肥大指標")</f>
        <v>心筋肥大指標</v>
      </c>
      <c r="J1069" s="1" t="str">
        <f>IFERROR(__xludf.DUMMYFUNCTION("GOOGLETRANSLATE(F1069,""EN"",""JA"")"),"心筋肥大の有無を示す指標。")</f>
        <v>心筋肥大の有無を示す指標。</v>
      </c>
      <c r="K1069" s="1" t="str">
        <f>IFERROR(__xludf.DUMMYFUNCTION("GOOGLETRANSLATE(G1069,""EN"",""JA"")"),"心室肥大指標")</f>
        <v>心室肥大指標</v>
      </c>
    </row>
    <row r="1070" ht="13.5" customHeight="1">
      <c r="A1070" s="1" t="s">
        <v>870</v>
      </c>
      <c r="B1070" s="1" t="s">
        <v>5414</v>
      </c>
      <c r="C1070" s="1" t="s">
        <v>5415</v>
      </c>
      <c r="D1070" s="1" t="s">
        <v>5416</v>
      </c>
      <c r="E1070" s="1" t="s">
        <v>5417</v>
      </c>
      <c r="F1070" s="1" t="s">
        <v>5418</v>
      </c>
      <c r="G1070" s="1" t="s">
        <v>5419</v>
      </c>
      <c r="H1070" s="1" t="str">
        <f>IFERROR(__xludf.DUMMYFUNCTION("GOOGLETRANSLATE(D1070,""EN"",""JA"")"),"最小濃度")</f>
        <v>最小濃度</v>
      </c>
      <c r="I1070" s="1" t="str">
        <f>IFERROR(__xludf.DUMMYFUNCTION("GOOGLETRANSLATE(E1070,""EN"",""JA"")"),"Cmin; 最小濃度; 最小濃度")</f>
        <v>Cmin; 最小濃度; 最小濃度</v>
      </c>
      <c r="J1070" s="1" t="str">
        <f>IFERROR(__xludf.DUMMYFUNCTION("GOOGLETRANSLATE(F1070,""EN"",""JA"")"),"投与時間と投与時間プラス Tau (Tmin 時) の間の最小濃度。")</f>
        <v>投与時間と投与時間プラス Tau (Tmin 時) の間の最小濃度。</v>
      </c>
      <c r="K1070" s="1" t="str">
        <f>IFERROR(__xludf.DUMMYFUNCTION("GOOGLETRANSLATE(G1070,""EN"",""JA"")"),"Cmin")</f>
        <v>Cmin</v>
      </c>
    </row>
    <row r="1071" ht="13.5" customHeight="1">
      <c r="A1071" s="1" t="s">
        <v>870</v>
      </c>
      <c r="B1071" s="1" t="s">
        <v>5420</v>
      </c>
      <c r="C1071" s="1" t="s">
        <v>5421</v>
      </c>
      <c r="D1071" s="1" t="s">
        <v>5422</v>
      </c>
      <c r="E1071" s="1" t="s">
        <v>5422</v>
      </c>
      <c r="F1071" s="1" t="s">
        <v>5423</v>
      </c>
      <c r="G1071" s="1" t="s">
        <v>5424</v>
      </c>
      <c r="H1071" s="1" t="str">
        <f>IFERROR(__xludf.DUMMYFUNCTION("GOOGLETRANSLATE(D1071,""EN"",""JA"")"),"BMIによる最小濃度基準")</f>
        <v>BMIによる最小濃度基準</v>
      </c>
      <c r="I1071" s="1" t="str">
        <f>IFERROR(__xludf.DUMMYFUNCTION("GOOGLETRANSLATE(E1071,""EN"",""JA"")"),"BMIによる最小濃度基準")</f>
        <v>BMIによる最小濃度基準</v>
      </c>
      <c r="J1071" s="1" t="str">
        <f>IFERROR(__xludf.DUMMYFUNCTION("GOOGLETRANSLATE(F1071,""EN"",""JA"")"),"投与時間と投与時間プラス Tau (Tmin 時) の間の最小濃度をボディマス指数で割ったもの。")</f>
        <v>投与時間と投与時間プラス Tau (Tmin 時) の間の最小濃度をボディマス指数で割ったもの。</v>
      </c>
      <c r="K1071" s="1" t="str">
        <f>IFERROR(__xludf.DUMMYFUNCTION("GOOGLETRANSLATE(G1071,""EN"",""JA"")"),"ボディマス指数で標準化した最小濃度")</f>
        <v>ボディマス指数で標準化した最小濃度</v>
      </c>
    </row>
    <row r="1072" ht="13.5" customHeight="1">
      <c r="A1072" s="1" t="s">
        <v>870</v>
      </c>
      <c r="B1072" s="1" t="s">
        <v>5425</v>
      </c>
      <c r="C1072" s="1" t="s">
        <v>5426</v>
      </c>
      <c r="D1072" s="1" t="s">
        <v>5427</v>
      </c>
      <c r="E1072" s="1" t="s">
        <v>5427</v>
      </c>
      <c r="F1072" s="1" t="s">
        <v>5428</v>
      </c>
      <c r="G1072" s="1" t="s">
        <v>5429</v>
      </c>
      <c r="H1072" s="1" t="str">
        <f>IFERROR(__xludf.DUMMYFUNCTION("GOOGLETRANSLATE(D1072,""EN"",""JA"")"),"投与量別の最小濃度基準")</f>
        <v>投与量別の最小濃度基準</v>
      </c>
      <c r="I1072" s="1" t="str">
        <f>IFERROR(__xludf.DUMMYFUNCTION("GOOGLETRANSLATE(E1072,""EN"",""JA"")"),"投与量別の最小濃度基準")</f>
        <v>投与量別の最小濃度基準</v>
      </c>
      <c r="J1072" s="1" t="str">
        <f>IFERROR(__xludf.DUMMYFUNCTION("GOOGLETRANSLATE(F1072,""EN"",""JA"")"),"投与時間と投与時間の間の最小濃度にタウ（Tmin 時点）を加えた値を投与量で割ったもの。")</f>
        <v>投与時間と投与時間の間の最小濃度にタウ（Tmin 時点）を加えた値を投与量で割ったもの。</v>
      </c>
      <c r="K1072" s="1" t="str">
        <f>IFERROR(__xludf.DUMMYFUNCTION("GOOGLETRANSLATE(G1072,""EN"",""JA"")"),"投与量で正規化された最小濃度")</f>
        <v>投与量で正規化された最小濃度</v>
      </c>
    </row>
    <row r="1073" ht="13.5" customHeight="1">
      <c r="A1073" s="1" t="s">
        <v>870</v>
      </c>
      <c r="B1073" s="1" t="s">
        <v>5430</v>
      </c>
      <c r="C1073" s="1" t="s">
        <v>5431</v>
      </c>
      <c r="D1073" s="1" t="s">
        <v>5432</v>
      </c>
      <c r="E1073" s="1" t="s">
        <v>5432</v>
      </c>
      <c r="F1073" s="1" t="s">
        <v>5433</v>
      </c>
      <c r="G1073" s="1" t="s">
        <v>5434</v>
      </c>
      <c r="H1073" s="1" t="str">
        <f>IFERROR(__xludf.DUMMYFUNCTION("GOOGLETRANSLATE(D1073,""EN"",""JA"")"),"用量/重量別の最小濃度基準")</f>
        <v>用量/重量別の最小濃度基準</v>
      </c>
      <c r="I1073" s="1" t="str">
        <f>IFERROR(__xludf.DUMMYFUNCTION("GOOGLETRANSLATE(E1073,""EN"",""JA"")"),"用量/重量別の最小濃度基準")</f>
        <v>用量/重量別の最小濃度基準</v>
      </c>
      <c r="J1073" s="1" t="str">
        <f>IFERROR(__xludf.DUMMYFUNCTION("GOOGLETRANSLATE(F1073,""EN"",""JA"")"),"投与時間と投与時間プラス Tau (Tmin 時) の間の最小濃度を体重調整投与量で割ったもの。")</f>
        <v>投与時間と投与時間プラス Tau (Tmin 時) の間の最小濃度を体重調整投与量で割ったもの。</v>
      </c>
      <c r="K1073" s="1" t="str">
        <f>IFERROR(__xludf.DUMMYFUNCTION("GOOGLETRANSLATE(G1073,""EN"",""JA"")"),"体重調整投与量で標準化した最小濃度")</f>
        <v>体重調整投与量で標準化した最小濃度</v>
      </c>
    </row>
    <row r="1074" ht="13.5" customHeight="1">
      <c r="A1074" s="1" t="s">
        <v>870</v>
      </c>
      <c r="B1074" s="1" t="s">
        <v>5435</v>
      </c>
      <c r="C1074" s="1" t="s">
        <v>5436</v>
      </c>
      <c r="D1074" s="1" t="s">
        <v>5437</v>
      </c>
      <c r="E1074" s="1" t="s">
        <v>5437</v>
      </c>
      <c r="F1074" s="1" t="s">
        <v>5438</v>
      </c>
      <c r="G1074" s="1" t="s">
        <v>5439</v>
      </c>
      <c r="H1074" s="1" t="str">
        <f>IFERROR(__xludf.DUMMYFUNCTION("GOOGLETRANSLATE(D1074,""EN"",""JA"")"),"SAによる最小濃度基準")</f>
        <v>SAによる最小濃度基準</v>
      </c>
      <c r="I1074" s="1" t="str">
        <f>IFERROR(__xludf.DUMMYFUNCTION("GOOGLETRANSLATE(E1074,""EN"",""JA"")"),"SAによる最小濃度基準")</f>
        <v>SAによる最小濃度基準</v>
      </c>
      <c r="J1074" s="1" t="str">
        <f>IFERROR(__xludf.DUMMYFUNCTION("GOOGLETRANSLATE(F1074,""EN"",""JA"")"),"投与時間と投与時間プラス Tau (Tmin 時) の間の最小濃度を表面積で割ったもの。")</f>
        <v>投与時間と投与時間プラス Tau (Tmin 時) の間の最小濃度を表面積で割ったもの。</v>
      </c>
      <c r="K1074" s="1" t="str">
        <f>IFERROR(__xludf.DUMMYFUNCTION("GOOGLETRANSLATE(G1074,""EN"",""JA"")"),"表面積で正規化した最小濃度")</f>
        <v>表面積で正規化した最小濃度</v>
      </c>
    </row>
    <row r="1075" ht="13.5" customHeight="1">
      <c r="A1075" s="1" t="s">
        <v>870</v>
      </c>
      <c r="B1075" s="1" t="s">
        <v>5440</v>
      </c>
      <c r="C1075" s="1" t="s">
        <v>5441</v>
      </c>
      <c r="D1075" s="1" t="s">
        <v>5442</v>
      </c>
      <c r="E1075" s="1" t="s">
        <v>5442</v>
      </c>
      <c r="F1075" s="1" t="s">
        <v>5443</v>
      </c>
      <c r="G1075" s="1" t="s">
        <v>5444</v>
      </c>
      <c r="H1075" s="1" t="str">
        <f>IFERROR(__xludf.DUMMYFUNCTION("GOOGLETRANSLATE(D1075,""EN"",""JA"")"),"WTによる最小濃度基準")</f>
        <v>WTによる最小濃度基準</v>
      </c>
      <c r="I1075" s="1" t="str">
        <f>IFERROR(__xludf.DUMMYFUNCTION("GOOGLETRANSLATE(E1075,""EN"",""JA"")"),"WTによる最小濃度基準")</f>
        <v>WTによる最小濃度基準</v>
      </c>
      <c r="J1075" s="1" t="str">
        <f>IFERROR(__xludf.DUMMYFUNCTION("GOOGLETRANSLATE(F1075,""EN"",""JA"")"),"投与時間と投与時間プラス Tau (Tmin 時) の間の最小濃度を体重で割ったもの。")</f>
        <v>投与時間と投与時間プラス Tau (Tmin 時) の間の最小濃度を体重で割ったもの。</v>
      </c>
      <c r="K1075" s="1" t="str">
        <f>IFERROR(__xludf.DUMMYFUNCTION("GOOGLETRANSLATE(G1075,""EN"",""JA"")"),"重量で正規化された最小濃度")</f>
        <v>重量で正規化された最小濃度</v>
      </c>
    </row>
    <row r="1076" ht="13.5" customHeight="1">
      <c r="A1076" s="1" t="s">
        <v>11</v>
      </c>
      <c r="B1076" s="1" t="s">
        <v>5445</v>
      </c>
      <c r="C1076" s="1" t="s">
        <v>5446</v>
      </c>
      <c r="D1076" s="1" t="s">
        <v>5447</v>
      </c>
      <c r="E1076" s="1" t="s">
        <v>5447</v>
      </c>
      <c r="F1076" s="1" t="s">
        <v>5448</v>
      </c>
      <c r="G1076" s="1" t="s">
        <v>5449</v>
      </c>
      <c r="H1076" s="1" t="str">
        <f>IFERROR(__xludf.DUMMYFUNCTION("GOOGLETRANSLATE(D1076,""EN"",""JA"")"),"一酸化炭素")</f>
        <v>一酸化炭素</v>
      </c>
      <c r="I1076" s="1" t="str">
        <f>IFERROR(__xludf.DUMMYFUNCTION("GOOGLETRANSLATE(E1076,""EN"",""JA"")"),"一酸化炭素")</f>
        <v>一酸化炭素</v>
      </c>
      <c r="J1076" s="1" t="str">
        <f>IFERROR(__xludf.DUMMYFUNCTION("GOOGLETRANSLATE(F1076,""EN"",""JA"")"),"標本内の一酸化炭素の測定。")</f>
        <v>標本内の一酸化炭素の測定。</v>
      </c>
      <c r="K1076" s="1" t="str">
        <f>IFERROR(__xludf.DUMMYFUNCTION("GOOGLETRANSLATE(G1076,""EN"",""JA"")"),"一酸化炭素測定")</f>
        <v>一酸化炭素測定</v>
      </c>
    </row>
    <row r="1077" ht="13.5" customHeight="1">
      <c r="A1077" s="1" t="s">
        <v>11</v>
      </c>
      <c r="B1077" s="1" t="s">
        <v>5450</v>
      </c>
      <c r="C1077" s="1" t="s">
        <v>5451</v>
      </c>
      <c r="D1077" s="1" t="s">
        <v>5452</v>
      </c>
      <c r="E1077" s="1" t="s">
        <v>5453</v>
      </c>
      <c r="F1077" s="1" t="s">
        <v>5454</v>
      </c>
      <c r="G1077" s="1" t="s">
        <v>5455</v>
      </c>
      <c r="H1077" s="1" t="str">
        <f>IFERROR(__xludf.DUMMYFUNCTION("GOOGLETRANSLATE(D1077,""EN"",""JA"")"),"シチジン-ウリジン一リン酸キナーゼ2")</f>
        <v>シチジン-ウリジン一リン酸キナーゼ2</v>
      </c>
      <c r="I1077" s="1" t="str">
        <f>IFERROR(__xludf.DUMMYFUNCTION("GOOGLETRANSLATE(E1077,""EN"",""JA"")"),"シチジン-ウリジン一リン酸キナーゼ2; シチジン/ウリジン一リン酸キナーゼ2")</f>
        <v>シチジン-ウリジン一リン酸キナーゼ2; シチジン/ウリジン一リン酸キナーゼ2</v>
      </c>
      <c r="J1077" s="1" t="str">
        <f>IFERROR(__xludf.DUMMYFUNCTION("GOOGLETRANSLATE(F1077,""EN"",""JA"")"),"生物標本中のシチジン-ウリジン一リン酸キナーゼ 2 の測定。")</f>
        <v>生物標本中のシチジン-ウリジン一リン酸キナーゼ 2 の測定。</v>
      </c>
      <c r="K1077" s="1" t="str">
        <f>IFERROR(__xludf.DUMMYFUNCTION("GOOGLETRANSLATE(G1077,""EN"",""JA"")"),"シチジン-ウリジン一リン酸キナーゼ2測定")</f>
        <v>シチジン-ウリジン一リン酸キナーゼ2測定</v>
      </c>
    </row>
    <row r="1078" ht="13.5" customHeight="1">
      <c r="A1078" s="1" t="s">
        <v>397</v>
      </c>
      <c r="B1078" s="1" t="s">
        <v>5456</v>
      </c>
      <c r="C1078" s="1" t="s">
        <v>5457</v>
      </c>
      <c r="D1078" s="1" t="s">
        <v>5458</v>
      </c>
      <c r="E1078" s="1" t="s">
        <v>5458</v>
      </c>
      <c r="F1078" s="1" t="s">
        <v>5459</v>
      </c>
      <c r="G1078" s="1" t="s">
        <v>5460</v>
      </c>
      <c r="H1078" s="1" t="str">
        <f>IFERROR(__xludf.DUMMYFUNCTION("GOOGLETRANSLATE(D1078,""EN"",""JA"")"),"商業スポンサーステータス")</f>
        <v>商業スポンサーステータス</v>
      </c>
      <c r="I1078" s="1" t="str">
        <f>IFERROR(__xludf.DUMMYFUNCTION("GOOGLETRANSLATE(E1078,""EN"",""JA"")"),"商業スポンサーステータス")</f>
        <v>商業スポンサーステータス</v>
      </c>
      <c r="J1078" s="1" t="str">
        <f>IFERROR(__xludf.DUMMYFUNCTION("GOOGLETRANSLATE(F1078,""EN"",""JA"")"),"スポンサーの状態または状況は、スポンサーが商業団体であるかどうかに関係します。")</f>
        <v>スポンサーの状態または状況は、スポンサーが商業団体であるかどうかに関係します。</v>
      </c>
      <c r="K1078" s="1" t="str">
        <f>IFERROR(__xludf.DUMMYFUNCTION("GOOGLETRANSLATE(G1078,""EN"",""JA"")"),"スポンサーの商業ステータス")</f>
        <v>スポンサーの商業ステータス</v>
      </c>
    </row>
    <row r="1079" ht="13.5" customHeight="1">
      <c r="A1079" s="1" t="s">
        <v>67</v>
      </c>
      <c r="B1079" s="1" t="s">
        <v>5461</v>
      </c>
      <c r="C1079" s="1" t="s">
        <v>5462</v>
      </c>
      <c r="D1079" s="1" t="s">
        <v>5463</v>
      </c>
      <c r="E1079" s="1" t="s">
        <v>5463</v>
      </c>
      <c r="F1079" s="1" t="s">
        <v>5464</v>
      </c>
      <c r="G1079" s="1" t="s">
        <v>5465</v>
      </c>
      <c r="H1079" s="1" t="str">
        <f>IFERROR(__xludf.DUMMYFUNCTION("GOOGLETRANSLATE(D1079,""EN"",""JA"")"),"サイトメガロウィルス")</f>
        <v>サイトメガロウィルス</v>
      </c>
      <c r="I1079" s="1" t="str">
        <f>IFERROR(__xludf.DUMMYFUNCTION("GOOGLETRANSLATE(E1079,""EN"",""JA"")"),"サイトメガロウィルス")</f>
        <v>サイトメガロウィルス</v>
      </c>
      <c r="J1079" s="1" t="str">
        <f>IFERROR(__xludf.DUMMYFUNCTION("GOOGLETRANSLATE(F1079,""EN"",""JA"")"),"生物標本において、種レベルには割り当てられていないが、サイトメガロウイルス属レベルに割り当てられている生物の測定値。")</f>
        <v>生物標本において、種レベルには割り当てられていないが、サイトメガロウイルス属レベルに割り当てられている生物の測定値。</v>
      </c>
      <c r="K1079" s="1" t="str">
        <f>IFERROR(__xludf.DUMMYFUNCTION("GOOGLETRANSLATE(G1079,""EN"",""JA"")"),"サイトメガロウイルス測定")</f>
        <v>サイトメガロウイルス測定</v>
      </c>
    </row>
    <row r="1080" ht="13.5" customHeight="1">
      <c r="A1080" s="1" t="s">
        <v>67</v>
      </c>
      <c r="B1080" s="1" t="s">
        <v>5466</v>
      </c>
      <c r="C1080" s="1" t="s">
        <v>5467</v>
      </c>
      <c r="D1080" s="1" t="s">
        <v>5468</v>
      </c>
      <c r="E1080" s="1" t="s">
        <v>5468</v>
      </c>
      <c r="F1080" s="1" t="s">
        <v>5469</v>
      </c>
      <c r="G1080" s="1" t="s">
        <v>5470</v>
      </c>
      <c r="H1080" s="1" t="str">
        <f>IFERROR(__xludf.DUMMYFUNCTION("GOOGLETRANSLATE(D1080,""EN"",""JA"")"),"サイトメガロウイルス抗原")</f>
        <v>サイトメガロウイルス抗原</v>
      </c>
      <c r="I1080" s="1" t="str">
        <f>IFERROR(__xludf.DUMMYFUNCTION("GOOGLETRANSLATE(E1080,""EN"",""JA"")"),"サイトメガロウイルス抗原")</f>
        <v>サイトメガロウイルス抗原</v>
      </c>
      <c r="J1080" s="1" t="str">
        <f>IFERROR(__xludf.DUMMYFUNCTION("GOOGLETRANSLATE(F1080,""EN"",""JA"")"),"生物標本中のサイトメガロウイルス抗原の測定。")</f>
        <v>生物標本中のサイトメガロウイルス抗原の測定。</v>
      </c>
      <c r="K1080" s="1" t="str">
        <f>IFERROR(__xludf.DUMMYFUNCTION("GOOGLETRANSLATE(G1080,""EN"",""JA"")"),"サイトメガロウイルス抗原測定")</f>
        <v>サイトメガロウイルス抗原測定</v>
      </c>
    </row>
    <row r="1081" ht="13.5" customHeight="1">
      <c r="A1081" s="1" t="s">
        <v>67</v>
      </c>
      <c r="B1081" s="1" t="s">
        <v>5471</v>
      </c>
      <c r="C1081" s="1" t="s">
        <v>5472</v>
      </c>
      <c r="D1081" s="1" t="s">
        <v>5473</v>
      </c>
      <c r="E1081" s="1" t="s">
        <v>5473</v>
      </c>
      <c r="F1081" s="1" t="s">
        <v>5474</v>
      </c>
      <c r="G1081" s="1" t="s">
        <v>5475</v>
      </c>
      <c r="H1081" s="1" t="str">
        <f>IFERROR(__xludf.DUMMYFUNCTION("GOOGLETRANSLATE(D1081,""EN"",""JA"")"),"サイトメガロウイルスDNA")</f>
        <v>サイトメガロウイルスDNA</v>
      </c>
      <c r="I1081" s="1" t="str">
        <f>IFERROR(__xludf.DUMMYFUNCTION("GOOGLETRANSLATE(E1081,""EN"",""JA"")"),"サイトメガロウイルスDNA")</f>
        <v>サイトメガロウイルスDNA</v>
      </c>
      <c r="J1081" s="1" t="str">
        <f>IFERROR(__xludf.DUMMYFUNCTION("GOOGLETRANSLATE(F1081,""EN"",""JA"")"),"生物標本中のサイトメガロウイルス DNA の測定。")</f>
        <v>生物標本中のサイトメガロウイルス DNA の測定。</v>
      </c>
      <c r="K1081" s="1" t="str">
        <f>IFERROR(__xludf.DUMMYFUNCTION("GOOGLETRANSLATE(G1081,""EN"",""JA"")"),"サイトメガロウイルスDNA測定")</f>
        <v>サイトメガロウイルスDNA測定</v>
      </c>
    </row>
    <row r="1082" ht="13.5" customHeight="1">
      <c r="A1082" s="1" t="s">
        <v>67</v>
      </c>
      <c r="B1082" s="1" t="s">
        <v>5476</v>
      </c>
      <c r="C1082" s="1" t="s">
        <v>5477</v>
      </c>
      <c r="D1082" s="1" t="s">
        <v>5478</v>
      </c>
      <c r="E1082" s="1" t="s">
        <v>5479</v>
      </c>
      <c r="F1082" s="1" t="s">
        <v>5480</v>
      </c>
      <c r="G1082" s="1" t="s">
        <v>5481</v>
      </c>
      <c r="H1082" s="1" t="str">
        <f>IFERROR(__xludf.DUMMYFUNCTION("GOOGLETRANSLATE(D1082,""EN"",""JA"")"),"サイトメガロウイルスpp65抗原")</f>
        <v>サイトメガロウイルスpp65抗原</v>
      </c>
      <c r="I1082" s="1" t="str">
        <f>IFERROR(__xludf.DUMMYFUNCTION("GOOGLETRANSLATE(E1082,""EN"",""JA"")"),"サイトメガロウイルスリン酸化タンパク質65抗原; サイトメガロウイルスpp65抗原")</f>
        <v>サイトメガロウイルスリン酸化タンパク質65抗原; サイトメガロウイルスpp65抗原</v>
      </c>
      <c r="J1082" s="1" t="str">
        <f>IFERROR(__xludf.DUMMYFUNCTION("GOOGLETRANSLATE(F1082,""EN"",""JA"")"),"生物標本中のサイトメガロウイルスリン酸化タンパク質 65 (pp65) 抗原の測定。")</f>
        <v>生物標本中のサイトメガロウイルスリン酸化タンパク質 65 (pp65) 抗原の測定。</v>
      </c>
      <c r="K1082" s="1" t="str">
        <f>IFERROR(__xludf.DUMMYFUNCTION("GOOGLETRANSLATE(G1082,""EN"",""JA"")"),"サイトメガロウイルスpp65抗原測定")</f>
        <v>サイトメガロウイルスpp65抗原測定</v>
      </c>
    </row>
    <row r="1083" ht="13.5" customHeight="1">
      <c r="A1083" s="1" t="s">
        <v>134</v>
      </c>
      <c r="B1083" s="1" t="s">
        <v>5482</v>
      </c>
      <c r="C1083" s="1" t="s">
        <v>5483</v>
      </c>
      <c r="D1083" s="1" t="s">
        <v>5484</v>
      </c>
      <c r="E1083" s="1" t="s">
        <v>5485</v>
      </c>
      <c r="F1083" s="1" t="s">
        <v>5486</v>
      </c>
      <c r="G1083" s="1" t="s">
        <v>5487</v>
      </c>
      <c r="H1083" s="1" t="str">
        <f>IFERROR(__xludf.DUMMYFUNCTION("GOOGLETRANSLATE(D1083,""EN"",""JA"")"),"c-Myc")</f>
        <v>c-Myc</v>
      </c>
      <c r="I1083" s="1" t="str">
        <f>IFERROR(__xludf.DUMMYFUNCTION("GOOGLETRANSLATE(E1083,""EN"",""JA"")"),"BHLH転写因子; c-Myc; 細胞性Myc; MYCプロトオンコゲン; Mycプロトオンコゲンタンパク質; MYCC; 腫瘍タンパク質 c-myc")</f>
        <v>BHLH転写因子; c-Myc; 細胞性Myc; MYCプロトオンコゲン; Mycプロトオンコゲンタンパク質; MYCC; 腫瘍タンパク質 c-myc</v>
      </c>
      <c r="J1083" s="1" t="str">
        <f>IFERROR(__xludf.DUMMYFUNCTION("GOOGLETRANSLATE(F1083,""EN"",""JA"")"),"生物標本中の c-Myc の測定。")</f>
        <v>生物標本中の c-Myc の測定。</v>
      </c>
      <c r="K1083" s="1" t="str">
        <f>IFERROR(__xludf.DUMMYFUNCTION("GOOGLETRANSLATE(G1083,""EN"",""JA"")"),"c-Myc測定")</f>
        <v>c-Myc測定</v>
      </c>
    </row>
    <row r="1084" ht="13.5" customHeight="1">
      <c r="A1084" s="1" t="s">
        <v>160</v>
      </c>
      <c r="B1084" s="1" t="s">
        <v>5488</v>
      </c>
      <c r="C1084" s="1" t="s">
        <v>5489</v>
      </c>
      <c r="D1084" s="1" t="s">
        <v>5490</v>
      </c>
      <c r="E1084" s="1" t="s">
        <v>5491</v>
      </c>
      <c r="F1084" s="1" t="s">
        <v>5492</v>
      </c>
      <c r="G1084" s="1" t="s">
        <v>5493</v>
      </c>
      <c r="H1084" s="1" t="str">
        <f>IFERROR(__xludf.DUMMYFUNCTION("GOOGLETRANSLATE(D1084,""EN"",""JA"")"),"コンドームの使用 最近の性行為 インターセックス")</f>
        <v>コンドームの使用 最近の性行為 インターセックス</v>
      </c>
      <c r="I1084" s="1" t="str">
        <f>IFERROR(__xludf.DUMMYFUNCTION("GOOGLETRANSLATE(E1084,""EN"",""JA"")"),"直近の性交におけるコンドーム使用指標；直近の性交におけるコンドーム使用指標")</f>
        <v>直近の性交におけるコンドーム使用指標；直近の性交におけるコンドーム使用指標</v>
      </c>
      <c r="J1084" s="1" t="str">
        <f>IFERROR(__xludf.DUMMYFUNCTION("GOOGLETRANSLATE(F1084,""EN"",""JA"")"),"最近の性交の際にコンドームが使用されたかどうかを示します。")</f>
        <v>最近の性交の際にコンドームが使用されたかどうかを示します。</v>
      </c>
      <c r="K1084" s="1" t="str">
        <f>IFERROR(__xludf.DUMMYFUNCTION("GOOGLETRANSLATE(G1084,""EN"",""JA"")"),"直近の性交におけるコンドーム使用指標")</f>
        <v>直近の性交におけるコンドーム使用指標</v>
      </c>
    </row>
    <row r="1085" ht="13.5" customHeight="1">
      <c r="A1085" s="1" t="s">
        <v>160</v>
      </c>
      <c r="B1085" s="1" t="s">
        <v>5494</v>
      </c>
      <c r="C1085" s="1" t="s">
        <v>5495</v>
      </c>
      <c r="D1085" s="1" t="s">
        <v>5496</v>
      </c>
      <c r="E1085" s="1" t="s">
        <v>5497</v>
      </c>
      <c r="F1085" s="1" t="s">
        <v>5498</v>
      </c>
      <c r="G1085" s="1" t="s">
        <v>5499</v>
      </c>
      <c r="H1085" s="1" t="str">
        <f>IFERROR(__xludf.DUMMYFUNCTION("GOOGLETRANSLATE(D1085,""EN"",""JA"")"),"コンドーム使用頻度の説明")</f>
        <v>コンドーム使用頻度の説明</v>
      </c>
      <c r="I1085" s="1" t="str">
        <f>IFERROR(__xludf.DUMMYFUNCTION("GOOGLETRANSLATE(E1085,""EN"",""JA"")"),"コンドーム使用頻度の説明; コンドーム使用頻度の説明")</f>
        <v>コンドーム使用頻度の説明; コンドーム使用頻度の説明</v>
      </c>
      <c r="J1085" s="1" t="str">
        <f>IFERROR(__xludf.DUMMYFUNCTION("GOOGLETRANSLATE(F1085,""EN"",""JA"")"),"性行為中にコンドームが使用される規則性の説明。")</f>
        <v>性行為中にコンドームが使用される規則性の説明。</v>
      </c>
      <c r="K1085" s="1" t="str">
        <f>IFERROR(__xludf.DUMMYFUNCTION("GOOGLETRANSLATE(G1085,""EN"",""JA"")"),"コンドームの使用頻度")</f>
        <v>コンドームの使用頻度</v>
      </c>
    </row>
    <row r="1086" ht="13.5" customHeight="1">
      <c r="A1086" s="1" t="s">
        <v>67</v>
      </c>
      <c r="B1086" s="1" t="s">
        <v>5500</v>
      </c>
      <c r="C1086" s="1" t="s">
        <v>5501</v>
      </c>
      <c r="D1086" s="1" t="s">
        <v>5502</v>
      </c>
      <c r="E1086" s="1" t="s">
        <v>5502</v>
      </c>
      <c r="F1086" s="1" t="s">
        <v>5503</v>
      </c>
      <c r="G1086" s="1" t="s">
        <v>5504</v>
      </c>
      <c r="H1086" s="1" t="str">
        <f>IFERROR(__xludf.DUMMYFUNCTION("GOOGLETRANSLATE(D1086,""EN"",""JA"")"),"クリプトコッカス・ネオフォルマンス/ガッティ DNA")</f>
        <v>クリプトコッカス・ネオフォルマンス/ガッティ DNA</v>
      </c>
      <c r="I1086" s="1" t="str">
        <f>IFERROR(__xludf.DUMMYFUNCTION("GOOGLETRANSLATE(E1086,""EN"",""JA"")"),"クリプトコッカス・ネオフォルマンス/ガッティ DNA")</f>
        <v>クリプトコッカス・ネオフォルマンス/ガッティ DNA</v>
      </c>
      <c r="J1086" s="1" t="str">
        <f>IFERROR(__xludf.DUMMYFUNCTION("GOOGLETRANSLATE(F1086,""EN"",""JA"")"),"生物標本中の Cryptococcus neoformans および/または Cryptococcus gattii DNA の測定。")</f>
        <v>生物標本中の Cryptococcus neoformans および/または Cryptococcus gattii DNA の測定。</v>
      </c>
      <c r="K1086" s="1" t="str">
        <f>IFERROR(__xludf.DUMMYFUNCTION("GOOGLETRANSLATE(G1086,""EN"",""JA"")"),"クリプトコッカス・ネオフォルマンスおよび/またはガッティのDNA測定")</f>
        <v>クリプトコッカス・ネオフォルマンスおよび/またはガッティのDNA測定</v>
      </c>
    </row>
    <row r="1087" ht="13.5" customHeight="1">
      <c r="A1087" s="1" t="s">
        <v>1342</v>
      </c>
      <c r="B1087" s="1" t="s">
        <v>5505</v>
      </c>
      <c r="C1087" s="1" t="s">
        <v>5506</v>
      </c>
      <c r="D1087" s="1" t="s">
        <v>5507</v>
      </c>
      <c r="E1087" s="1" t="s">
        <v>5508</v>
      </c>
      <c r="F1087" s="1" t="s">
        <v>5509</v>
      </c>
      <c r="G1087" s="1" t="s">
        <v>5510</v>
      </c>
      <c r="H1087" s="1" t="str">
        <f>IFERROR(__xludf.DUMMYFUNCTION("GOOGLETRANSLATE(D1087,""EN"",""JA"")"),"CNSの状態")</f>
        <v>CNSの状態</v>
      </c>
      <c r="I1087" s="1" t="str">
        <f>IFERROR(__xludf.DUMMYFUNCTION("GOOGLETRANSLATE(E1087,""EN"",""JA"")"),"中枢神経系の状態; CNSの状態")</f>
        <v>中枢神経系の状態; CNSの状態</v>
      </c>
      <c r="J1087" s="1" t="str">
        <f>IFERROR(__xludf.DUMMYFUNCTION("GOOGLETRANSLATE(F1087,""EN"",""JA"")"),"治療に対する疾患の反応の状態として、評価またはスケールで測定される中枢神経系の評価。")</f>
        <v>治療に対する疾患の反応の状態として、評価またはスケールで測定される中枢神経系の評価。</v>
      </c>
      <c r="K1087" s="1" t="str">
        <f>IFERROR(__xludf.DUMMYFUNCTION("GOOGLETRANSLATE(G1087,""EN"",""JA"")"),"中枢神経系疾患反応状態評価")</f>
        <v>中枢神経系疾患反応状態評価</v>
      </c>
    </row>
    <row r="1088" ht="13.5" customHeight="1">
      <c r="A1088" s="1" t="s">
        <v>11</v>
      </c>
      <c r="B1088" s="1" t="s">
        <v>5511</v>
      </c>
      <c r="C1088" s="1" t="s">
        <v>5512</v>
      </c>
      <c r="D1088" s="1" t="s">
        <v>5513</v>
      </c>
      <c r="E1088" s="1" t="s">
        <v>5513</v>
      </c>
      <c r="F1088" s="1" t="s">
        <v>5514</v>
      </c>
      <c r="G1088" s="1" t="s">
        <v>5515</v>
      </c>
      <c r="H1088" s="1" t="str">
        <f>IFERROR(__xludf.DUMMYFUNCTION("GOOGLETRANSLATE(D1088,""EN"",""JA"")"),"毛様体神経栄養因子")</f>
        <v>毛様体神経栄養因子</v>
      </c>
      <c r="I1088" s="1" t="str">
        <f>IFERROR(__xludf.DUMMYFUNCTION("GOOGLETRANSLATE(E1088,""EN"",""JA"")"),"毛様体神経栄養因子")</f>
        <v>毛様体神経栄養因子</v>
      </c>
      <c r="J1088" s="1" t="str">
        <f>IFERROR(__xludf.DUMMYFUNCTION("GOOGLETRANSLATE(F1088,""EN"",""JA"")"),"生物標本中の毛様体神経栄養因子の測定。")</f>
        <v>生物標本中の毛様体神経栄養因子の測定。</v>
      </c>
      <c r="K1088" s="1" t="str">
        <f>IFERROR(__xludf.DUMMYFUNCTION("GOOGLETRANSLATE(G1088,""EN"",""JA"")"),"毛様体神経栄養因子測定")</f>
        <v>毛様体神経栄養因子測定</v>
      </c>
    </row>
    <row r="1089" ht="13.5" customHeight="1">
      <c r="A1089" s="1" t="s">
        <v>1997</v>
      </c>
      <c r="B1089" s="1" t="s">
        <v>5516</v>
      </c>
      <c r="C1089" s="1" t="s">
        <v>5517</v>
      </c>
      <c r="D1089" s="1" t="s">
        <v>5518</v>
      </c>
      <c r="E1089" s="1" t="s">
        <v>5519</v>
      </c>
      <c r="F1089" s="1" t="s">
        <v>5520</v>
      </c>
      <c r="G1089" s="1" t="s">
        <v>5521</v>
      </c>
      <c r="H1089" s="1" t="str">
        <f>IFERROR(__xludf.DUMMYFUNCTION("GOOGLETRANSLATE(D1089,""EN"",""JA"")"),"指の距離を数える")</f>
        <v>指の距離を数える</v>
      </c>
      <c r="I1089" s="1" t="str">
        <f>IFERROR(__xludf.DUMMYFUNCTION("GOOGLETRANSLATE(E1089,""EN"",""JA"")"),"指の距離を数える")</f>
        <v>指の距離を数える</v>
      </c>
      <c r="J1089" s="1" t="str">
        <f>IFERROR(__xludf.DUMMYFUNCTION("GOOGLETRANSLATE(F1089,""EN"",""JA"")"),"被験者が検査者の指を認識し、正確に数えることができる最長距離を評価します。")</f>
        <v>被験者が検査者の指を認識し、正確に数えることができる最長距離を評価します。</v>
      </c>
      <c r="K1089" s="1" t="str">
        <f>IFERROR(__xludf.DUMMYFUNCTION("GOOGLETRANSLATE(G1089,""EN"",""JA"")"),"指を数えるテスト")</f>
        <v>指を数えるテスト</v>
      </c>
    </row>
    <row r="1090" ht="13.5" customHeight="1">
      <c r="A1090" s="1" t="s">
        <v>1997</v>
      </c>
      <c r="B1090" s="1" t="s">
        <v>5522</v>
      </c>
      <c r="C1090" s="1" t="s">
        <v>5523</v>
      </c>
      <c r="D1090" s="1" t="s">
        <v>5524</v>
      </c>
      <c r="E1090" s="1" t="s">
        <v>5525</v>
      </c>
      <c r="F1090" s="1" t="s">
        <v>5526</v>
      </c>
      <c r="G1090" s="1" t="s">
        <v>5524</v>
      </c>
      <c r="H1090" s="1" t="str">
        <f>IFERROR(__xludf.DUMMYFUNCTION("GOOGLETRANSLATE(D1090,""EN"",""JA"")"),"指数表示器")</f>
        <v>指数表示器</v>
      </c>
      <c r="I1090" s="1" t="str">
        <f>IFERROR(__xludf.DUMMYFUNCTION("GOOGLETRANSLATE(E1090,""EN"",""JA"")"),"指数インジケーター")</f>
        <v>指数インジケーター</v>
      </c>
      <c r="J1090" s="1" t="str">
        <f>IFERROR(__xludf.DUMMYFUNCTION("GOOGLETRANSLATE(F1090,""EN"",""JA"")"),"被験者が事前に指定された距離にある検査者の指を認識し、正確に数えることができるかどうかを示します。")</f>
        <v>被験者が事前に指定された距離にある検査者の指を認識し、正確に数えることができるかどうかを示します。</v>
      </c>
      <c r="K1090" s="1" t="str">
        <f>IFERROR(__xludf.DUMMYFUNCTION("GOOGLETRANSLATE(G1090,""EN"",""JA"")"),"指数表示器")</f>
        <v>指数表示器</v>
      </c>
    </row>
    <row r="1091" ht="13.5" customHeight="1">
      <c r="A1091" s="1" t="s">
        <v>601</v>
      </c>
      <c r="B1091" s="1" t="s">
        <v>5527</v>
      </c>
      <c r="C1091" s="1" t="s">
        <v>5528</v>
      </c>
      <c r="D1091" s="1" t="s">
        <v>5529</v>
      </c>
      <c r="E1091" s="1" t="s">
        <v>5529</v>
      </c>
      <c r="F1091" s="1" t="s">
        <v>5530</v>
      </c>
      <c r="G1091" s="1" t="s">
        <v>5529</v>
      </c>
      <c r="H1091" s="1" t="str">
        <f>IFERROR(__xludf.DUMMYFUNCTION("GOOGLETRANSLATE(D1091,""EN"",""JA"")"),"永住住所の郡")</f>
        <v>永住住所の郡</v>
      </c>
      <c r="I1091" s="1" t="str">
        <f>IFERROR(__xludf.DUMMYFUNCTION("GOOGLETRANSLATE(E1091,""EN"",""JA"")"),"永住住所の郡")</f>
        <v>永住住所の郡</v>
      </c>
      <c r="J1091" s="1" t="str">
        <f>IFERROR(__xludf.DUMMYFUNCTION("GOOGLETRANSLATE(F1091,""EN"",""JA"")"),"個人の永住地として特定される郡。")</f>
        <v>個人の永住地として特定される郡。</v>
      </c>
      <c r="K1091" s="1" t="str">
        <f>IFERROR(__xludf.DUMMYFUNCTION("GOOGLETRANSLATE(G1091,""EN"",""JA"")"),"永住住所の郡")</f>
        <v>永住住所の郡</v>
      </c>
    </row>
    <row r="1092" ht="13.5" customHeight="1">
      <c r="A1092" s="1" t="s">
        <v>11</v>
      </c>
      <c r="B1092" s="1" t="s">
        <v>5531</v>
      </c>
      <c r="C1092" s="1" t="s">
        <v>5532</v>
      </c>
      <c r="D1092" s="1" t="s">
        <v>5533</v>
      </c>
      <c r="E1092" s="1" t="s">
        <v>5533</v>
      </c>
      <c r="F1092" s="1" t="s">
        <v>5534</v>
      </c>
      <c r="G1092" s="1" t="s">
        <v>5535</v>
      </c>
      <c r="H1092" s="1" t="str">
        <f>IFERROR(__xludf.DUMMYFUNCTION("GOOGLETRANSLATE(D1092,""EN"",""JA"")"),"二酸化炭素")</f>
        <v>二酸化炭素</v>
      </c>
      <c r="I1092" s="1" t="str">
        <f>IFERROR(__xludf.DUMMYFUNCTION("GOOGLETRANSLATE(E1092,""EN"",""JA"")"),"二酸化炭素")</f>
        <v>二酸化炭素</v>
      </c>
      <c r="J1092" s="1" t="str">
        <f>IFERROR(__xludf.DUMMYFUNCTION("GOOGLETRANSLATE(F1092,""EN"",""JA"")"),"生物標本中の二酸化炭素ガスの測定。")</f>
        <v>生物標本中の二酸化炭素ガスの測定。</v>
      </c>
      <c r="K1092" s="1" t="str">
        <f>IFERROR(__xludf.DUMMYFUNCTION("GOOGLETRANSLATE(G1092,""EN"",""JA"")"),"二酸化炭素測定")</f>
        <v>二酸化炭素測定</v>
      </c>
    </row>
    <row r="1093" ht="13.5" customHeight="1">
      <c r="A1093" s="1" t="s">
        <v>11</v>
      </c>
      <c r="B1093" s="1" t="s">
        <v>5536</v>
      </c>
      <c r="C1093" s="1" t="s">
        <v>5537</v>
      </c>
      <c r="D1093" s="1" t="s">
        <v>5538</v>
      </c>
      <c r="E1093" s="1" t="s">
        <v>5539</v>
      </c>
      <c r="F1093" s="1" t="s">
        <v>5540</v>
      </c>
      <c r="G1093" s="1" t="s">
        <v>5541</v>
      </c>
      <c r="H1093" s="1" t="str">
        <f>IFERROR(__xludf.DUMMYFUNCTION("GOOGLETRANSLATE(D1093,""EN"",""JA"")"),"凝固指数")</f>
        <v>凝固指数</v>
      </c>
      <c r="I1093" s="1" t="str">
        <f>IFERROR(__xludf.DUMMYFUNCTION("GOOGLETRANSLATE(E1093,""EN"",""JA"")"),"CI; 凝固指数")</f>
        <v>CI; 凝固指数</v>
      </c>
      <c r="J1093" s="1" t="str">
        <f>IFERROR(__xludf.DUMMYFUNCTION("GOOGLETRANSLATE(F1093,""EN"",""JA"")"),"生物学的試料の凝固効率の測定値。R値、K値、凝血塊形成の角度、最大振幅を考慮した数式によって算出されます。")</f>
        <v>生物学的試料の凝固効率の測定値。R値、K値、凝血塊形成の角度、最大振幅を考慮した数式によって算出されます。</v>
      </c>
      <c r="K1093" s="1" t="str">
        <f>IFERROR(__xludf.DUMMYFUNCTION("GOOGLETRANSLATE(G1093,""EN"",""JA"")"),"凝固指数測定")</f>
        <v>凝固指数測定</v>
      </c>
    </row>
    <row r="1094" ht="13.5" customHeight="1">
      <c r="A1094" s="1" t="s">
        <v>90</v>
      </c>
      <c r="B1094" s="1" t="s">
        <v>5542</v>
      </c>
      <c r="C1094" s="1" t="s">
        <v>5543</v>
      </c>
      <c r="D1094" s="1" t="s">
        <v>5544</v>
      </c>
      <c r="E1094" s="1" t="s">
        <v>5544</v>
      </c>
      <c r="F1094" s="1" t="s">
        <v>5545</v>
      </c>
      <c r="G1094" s="1" t="s">
        <v>5544</v>
      </c>
      <c r="H1094" s="1" t="str">
        <f>IFERROR(__xludf.DUMMYFUNCTION("GOOGLETRANSLATE(D1094,""EN"",""JA"")"),"冠動脈優位性")</f>
        <v>冠動脈優位性</v>
      </c>
      <c r="I1094" s="1" t="str">
        <f>IFERROR(__xludf.DUMMYFUNCTION("GOOGLETRANSLATE(E1094,""EN"",""JA"")"),"冠動脈優位性")</f>
        <v>冠動脈優位性</v>
      </c>
      <c r="J1094" s="1" t="str">
        <f>IFERROR(__xludf.DUMMYFUNCTION("GOOGLETRANSLATE(F1094,""EN"",""JA"")"),"後外側冠動脈と後下行冠動脈に血液を供給する心外膜血管のパターン。")</f>
        <v>後外側冠動脈と後下行冠動脈に血液を供給する心外膜血管のパターン。</v>
      </c>
      <c r="K1094" s="1" t="str">
        <f>IFERROR(__xludf.DUMMYFUNCTION("GOOGLETRANSLATE(G1094,""EN"",""JA"")"),"冠動脈優位性")</f>
        <v>冠動脈優位性</v>
      </c>
    </row>
    <row r="1095" ht="13.5" customHeight="1">
      <c r="A1095" s="1" t="s">
        <v>11</v>
      </c>
      <c r="B1095" s="1" t="s">
        <v>5546</v>
      </c>
      <c r="C1095" s="1" t="s">
        <v>5547</v>
      </c>
      <c r="D1095" s="1" t="s">
        <v>5548</v>
      </c>
      <c r="E1095" s="1" t="s">
        <v>5548</v>
      </c>
      <c r="F1095" s="1" t="s">
        <v>5549</v>
      </c>
      <c r="G1095" s="1" t="s">
        <v>5550</v>
      </c>
      <c r="H1095" s="1" t="str">
        <f>IFERROR(__xludf.DUMMYFUNCTION("GOOGLETRANSLATE(D1095,""EN"",""JA"")"),"コカインおよび/または代謝物")</f>
        <v>コカインおよび/または代謝物</v>
      </c>
      <c r="I1095" s="1" t="str">
        <f>IFERROR(__xludf.DUMMYFUNCTION("GOOGLETRANSLATE(E1095,""EN"",""JA"")"),"コカインおよび/または代謝物")</f>
        <v>コカインおよび/または代謝物</v>
      </c>
      <c r="J1095" s="1" t="str">
        <f>IFERROR(__xludf.DUMMYFUNCTION("GOOGLETRANSLATE(F1095,""EN"",""JA"")"),"コカインとその代謝物の両方を測定できる分析法のために、生物学的標本中に存在するコカインおよび/またはその代謝物の測定。")</f>
        <v>コカインとその代謝物の両方を測定できる分析法のために、生物学的標本中に存在するコカインおよび/またはその代謝物の測定。</v>
      </c>
      <c r="K1095" s="1" t="str">
        <f>IFERROR(__xludf.DUMMYFUNCTION("GOOGLETRANSLATE(G1095,""EN"",""JA"")"),"コカインおよび/または代謝物の測定")</f>
        <v>コカインおよび/または代謝物の測定</v>
      </c>
    </row>
    <row r="1096" ht="13.5" customHeight="1">
      <c r="A1096" s="1" t="s">
        <v>11</v>
      </c>
      <c r="B1096" s="1" t="s">
        <v>5551</v>
      </c>
      <c r="C1096" s="1" t="s">
        <v>5552</v>
      </c>
      <c r="D1096" s="1" t="s">
        <v>5553</v>
      </c>
      <c r="E1096" s="1" t="s">
        <v>5554</v>
      </c>
      <c r="F1096" s="1" t="s">
        <v>5555</v>
      </c>
      <c r="G1096" s="1" t="s">
        <v>5556</v>
      </c>
      <c r="H1096" s="1" t="str">
        <f>IFERROR(__xludf.DUMMYFUNCTION("GOOGLETRANSLATE(D1096,""EN"",""JA"")"),"コカエチレン")</f>
        <v>コカエチレン</v>
      </c>
      <c r="I1096" s="1" t="str">
        <f>IFERROR(__xludf.DUMMYFUNCTION("GOOGLETRANSLATE(E1096,""EN"",""JA"")"),"コカエチレン; コカインエチル")</f>
        <v>コカエチレン; コカインエチル</v>
      </c>
      <c r="J1096" s="1" t="str">
        <f>IFERROR(__xludf.DUMMYFUNCTION("GOOGLETRANSLATE(F1096,""EN"",""JA"")"),"生物標本中に存在するコカエチレンの測定。")</f>
        <v>生物標本中に存在するコカエチレンの測定。</v>
      </c>
      <c r="K1096" s="1" t="str">
        <f>IFERROR(__xludf.DUMMYFUNCTION("GOOGLETRANSLATE(G1096,""EN"",""JA"")"),"コカエチレン測定")</f>
        <v>コカエチレン測定</v>
      </c>
    </row>
    <row r="1097" ht="13.5" customHeight="1">
      <c r="A1097" s="1" t="s">
        <v>11</v>
      </c>
      <c r="B1097" s="1" t="s">
        <v>5557</v>
      </c>
      <c r="C1097" s="1" t="s">
        <v>5558</v>
      </c>
      <c r="D1097" s="1" t="s">
        <v>5559</v>
      </c>
      <c r="E1097" s="1" t="s">
        <v>5559</v>
      </c>
      <c r="F1097" s="1" t="s">
        <v>5560</v>
      </c>
      <c r="G1097" s="1" t="s">
        <v>5561</v>
      </c>
      <c r="H1097" s="1" t="str">
        <f>IFERROR(__xludf.DUMMYFUNCTION("GOOGLETRANSLATE(D1097,""EN"",""JA"")"),"コカイン")</f>
        <v>コカイン</v>
      </c>
      <c r="I1097" s="1" t="str">
        <f>IFERROR(__xludf.DUMMYFUNCTION("GOOGLETRANSLATE(E1097,""EN"",""JA"")"),"コカイン")</f>
        <v>コカイン</v>
      </c>
      <c r="J1097" s="1" t="str">
        <f>IFERROR(__xludf.DUMMYFUNCTION("GOOGLETRANSLATE(F1097,""EN"",""JA"")"),"生物学的標本中に存在するコカインの測定。")</f>
        <v>生物学的標本中に存在するコカインの測定。</v>
      </c>
      <c r="K1097" s="1" t="str">
        <f>IFERROR(__xludf.DUMMYFUNCTION("GOOGLETRANSLATE(G1097,""EN"",""JA"")"),"コカイン測定")</f>
        <v>コカイン測定</v>
      </c>
    </row>
    <row r="1098" ht="13.5" customHeight="1">
      <c r="A1098" s="1" t="s">
        <v>11</v>
      </c>
      <c r="B1098" s="1" t="s">
        <v>5562</v>
      </c>
      <c r="C1098" s="1" t="s">
        <v>5563</v>
      </c>
      <c r="D1098" s="1" t="s">
        <v>5564</v>
      </c>
      <c r="E1098" s="1" t="s">
        <v>5564</v>
      </c>
      <c r="F1098" s="1" t="s">
        <v>5565</v>
      </c>
      <c r="G1098" s="1" t="s">
        <v>5566</v>
      </c>
      <c r="H1098" s="1" t="str">
        <f>IFERROR(__xludf.DUMMYFUNCTION("GOOGLETRANSLATE(D1098,""EN"",""JA"")"),"コカイン代謝物")</f>
        <v>コカイン代謝物</v>
      </c>
      <c r="I1098" s="1" t="str">
        <f>IFERROR(__xludf.DUMMYFUNCTION("GOOGLETRANSLATE(E1098,""EN"",""JA"")"),"コカイン代謝物")</f>
        <v>コカイン代謝物</v>
      </c>
      <c r="J1098" s="1" t="str">
        <f>IFERROR(__xludf.DUMMYFUNCTION("GOOGLETRANSLATE(F1098,""EN"",""JA"")"),"生物学的標本中に存在するコカイン薬物クラスの代謝物の測定。")</f>
        <v>生物学的標本中に存在するコカイン薬物クラスの代謝物の測定。</v>
      </c>
      <c r="K1098" s="1" t="str">
        <f>IFERROR(__xludf.DUMMYFUNCTION("GOOGLETRANSLATE(G1098,""EN"",""JA"")"),"コカイン代謝物の測定")</f>
        <v>コカイン代謝物の測定</v>
      </c>
    </row>
    <row r="1099" ht="13.5" customHeight="1">
      <c r="A1099" s="1" t="s">
        <v>11</v>
      </c>
      <c r="B1099" s="1" t="s">
        <v>5567</v>
      </c>
      <c r="C1099" s="1" t="s">
        <v>5568</v>
      </c>
      <c r="D1099" s="1" t="s">
        <v>5569</v>
      </c>
      <c r="E1099" s="1" t="s">
        <v>5569</v>
      </c>
      <c r="F1099" s="1" t="s">
        <v>5570</v>
      </c>
      <c r="G1099" s="1" t="s">
        <v>5571</v>
      </c>
      <c r="H1099" s="1" t="str">
        <f>IFERROR(__xludf.DUMMYFUNCTION("GOOGLETRANSLATE(D1099,""EN"",""JA"")"),"コカイン ベンゾイルエクゴニン エクゴニン")</f>
        <v>コカイン ベンゾイルエクゴニン エクゴニン</v>
      </c>
      <c r="I1099" s="1" t="str">
        <f>IFERROR(__xludf.DUMMYFUNCTION("GOOGLETRANSLATE(E1099,""EN"",""JA"")"),"コカイン ベンゾイルエクゴニン エクゴニン")</f>
        <v>コカイン ベンゾイルエクゴニン エクゴニン</v>
      </c>
      <c r="J1099" s="1" t="str">
        <f>IFERROR(__xludf.DUMMYFUNCTION("GOOGLETRANSLATE(F1099,""EN"",""JA"")"),"生物学的標本中のコカイン、ベンゾイルエクゴニン、および/またはエクゴニンの測定。")</f>
        <v>生物学的標本中のコカイン、ベンゾイルエクゴニン、および/またはエクゴニンの測定。</v>
      </c>
      <c r="K1099" s="1" t="str">
        <f>IFERROR(__xludf.DUMMYFUNCTION("GOOGLETRANSLATE(G1099,""EN"",""JA"")"),"コカイン、ベンゾイルエクゴニン、および/またはエクゴニンの測定")</f>
        <v>コカイン、ベンゾイルエクゴニン、および/またはエクゴニンの測定</v>
      </c>
    </row>
    <row r="1100" ht="13.5" customHeight="1">
      <c r="A1100" s="1" t="s">
        <v>11</v>
      </c>
      <c r="B1100" s="1" t="s">
        <v>5572</v>
      </c>
      <c r="C1100" s="1" t="s">
        <v>5573</v>
      </c>
      <c r="D1100" s="1" t="s">
        <v>5574</v>
      </c>
      <c r="E1100" s="1" t="s">
        <v>5574</v>
      </c>
      <c r="F1100" s="1" t="s">
        <v>5575</v>
      </c>
      <c r="G1100" s="1" t="s">
        <v>5576</v>
      </c>
      <c r="H1100" s="1" t="str">
        <f>IFERROR(__xludf.DUMMYFUNCTION("GOOGLETRANSLATE(D1100,""EN"",""JA"")"),"コデイン")</f>
        <v>コデイン</v>
      </c>
      <c r="I1100" s="1" t="str">
        <f>IFERROR(__xludf.DUMMYFUNCTION("GOOGLETRANSLATE(E1100,""EN"",""JA"")"),"コデイン")</f>
        <v>コデイン</v>
      </c>
      <c r="J1100" s="1" t="str">
        <f>IFERROR(__xludf.DUMMYFUNCTION("GOOGLETRANSLATE(F1100,""EN"",""JA"")"),"生物学的標本中に存在するコデインの測定。")</f>
        <v>生物学的標本中に存在するコデインの測定。</v>
      </c>
      <c r="K1100" s="1" t="str">
        <f>IFERROR(__xludf.DUMMYFUNCTION("GOOGLETRANSLATE(G1100,""EN"",""JA"")"),"コデイン測定")</f>
        <v>コデイン測定</v>
      </c>
    </row>
    <row r="1101" ht="13.5" customHeight="1">
      <c r="A1101" s="1" t="s">
        <v>11</v>
      </c>
      <c r="B1101" s="1" t="s">
        <v>5577</v>
      </c>
      <c r="C1101" s="1" t="s">
        <v>5578</v>
      </c>
      <c r="D1101" s="1" t="s">
        <v>5579</v>
      </c>
      <c r="E1101" s="1" t="s">
        <v>5579</v>
      </c>
      <c r="F1101" s="1" t="s">
        <v>5580</v>
      </c>
      <c r="G1101" s="1" t="s">
        <v>5581</v>
      </c>
      <c r="H1101" s="1" t="str">
        <f>IFERROR(__xludf.DUMMYFUNCTION("GOOGLETRANSLATE(D1101,""EN"",""JA"")"),"コラーゲンIV型")</f>
        <v>コラーゲンIV型</v>
      </c>
      <c r="I1101" s="1" t="str">
        <f>IFERROR(__xludf.DUMMYFUNCTION("GOOGLETRANSLATE(E1101,""EN"",""JA"")"),"コラーゲンIV型")</f>
        <v>コラーゲンIV型</v>
      </c>
      <c r="J1101" s="1" t="str">
        <f>IFERROR(__xludf.DUMMYFUNCTION("GOOGLETRANSLATE(F1101,""EN"",""JA"")"),"生物標本中の IV 型コラーゲンの測定。")</f>
        <v>生物標本中の IV 型コラーゲンの測定。</v>
      </c>
      <c r="K1101" s="1" t="str">
        <f>IFERROR(__xludf.DUMMYFUNCTION("GOOGLETRANSLATE(G1101,""EN"",""JA"")"),"コラーゲンIV型測定")</f>
        <v>コラーゲンIV型測定</v>
      </c>
    </row>
    <row r="1102" ht="13.5" customHeight="1">
      <c r="A1102" s="1" t="s">
        <v>3094</v>
      </c>
      <c r="B1102" s="1" t="s">
        <v>5582</v>
      </c>
      <c r="C1102" s="1" t="s">
        <v>5583</v>
      </c>
      <c r="D1102" s="1" t="s">
        <v>5584</v>
      </c>
      <c r="E1102" s="1" t="s">
        <v>5584</v>
      </c>
      <c r="F1102" s="1" t="s">
        <v>5585</v>
      </c>
      <c r="G1102" s="1" t="s">
        <v>5586</v>
      </c>
      <c r="H1102" s="1" t="str">
        <f>IFERROR(__xludf.DUMMYFUNCTION("GOOGLETRANSLATE(D1102,""EN"",""JA"")"),"色")</f>
        <v>色</v>
      </c>
      <c r="I1102" s="1" t="str">
        <f>IFERROR(__xludf.DUMMYFUNCTION("GOOGLETRANSLATE(E1102,""EN"",""JA"")"),"色")</f>
        <v>色</v>
      </c>
      <c r="J1102" s="1" t="str">
        <f>IFERROR(__xludf.DUMMYFUNCTION("GOOGLETRANSLATE(F1102,""EN"",""JA"")"),"生物標本の色の測定値。")</f>
        <v>生物標本の色の測定値。</v>
      </c>
      <c r="K1102" s="1" t="str">
        <f>IFERROR(__xludf.DUMMYFUNCTION("GOOGLETRANSLATE(G1102,""EN"",""JA"")"),"色彩評価")</f>
        <v>色彩評価</v>
      </c>
    </row>
    <row r="1103" ht="13.5" customHeight="1">
      <c r="A1103" s="1" t="s">
        <v>11</v>
      </c>
      <c r="B1103" s="1" t="s">
        <v>5582</v>
      </c>
      <c r="C1103" s="1" t="s">
        <v>5583</v>
      </c>
      <c r="D1103" s="1" t="s">
        <v>5584</v>
      </c>
      <c r="E1103" s="1" t="s">
        <v>5584</v>
      </c>
      <c r="F1103" s="1" t="s">
        <v>5585</v>
      </c>
      <c r="G1103" s="1" t="s">
        <v>5586</v>
      </c>
      <c r="H1103" s="1" t="str">
        <f>IFERROR(__xludf.DUMMYFUNCTION("GOOGLETRANSLATE(D1103,""EN"",""JA"")"),"色")</f>
        <v>色</v>
      </c>
      <c r="I1103" s="1" t="str">
        <f>IFERROR(__xludf.DUMMYFUNCTION("GOOGLETRANSLATE(E1103,""EN"",""JA"")"),"色")</f>
        <v>色</v>
      </c>
      <c r="J1103" s="1" t="str">
        <f>IFERROR(__xludf.DUMMYFUNCTION("GOOGLETRANSLATE(F1103,""EN"",""JA"")"),"生物標本の色の測定値。")</f>
        <v>生物標本の色の測定値。</v>
      </c>
      <c r="K1103" s="1" t="str">
        <f>IFERROR(__xludf.DUMMYFUNCTION("GOOGLETRANSLATE(G1103,""EN"",""JA"")"),"色彩評価")</f>
        <v>色彩評価</v>
      </c>
    </row>
    <row r="1104" ht="13.5" customHeight="1">
      <c r="A1104" s="1" t="s">
        <v>1997</v>
      </c>
      <c r="B1104" s="1" t="s">
        <v>5587</v>
      </c>
      <c r="C1104" s="1" t="s">
        <v>5583</v>
      </c>
      <c r="D1104" s="1" t="s">
        <v>5584</v>
      </c>
      <c r="E1104" s="1" t="s">
        <v>5584</v>
      </c>
      <c r="F1104" s="1" t="s">
        <v>5588</v>
      </c>
      <c r="G1104" s="1" t="s">
        <v>5584</v>
      </c>
      <c r="H1104" s="1" t="str">
        <f>IFERROR(__xludf.DUMMYFUNCTION("GOOGLETRANSLATE(D1104,""EN"",""JA"")"),"色")</f>
        <v>色</v>
      </c>
      <c r="I1104" s="1" t="str">
        <f>IFERROR(__xludf.DUMMYFUNCTION("GOOGLETRANSLATE(E1104,""EN"",""JA"")"),"色")</f>
        <v>色</v>
      </c>
      <c r="J1104" s="1" t="str">
        <f>IFERROR(__xludf.DUMMYFUNCTION("GOOGLETRANSLATE(F1104,""EN"",""JA"")"),"物体（または光源）の外観を、色相、明度（または輝度）、彩度に対する人の知覚に基づいて表現したもの。（NCI）")</f>
        <v>物体（または光源）の外観を、色相、明度（または輝度）、彩度に対する人の知覚に基づいて表現したもの。（NCI）</v>
      </c>
      <c r="K1104" s="1" t="str">
        <f>IFERROR(__xludf.DUMMYFUNCTION("GOOGLETRANSLATE(G1104,""EN"",""JA"")"),"色")</f>
        <v>色</v>
      </c>
    </row>
    <row r="1105" ht="13.5" customHeight="1">
      <c r="A1105" s="1" t="s">
        <v>11</v>
      </c>
      <c r="B1105" s="1" t="s">
        <v>5589</v>
      </c>
      <c r="C1105" s="1" t="s">
        <v>5590</v>
      </c>
      <c r="D1105" s="1" t="s">
        <v>5591</v>
      </c>
      <c r="E1105" s="1" t="s">
        <v>5591</v>
      </c>
      <c r="F1105" s="1" t="s">
        <v>5592</v>
      </c>
      <c r="G1105" s="1" t="s">
        <v>5593</v>
      </c>
      <c r="H1105" s="1" t="str">
        <f>IFERROR(__xludf.DUMMYFUNCTION("GOOGLETRANSLATE(D1105,""EN"",""JA"")"),"軟骨オリゴマーマトリックスタンパク質")</f>
        <v>軟骨オリゴマーマトリックスタンパク質</v>
      </c>
      <c r="I1105" s="1" t="str">
        <f>IFERROR(__xludf.DUMMYFUNCTION("GOOGLETRANSLATE(E1105,""EN"",""JA"")"),"軟骨オリゴマーマトリックスタンパク質")</f>
        <v>軟骨オリゴマーマトリックスタンパク質</v>
      </c>
      <c r="J1105" s="1" t="str">
        <f>IFERROR(__xludf.DUMMYFUNCTION("GOOGLETRANSLATE(F1105,""EN"",""JA"")"),"生物標本中の軟骨オリゴマーマトリックスタンパク質の測定。")</f>
        <v>生物標本中の軟骨オリゴマーマトリックスタンパク質の測定。</v>
      </c>
      <c r="K1105" s="1" t="str">
        <f>IFERROR(__xludf.DUMMYFUNCTION("GOOGLETRANSLATE(G1105,""EN"",""JA"")"),"軟骨オリゴマーマトリックスタンパク質測定")</f>
        <v>軟骨オリゴマーマトリックスタンパク質測定</v>
      </c>
    </row>
    <row r="1106" ht="13.5" customHeight="1">
      <c r="A1106" s="1" t="s">
        <v>397</v>
      </c>
      <c r="B1106" s="1" t="s">
        <v>5594</v>
      </c>
      <c r="C1106" s="1" t="s">
        <v>5595</v>
      </c>
      <c r="D1106" s="1" t="s">
        <v>5596</v>
      </c>
      <c r="E1106" s="1" t="s">
        <v>5596</v>
      </c>
      <c r="F1106" s="1" t="s">
        <v>5597</v>
      </c>
      <c r="G1106" s="1" t="s">
        <v>5598</v>
      </c>
      <c r="H1106" s="1" t="str">
        <f>IFERROR(__xludf.DUMMYFUNCTION("GOOGLETRANSLATE(D1106,""EN"",""JA"")"),"比較治療名")</f>
        <v>比較治療名</v>
      </c>
      <c r="I1106" s="1" t="str">
        <f>IFERROR(__xludf.DUMMYFUNCTION("GOOGLETRANSLATE(E1106,""EN"",""JA"")"),"比較治療名")</f>
        <v>比較治療名</v>
      </c>
      <c r="J1106" s="1" t="str">
        <f>IFERROR(__xludf.DUMMYFUNCTION("GOOGLETRANSLATE(F1106,""EN"",""JA"")"),"臨床試験の実験プロトコルの基準測定値を提供することを目的とした治療活性物質。")</f>
        <v>臨床試験の実験プロトコルの基準測定値を提供することを目的とした治療活性物質。</v>
      </c>
      <c r="K1106" s="1" t="str">
        <f>IFERROR(__xludf.DUMMYFUNCTION("GOOGLETRANSLATE(G1106,""EN"",""JA"")"),"有効比較薬")</f>
        <v>有効比較薬</v>
      </c>
    </row>
    <row r="1107" ht="13.5" customHeight="1">
      <c r="A1107" s="1" t="s">
        <v>870</v>
      </c>
      <c r="B1107" s="1" t="s">
        <v>5599</v>
      </c>
      <c r="C1107" s="1" t="s">
        <v>5600</v>
      </c>
      <c r="D1107" s="1" t="s">
        <v>5601</v>
      </c>
      <c r="E1107" s="1" t="s">
        <v>5601</v>
      </c>
      <c r="F1107" s="1" t="s">
        <v>5602</v>
      </c>
      <c r="G1107" s="1" t="s">
        <v>5603</v>
      </c>
      <c r="H1107" s="1" t="str">
        <f>IFERROR(__xludf.DUMMYFUNCTION("GOOGLETRANSLATE(D1107,""EN"",""JA"")"),"BMIによる濃度")</f>
        <v>BMIによる濃度</v>
      </c>
      <c r="I1107" s="1" t="str">
        <f>IFERROR(__xludf.DUMMYFUNCTION("GOOGLETRANSLATE(E1107,""EN"",""JA"")"),"BMIによる濃度")</f>
        <v>BMIによる濃度</v>
      </c>
      <c r="J1107" s="1" t="str">
        <f>IFERROR(__xludf.DUMMYFUNCTION("GOOGLETRANSLATE(F1107,""EN"",""JA"")"),"濃度をボディマス指数で割ったもの。")</f>
        <v>濃度をボディマス指数で割ったもの。</v>
      </c>
      <c r="K1107" s="1" t="str">
        <f>IFERROR(__xludf.DUMMYFUNCTION("GOOGLETRANSLATE(G1107,""EN"",""JA"")"),"濃度をBMIで割った値")</f>
        <v>濃度をBMIで割った値</v>
      </c>
    </row>
    <row r="1108" ht="13.5" customHeight="1">
      <c r="A1108" s="1" t="s">
        <v>870</v>
      </c>
      <c r="B1108" s="1" t="s">
        <v>5604</v>
      </c>
      <c r="C1108" s="1" t="s">
        <v>5605</v>
      </c>
      <c r="D1108" s="1" t="s">
        <v>5606</v>
      </c>
      <c r="E1108" s="1" t="s">
        <v>5606</v>
      </c>
      <c r="F1108" s="1" t="s">
        <v>5607</v>
      </c>
      <c r="G1108" s="1" t="s">
        <v>5608</v>
      </c>
      <c r="H1108" s="1" t="str">
        <f>IFERROR(__xludf.DUMMYFUNCTION("GOOGLETRANSLATE(D1108,""EN"",""JA"")"),"用量別濃度")</f>
        <v>用量別濃度</v>
      </c>
      <c r="I1108" s="1" t="str">
        <f>IFERROR(__xludf.DUMMYFUNCTION("GOOGLETRANSLATE(E1108,""EN"",""JA"")"),"用量別濃度")</f>
        <v>用量別濃度</v>
      </c>
      <c r="J1108" s="1" t="str">
        <f>IFERROR(__xludf.DUMMYFUNCTION("GOOGLETRANSLATE(F1108,""EN"",""JA"")"),"濃度を投与量で割ったもの。")</f>
        <v>濃度を投与量で割ったもの。</v>
      </c>
      <c r="K1108" s="1" t="str">
        <f>IFERROR(__xludf.DUMMYFUNCTION("GOOGLETRANSLATE(G1108,""EN"",""JA"")"),"濃度を投与量で割った値")</f>
        <v>濃度を投与量で割った値</v>
      </c>
    </row>
    <row r="1109" ht="13.5" customHeight="1">
      <c r="A1109" s="1" t="s">
        <v>870</v>
      </c>
      <c r="B1109" s="1" t="s">
        <v>5609</v>
      </c>
      <c r="C1109" s="1" t="s">
        <v>5610</v>
      </c>
      <c r="D1109" s="1" t="s">
        <v>5611</v>
      </c>
      <c r="E1109" s="1" t="s">
        <v>5611</v>
      </c>
      <c r="F1109" s="1" t="s">
        <v>5612</v>
      </c>
      <c r="G1109" s="1" t="s">
        <v>5611</v>
      </c>
      <c r="H1109" s="1" t="str">
        <f>IFERROR(__xludf.DUMMYFUNCTION("GOOGLETRANSLATE(D1109,""EN"",""JA"")"),"注入終了時の濃度")</f>
        <v>注入終了時の濃度</v>
      </c>
      <c r="I1109" s="1" t="str">
        <f>IFERROR(__xludf.DUMMYFUNCTION("GOOGLETRANSLATE(E1109,""EN"",""JA"")"),"注入終了時の濃度")</f>
        <v>注入終了時の濃度</v>
      </c>
      <c r="J1109" s="1" t="str">
        <f>IFERROR(__xludf.DUMMYFUNCTION("GOOGLETRANSLATE(F1109,""EN"",""JA"")"),"注入終了時に観察された濃度。")</f>
        <v>注入終了時に観察された濃度。</v>
      </c>
      <c r="K1109" s="1" t="str">
        <f>IFERROR(__xludf.DUMMYFUNCTION("GOOGLETRANSLATE(G1109,""EN"",""JA"")"),"注入終了時の濃度")</f>
        <v>注入終了時の濃度</v>
      </c>
    </row>
    <row r="1110" ht="13.5" customHeight="1">
      <c r="A1110" s="1" t="s">
        <v>870</v>
      </c>
      <c r="B1110" s="1" t="s">
        <v>5613</v>
      </c>
      <c r="C1110" s="1" t="s">
        <v>5614</v>
      </c>
      <c r="D1110" s="1" t="s">
        <v>5615</v>
      </c>
      <c r="E1110" s="1" t="s">
        <v>5615</v>
      </c>
      <c r="F1110" s="1" t="s">
        <v>5616</v>
      </c>
      <c r="G1110" s="1" t="s">
        <v>5617</v>
      </c>
      <c r="H1110" s="1" t="str">
        <f>IFERROR(__xludf.DUMMYFUNCTION("GOOGLETRANSLATE(D1110,""EN"",""JA"")"),"SAによるコンク")</f>
        <v>SAによるコンク</v>
      </c>
      <c r="I1110" s="1" t="str">
        <f>IFERROR(__xludf.DUMMYFUNCTION("GOOGLETRANSLATE(E1110,""EN"",""JA"")"),"SAによるコンク")</f>
        <v>SAによるコンク</v>
      </c>
      <c r="J1110" s="1" t="str">
        <f>IFERROR(__xludf.DUMMYFUNCTION("GOOGLETRANSLATE(F1110,""EN"",""JA"")"),"濃度を表面積で割ったもの。")</f>
        <v>濃度を表面積で割ったもの。</v>
      </c>
      <c r="K1110" s="1" t="str">
        <f>IFERROR(__xludf.DUMMYFUNCTION("GOOGLETRANSLATE(G1110,""EN"",""JA"")"),"濃度を表面積で割った値")</f>
        <v>濃度を表面積で割った値</v>
      </c>
    </row>
    <row r="1111" ht="13.5" customHeight="1">
      <c r="A1111" s="1" t="s">
        <v>870</v>
      </c>
      <c r="B1111" s="1" t="s">
        <v>5618</v>
      </c>
      <c r="C1111" s="1" t="s">
        <v>5619</v>
      </c>
      <c r="D1111" s="1" t="s">
        <v>5620</v>
      </c>
      <c r="E1111" s="1" t="s">
        <v>5620</v>
      </c>
      <c r="F1111" s="1" t="s">
        <v>5621</v>
      </c>
      <c r="G1111" s="1" t="s">
        <v>5622</v>
      </c>
      <c r="H1111" s="1" t="str">
        <f>IFERROR(__xludf.DUMMYFUNCTION("GOOGLETRANSLATE(D1111,""EN"",""JA"")"),"WTによる濃縮")</f>
        <v>WTによる濃縮</v>
      </c>
      <c r="I1111" s="1" t="str">
        <f>IFERROR(__xludf.DUMMYFUNCTION("GOOGLETRANSLATE(E1111,""EN"",""JA"")"),"WTによる濃縮")</f>
        <v>WTによる濃縮</v>
      </c>
      <c r="J1111" s="1" t="str">
        <f>IFERROR(__xludf.DUMMYFUNCTION("GOOGLETRANSLATE(F1111,""EN"",""JA"")"),"濃度を重量で割ったもの。")</f>
        <v>濃度を重量で割ったもの。</v>
      </c>
      <c r="K1111" s="1" t="str">
        <f>IFERROR(__xludf.DUMMYFUNCTION("GOOGLETRANSLATE(G1111,""EN"",""JA"")"),"濃度を重量で割った値")</f>
        <v>濃度を重量で割った値</v>
      </c>
    </row>
    <row r="1112" ht="13.5" customHeight="1">
      <c r="A1112" s="1" t="s">
        <v>11</v>
      </c>
      <c r="B1112" s="1" t="s">
        <v>5623</v>
      </c>
      <c r="C1112" s="1" t="s">
        <v>5624</v>
      </c>
      <c r="D1112" s="1" t="s">
        <v>5625</v>
      </c>
      <c r="E1112" s="1" t="s">
        <v>5625</v>
      </c>
      <c r="F1112" s="1" t="s">
        <v>5626</v>
      </c>
      <c r="G1112" s="1" t="s">
        <v>5625</v>
      </c>
      <c r="H1112" s="1" t="str">
        <f>IFERROR(__xludf.DUMMYFUNCTION("GOOGLETRANSLATE(D1112,""EN"",""JA"")"),"尿伝導率")</f>
        <v>尿伝導率</v>
      </c>
      <c r="I1112" s="1" t="str">
        <f>IFERROR(__xludf.DUMMYFUNCTION("GOOGLETRANSLATE(E1112,""EN"",""JA"")"),"尿伝導率")</f>
        <v>尿伝導率</v>
      </c>
      <c r="J1112" s="1" t="str">
        <f>IFERROR(__xludf.DUMMYFUNCTION("GOOGLETRANSLATE(F1112,""EN"",""JA"")"),"尿中の電解質濃度の非線形関数である尿導電率の測定値。")</f>
        <v>尿中の電解質濃度の非線形関数である尿導電率の測定値。</v>
      </c>
      <c r="K1112" s="1" t="str">
        <f>IFERROR(__xludf.DUMMYFUNCTION("GOOGLETRANSLATE(G1112,""EN"",""JA"")"),"尿伝導率")</f>
        <v>尿伝導率</v>
      </c>
    </row>
    <row r="1113" ht="13.5" customHeight="1">
      <c r="A1113" s="1" t="s">
        <v>397</v>
      </c>
      <c r="B1113" s="1" t="s">
        <v>5627</v>
      </c>
      <c r="C1113" s="1" t="s">
        <v>5628</v>
      </c>
      <c r="D1113" s="1" t="s">
        <v>5629</v>
      </c>
      <c r="E1113" s="1" t="s">
        <v>5629</v>
      </c>
      <c r="F1113" s="1" t="s">
        <v>5630</v>
      </c>
      <c r="G1113" s="1" t="s">
        <v>5631</v>
      </c>
      <c r="H1113" s="1" t="str">
        <f>IFERROR(__xludf.DUMMYFUNCTION("GOOGLETRANSLATE(D1113,""EN"",""JA"")"),"連絡先メールアドレス")</f>
        <v>連絡先メールアドレス</v>
      </c>
      <c r="I1113" s="1" t="str">
        <f>IFERROR(__xludf.DUMMYFUNCTION("GOOGLETRANSLATE(E1113,""EN"",""JA"")"),"連絡先メールアドレス")</f>
        <v>連絡先メールアドレス</v>
      </c>
      <c r="J1113" s="1" t="str">
        <f>IFERROR(__xludf.DUMMYFUNCTION("GOOGLETRANSLATE(F1113,""EN"",""JA"")"),"研究連絡先の電子メールアドレス。")</f>
        <v>研究連絡先の電子メールアドレス。</v>
      </c>
      <c r="K1113" s="1" t="str">
        <f>IFERROR(__xludf.DUMMYFUNCTION("GOOGLETRANSLATE(G1113,""EN"",""JA"")"),"研究連絡先メールアドレス")</f>
        <v>研究連絡先メールアドレス</v>
      </c>
    </row>
    <row r="1114" ht="13.5" customHeight="1">
      <c r="A1114" s="1" t="s">
        <v>397</v>
      </c>
      <c r="B1114" s="1" t="s">
        <v>5632</v>
      </c>
      <c r="C1114" s="1" t="s">
        <v>5633</v>
      </c>
      <c r="D1114" s="1" t="s">
        <v>5634</v>
      </c>
      <c r="E1114" s="1" t="s">
        <v>5634</v>
      </c>
      <c r="F1114" s="1" t="s">
        <v>5635</v>
      </c>
      <c r="G1114" s="1" t="s">
        <v>5636</v>
      </c>
      <c r="H1114" s="1" t="str">
        <f>IFERROR(__xludf.DUMMYFUNCTION("GOOGLETRANSLATE(D1114,""EN"",""JA"")"),"連絡先住所")</f>
        <v>連絡先住所</v>
      </c>
      <c r="I1114" s="1" t="str">
        <f>IFERROR(__xludf.DUMMYFUNCTION("GOOGLETRANSLATE(E1114,""EN"",""JA"")"),"連絡先住所")</f>
        <v>連絡先住所</v>
      </c>
      <c r="J1114" s="1" t="str">
        <f>IFERROR(__xludf.DUMMYFUNCTION("GOOGLETRANSLATE(F1114,""EN"",""JA"")"),"研究連絡先の郵送先住所。")</f>
        <v>研究連絡先の郵送先住所。</v>
      </c>
      <c r="K1114" s="1" t="str">
        <f>IFERROR(__xludf.DUMMYFUNCTION("GOOGLETRANSLATE(G1114,""EN"",""JA"")"),"研究連絡先住所")</f>
        <v>研究連絡先住所</v>
      </c>
    </row>
    <row r="1115" ht="13.5" customHeight="1">
      <c r="A1115" s="1" t="s">
        <v>397</v>
      </c>
      <c r="B1115" s="1" t="s">
        <v>5637</v>
      </c>
      <c r="C1115" s="1" t="s">
        <v>5638</v>
      </c>
      <c r="D1115" s="1" t="s">
        <v>5639</v>
      </c>
      <c r="E1115" s="1" t="s">
        <v>5639</v>
      </c>
      <c r="F1115" s="1" t="s">
        <v>5640</v>
      </c>
      <c r="G1115" s="1" t="s">
        <v>5641</v>
      </c>
      <c r="H1115" s="1" t="str">
        <f>IFERROR(__xludf.DUMMYFUNCTION("GOOGLETRANSLATE(D1115,""EN"",""JA"")"),"連絡先名")</f>
        <v>連絡先名</v>
      </c>
      <c r="I1115" s="1" t="str">
        <f>IFERROR(__xludf.DUMMYFUNCTION("GOOGLETRANSLATE(E1115,""EN"",""JA"")"),"連絡先名")</f>
        <v>連絡先名</v>
      </c>
      <c r="J1115" s="1" t="str">
        <f>IFERROR(__xludf.DUMMYFUNCTION("GOOGLETRANSLATE(F1115,""EN"",""JA"")"),"研究連絡先の名前。")</f>
        <v>研究連絡先の名前。</v>
      </c>
      <c r="K1115" s="1" t="str">
        <f>IFERROR(__xludf.DUMMYFUNCTION("GOOGLETRANSLATE(G1115,""EN"",""JA"")"),"研究連絡先名")</f>
        <v>研究連絡先名</v>
      </c>
    </row>
    <row r="1116" ht="13.5" customHeight="1">
      <c r="A1116" s="1" t="s">
        <v>397</v>
      </c>
      <c r="B1116" s="1" t="s">
        <v>5642</v>
      </c>
      <c r="C1116" s="1" t="s">
        <v>5643</v>
      </c>
      <c r="D1116" s="1" t="s">
        <v>5644</v>
      </c>
      <c r="E1116" s="1" t="s">
        <v>5644</v>
      </c>
      <c r="F1116" s="1" t="s">
        <v>5645</v>
      </c>
      <c r="G1116" s="1" t="s">
        <v>5646</v>
      </c>
      <c r="H1116" s="1" t="str">
        <f>IFERROR(__xludf.DUMMYFUNCTION("GOOGLETRANSLATE(D1116,""EN"",""JA"")"),"連絡先電話番号")</f>
        <v>連絡先電話番号</v>
      </c>
      <c r="I1116" s="1" t="str">
        <f>IFERROR(__xludf.DUMMYFUNCTION("GOOGLETRANSLATE(E1116,""EN"",""JA"")"),"連絡先電話番号")</f>
        <v>連絡先電話番号</v>
      </c>
      <c r="J1116" s="1" t="str">
        <f>IFERROR(__xludf.DUMMYFUNCTION("GOOGLETRANSLATE(F1116,""EN"",""JA"")"),"研究連絡先の電話番号。")</f>
        <v>研究連絡先の電話番号。</v>
      </c>
      <c r="K1116" s="1" t="str">
        <f>IFERROR(__xludf.DUMMYFUNCTION("GOOGLETRANSLATE(G1116,""EN"",""JA"")"),"研究連絡先電話番号")</f>
        <v>研究連絡先電話番号</v>
      </c>
    </row>
    <row r="1117" ht="13.5" customHeight="1">
      <c r="A1117" s="1" t="s">
        <v>397</v>
      </c>
      <c r="B1117" s="1" t="s">
        <v>5647</v>
      </c>
      <c r="C1117" s="1" t="s">
        <v>5648</v>
      </c>
      <c r="D1117" s="1" t="s">
        <v>5649</v>
      </c>
      <c r="E1117" s="1" t="s">
        <v>5649</v>
      </c>
      <c r="F1117" s="1" t="s">
        <v>5650</v>
      </c>
      <c r="G1117" s="1" t="s">
        <v>5651</v>
      </c>
      <c r="H1117" s="1" t="str">
        <f>IFERROR(__xludf.DUMMYFUNCTION("GOOGLETRANSLATE(D1117,""EN"",""JA"")"),"連絡先の役割")</f>
        <v>連絡先の役割</v>
      </c>
      <c r="I1117" s="1" t="str">
        <f>IFERROR(__xludf.DUMMYFUNCTION("GOOGLETRANSLATE(E1117,""EN"",""JA"")"),"連絡先の役割")</f>
        <v>連絡先の役割</v>
      </c>
      <c r="J1117" s="1" t="str">
        <f>IFERROR(__xludf.DUMMYFUNCTION("GOOGLETRANSLATE(F1117,""EN"",""JA"")"),"研究の連絡担当者としての責任者個人または団体が果たす役割。")</f>
        <v>研究の連絡担当者としての責任者個人または団体が果たす役割。</v>
      </c>
      <c r="K1117" s="1" t="str">
        <f>IFERROR(__xludf.DUMMYFUNCTION("GOOGLETRANSLATE(G1117,""EN"",""JA"")"),"研究連絡担当者の役割")</f>
        <v>研究連絡担当者の役割</v>
      </c>
    </row>
    <row r="1118" ht="13.5" customHeight="1">
      <c r="A1118" s="1" t="s">
        <v>11</v>
      </c>
      <c r="B1118" s="1" t="s">
        <v>5652</v>
      </c>
      <c r="C1118" s="1" t="s">
        <v>5653</v>
      </c>
      <c r="D1118" s="1" t="s">
        <v>5654</v>
      </c>
      <c r="E1118" s="1" t="s">
        <v>5654</v>
      </c>
      <c r="F1118" s="1" t="s">
        <v>5655</v>
      </c>
      <c r="G1118" s="1" t="s">
        <v>5654</v>
      </c>
      <c r="H1118" s="1" t="str">
        <f>IFERROR(__xludf.DUMMYFUNCTION("GOOGLETRANSLATE(D1118,""EN"",""JA"")"),"一貫性")</f>
        <v>一貫性</v>
      </c>
      <c r="I1118" s="1" t="str">
        <f>IFERROR(__xludf.DUMMYFUNCTION("GOOGLETRANSLATE(E1118,""EN"",""JA"")"),"一貫性")</f>
        <v>一貫性</v>
      </c>
      <c r="J1118" s="1" t="str">
        <f>IFERROR(__xludf.DUMMYFUNCTION("GOOGLETRANSLATE(F1118,""EN"",""JA"")"),"実体の堅さや構成についての説明。")</f>
        <v>実体の堅さや構成についての説明。</v>
      </c>
      <c r="K1118" s="1" t="str">
        <f>IFERROR(__xludf.DUMMYFUNCTION("GOOGLETRANSLATE(G1118,""EN"",""JA"")"),"一貫性")</f>
        <v>一貫性</v>
      </c>
    </row>
    <row r="1119" ht="13.5" customHeight="1">
      <c r="A1119" s="1" t="s">
        <v>1342</v>
      </c>
      <c r="B1119" s="1" t="s">
        <v>5656</v>
      </c>
      <c r="C1119" s="1" t="s">
        <v>5657</v>
      </c>
      <c r="D1119" s="1" t="s">
        <v>5658</v>
      </c>
      <c r="E1119" s="1" t="s">
        <v>5658</v>
      </c>
      <c r="F1119" s="1" t="s">
        <v>5659</v>
      </c>
      <c r="G1119" s="1" t="s">
        <v>5660</v>
      </c>
      <c r="H1119" s="1" t="str">
        <f>IFERROR(__xludf.DUMMYFUNCTION("GOOGLETRANSLATE(D1119,""EN"",""JA"")"),"体質症状")</f>
        <v>体質症状</v>
      </c>
      <c r="I1119" s="1" t="str">
        <f>IFERROR(__xludf.DUMMYFUNCTION("GOOGLETRANSLATE(E1119,""EN"",""JA"")"),"体質症状")</f>
        <v>体質症状</v>
      </c>
      <c r="J1119" s="1" t="str">
        <f>IFERROR(__xludf.DUMMYFUNCTION("GOOGLETRANSLATE(F1119,""EN"",""JA"")"),"個人の健康全般に影響を与える一連の症状。代表的な例としては、発熱、悪寒、疲労、脱力感、体重減少などが挙げられます。(NCI)")</f>
        <v>個人の健康全般に影響を与える一連の症状。代表的な例としては、発熱、悪寒、疲労、脱力感、体重減少などが挙げられます。(NCI)</v>
      </c>
      <c r="K1119" s="1" t="str">
        <f>IFERROR(__xludf.DUMMYFUNCTION("GOOGLETRANSLATE(G1119,""EN"",""JA"")"),"体質症状")</f>
        <v>体質症状</v>
      </c>
    </row>
    <row r="1120" ht="13.5" customHeight="1">
      <c r="A1120" s="1" t="s">
        <v>11</v>
      </c>
      <c r="B1120" s="1" t="s">
        <v>5661</v>
      </c>
      <c r="C1120" s="1" t="s">
        <v>5662</v>
      </c>
      <c r="D1120" s="1" t="s">
        <v>5663</v>
      </c>
      <c r="E1120" s="1" t="s">
        <v>5663</v>
      </c>
      <c r="F1120" s="1" t="s">
        <v>5664</v>
      </c>
      <c r="G1120" s="1" t="s">
        <v>5665</v>
      </c>
      <c r="H1120" s="1" t="str">
        <f>IFERROR(__xludf.DUMMYFUNCTION("GOOGLETRANSLATE(D1120,""EN"",""JA"")"),"コペプチン")</f>
        <v>コペプチン</v>
      </c>
      <c r="I1120" s="1" t="str">
        <f>IFERROR(__xludf.DUMMYFUNCTION("GOOGLETRANSLATE(E1120,""EN"",""JA"")"),"コペプチン")</f>
        <v>コペプチン</v>
      </c>
      <c r="J1120" s="1" t="str">
        <f>IFERROR(__xludf.DUMMYFUNCTION("GOOGLETRANSLATE(F1120,""EN"",""JA"")"),"生物標本中のコペプチンの測定。")</f>
        <v>生物標本中のコペプチンの測定。</v>
      </c>
      <c r="K1120" s="1" t="str">
        <f>IFERROR(__xludf.DUMMYFUNCTION("GOOGLETRANSLATE(G1120,""EN"",""JA"")"),"コペプチン測定")</f>
        <v>コペプチン測定</v>
      </c>
    </row>
    <row r="1121" ht="13.5" customHeight="1">
      <c r="A1121" s="1" t="s">
        <v>11</v>
      </c>
      <c r="B1121" s="1" t="s">
        <v>5666</v>
      </c>
      <c r="C1121" s="1" t="s">
        <v>5667</v>
      </c>
      <c r="D1121" s="1" t="s">
        <v>5668</v>
      </c>
      <c r="E1121" s="1" t="s">
        <v>5669</v>
      </c>
      <c r="F1121" s="1" t="s">
        <v>5670</v>
      </c>
      <c r="G1121" s="1" t="s">
        <v>5671</v>
      </c>
      <c r="H1121" s="1" t="str">
        <f>IFERROR(__xludf.DUMMYFUNCTION("GOOGLETRANSLATE(D1121,""EN"",""JA"")"),"銅")</f>
        <v>銅</v>
      </c>
      <c r="I1121" s="1" t="str">
        <f>IFERROR(__xludf.DUMMYFUNCTION("GOOGLETRANSLATE(E1121,""EN"",""JA"")"),"銅; Cu")</f>
        <v>銅; Cu</v>
      </c>
      <c r="J1121" s="1" t="str">
        <f>IFERROR(__xludf.DUMMYFUNCTION("GOOGLETRANSLATE(F1121,""EN"",""JA"")"),"生物標本中の銅の測定。")</f>
        <v>生物標本中の銅の測定。</v>
      </c>
      <c r="K1121" s="1" t="str">
        <f>IFERROR(__xludf.DUMMYFUNCTION("GOOGLETRANSLATE(G1121,""EN"",""JA"")"),"銅の測定")</f>
        <v>銅の測定</v>
      </c>
    </row>
    <row r="1122" ht="13.5" customHeight="1">
      <c r="A1122" s="1" t="s">
        <v>11</v>
      </c>
      <c r="B1122" s="1" t="s">
        <v>5672</v>
      </c>
      <c r="C1122" s="1" t="s">
        <v>5673</v>
      </c>
      <c r="D1122" s="1" t="s">
        <v>5674</v>
      </c>
      <c r="E1122" s="1" t="s">
        <v>5675</v>
      </c>
      <c r="F1122" s="1" t="s">
        <v>5676</v>
      </c>
      <c r="G1122" s="1" t="s">
        <v>5677</v>
      </c>
      <c r="H1122" s="1" t="str">
        <f>IFERROR(__xludf.DUMMYFUNCTION("GOOGLETRANSLATE(D1122,""EN"",""JA"")"),"ユビキノン10")</f>
        <v>ユビキノン10</v>
      </c>
      <c r="I1122" s="1" t="str">
        <f>IFERROR(__xludf.DUMMYFUNCTION("GOOGLETRANSLATE(E1122,""EN"",""JA"")"),"コエンザイムQ10; ユビキノン10")</f>
        <v>コエンザイムQ10; ユビキノン10</v>
      </c>
      <c r="J1122" s="1" t="str">
        <f>IFERROR(__xludf.DUMMYFUNCTION("GOOGLETRANSLATE(F1122,""EN"",""JA"")"),"生物標本中のユビキノン 10 の測定。")</f>
        <v>生物標本中のユビキノン 10 の測定。</v>
      </c>
      <c r="K1122" s="1" t="str">
        <f>IFERROR(__xludf.DUMMYFUNCTION("GOOGLETRANSLATE(G1122,""EN"",""JA"")"),"ユビキノン10測定")</f>
        <v>ユビキノン10測定</v>
      </c>
    </row>
    <row r="1123" ht="13.5" customHeight="1">
      <c r="A1123" s="1" t="s">
        <v>134</v>
      </c>
      <c r="B1123" s="1" t="s">
        <v>5678</v>
      </c>
      <c r="C1123" s="1" t="s">
        <v>5679</v>
      </c>
      <c r="D1123" s="1" t="s">
        <v>5680</v>
      </c>
      <c r="E1123" s="1" t="s">
        <v>5680</v>
      </c>
      <c r="F1123" s="1" t="s">
        <v>5681</v>
      </c>
      <c r="G1123" s="1" t="s">
        <v>5680</v>
      </c>
      <c r="H1123" s="1" t="str">
        <f>IFERROR(__xludf.DUMMYFUNCTION("GOOGLETRANSLATE(D1123,""EN"",""JA"")"),"悪性生検コア数")</f>
        <v>悪性生検コア数</v>
      </c>
      <c r="I1123" s="1" t="str">
        <f>IFERROR(__xludf.DUMMYFUNCTION("GOOGLETRANSLATE(E1123,""EN"",""JA"")"),"悪性生検コア数")</f>
        <v>悪性生検コア数</v>
      </c>
      <c r="J1123" s="1" t="str">
        <f>IFERROR(__xludf.DUMMYFUNCTION("GOOGLETRANSLATE(F1123,""EN"",""JA"")"),"悪性組織を含むコア生検の総数の測定値。(NCI)")</f>
        <v>悪性組織を含むコア生検の総数の測定値。(NCI)</v>
      </c>
      <c r="K1123" s="1" t="str">
        <f>IFERROR(__xludf.DUMMYFUNCTION("GOOGLETRANSLATE(G1123,""EN"",""JA"")"),"悪性生検コア数")</f>
        <v>悪性生検コア数</v>
      </c>
    </row>
    <row r="1124" ht="13.5" customHeight="1">
      <c r="A1124" s="1" t="s">
        <v>11</v>
      </c>
      <c r="B1124" s="1" t="s">
        <v>5682</v>
      </c>
      <c r="C1124" s="1" t="s">
        <v>5683</v>
      </c>
      <c r="D1124" s="1" t="s">
        <v>5684</v>
      </c>
      <c r="E1124" s="1" t="s">
        <v>5684</v>
      </c>
      <c r="F1124" s="1" t="s">
        <v>5685</v>
      </c>
      <c r="G1124" s="1" t="s">
        <v>5686</v>
      </c>
      <c r="H1124" s="1" t="str">
        <f>IFERROR(__xludf.DUMMYFUNCTION("GOOGLETRANSLATE(D1124,""EN"",""JA"")"),"コルチゾール/クレアチニン")</f>
        <v>コルチゾール/クレアチニン</v>
      </c>
      <c r="I1124" s="1" t="str">
        <f>IFERROR(__xludf.DUMMYFUNCTION("GOOGLETRANSLATE(E1124,""EN"",""JA"")"),"コルチゾール/クレアチニン")</f>
        <v>コルチゾール/クレアチニン</v>
      </c>
      <c r="J1124" s="1" t="str">
        <f>IFERROR(__xludf.DUMMYFUNCTION("GOOGLETRANSLATE(F1124,""EN"",""JA"")"),"サンプル中に存在するコルチゾールとクレアチニンの相対的な測定値 (比率またはパーセンテージ)。")</f>
        <v>サンプル中に存在するコルチゾールとクレアチニンの相対的な測定値 (比率またはパーセンテージ)。</v>
      </c>
      <c r="K1124" s="1" t="str">
        <f>IFERROR(__xludf.DUMMYFUNCTION("GOOGLETRANSLATE(G1124,""EN"",""JA"")"),"コルチゾール対クレアチニン比測定")</f>
        <v>コルチゾール対クレアチニン比測定</v>
      </c>
    </row>
    <row r="1125" ht="13.5" customHeight="1">
      <c r="A1125" s="1" t="s">
        <v>870</v>
      </c>
      <c r="B1125" s="1" t="s">
        <v>5687</v>
      </c>
      <c r="C1125" s="1" t="s">
        <v>5688</v>
      </c>
      <c r="D1125" s="1" t="s">
        <v>5689</v>
      </c>
      <c r="E1125" s="1" t="s">
        <v>5689</v>
      </c>
      <c r="F1125" s="1" t="s">
        <v>5690</v>
      </c>
      <c r="G1125" s="1" t="s">
        <v>5691</v>
      </c>
      <c r="H1125" s="1" t="str">
        <f>IFERROR(__xludf.DUMMYFUNCTION("GOOGLETRANSLATE(D1125,""EN"",""JA"")"),"TimeXとLog ConcYの相関関係")</f>
        <v>TimeXとLog ConcYの相関関係</v>
      </c>
      <c r="I1125" s="1" t="str">
        <f>IFERROR(__xludf.DUMMYFUNCTION("GOOGLETRANSLATE(E1125,""EN"",""JA"")"),"TimeXとLog ConcYの相関関係")</f>
        <v>TimeXとLog ConcYの相関関係</v>
      </c>
      <c r="J1125" s="1" t="str">
        <f>IFERROR(__xludf.DUMMYFUNCTION("GOOGLETRANSLATE(F1125,""EN"",""JA"")"),"ラムダ z の推定に使用されるポイントの時間 (X) と対数濃度 (Y) の相関関係。")</f>
        <v>ラムダ z の推定に使用されるポイントの時間 (X) と対数濃度 (Y) の相関関係。</v>
      </c>
      <c r="K1125" s="1" t="str">
        <f>IFERROR(__xludf.DUMMYFUNCTION("GOOGLETRANSLATE(G1125,""EN"",""JA"")"),"時間と対数濃度の相関")</f>
        <v>時間と対数濃度の相関</v>
      </c>
    </row>
    <row r="1126" ht="13.5" customHeight="1">
      <c r="A1126" s="1" t="s">
        <v>11</v>
      </c>
      <c r="B1126" s="1" t="s">
        <v>5692</v>
      </c>
      <c r="C1126" s="1" t="s">
        <v>5693</v>
      </c>
      <c r="D1126" s="1" t="s">
        <v>5694</v>
      </c>
      <c r="E1126" s="1" t="s">
        <v>5694</v>
      </c>
      <c r="F1126" s="1" t="s">
        <v>5695</v>
      </c>
      <c r="G1126" s="1" t="s">
        <v>5696</v>
      </c>
      <c r="H1126" s="1" t="str">
        <f>IFERROR(__xludf.DUMMYFUNCTION("GOOGLETRANSLATE(D1126,""EN"",""JA"")"),"コルチゾール、フリー")</f>
        <v>コルチゾール、フリー</v>
      </c>
      <c r="I1126" s="1" t="str">
        <f>IFERROR(__xludf.DUMMYFUNCTION("GOOGLETRANSLATE(E1126,""EN"",""JA"")"),"コルチゾール、フリー")</f>
        <v>コルチゾール、フリー</v>
      </c>
      <c r="J1126" s="1" t="str">
        <f>IFERROR(__xludf.DUMMYFUNCTION("GOOGLETRANSLATE(F1126,""EN"",""JA"")"),"生物学的標本中の遊離の非結合コルチゾールの測定。")</f>
        <v>生物学的標本中の遊離の非結合コルチゾールの測定。</v>
      </c>
      <c r="K1126" s="1" t="str">
        <f>IFERROR(__xludf.DUMMYFUNCTION("GOOGLETRANSLATE(G1126,""EN"",""JA"")"),"無料のコルチゾール測定")</f>
        <v>無料のコルチゾール測定</v>
      </c>
    </row>
    <row r="1127" ht="13.5" customHeight="1">
      <c r="A1127" s="1" t="s">
        <v>11</v>
      </c>
      <c r="B1127" s="1" t="s">
        <v>5697</v>
      </c>
      <c r="C1127" s="1" t="s">
        <v>5698</v>
      </c>
      <c r="D1127" s="1" t="s">
        <v>5699</v>
      </c>
      <c r="E1127" s="1" t="s">
        <v>5700</v>
      </c>
      <c r="F1127" s="1" t="s">
        <v>5701</v>
      </c>
      <c r="G1127" s="1" t="s">
        <v>5702</v>
      </c>
      <c r="H1127" s="1" t="str">
        <f>IFERROR(__xludf.DUMMYFUNCTION("GOOGLETRANSLATE(D1127,""EN"",""JA"")"),"コルチゾール")</f>
        <v>コルチゾール</v>
      </c>
      <c r="I1127" s="1" t="str">
        <f>IFERROR(__xludf.DUMMYFUNCTION("GOOGLETRANSLATE(E1127,""EN"",""JA"")"),"コルチゾール; 総コルチゾール")</f>
        <v>コルチゾール; 総コルチゾール</v>
      </c>
      <c r="J1127" s="1" t="str">
        <f>IFERROR(__xludf.DUMMYFUNCTION("GOOGLETRANSLATE(F1127,""EN"",""JA"")"),"生物標本中のコルチゾールの測定。")</f>
        <v>生物標本中のコルチゾールの測定。</v>
      </c>
      <c r="K1127" s="1" t="str">
        <f>IFERROR(__xludf.DUMMYFUNCTION("GOOGLETRANSLATE(G1127,""EN"",""JA"")"),"コルチゾール測定")</f>
        <v>コルチゾール測定</v>
      </c>
    </row>
    <row r="1128" ht="13.5" customHeight="1">
      <c r="A1128" s="1" t="s">
        <v>11</v>
      </c>
      <c r="B1128" s="1" t="s">
        <v>5703</v>
      </c>
      <c r="C1128" s="1" t="s">
        <v>5704</v>
      </c>
      <c r="D1128" s="1" t="s">
        <v>5705</v>
      </c>
      <c r="E1128" s="1" t="s">
        <v>5706</v>
      </c>
      <c r="F1128" s="1" t="s">
        <v>5707</v>
      </c>
      <c r="G1128" s="1" t="s">
        <v>5708</v>
      </c>
      <c r="H1128" s="1" t="str">
        <f>IFERROR(__xludf.DUMMYFUNCTION("GOOGLETRANSLATE(D1128,""EN"",""JA"")"),"アルファコルトル")</f>
        <v>アルファコルトル</v>
      </c>
      <c r="I1128" s="1" t="str">
        <f>IFERROR(__xludf.DUMMYFUNCTION("GOOGLETRANSLATE(E1128,""EN"",""JA"")"),"アルファコルトール; アルファコルトール")</f>
        <v>アルファコルトール; アルファコルトール</v>
      </c>
      <c r="J1128" s="1" t="str">
        <f>IFERROR(__xludf.DUMMYFUNCTION("GOOGLETRANSLATE(F1128,""EN"",""JA"")"),"生物標本中のアルファコルトールの測定。")</f>
        <v>生物標本中のアルファコルトールの測定。</v>
      </c>
      <c r="K1128" s="1" t="str">
        <f>IFERROR(__xludf.DUMMYFUNCTION("GOOGLETRANSLATE(G1128,""EN"",""JA"")"),"アルファコルトール測定")</f>
        <v>アルファコルトール測定</v>
      </c>
    </row>
    <row r="1129" ht="13.5" customHeight="1">
      <c r="A1129" s="1" t="s">
        <v>11</v>
      </c>
      <c r="B1129" s="1" t="s">
        <v>5709</v>
      </c>
      <c r="C1129" s="1" t="s">
        <v>5710</v>
      </c>
      <c r="D1129" s="1" t="s">
        <v>5711</v>
      </c>
      <c r="E1129" s="1" t="s">
        <v>5712</v>
      </c>
      <c r="F1129" s="1" t="s">
        <v>5713</v>
      </c>
      <c r="G1129" s="1" t="s">
        <v>5714</v>
      </c>
      <c r="H1129" s="1" t="str">
        <f>IFERROR(__xludf.DUMMYFUNCTION("GOOGLETRANSLATE(D1129,""EN"",""JA"")"),"アルファ・コルトロン")</f>
        <v>アルファ・コルトロン</v>
      </c>
      <c r="I1129" s="1" t="str">
        <f>IFERROR(__xludf.DUMMYFUNCTION("GOOGLETRANSLATE(E1129,""EN"",""JA"")"),"アルファコルトロン; アルファコルトロン")</f>
        <v>アルファコルトロン; アルファコルトロン</v>
      </c>
      <c r="J1129" s="1" t="str">
        <f>IFERROR(__xludf.DUMMYFUNCTION("GOOGLETRANSLATE(F1129,""EN"",""JA"")"),"生物標本中のアルファコルトロンの測定。")</f>
        <v>生物標本中のアルファコルトロンの測定。</v>
      </c>
      <c r="K1129" s="1" t="str">
        <f>IFERROR(__xludf.DUMMYFUNCTION("GOOGLETRANSLATE(G1129,""EN"",""JA"")"),"アルファコルトロン測定")</f>
        <v>アルファコルトロン測定</v>
      </c>
    </row>
    <row r="1130" ht="13.5" customHeight="1">
      <c r="A1130" s="1" t="s">
        <v>67</v>
      </c>
      <c r="B1130" s="1" t="s">
        <v>5715</v>
      </c>
      <c r="C1130" s="1" t="s">
        <v>5716</v>
      </c>
      <c r="D1130" s="1" t="s">
        <v>5717</v>
      </c>
      <c r="E1130" s="1" t="s">
        <v>5717</v>
      </c>
      <c r="F1130" s="1" t="s">
        <v>5718</v>
      </c>
      <c r="G1130" s="1" t="s">
        <v>5719</v>
      </c>
      <c r="H1130" s="1" t="str">
        <f>IFERROR(__xludf.DUMMYFUNCTION("GOOGLETRANSLATE(D1130,""EN"",""JA"")"),"コリネバクテリウム")</f>
        <v>コリネバクテリウム</v>
      </c>
      <c r="I1130" s="1" t="str">
        <f>IFERROR(__xludf.DUMMYFUNCTION("GOOGLETRANSLATE(E1130,""EN"",""JA"")"),"コリネバクテリウム")</f>
        <v>コリネバクテリウム</v>
      </c>
      <c r="J1130" s="1" t="str">
        <f>IFERROR(__xludf.DUMMYFUNCTION("GOOGLETRANSLATE(F1130,""EN"",""JA"")"),"生物標本において、種レベルには割り当てられていないが、コリネバクテリウム属レベルに割り当てられている生物の測定値。")</f>
        <v>生物標本において、種レベルには割り当てられていないが、コリネバクテリウム属レベルに割り当てられている生物の測定値。</v>
      </c>
      <c r="K1130" s="1" t="str">
        <f>IFERROR(__xludf.DUMMYFUNCTION("GOOGLETRANSLATE(G1130,""EN"",""JA"")"),"コリネバクテリウム測定")</f>
        <v>コリネバクテリウム測定</v>
      </c>
    </row>
    <row r="1131" ht="13.5" customHeight="1">
      <c r="A1131" s="1" t="s">
        <v>11</v>
      </c>
      <c r="B1131" s="1" t="s">
        <v>5720</v>
      </c>
      <c r="C1131" s="1" t="s">
        <v>5721</v>
      </c>
      <c r="D1131" s="1" t="s">
        <v>5722</v>
      </c>
      <c r="E1131" s="1" t="s">
        <v>5722</v>
      </c>
      <c r="F1131" s="1" t="s">
        <v>5723</v>
      </c>
      <c r="G1131" s="1" t="s">
        <v>5724</v>
      </c>
      <c r="H1131" s="1" t="str">
        <f>IFERROR(__xludf.DUMMYFUNCTION("GOOGLETRANSLATE(D1131,""EN"",""JA"")"),"コチニン")</f>
        <v>コチニン</v>
      </c>
      <c r="I1131" s="1" t="str">
        <f>IFERROR(__xludf.DUMMYFUNCTION("GOOGLETRANSLATE(E1131,""EN"",""JA"")"),"コチニン")</f>
        <v>コチニン</v>
      </c>
      <c r="J1131" s="1" t="str">
        <f>IFERROR(__xludf.DUMMYFUNCTION("GOOGLETRANSLATE(F1131,""EN"",""JA"")"),"生物標本中のコチニンの測定。")</f>
        <v>生物標本中のコチニンの測定。</v>
      </c>
      <c r="K1131" s="1" t="str">
        <f>IFERROR(__xludf.DUMMYFUNCTION("GOOGLETRANSLATE(G1131,""EN"",""JA"")"),"コチニン測定")</f>
        <v>コチニン測定</v>
      </c>
    </row>
    <row r="1132" ht="13.5" customHeight="1">
      <c r="A1132" s="1" t="s">
        <v>11</v>
      </c>
      <c r="B1132" s="1" t="s">
        <v>5725</v>
      </c>
      <c r="C1132" s="1" t="s">
        <v>5726</v>
      </c>
      <c r="D1132" s="1" t="s">
        <v>5727</v>
      </c>
      <c r="E1132" s="1" t="s">
        <v>5727</v>
      </c>
      <c r="F1132" s="1" t="s">
        <v>5728</v>
      </c>
      <c r="G1132" s="1" t="s">
        <v>5729</v>
      </c>
      <c r="H1132" s="1" t="str">
        <f>IFERROR(__xludf.DUMMYFUNCTION("GOOGLETRANSLATE(D1132,""EN"",""JA"")"),"コチニン、フリー")</f>
        <v>コチニン、フリー</v>
      </c>
      <c r="I1132" s="1" t="str">
        <f>IFERROR(__xludf.DUMMYFUNCTION("GOOGLETRANSLATE(E1132,""EN"",""JA"")"),"コチニン、フリー")</f>
        <v>コチニン、フリー</v>
      </c>
      <c r="J1132" s="1" t="str">
        <f>IFERROR(__xludf.DUMMYFUNCTION("GOOGLETRANSLATE(F1132,""EN"",""JA"")"),"標本中の遊離（非結合）コチニンの測定。")</f>
        <v>標本中の遊離（非結合）コチニンの測定。</v>
      </c>
      <c r="K1132" s="1" t="str">
        <f>IFERROR(__xludf.DUMMYFUNCTION("GOOGLETRANSLATE(G1132,""EN"",""JA"")"),"無料のコチニン測定")</f>
        <v>無料のコチニン測定</v>
      </c>
    </row>
    <row r="1133" ht="13.5" customHeight="1">
      <c r="A1133" s="1" t="s">
        <v>67</v>
      </c>
      <c r="B1133" s="1" t="s">
        <v>5730</v>
      </c>
      <c r="C1133" s="1" t="s">
        <v>5731</v>
      </c>
      <c r="D1133" s="1" t="s">
        <v>5732</v>
      </c>
      <c r="E1133" s="1" t="s">
        <v>5732</v>
      </c>
      <c r="F1133" s="1" t="s">
        <v>5733</v>
      </c>
      <c r="G1133" s="1" t="s">
        <v>5734</v>
      </c>
      <c r="H1133" s="1" t="str">
        <f>IFERROR(__xludf.DUMMYFUNCTION("GOOGLETRANSLATE(D1133,""EN"",""JA"")"),"カンジダ・パラプシロシス")</f>
        <v>カンジダ・パラプシロシス</v>
      </c>
      <c r="I1133" s="1" t="str">
        <f>IFERROR(__xludf.DUMMYFUNCTION("GOOGLETRANSLATE(E1133,""EN"",""JA"")"),"カンジダ・パラプシロシス")</f>
        <v>カンジダ・パラプシロシス</v>
      </c>
      <c r="J1133" s="1" t="str">
        <f>IFERROR(__xludf.DUMMYFUNCTION("GOOGLETRANSLATE(F1133,""EN"",""JA"")"),"生物標本中のカンジダ・パラプシロシスの測定。")</f>
        <v>生物標本中のカンジダ・パラプシロシスの測定。</v>
      </c>
      <c r="K1133" s="1" t="str">
        <f>IFERROR(__xludf.DUMMYFUNCTION("GOOGLETRANSLATE(G1133,""EN"",""JA"")"),"カンジダ・パラプシロシス測定")</f>
        <v>カンジダ・パラプシロシス測定</v>
      </c>
    </row>
    <row r="1134" ht="13.5" customHeight="1">
      <c r="A1134" s="1" t="s">
        <v>11</v>
      </c>
      <c r="B1134" s="1" t="s">
        <v>5735</v>
      </c>
      <c r="C1134" s="1" t="s">
        <v>5736</v>
      </c>
      <c r="D1134" s="1" t="s">
        <v>5737</v>
      </c>
      <c r="E1134" s="1" t="s">
        <v>5738</v>
      </c>
      <c r="F1134" s="1" t="s">
        <v>5739</v>
      </c>
      <c r="G1134" s="1" t="s">
        <v>5740</v>
      </c>
      <c r="H1134" s="1" t="str">
        <f>IFERROR(__xludf.DUMMYFUNCTION("GOOGLETRANSLATE(D1134,""EN"",""JA"")"),"CPa9-HNE")</f>
        <v>CPa9-HNE</v>
      </c>
      <c r="I1134" s="1" t="str">
        <f>IFERROR(__xludf.DUMMYFUNCTION("GOOGLETRANSLATE(E1134,""EN"",""JA"")"),"カルプロテクチンネオエピトープ CPa9-HNE; CPa9-HNE; ヒト好中球エラスターゼ分解カルプロテクチンネオエピトープ CPa9-HNE")</f>
        <v>カルプロテクチンネオエピトープ CPa9-HNE; CPa9-HNE; ヒト好中球エラスターゼ分解カルプロテクチンネオエピトープ CPa9-HNE</v>
      </c>
      <c r="J1134" s="1" t="str">
        <f>IFERROR(__xludf.DUMMYFUNCTION("GOOGLETRANSLATE(F1134,""EN"",""JA"")"),"生物学的標本中のヒト好中球エラスターゼ分解カルプロテクチン新エピトープ CPa9-HNE の測定。")</f>
        <v>生物学的標本中のヒト好中球エラスターゼ分解カルプロテクチン新エピトープ CPa9-HNE の測定。</v>
      </c>
      <c r="K1134" s="1" t="str">
        <f>IFERROR(__xludf.DUMMYFUNCTION("GOOGLETRANSLATE(G1134,""EN"",""JA"")"),"ヒト好中球エラスターゼ分解カルプロテクチンネオエピトープCPa9-HNE測定")</f>
        <v>ヒト好中球エラスターゼ分解カルプロテクチンネオエピトープCPa9-HNE測定</v>
      </c>
    </row>
    <row r="1135" ht="13.5" customHeight="1">
      <c r="A1135" s="1" t="s">
        <v>67</v>
      </c>
      <c r="B1135" s="1" t="s">
        <v>5741</v>
      </c>
      <c r="C1135" s="1" t="s">
        <v>5742</v>
      </c>
      <c r="D1135" s="1" t="s">
        <v>5743</v>
      </c>
      <c r="E1135" s="1" t="s">
        <v>5743</v>
      </c>
      <c r="F1135" s="1" t="s">
        <v>5744</v>
      </c>
      <c r="G1135" s="1" t="s">
        <v>5745</v>
      </c>
      <c r="H1135" s="1" t="str">
        <f>IFERROR(__xludf.DUMMYFUNCTION("GOOGLETRANSLATE(D1135,""EN"",""JA"")"),"クリプトスポリジウム・パルバム抗原")</f>
        <v>クリプトスポリジウム・パルバム抗原</v>
      </c>
      <c r="I1135" s="1" t="str">
        <f>IFERROR(__xludf.DUMMYFUNCTION("GOOGLETRANSLATE(E1135,""EN"",""JA"")"),"クリプトスポリジウム・パルバム抗原")</f>
        <v>クリプトスポリジウム・パルバム抗原</v>
      </c>
      <c r="J1135" s="1" t="str">
        <f>IFERROR(__xludf.DUMMYFUNCTION("GOOGLETRANSLATE(F1135,""EN"",""JA"")"),"生物標本中のクリプトスポリジウム・パルバム抗原の測定。")</f>
        <v>生物標本中のクリプトスポリジウム・パルバム抗原の測定。</v>
      </c>
      <c r="K1135" s="1" t="str">
        <f>IFERROR(__xludf.DUMMYFUNCTION("GOOGLETRANSLATE(G1135,""EN"",""JA"")"),"クリプトスポリジウム・パルバム抗原測定")</f>
        <v>クリプトスポリジウム・パルバム抗原測定</v>
      </c>
    </row>
    <row r="1136" ht="13.5" customHeight="1">
      <c r="A1136" s="1" t="s">
        <v>67</v>
      </c>
      <c r="B1136" s="1" t="s">
        <v>5746</v>
      </c>
      <c r="C1136" s="1" t="s">
        <v>5747</v>
      </c>
      <c r="D1136" s="1" t="s">
        <v>5748</v>
      </c>
      <c r="E1136" s="1" t="s">
        <v>5748</v>
      </c>
      <c r="F1136" s="1" t="s">
        <v>5749</v>
      </c>
      <c r="G1136" s="1" t="s">
        <v>5750</v>
      </c>
      <c r="H1136" s="1" t="str">
        <f>IFERROR(__xludf.DUMMYFUNCTION("GOOGLETRANSLATE(D1136,""EN"",""JA"")"),"カンジダ・パラプシロシス複合体")</f>
        <v>カンジダ・パラプシロシス複合体</v>
      </c>
      <c r="I1136" s="1" t="str">
        <f>IFERROR(__xludf.DUMMYFUNCTION("GOOGLETRANSLATE(E1136,""EN"",""JA"")"),"カンジダ・パラプシロシス複合体")</f>
        <v>カンジダ・パラプシロシス複合体</v>
      </c>
      <c r="J1136" s="1" t="str">
        <f>IFERROR(__xludf.DUMMYFUNCTION("GOOGLETRANSLATE(F1136,""EN"",""JA"")"),"生物標本中のカンジダ・パラプシロシス複合体の測定。")</f>
        <v>生物標本中のカンジダ・パラプシロシス複合体の測定。</v>
      </c>
      <c r="K1136" s="1" t="str">
        <f>IFERROR(__xludf.DUMMYFUNCTION("GOOGLETRANSLATE(G1136,""EN"",""JA"")"),"カンジダ・パラプシロシス複合体測定")</f>
        <v>カンジダ・パラプシロシス複合体測定</v>
      </c>
    </row>
    <row r="1137" ht="13.5" customHeight="1">
      <c r="A1137" s="1" t="s">
        <v>11</v>
      </c>
      <c r="B1137" s="1" t="s">
        <v>5751</v>
      </c>
      <c r="C1137" s="1" t="s">
        <v>5752</v>
      </c>
      <c r="D1137" s="1" t="s">
        <v>5753</v>
      </c>
      <c r="E1137" s="1" t="s">
        <v>5754</v>
      </c>
      <c r="F1137" s="1" t="s">
        <v>5755</v>
      </c>
      <c r="G1137" s="1" t="s">
        <v>5756</v>
      </c>
      <c r="H1137" s="1" t="str">
        <f>IFERROR(__xludf.DUMMYFUNCTION("GOOGLETRANSLATE(D1137,""EN"",""JA"")"),"カルボキシペプチダーゼB2")</f>
        <v>カルボキシペプチダーゼB2</v>
      </c>
      <c r="I1137" s="1" t="str">
        <f>IFERROR(__xludf.DUMMYFUNCTION("GOOGLETRANSLATE(E1137,""EN"",""JA"")"),"カルボキシペプチダーゼB2; CPU; PCPB; TAFI")</f>
        <v>カルボキシペプチダーゼB2; CPU; PCPB; TAFI</v>
      </c>
      <c r="J1137" s="1" t="str">
        <f>IFERROR(__xludf.DUMMYFUNCTION("GOOGLETRANSLATE(F1137,""EN"",""JA"")"),"生物標本中のカルボキシペプチダーゼ B2 の測定。")</f>
        <v>生物標本中のカルボキシペプチダーゼ B2 の測定。</v>
      </c>
      <c r="K1137" s="1" t="str">
        <f>IFERROR(__xludf.DUMMYFUNCTION("GOOGLETRANSLATE(G1137,""EN"",""JA"")"),"カルボキシペプチダーゼB2測定")</f>
        <v>カルボキシペプチダーゼB2測定</v>
      </c>
    </row>
    <row r="1138" ht="13.5" customHeight="1">
      <c r="A1138" s="1" t="s">
        <v>11</v>
      </c>
      <c r="B1138" s="1" t="s">
        <v>5757</v>
      </c>
      <c r="C1138" s="1" t="s">
        <v>5758</v>
      </c>
      <c r="D1138" s="1" t="s">
        <v>5759</v>
      </c>
      <c r="E1138" s="1" t="s">
        <v>5759</v>
      </c>
      <c r="F1138" s="1" t="s">
        <v>5760</v>
      </c>
      <c r="G1138" s="1" t="s">
        <v>5761</v>
      </c>
      <c r="H1138" s="1" t="str">
        <f>IFERROR(__xludf.DUMMYFUNCTION("GOOGLETRANSLATE(D1138,""EN"",""JA"")"),"Cペプチド/クレアチニン")</f>
        <v>Cペプチド/クレアチニン</v>
      </c>
      <c r="I1138" s="1" t="str">
        <f>IFERROR(__xludf.DUMMYFUNCTION("GOOGLETRANSLATE(E1138,""EN"",""JA"")"),"Cペプチド/クレアチニン")</f>
        <v>Cペプチド/クレアチニン</v>
      </c>
      <c r="J1138" s="1" t="str">
        <f>IFERROR(__xludf.DUMMYFUNCTION("GOOGLETRANSLATE(F1138,""EN"",""JA"")"),"生物学的標本中の C ペプチドとクレアチニンの相対的な測定値 (比率またはパーセンテージ)。")</f>
        <v>生物学的標本中の C ペプチドとクレアチニンの相対的な測定値 (比率またはパーセンテージ)。</v>
      </c>
      <c r="K1138" s="1" t="str">
        <f>IFERROR(__xludf.DUMMYFUNCTION("GOOGLETRANSLATE(G1138,""EN"",""JA"")"),"Cペプチド対クレアチニン比測定")</f>
        <v>Cペプチド対クレアチニン比測定</v>
      </c>
    </row>
    <row r="1139" ht="13.5" customHeight="1">
      <c r="A1139" s="1" t="s">
        <v>11</v>
      </c>
      <c r="B1139" s="1" t="s">
        <v>5762</v>
      </c>
      <c r="C1139" s="1" t="s">
        <v>5763</v>
      </c>
      <c r="D1139" s="1" t="s">
        <v>5764</v>
      </c>
      <c r="E1139" s="1" t="s">
        <v>5764</v>
      </c>
      <c r="F1139" s="1" t="s">
        <v>5765</v>
      </c>
      <c r="G1139" s="1" t="s">
        <v>5764</v>
      </c>
      <c r="H1139" s="1" t="str">
        <f>IFERROR(__xludf.DUMMYFUNCTION("GOOGLETRANSLATE(D1139,""EN"",""JA"")"),"Cペプチド排泄率")</f>
        <v>Cペプチド排泄率</v>
      </c>
      <c r="I1139" s="1" t="str">
        <f>IFERROR(__xludf.DUMMYFUNCTION("GOOGLETRANSLATE(E1139,""EN"",""JA"")"),"Cペプチド排泄率")</f>
        <v>Cペプチド排泄率</v>
      </c>
      <c r="J1139" s="1" t="str">
        <f>IFERROR(__xludf.DUMMYFUNCTION("GOOGLETRANSLATE(F1139,""EN"",""JA"")"),"定義された時間（例：1 時間）にわたって生物学的標本中に排出される C ペプチドの量を測定します。")</f>
        <v>定義された時間（例：1 時間）にわたって生物学的標本中に排出される C ペプチドの量を測定します。</v>
      </c>
      <c r="K1139" s="1" t="str">
        <f>IFERROR(__xludf.DUMMYFUNCTION("GOOGLETRANSLATE(G1139,""EN"",""JA"")"),"Cペプチド排泄率")</f>
        <v>Cペプチド排泄率</v>
      </c>
    </row>
    <row r="1140" ht="13.5" customHeight="1">
      <c r="A1140" s="1" t="s">
        <v>11</v>
      </c>
      <c r="B1140" s="1" t="s">
        <v>5766</v>
      </c>
      <c r="C1140" s="1" t="s">
        <v>5767</v>
      </c>
      <c r="D1140" s="1" t="s">
        <v>5768</v>
      </c>
      <c r="E1140" s="1" t="s">
        <v>5768</v>
      </c>
      <c r="F1140" s="1" t="s">
        <v>5769</v>
      </c>
      <c r="G1140" s="1" t="s">
        <v>5770</v>
      </c>
      <c r="H1140" s="1" t="str">
        <f>IFERROR(__xludf.DUMMYFUNCTION("GOOGLETRANSLATE(D1140,""EN"",""JA"")"),"Cペプチド")</f>
        <v>Cペプチド</v>
      </c>
      <c r="I1140" s="1" t="str">
        <f>IFERROR(__xludf.DUMMYFUNCTION("GOOGLETRANSLATE(E1140,""EN"",""JA"")"),"Cペプチド")</f>
        <v>Cペプチド</v>
      </c>
      <c r="J1140" s="1" t="str">
        <f>IFERROR(__xludf.DUMMYFUNCTION("GOOGLETRANSLATE(F1140,""EN"",""JA"")"),"生物学的標本中のインスリンの C（結合）ペプチドの測定。")</f>
        <v>生物学的標本中のインスリンの C（結合）ペプチドの測定。</v>
      </c>
      <c r="K1140" s="1" t="str">
        <f>IFERROR(__xludf.DUMMYFUNCTION("GOOGLETRANSLATE(G1140,""EN"",""JA"")"),"Cペプチド測定")</f>
        <v>Cペプチド測定</v>
      </c>
    </row>
    <row r="1141" ht="13.5" customHeight="1">
      <c r="A1141" s="1" t="s">
        <v>129</v>
      </c>
      <c r="B1141" s="1" t="s">
        <v>5771</v>
      </c>
      <c r="C1141" s="1" t="s">
        <v>5772</v>
      </c>
      <c r="D1141" s="1" t="s">
        <v>5773</v>
      </c>
      <c r="E1141" s="1" t="s">
        <v>5773</v>
      </c>
      <c r="F1141" s="1" t="s">
        <v>5774</v>
      </c>
      <c r="G1141" s="1" t="s">
        <v>5775</v>
      </c>
      <c r="H1141" s="1" t="str">
        <f>IFERROR(__xludf.DUMMYFUNCTION("GOOGLETRANSLATE(D1141,""EN"",""JA"")"),"毛細血管再充填時間")</f>
        <v>毛細血管再充填時間</v>
      </c>
      <c r="I1141" s="1" t="str">
        <f>IFERROR(__xludf.DUMMYFUNCTION("GOOGLETRANSLATE(E1141,""EN"",""JA"")"),"毛細血管再充填時間")</f>
        <v>毛細血管再充填時間</v>
      </c>
      <c r="J1141" s="1" t="str">
        <f>IFERROR(__xludf.DUMMYFUNCTION("GOOGLETRANSLATE(F1141,""EN"",""JA"")"),"圧力ブランチング後に毛細血管床が血液で再充填されるまでにかかる時間。")</f>
        <v>圧力ブランチング後に毛細血管床が血液で再充填されるまでにかかる時間。</v>
      </c>
      <c r="K1141" s="1" t="str">
        <f>IFERROR(__xludf.DUMMYFUNCTION("GOOGLETRANSLATE(G1141,""EN"",""JA"")"),"毛細血管再充満試験")</f>
        <v>毛細血管再充満試験</v>
      </c>
    </row>
    <row r="1142" ht="13.5" customHeight="1">
      <c r="A1142" s="1" t="s">
        <v>67</v>
      </c>
      <c r="B1142" s="1" t="s">
        <v>5776</v>
      </c>
      <c r="C1142" s="1" t="s">
        <v>5777</v>
      </c>
      <c r="D1142" s="1" t="s">
        <v>5778</v>
      </c>
      <c r="E1142" s="1" t="s">
        <v>5778</v>
      </c>
      <c r="F1142" s="1" t="s">
        <v>5779</v>
      </c>
      <c r="G1142" s="1" t="s">
        <v>5780</v>
      </c>
      <c r="H1142" s="1" t="str">
        <f>IFERROR(__xludf.DUMMYFUNCTION("GOOGLETRANSLATE(D1142,""EN"",""JA"")"),"クラミジア肺炎")</f>
        <v>クラミジア肺炎</v>
      </c>
      <c r="I1142" s="1" t="str">
        <f>IFERROR(__xludf.DUMMYFUNCTION("GOOGLETRANSLATE(E1142,""EN"",""JA"")"),"クラミジア肺炎")</f>
        <v>クラミジア肺炎</v>
      </c>
      <c r="J1142" s="1" t="str">
        <f>IFERROR(__xludf.DUMMYFUNCTION("GOOGLETRANSLATE(F1142,""EN"",""JA"")"),"生物標本中のクラミジア・ニューモニエの測定。")</f>
        <v>生物標本中のクラミジア・ニューモニエの測定。</v>
      </c>
      <c r="K1142" s="1" t="str">
        <f>IFERROR(__xludf.DUMMYFUNCTION("GOOGLETRANSLATE(G1142,""EN"",""JA"")"),"クラミジア肺炎測定")</f>
        <v>クラミジア肺炎測定</v>
      </c>
    </row>
    <row r="1143" ht="13.5" customHeight="1">
      <c r="A1143" s="1" t="s">
        <v>67</v>
      </c>
      <c r="B1143" s="1" t="s">
        <v>5781</v>
      </c>
      <c r="C1143" s="1" t="s">
        <v>5782</v>
      </c>
      <c r="D1143" s="1" t="s">
        <v>5783</v>
      </c>
      <c r="E1143" s="1" t="s">
        <v>5783</v>
      </c>
      <c r="F1143" s="1" t="s">
        <v>5784</v>
      </c>
      <c r="G1143" s="1" t="s">
        <v>5785</v>
      </c>
      <c r="H1143" s="1" t="str">
        <f>IFERROR(__xludf.DUMMYFUNCTION("GOOGLETRANSLATE(D1143,""EN"",""JA"")"),"クラミジア肺炎DNA")</f>
        <v>クラミジア肺炎DNA</v>
      </c>
      <c r="I1143" s="1" t="str">
        <f>IFERROR(__xludf.DUMMYFUNCTION("GOOGLETRANSLATE(E1143,""EN"",""JA"")"),"クラミジア肺炎DNA")</f>
        <v>クラミジア肺炎DNA</v>
      </c>
      <c r="J1143" s="1" t="str">
        <f>IFERROR(__xludf.DUMMYFUNCTION("GOOGLETRANSLATE(F1143,""EN"",""JA"")"),"生物標本中のクラミジア・ニューモニエ DNA の測定。")</f>
        <v>生物標本中のクラミジア・ニューモニエ DNA の測定。</v>
      </c>
      <c r="K1143" s="1" t="str">
        <f>IFERROR(__xludf.DUMMYFUNCTION("GOOGLETRANSLATE(G1143,""EN"",""JA"")"),"クラミジア肺炎DNA測定")</f>
        <v>クラミジア肺炎DNA測定</v>
      </c>
    </row>
    <row r="1144" ht="13.5" customHeight="1">
      <c r="A1144" s="1" t="s">
        <v>67</v>
      </c>
      <c r="B1144" s="1" t="s">
        <v>5786</v>
      </c>
      <c r="C1144" s="1" t="s">
        <v>5787</v>
      </c>
      <c r="D1144" s="1" t="s">
        <v>5788</v>
      </c>
      <c r="E1144" s="1" t="s">
        <v>5788</v>
      </c>
      <c r="F1144" s="1" t="s">
        <v>5789</v>
      </c>
      <c r="G1144" s="1" t="s">
        <v>5790</v>
      </c>
      <c r="H1144" s="1" t="str">
        <f>IFERROR(__xludf.DUMMYFUNCTION("GOOGLETRANSLATE(D1144,""EN"",""JA"")"),"クラミジア肺炎核酸")</f>
        <v>クラミジア肺炎核酸</v>
      </c>
      <c r="I1144" s="1" t="str">
        <f>IFERROR(__xludf.DUMMYFUNCTION("GOOGLETRANSLATE(E1144,""EN"",""JA"")"),"クラミジア肺炎核酸")</f>
        <v>クラミジア肺炎核酸</v>
      </c>
      <c r="J1144" s="1" t="str">
        <f>IFERROR(__xludf.DUMMYFUNCTION("GOOGLETRANSLATE(F1144,""EN"",""JA"")"),"生物標本中のクラミジア・ニューモニエ核酸の測定。")</f>
        <v>生物標本中のクラミジア・ニューモニエ核酸の測定。</v>
      </c>
      <c r="K1144" s="1" t="str">
        <f>IFERROR(__xludf.DUMMYFUNCTION("GOOGLETRANSLATE(G1144,""EN"",""JA"")"),"クラミジア肺炎の核酸測定")</f>
        <v>クラミジア肺炎の核酸測定</v>
      </c>
    </row>
    <row r="1145" ht="13.5" customHeight="1">
      <c r="A1145" s="1" t="s">
        <v>1342</v>
      </c>
      <c r="B1145" s="1" t="s">
        <v>5791</v>
      </c>
      <c r="C1145" s="1" t="s">
        <v>5792</v>
      </c>
      <c r="D1145" s="1" t="s">
        <v>5793</v>
      </c>
      <c r="E1145" s="1" t="s">
        <v>5793</v>
      </c>
      <c r="F1145" s="1" t="s">
        <v>5794</v>
      </c>
      <c r="G1145" s="1" t="s">
        <v>5793</v>
      </c>
      <c r="H1145" s="1" t="str">
        <f>IFERROR(__xludf.DUMMYFUNCTION("GOOGLETRANSLATE(D1145,""EN"",""JA"")"),"臨床パフォーマンスステータス")</f>
        <v>臨床パフォーマンスステータス</v>
      </c>
      <c r="I1145" s="1" t="str">
        <f>IFERROR(__xludf.DUMMYFUNCTION("GOOGLETRANSLATE(E1145,""EN"",""JA"")"),"臨床パフォーマンスステータス")</f>
        <v>臨床パフォーマンスステータス</v>
      </c>
      <c r="J1145" s="1" t="str">
        <f>IFERROR(__xludf.DUMMYFUNCTION("GOOGLETRANSLATE(F1145,""EN"",""JA"")"),"治療に対する疾患の反応の状態として、評価またはスケールで測定される臨床パフォーマンスの評価。(NCI)")</f>
        <v>治療に対する疾患の反応の状態として、評価またはスケールで測定される臨床パフォーマンスの評価。(NCI)</v>
      </c>
      <c r="K1145" s="1" t="str">
        <f>IFERROR(__xludf.DUMMYFUNCTION("GOOGLETRANSLATE(G1145,""EN"",""JA"")"),"臨床パフォーマンスステータス")</f>
        <v>臨床パフォーマンスステータス</v>
      </c>
    </row>
    <row r="1146" ht="13.5" customHeight="1">
      <c r="A1146" s="1" t="s">
        <v>67</v>
      </c>
      <c r="B1146" s="1" t="s">
        <v>5795</v>
      </c>
      <c r="C1146" s="1" t="s">
        <v>5796</v>
      </c>
      <c r="D1146" s="1" t="s">
        <v>5797</v>
      </c>
      <c r="E1146" s="1" t="s">
        <v>5797</v>
      </c>
      <c r="F1146" s="1" t="s">
        <v>5798</v>
      </c>
      <c r="G1146" s="1" t="s">
        <v>5799</v>
      </c>
      <c r="H1146" s="1" t="str">
        <f>IFERROR(__xludf.DUMMYFUNCTION("GOOGLETRANSLATE(D1146,""EN"",""JA"")"),"クラミドフィラ・オウムガイDNA")</f>
        <v>クラミドフィラ・オウムガイDNA</v>
      </c>
      <c r="I1146" s="1" t="str">
        <f>IFERROR(__xludf.DUMMYFUNCTION("GOOGLETRANSLATE(E1146,""EN"",""JA"")"),"クラミドフィラ・オウムガイDNA")</f>
        <v>クラミドフィラ・オウムガイDNA</v>
      </c>
      <c r="J1146" s="1" t="str">
        <f>IFERROR(__xludf.DUMMYFUNCTION("GOOGLETRANSLATE(F1146,""EN"",""JA"")"),"生物標本中の Chlamydophila psittaci DNA の測定。")</f>
        <v>生物標本中の Chlamydophila psittaci DNA の測定。</v>
      </c>
      <c r="K1146" s="1" t="str">
        <f>IFERROR(__xludf.DUMMYFUNCTION("GOOGLETRANSLATE(G1146,""EN"",""JA"")"),"クラミドフィラ・シッタシのDNA測定")</f>
        <v>クラミドフィラ・シッタシのDNA測定</v>
      </c>
    </row>
    <row r="1147" ht="13.5" customHeight="1">
      <c r="A1147" s="1" t="s">
        <v>67</v>
      </c>
      <c r="B1147" s="1" t="s">
        <v>5800</v>
      </c>
      <c r="C1147" s="1" t="s">
        <v>5801</v>
      </c>
      <c r="D1147" s="1" t="s">
        <v>5802</v>
      </c>
      <c r="E1147" s="1" t="s">
        <v>5803</v>
      </c>
      <c r="F1147" s="1" t="s">
        <v>5804</v>
      </c>
      <c r="G1147" s="1" t="s">
        <v>5805</v>
      </c>
      <c r="H1147" s="1" t="str">
        <f>IFERROR(__xludf.DUMMYFUNCTION("GOOGLETRANSLATE(D1147,""EN"",""JA"")"),"アシネトバクター、カルバペネム耐性")</f>
        <v>アシネトバクター、カルバペネム耐性</v>
      </c>
      <c r="I1147" s="1" t="str">
        <f>IFERROR(__xludf.DUMMYFUNCTION("GOOGLETRANSLATE(E1147,""EN"",""JA"")"),"カルバペネム耐性アシネトバクター；カルバペネム耐性アシネトバクター")</f>
        <v>カルバペネム耐性アシネトバクター；カルバペネム耐性アシネトバクター</v>
      </c>
      <c r="J1147" s="1" t="str">
        <f>IFERROR(__xludf.DUMMYFUNCTION("GOOGLETRANSLATE(F1147,""EN"",""JA"")"),"生物標本において、種レベルには割り当てられていないが、エンテロコッカス属レベルに割り当てられ、カルバペネム耐性でもある微生物の測定値。")</f>
        <v>生物標本において、種レベルには割り当てられていないが、エンテロコッカス属レベルに割り当てられ、カルバペネム耐性でもある微生物の測定値。</v>
      </c>
      <c r="K1147" s="1" t="str">
        <f>IFERROR(__xludf.DUMMYFUNCTION("GOOGLETRANSLATE(G1147,""EN"",""JA"")"),"カルバペネム耐性アシネトバクターの測定")</f>
        <v>カルバペネム耐性アシネトバクターの測定</v>
      </c>
    </row>
    <row r="1148" ht="13.5" customHeight="1">
      <c r="A1148" s="1" t="s">
        <v>176</v>
      </c>
      <c r="B1148" s="1" t="s">
        <v>5806</v>
      </c>
      <c r="C1148" s="1" t="s">
        <v>5807</v>
      </c>
      <c r="D1148" s="1" t="s">
        <v>5808</v>
      </c>
      <c r="E1148" s="1" t="s">
        <v>5808</v>
      </c>
      <c r="F1148" s="1" t="s">
        <v>5809</v>
      </c>
      <c r="G1148" s="1" t="s">
        <v>5810</v>
      </c>
      <c r="H1148" s="1" t="str">
        <f>IFERROR(__xludf.DUMMYFUNCTION("GOOGLETRANSLATE(D1148,""EN"",""JA"")"),"這う能力")</f>
        <v>這う能力</v>
      </c>
      <c r="I1148" s="1" t="str">
        <f>IFERROR(__xludf.DUMMYFUNCTION("GOOGLETRANSLATE(E1148,""EN"",""JA"")"),"這う能力")</f>
        <v>這う能力</v>
      </c>
      <c r="J1148" s="1" t="str">
        <f>IFERROR(__xludf.DUMMYFUNCTION("GOOGLETRANSLATE(F1148,""EN"",""JA"")"),"個人の這う能力の評価。")</f>
        <v>個人の這う能力の評価。</v>
      </c>
      <c r="K1148" s="1" t="str">
        <f>IFERROR(__xludf.DUMMYFUNCTION("GOOGLETRANSLATE(G1148,""EN"",""JA"")"),"這う能力の評価")</f>
        <v>這う能力の評価</v>
      </c>
    </row>
    <row r="1149" ht="13.5" customHeight="1">
      <c r="A1149" s="1" t="s">
        <v>11</v>
      </c>
      <c r="B1149" s="1" t="s">
        <v>5811</v>
      </c>
      <c r="C1149" s="1" t="s">
        <v>5812</v>
      </c>
      <c r="D1149" s="1" t="s">
        <v>5813</v>
      </c>
      <c r="E1149" s="1" t="s">
        <v>5813</v>
      </c>
      <c r="F1149" s="1" t="s">
        <v>5814</v>
      </c>
      <c r="G1149" s="1" t="s">
        <v>5815</v>
      </c>
      <c r="H1149" s="1" t="str">
        <f>IFERROR(__xludf.DUMMYFUNCTION("GOOGLETRANSLATE(D1149,""EN"",""JA"")"),"カルバマゼピン")</f>
        <v>カルバマゼピン</v>
      </c>
      <c r="I1149" s="1" t="str">
        <f>IFERROR(__xludf.DUMMYFUNCTION("GOOGLETRANSLATE(E1149,""EN"",""JA"")"),"カルバマゼピン")</f>
        <v>カルバマゼピン</v>
      </c>
      <c r="J1149" s="1" t="str">
        <f>IFERROR(__xludf.DUMMYFUNCTION("GOOGLETRANSLATE(F1149,""EN"",""JA"")"),"生物標本中のカルバマゼピンの測定。")</f>
        <v>生物標本中のカルバマゼピンの測定。</v>
      </c>
      <c r="K1149" s="1" t="str">
        <f>IFERROR(__xludf.DUMMYFUNCTION("GOOGLETRANSLATE(G1149,""EN"",""JA"")"),"カルバマゼピン測定")</f>
        <v>カルバマゼピン測定</v>
      </c>
    </row>
    <row r="1150" ht="13.5" customHeight="1">
      <c r="A1150" s="1" t="s">
        <v>90</v>
      </c>
      <c r="B1150" s="1" t="s">
        <v>5816</v>
      </c>
      <c r="C1150" s="1" t="s">
        <v>5817</v>
      </c>
      <c r="D1150" s="1" t="s">
        <v>5818</v>
      </c>
      <c r="E1150" s="1" t="s">
        <v>5818</v>
      </c>
      <c r="F1150" s="1" t="s">
        <v>5819</v>
      </c>
      <c r="G1150" s="1" t="s">
        <v>5818</v>
      </c>
      <c r="H1150" s="1" t="str">
        <f>IFERROR(__xludf.DUMMYFUNCTION("GOOGLETRANSLATE(D1150,""EN"",""JA"")"),"心臓手術の適応")</f>
        <v>心臓手術の適応</v>
      </c>
      <c r="I1150" s="1" t="str">
        <f>IFERROR(__xludf.DUMMYFUNCTION("GOOGLETRANSLATE(E1150,""EN"",""JA"")"),"心臓手術の適応")</f>
        <v>心臓手術の適応</v>
      </c>
      <c r="J1150" s="1" t="str">
        <f>IFERROR(__xludf.DUMMYFUNCTION("GOOGLETRANSLATE(F1150,""EN"",""JA"")"),"心臓手術によって調査または対処することを目的とする症状、疾患、または障害。")</f>
        <v>心臓手術によって調査または対処することを目的とする症状、疾患、または障害。</v>
      </c>
      <c r="K1150" s="1" t="str">
        <f>IFERROR(__xludf.DUMMYFUNCTION("GOOGLETRANSLATE(G1150,""EN"",""JA"")"),"心臓手術の適応")</f>
        <v>心臓手術の適応</v>
      </c>
    </row>
    <row r="1151" ht="13.5" customHeight="1">
      <c r="A1151" s="1" t="s">
        <v>67</v>
      </c>
      <c r="B1151" s="1" t="s">
        <v>5820</v>
      </c>
      <c r="C1151" s="1" t="s">
        <v>5821</v>
      </c>
      <c r="D1151" s="1" t="s">
        <v>5822</v>
      </c>
      <c r="E1151" s="1" t="s">
        <v>5822</v>
      </c>
      <c r="F1151" s="1" t="s">
        <v>5823</v>
      </c>
      <c r="G1151" s="1" t="s">
        <v>5824</v>
      </c>
      <c r="H1151" s="1" t="str">
        <f>IFERROR(__xludf.DUMMYFUNCTION("GOOGLETRANSLATE(D1151,""EN"",""JA"")"),"腸内細菌科、カルバペネム耐性")</f>
        <v>腸内細菌科、カルバペネム耐性</v>
      </c>
      <c r="I1151" s="1" t="str">
        <f>IFERROR(__xludf.DUMMYFUNCTION("GOOGLETRANSLATE(E1151,""EN"",""JA"")"),"腸内細菌科、カルバペネム耐性")</f>
        <v>腸内細菌科、カルバペネム耐性</v>
      </c>
      <c r="J1151" s="1" t="str">
        <f>IFERROR(__xludf.DUMMYFUNCTION("GOOGLETRANSLATE(F1151,""EN"",""JA"")"),"生物標本において、種レベルには割り当てられていないが、腸内細菌目レベルに割り当てられ、カルバペネム耐性でもある微生物の測定値。")</f>
        <v>生物標本において、種レベルには割り当てられていないが、腸内細菌目レベルに割り当てられ、カルバペネム耐性でもある微生物の測定値。</v>
      </c>
      <c r="K1151" s="1" t="str">
        <f>IFERROR(__xludf.DUMMYFUNCTION("GOOGLETRANSLATE(G1151,""EN"",""JA"")"),"カルバペネム耐性腸内細菌科細菌の測定")</f>
        <v>カルバペネム耐性腸内細菌科細菌の測定</v>
      </c>
    </row>
    <row r="1152" ht="13.5" customHeight="1">
      <c r="A1152" s="1" t="s">
        <v>11</v>
      </c>
      <c r="B1152" s="1" t="s">
        <v>5825</v>
      </c>
      <c r="C1152" s="1" t="s">
        <v>5826</v>
      </c>
      <c r="D1152" s="1" t="s">
        <v>5827</v>
      </c>
      <c r="E1152" s="1" t="s">
        <v>5827</v>
      </c>
      <c r="F1152" s="1" t="s">
        <v>5828</v>
      </c>
      <c r="G1152" s="1" t="s">
        <v>5829</v>
      </c>
      <c r="H1152" s="1" t="str">
        <f>IFERROR(__xludf.DUMMYFUNCTION("GOOGLETRANSLATE(D1152,""EN"",""JA"")"),"クレアチニン")</f>
        <v>クレアチニン</v>
      </c>
      <c r="I1152" s="1" t="str">
        <f>IFERROR(__xludf.DUMMYFUNCTION("GOOGLETRANSLATE(E1152,""EN"",""JA"")"),"クレアチニン")</f>
        <v>クレアチニン</v>
      </c>
      <c r="J1152" s="1" t="str">
        <f>IFERROR(__xludf.DUMMYFUNCTION("GOOGLETRANSLATE(F1152,""EN"",""JA"")"),"生物標本中のクレアチニンの測定。")</f>
        <v>生物標本中のクレアチニンの測定。</v>
      </c>
      <c r="K1152" s="1" t="str">
        <f>IFERROR(__xludf.DUMMYFUNCTION("GOOGLETRANSLATE(G1152,""EN"",""JA"")"),"クレアチニン測定")</f>
        <v>クレアチニン測定</v>
      </c>
    </row>
    <row r="1153" ht="13.5" customHeight="1">
      <c r="A1153" s="1" t="s">
        <v>11</v>
      </c>
      <c r="B1153" s="1" t="s">
        <v>5830</v>
      </c>
      <c r="C1153" s="1" t="s">
        <v>5831</v>
      </c>
      <c r="D1153" s="1" t="s">
        <v>5832</v>
      </c>
      <c r="E1153" s="1" t="s">
        <v>5832</v>
      </c>
      <c r="F1153" s="1" t="s">
        <v>5833</v>
      </c>
      <c r="G1153" s="1" t="s">
        <v>5832</v>
      </c>
      <c r="H1153" s="1" t="str">
        <f>IFERROR(__xludf.DUMMYFUNCTION("GOOGLETRANSLATE(D1153,""EN"",""JA"")"),"クレアチニンクリアランス")</f>
        <v>クレアチニンクリアランス</v>
      </c>
      <c r="I1153" s="1" t="str">
        <f>IFERROR(__xludf.DUMMYFUNCTION("GOOGLETRANSLATE(E1153,""EN"",""JA"")"),"クレアチニンクリアランス")</f>
        <v>クレアチニンクリアランス</v>
      </c>
      <c r="J1153" s="1" t="str">
        <f>IFERROR(__xludf.DUMMYFUNCTION("GOOGLETRANSLATE(F1153,""EN"",""JA"")"),"指定された時間単位（例：1 分）に尿として排出され、クレアチニンが除去される血清または血漿の量の測定値。")</f>
        <v>指定された時間単位（例：1 分）に尿として排出され、クレアチニンが除去される血清または血漿の量の測定値。</v>
      </c>
      <c r="K1153" s="1" t="str">
        <f>IFERROR(__xludf.DUMMYFUNCTION("GOOGLETRANSLATE(G1153,""EN"",""JA"")"),"クレアチニンクリアランス")</f>
        <v>クレアチニンクリアランス</v>
      </c>
    </row>
    <row r="1154" ht="13.5" customHeight="1">
      <c r="A1154" s="1" t="s">
        <v>11</v>
      </c>
      <c r="B1154" s="1" t="s">
        <v>5834</v>
      </c>
      <c r="C1154" s="1" t="s">
        <v>5835</v>
      </c>
      <c r="D1154" s="1" t="s">
        <v>5836</v>
      </c>
      <c r="E1154" s="1" t="s">
        <v>5836</v>
      </c>
      <c r="F1154" s="1" t="s">
        <v>5837</v>
      </c>
      <c r="G1154" s="1" t="s">
        <v>5836</v>
      </c>
      <c r="H1154" s="1" t="str">
        <f>IFERROR(__xludf.DUMMYFUNCTION("GOOGLETRANSLATE(D1154,""EN"",""JA"")"),"クレアチニン排泄率")</f>
        <v>クレアチニン排泄率</v>
      </c>
      <c r="I1154" s="1" t="str">
        <f>IFERROR(__xludf.DUMMYFUNCTION("GOOGLETRANSLATE(E1154,""EN"",""JA"")"),"クレアチニン排泄率")</f>
        <v>クレアチニン排泄率</v>
      </c>
      <c r="J1154" s="1" t="str">
        <f>IFERROR(__xludf.DUMMYFUNCTION("GOOGLETRANSLATE(F1154,""EN"",""JA"")"),"定義された時間（例：1 時間）にわたって生物学的標本中に排出されるクレアチニンの量を測定します。")</f>
        <v>定義された時間（例：1 時間）にわたって生物学的標本中に排出されるクレアチニンの量を測定します。</v>
      </c>
      <c r="K1154" s="1" t="str">
        <f>IFERROR(__xludf.DUMMYFUNCTION("GOOGLETRANSLATE(G1154,""EN"",""JA"")"),"クレアチニン排泄率")</f>
        <v>クレアチニン排泄率</v>
      </c>
    </row>
    <row r="1155" ht="13.5" customHeight="1">
      <c r="A1155" s="1" t="s">
        <v>176</v>
      </c>
      <c r="B1155" s="1" t="s">
        <v>5838</v>
      </c>
      <c r="C1155" s="1" t="s">
        <v>5839</v>
      </c>
      <c r="D1155" s="1" t="s">
        <v>5840</v>
      </c>
      <c r="E1155" s="1" t="s">
        <v>5840</v>
      </c>
      <c r="F1155" s="1" t="s">
        <v>5841</v>
      </c>
      <c r="G1155" s="1" t="s">
        <v>5842</v>
      </c>
      <c r="H1155" s="1" t="str">
        <f>IFERROR(__xludf.DUMMYFUNCTION("GOOGLETRANSLATE(D1155,""EN"",""JA"")"),"クレアチン")</f>
        <v>クレアチン</v>
      </c>
      <c r="I1155" s="1" t="str">
        <f>IFERROR(__xludf.DUMMYFUNCTION("GOOGLETRANSLATE(E1155,""EN"",""JA"")"),"クレアチン")</f>
        <v>クレアチン</v>
      </c>
      <c r="J1155" s="1" t="str">
        <f>IFERROR(__xludf.DUMMYFUNCTION("GOOGLETRANSLATE(F1155,""EN"",""JA"")"),"生物標本中のクレアチンの測定。")</f>
        <v>生物標本中のクレアチンの測定。</v>
      </c>
      <c r="K1155" s="1" t="str">
        <f>IFERROR(__xludf.DUMMYFUNCTION("GOOGLETRANSLATE(G1155,""EN"",""JA"")"),"クレアチン測定")</f>
        <v>クレアチン測定</v>
      </c>
    </row>
    <row r="1156" ht="13.5" customHeight="1">
      <c r="A1156" s="1" t="s">
        <v>11</v>
      </c>
      <c r="B1156" s="1" t="s">
        <v>5843</v>
      </c>
      <c r="C1156" s="1" t="s">
        <v>5844</v>
      </c>
      <c r="D1156" s="1" t="s">
        <v>5845</v>
      </c>
      <c r="E1156" s="1" t="s">
        <v>5845</v>
      </c>
      <c r="F1156" s="1" t="s">
        <v>5846</v>
      </c>
      <c r="G1156" s="1" t="s">
        <v>5847</v>
      </c>
      <c r="H1156" s="1" t="str">
        <f>IFERROR(__xludf.DUMMYFUNCTION("GOOGLETRANSLATE(D1156,""EN"",""JA"")"),"鋸歯状の細胞")</f>
        <v>鋸歯状の細胞</v>
      </c>
      <c r="I1156" s="1" t="str">
        <f>IFERROR(__xludf.DUMMYFUNCTION("GOOGLETRANSLATE(E1156,""EN"",""JA"")"),"鋸歯状の細胞")</f>
        <v>鋸歯状の細胞</v>
      </c>
      <c r="J1156" s="1" t="str">
        <f>IFERROR(__xludf.DUMMYFUNCTION("GOOGLETRANSLATE(F1156,""EN"",""JA"")"),"生物標本内の鋸歯状細胞の測定。")</f>
        <v>生物標本内の鋸歯状細胞の測定。</v>
      </c>
      <c r="K1156" s="1" t="str">
        <f>IFERROR(__xludf.DUMMYFUNCTION("GOOGLETRANSLATE(G1156,""EN"",""JA"")"),"鋸歯状セル測定")</f>
        <v>鋸歯状セル測定</v>
      </c>
    </row>
    <row r="1157" ht="13.5" customHeight="1">
      <c r="A1157" s="1" t="s">
        <v>11</v>
      </c>
      <c r="B1157" s="1" t="s">
        <v>5848</v>
      </c>
      <c r="C1157" s="1" t="s">
        <v>5849</v>
      </c>
      <c r="D1157" s="1" t="s">
        <v>5850</v>
      </c>
      <c r="E1157" s="1" t="s">
        <v>5851</v>
      </c>
      <c r="F1157" s="1" t="s">
        <v>5852</v>
      </c>
      <c r="G1157" s="1" t="s">
        <v>5853</v>
      </c>
      <c r="H1157" s="1" t="str">
        <f>IFERROR(__xludf.DUMMYFUNCTION("GOOGLETRANSLATE(D1157,""EN"",""JA"")"),"副腎皮質刺激ホルモン放出ホルモン")</f>
        <v>副腎皮質刺激ホルモン放出ホルモン</v>
      </c>
      <c r="I1157" s="1" t="str">
        <f>IFERROR(__xludf.DUMMYFUNCTION("GOOGLETRANSLATE(E1157,""EN"",""JA"")"),"副腎皮質刺激ホルモン放出因子; 副腎皮質刺激ホルモン放出ホルモン")</f>
        <v>副腎皮質刺激ホルモン放出因子; 副腎皮質刺激ホルモン放出ホルモン</v>
      </c>
      <c r="J1157" s="1" t="str">
        <f>IFERROR(__xludf.DUMMYFUNCTION("GOOGLETRANSLATE(F1157,""EN"",""JA"")"),"生物標本中の副腎皮質刺激ホルモン放出ホルモンの測定。")</f>
        <v>生物標本中の副腎皮質刺激ホルモン放出ホルモンの測定。</v>
      </c>
      <c r="K1157" s="1" t="str">
        <f>IFERROR(__xludf.DUMMYFUNCTION("GOOGLETRANSLATE(G1157,""EN"",""JA"")"),"副腎皮質刺激ホルモン放出ホルモン測定")</f>
        <v>副腎皮質刺激ホルモン放出ホルモン測定</v>
      </c>
    </row>
    <row r="1158" ht="13.5" customHeight="1">
      <c r="A1158" s="1" t="s">
        <v>67</v>
      </c>
      <c r="B1158" s="1" t="s">
        <v>5854</v>
      </c>
      <c r="C1158" s="1" t="s">
        <v>5855</v>
      </c>
      <c r="D1158" s="1" t="s">
        <v>5856</v>
      </c>
      <c r="E1158" s="1" t="s">
        <v>5857</v>
      </c>
      <c r="F1158" s="1" t="s">
        <v>5858</v>
      </c>
      <c r="G1158" s="1" t="s">
        <v>5859</v>
      </c>
      <c r="H1158" s="1" t="str">
        <f>IFERROR(__xludf.DUMMYFUNCTION("GOOGLETRANSLATE(D1158,""EN"",""JA"")"),"カルバペネム耐性K.肺炎菌")</f>
        <v>カルバペネム耐性K.肺炎菌</v>
      </c>
      <c r="I1158" s="1" t="str">
        <f>IFERROR(__xludf.DUMMYFUNCTION("GOOGLETRANSLATE(E1158,""EN"",""JA"")"),"カルバペネム耐性K. pneumoniae; カルバペネム耐性Klebsiella pneumoniae")</f>
        <v>カルバペネム耐性K. pneumoniae; カルバペネム耐性Klebsiella pneumoniae</v>
      </c>
      <c r="J1158" s="1" t="str">
        <f>IFERROR(__xludf.DUMMYFUNCTION("GOOGLETRANSLATE(F1158,""EN"",""JA"")"),"生物標本中のカルバペネム耐性肺炎桿菌株の測定。")</f>
        <v>生物標本中のカルバペネム耐性肺炎桿菌株の測定。</v>
      </c>
      <c r="K1158" s="1" t="str">
        <f>IFERROR(__xludf.DUMMYFUNCTION("GOOGLETRANSLATE(G1158,""EN"",""JA"")"),"カルバペネム耐性肺炎桿菌の測定")</f>
        <v>カルバペネム耐性肺炎桿菌の測定</v>
      </c>
    </row>
    <row r="1159" ht="13.5" customHeight="1">
      <c r="A1159" s="1" t="s">
        <v>11</v>
      </c>
      <c r="B1159" s="1" t="s">
        <v>5860</v>
      </c>
      <c r="C1159" s="1" t="s">
        <v>5861</v>
      </c>
      <c r="D1159" s="1" t="s">
        <v>5862</v>
      </c>
      <c r="E1159" s="1" t="s">
        <v>5863</v>
      </c>
      <c r="F1159" s="1" t="s">
        <v>5864</v>
      </c>
      <c r="G1159" s="1" t="s">
        <v>5865</v>
      </c>
      <c r="H1159" s="1" t="str">
        <f>IFERROR(__xludf.DUMMYFUNCTION("GOOGLETRANSLATE(D1159,""EN"",""JA"")"),"セルロプラスミン")</f>
        <v>セルロプラスミン</v>
      </c>
      <c r="I1159" s="1" t="str">
        <f>IFERROR(__xludf.DUMMYFUNCTION("GOOGLETRANSLATE(E1159,""EN"",""JA"")"),"セルロプラスミン")</f>
        <v>セルロプラスミン</v>
      </c>
      <c r="J1159" s="1" t="str">
        <f>IFERROR(__xludf.DUMMYFUNCTION("GOOGLETRANSLATE(F1159,""EN"",""JA"")"),"生物標本中のセルロプラスミンの測定。")</f>
        <v>生物標本中のセルロプラスミンの測定。</v>
      </c>
      <c r="K1159" s="1" t="str">
        <f>IFERROR(__xludf.DUMMYFUNCTION("GOOGLETRANSLATE(G1159,""EN"",""JA"")"),"セルロプラスミン測定")</f>
        <v>セルロプラスミン測定</v>
      </c>
    </row>
    <row r="1160" ht="13.5" customHeight="1">
      <c r="A1160" s="1" t="s">
        <v>397</v>
      </c>
      <c r="B1160" s="1" t="s">
        <v>5866</v>
      </c>
      <c r="C1160" s="1" t="s">
        <v>5867</v>
      </c>
      <c r="D1160" s="1" t="s">
        <v>5868</v>
      </c>
      <c r="E1160" s="1" t="s">
        <v>5868</v>
      </c>
      <c r="F1160" s="1" t="s">
        <v>5869</v>
      </c>
      <c r="G1160" s="1" t="s">
        <v>5868</v>
      </c>
      <c r="H1160" s="1" t="str">
        <f>IFERROR(__xludf.DUMMYFUNCTION("GOOGLETRANSLATE(D1160,""EN"",""JA"")"),"確認応答の最小期間")</f>
        <v>確認応答の最小期間</v>
      </c>
      <c r="I1160" s="1" t="str">
        <f>IFERROR(__xludf.DUMMYFUNCTION("GOOGLETRANSLATE(E1160,""EN"",""JA"")"),"確認応答の最小期間")</f>
        <v>確認応答の最小期間</v>
      </c>
      <c r="J1160" s="1" t="str">
        <f>IFERROR(__xludf.DUMMYFUNCTION("GOOGLETRANSLATE(F1160,""EN"",""JA"")"),"プロトコルでは、治療に対する確認された反応の定義を満たすために必要な最小限の時間が指定されました。")</f>
        <v>プロトコルでは、治療に対する確認された反応の定義を満たすために必要な最小限の時間が指定されました。</v>
      </c>
      <c r="K1160" s="1" t="str">
        <f>IFERROR(__xludf.DUMMYFUNCTION("GOOGLETRANSLATE(G1160,""EN"",""JA"")"),"確認応答の最小期間")</f>
        <v>確認応答の最小期間</v>
      </c>
    </row>
    <row r="1161" ht="13.5" customHeight="1">
      <c r="A1161" s="1" t="s">
        <v>11</v>
      </c>
      <c r="B1161" s="1" t="s">
        <v>5870</v>
      </c>
      <c r="C1161" s="1" t="s">
        <v>5871</v>
      </c>
      <c r="D1161" s="1" t="s">
        <v>5872</v>
      </c>
      <c r="E1161" s="1" t="s">
        <v>5872</v>
      </c>
      <c r="F1161" s="1" t="s">
        <v>5873</v>
      </c>
      <c r="G1161" s="1" t="s">
        <v>5874</v>
      </c>
      <c r="H1161" s="1" t="str">
        <f>IFERROR(__xludf.DUMMYFUNCTION("GOOGLETRANSLATE(D1161,""EN"",""JA"")"),"カルニチンエステル")</f>
        <v>カルニチンエステル</v>
      </c>
      <c r="I1161" s="1" t="str">
        <f>IFERROR(__xludf.DUMMYFUNCTION("GOOGLETRANSLATE(E1161,""EN"",""JA"")"),"カルニチンエステル")</f>
        <v>カルニチンエステル</v>
      </c>
      <c r="J1161" s="1" t="str">
        <f>IFERROR(__xludf.DUMMYFUNCTION("GOOGLETRANSLATE(F1161,""EN"",""JA"")"),"生物標本中の総カルニチンエステルの測定。")</f>
        <v>生物標本中の総カルニチンエステルの測定。</v>
      </c>
      <c r="K1161" s="1" t="str">
        <f>IFERROR(__xludf.DUMMYFUNCTION("GOOGLETRANSLATE(G1161,""EN"",""JA"")"),"カルニチンエステル測定")</f>
        <v>カルニチンエステル測定</v>
      </c>
    </row>
    <row r="1162" ht="13.5" customHeight="1">
      <c r="A1162" s="1" t="s">
        <v>67</v>
      </c>
      <c r="B1162" s="1" t="s">
        <v>5875</v>
      </c>
      <c r="C1162" s="1" t="s">
        <v>5876</v>
      </c>
      <c r="D1162" s="1" t="s">
        <v>5877</v>
      </c>
      <c r="E1162" s="1" t="s">
        <v>5878</v>
      </c>
      <c r="F1162" s="1" t="s">
        <v>5879</v>
      </c>
      <c r="G1162" s="1" t="s">
        <v>5880</v>
      </c>
      <c r="H1162" s="1" t="str">
        <f>IFERROR(__xludf.DUMMYFUNCTION("GOOGLETRANSLATE(D1162,""EN"",""JA"")"),"コロナウイルス科")</f>
        <v>コロナウイルス科</v>
      </c>
      <c r="I1162" s="1" t="str">
        <f>IFERROR(__xludf.DUMMYFUNCTION("GOOGLETRANSLATE(E1162,""EN"",""JA"")"),"コロナウイルス科; コロナウイルス")</f>
        <v>コロナウイルス科; コロナウイルス</v>
      </c>
      <c r="J1162" s="1" t="str">
        <f>IFERROR(__xludf.DUMMYFUNCTION("GOOGLETRANSLATE(F1162,""EN"",""JA"")"),"生物標本中のコロナウイルスの測定。")</f>
        <v>生物標本中のコロナウイルスの測定。</v>
      </c>
      <c r="K1162" s="1" t="str">
        <f>IFERROR(__xludf.DUMMYFUNCTION("GOOGLETRANSLATE(G1162,""EN"",""JA"")"),"コロナウイルス測定")</f>
        <v>コロナウイルス測定</v>
      </c>
    </row>
    <row r="1163" ht="13.5" customHeight="1">
      <c r="A1163" s="1" t="s">
        <v>67</v>
      </c>
      <c r="B1163" s="1" t="s">
        <v>5881</v>
      </c>
      <c r="C1163" s="1" t="s">
        <v>5882</v>
      </c>
      <c r="D1163" s="1" t="s">
        <v>5883</v>
      </c>
      <c r="E1163" s="1" t="s">
        <v>5883</v>
      </c>
      <c r="F1163" s="1" t="s">
        <v>5884</v>
      </c>
      <c r="G1163" s="1" t="s">
        <v>5885</v>
      </c>
      <c r="H1163" s="1" t="str">
        <f>IFERROR(__xludf.DUMMYFUNCTION("GOOGLETRANSLATE(D1163,""EN"",""JA"")"),"コロナウイルスRNA")</f>
        <v>コロナウイルスRNA</v>
      </c>
      <c r="I1163" s="1" t="str">
        <f>IFERROR(__xludf.DUMMYFUNCTION("GOOGLETRANSLATE(E1163,""EN"",""JA"")"),"コロナウイルスRNA")</f>
        <v>コロナウイルスRNA</v>
      </c>
      <c r="J1163" s="1" t="str">
        <f>IFERROR(__xludf.DUMMYFUNCTION("GOOGLETRANSLATE(F1163,""EN"",""JA"")"),"生物学的標本中のコロナウイルス科の任意のメンバーのRNAの測定。")</f>
        <v>生物学的標本中のコロナウイルス科の任意のメンバーのRNAの測定。</v>
      </c>
      <c r="K1163" s="1" t="str">
        <f>IFERROR(__xludf.DUMMYFUNCTION("GOOGLETRANSLATE(G1163,""EN"",""JA"")"),"コロナウイルスRNA測定")</f>
        <v>コロナウイルスRNA測定</v>
      </c>
    </row>
    <row r="1164" ht="13.5" customHeight="1">
      <c r="A1164" s="1" t="s">
        <v>11</v>
      </c>
      <c r="B1164" s="1" t="s">
        <v>5886</v>
      </c>
      <c r="C1164" s="1" t="s">
        <v>5887</v>
      </c>
      <c r="D1164" s="1" t="s">
        <v>5888</v>
      </c>
      <c r="E1164" s="1" t="s">
        <v>5888</v>
      </c>
      <c r="F1164" s="1" t="s">
        <v>5889</v>
      </c>
      <c r="G1164" s="1" t="s">
        <v>5890</v>
      </c>
      <c r="H1164" s="1" t="str">
        <f>IFERROR(__xludf.DUMMYFUNCTION("GOOGLETRANSLATE(D1164,""EN"",""JA"")"),"クロトンアルデヒド")</f>
        <v>クロトンアルデヒド</v>
      </c>
      <c r="I1164" s="1" t="str">
        <f>IFERROR(__xludf.DUMMYFUNCTION("GOOGLETRANSLATE(E1164,""EN"",""JA"")"),"クロトンアルデヒド")</f>
        <v>クロトンアルデヒド</v>
      </c>
      <c r="J1164" s="1" t="str">
        <f>IFERROR(__xludf.DUMMYFUNCTION("GOOGLETRANSLATE(F1164,""EN"",""JA"")"),"標本中のクロトンアルデヒドの測定。")</f>
        <v>標本中のクロトンアルデヒドの測定。</v>
      </c>
      <c r="K1164" s="1" t="str">
        <f>IFERROR(__xludf.DUMMYFUNCTION("GOOGLETRANSLATE(G1164,""EN"",""JA"")"),"クロトンアルデヒド測定")</f>
        <v>クロトンアルデヒド測定</v>
      </c>
    </row>
    <row r="1165" ht="13.5" customHeight="1">
      <c r="A1165" s="1" t="s">
        <v>11</v>
      </c>
      <c r="B1165" s="1" t="s">
        <v>5891</v>
      </c>
      <c r="C1165" s="1" t="s">
        <v>5892</v>
      </c>
      <c r="D1165" s="1" t="s">
        <v>5893</v>
      </c>
      <c r="E1165" s="1" t="s">
        <v>5893</v>
      </c>
      <c r="F1165" s="1" t="s">
        <v>5894</v>
      </c>
      <c r="G1165" s="1" t="s">
        <v>5895</v>
      </c>
      <c r="H1165" s="1" t="str">
        <f>IFERROR(__xludf.DUMMYFUNCTION("GOOGLETRANSLATE(D1165,""EN"",""JA"")"),"C反応性タンパク質")</f>
        <v>C反応性タンパク質</v>
      </c>
      <c r="I1165" s="1" t="str">
        <f>IFERROR(__xludf.DUMMYFUNCTION("GOOGLETRANSLATE(E1165,""EN"",""JA"")"),"C反応性タンパク質")</f>
        <v>C反応性タンパク質</v>
      </c>
      <c r="J1165" s="1" t="str">
        <f>IFERROR(__xludf.DUMMYFUNCTION("GOOGLETRANSLATE(F1165,""EN"",""JA"")"),"生物学的標本中の C 反応性タンパク質の測定。")</f>
        <v>生物学的標本中の C 反応性タンパク質の測定。</v>
      </c>
      <c r="K1165" s="1" t="str">
        <f>IFERROR(__xludf.DUMMYFUNCTION("GOOGLETRANSLATE(G1165,""EN"",""JA"")"),"C反応性タンパク質測定")</f>
        <v>C反応性タンパク質測定</v>
      </c>
    </row>
    <row r="1166" ht="13.5" customHeight="1">
      <c r="A1166" s="1" t="s">
        <v>11</v>
      </c>
      <c r="B1166" s="1" t="s">
        <v>5896</v>
      </c>
      <c r="C1166" s="1" t="s">
        <v>5897</v>
      </c>
      <c r="D1166" s="1" t="s">
        <v>5898</v>
      </c>
      <c r="E1166" s="1" t="s">
        <v>5899</v>
      </c>
      <c r="F1166" s="1" t="s">
        <v>5900</v>
      </c>
      <c r="G1166" s="1" t="s">
        <v>5901</v>
      </c>
      <c r="H1166" s="1" t="str">
        <f>IFERROR(__xludf.DUMMYFUNCTION("GOOGLETRANSLATE(D1166,""EN"",""JA"")"),"C反応性タンパク質代謝物")</f>
        <v>C反応性タンパク質代謝物</v>
      </c>
      <c r="I1166" s="1" t="str">
        <f>IFERROR(__xludf.DUMMYFUNCTION("GOOGLETRANSLATE(E1166,""EN"",""JA"")"),"C反応性タンパク質代謝物; CRPM")</f>
        <v>C反応性タンパク質代謝物; CRPM</v>
      </c>
      <c r="J1166" s="1" t="str">
        <f>IFERROR(__xludf.DUMMYFUNCTION("GOOGLETRANSLATE(F1166,""EN"",""JA"")"),"生物学的標本中の C 反応性タンパク質代謝物、つまり C 反応性タンパク質 (CRP) の MMP 生成ネオエピトープの測定。")</f>
        <v>生物学的標本中の C 反応性タンパク質代謝物、つまり C 反応性タンパク質 (CRP) の MMP 生成ネオエピトープの測定。</v>
      </c>
      <c r="K1166" s="1" t="str">
        <f>IFERROR(__xludf.DUMMYFUNCTION("GOOGLETRANSLATE(G1166,""EN"",""JA"")"),"C反応性タンパク質代謝物測定")</f>
        <v>C反応性タンパク質代謝物測定</v>
      </c>
    </row>
    <row r="1167" ht="13.5" customHeight="1">
      <c r="A1167" s="1" t="s">
        <v>11</v>
      </c>
      <c r="B1167" s="1" t="s">
        <v>5902</v>
      </c>
      <c r="C1167" s="1" t="s">
        <v>5903</v>
      </c>
      <c r="D1167" s="1" t="s">
        <v>5904</v>
      </c>
      <c r="E1167" s="1" t="s">
        <v>5904</v>
      </c>
      <c r="F1167" s="1" t="s">
        <v>5905</v>
      </c>
      <c r="G1167" s="1" t="s">
        <v>5906</v>
      </c>
      <c r="H1167" s="1" t="str">
        <f>IFERROR(__xludf.DUMMYFUNCTION("GOOGLETRANSLATE(D1167,""EN"",""JA"")"),"カリソプロドール")</f>
        <v>カリソプロドール</v>
      </c>
      <c r="I1167" s="1" t="str">
        <f>IFERROR(__xludf.DUMMYFUNCTION("GOOGLETRANSLATE(E1167,""EN"",""JA"")"),"カリソプロドール")</f>
        <v>カリソプロドール</v>
      </c>
      <c r="J1167" s="1" t="str">
        <f>IFERROR(__xludf.DUMMYFUNCTION("GOOGLETRANSLATE(F1167,""EN"",""JA"")"),"生物標本中のカリソプロドールの測定。")</f>
        <v>生物標本中のカリソプロドールの測定。</v>
      </c>
      <c r="K1167" s="1" t="str">
        <f>IFERROR(__xludf.DUMMYFUNCTION("GOOGLETRANSLATE(G1167,""EN"",""JA"")"),"カリソプロドール測定")</f>
        <v>カリソプロドール測定</v>
      </c>
    </row>
    <row r="1168" ht="13.5" customHeight="1">
      <c r="A1168" s="1" t="s">
        <v>11</v>
      </c>
      <c r="B1168" s="1" t="s">
        <v>5907</v>
      </c>
      <c r="C1168" s="1" t="s">
        <v>5908</v>
      </c>
      <c r="D1168" s="1" t="s">
        <v>5909</v>
      </c>
      <c r="E1168" s="1" t="s">
        <v>5909</v>
      </c>
      <c r="F1168" s="1" t="s">
        <v>5910</v>
      </c>
      <c r="G1168" s="1" t="s">
        <v>5909</v>
      </c>
      <c r="H1168" s="1" t="str">
        <f>IFERROR(__xludf.DUMMYFUNCTION("GOOGLETRANSLATE(D1168,""EN"",""JA"")"),"BSA調整クレアチニンクリアランス")</f>
        <v>BSA調整クレアチニンクリアランス</v>
      </c>
      <c r="I1168" s="1" t="str">
        <f>IFERROR(__xludf.DUMMYFUNCTION("GOOGLETRANSLATE(E1168,""EN"",""JA"")"),"BSA調整クレアチニンクリアランス")</f>
        <v>BSA調整クレアチニンクリアランス</v>
      </c>
      <c r="J1168" s="1" t="str">
        <f>IFERROR(__xludf.DUMMYFUNCTION("GOOGLETRANSLATE(F1168,""EN"",""JA"")"),"体表面積に合わせて調整された、指定された時間単位（例：1 分）に尿として排出されクレアチニンが除去される血清または血漿の量の測定値。")</f>
        <v>体表面積に合わせて調整された、指定された時間単位（例：1 分）に尿として排出されクレアチニンが除去される血清または血漿の量の測定値。</v>
      </c>
      <c r="K1168" s="1" t="str">
        <f>IFERROR(__xludf.DUMMYFUNCTION("GOOGLETRANSLATE(G1168,""EN"",""JA"")"),"BSA調整クレアチニンクリアランス")</f>
        <v>BSA調整クレアチニンクリアランス</v>
      </c>
    </row>
    <row r="1169" ht="13.5" customHeight="1">
      <c r="A1169" s="1" t="s">
        <v>11</v>
      </c>
      <c r="B1169" s="1" t="s">
        <v>5911</v>
      </c>
      <c r="C1169" s="1" t="s">
        <v>5912</v>
      </c>
      <c r="D1169" s="1" t="s">
        <v>5913</v>
      </c>
      <c r="E1169" s="1" t="s">
        <v>5913</v>
      </c>
      <c r="F1169" s="1" t="s">
        <v>5914</v>
      </c>
      <c r="G1169" s="1" t="s">
        <v>5915</v>
      </c>
      <c r="H1169" s="1" t="str">
        <f>IFERROR(__xludf.DUMMYFUNCTION("GOOGLETRANSLATE(D1169,""EN"",""JA"")"),"クレアチニンクリアランス（推定）")</f>
        <v>クレアチニンクリアランス（推定）</v>
      </c>
      <c r="I1169" s="1" t="str">
        <f>IFERROR(__xludf.DUMMYFUNCTION("GOOGLETRANSLATE(E1169,""EN"",""JA"")"),"クレアチニンクリアランス（推定）")</f>
        <v>クレアチニンクリアランス（推定）</v>
      </c>
      <c r="J1169" s="1" t="str">
        <f>IFERROR(__xludf.DUMMYFUNCTION("GOOGLETRANSLATE(F1169,""EN"",""JA"")"),"指定された時間単位（例：1 分）に尿として排出され、クレアチニンが除去される血清または血漿の量の推定値。")</f>
        <v>指定された時間単位（例：1 分）に尿として排出され、クレアチニンが除去される血清または血漿の量の推定値。</v>
      </c>
      <c r="K1169" s="1" t="str">
        <f>IFERROR(__xludf.DUMMYFUNCTION("GOOGLETRANSLATE(G1169,""EN"",""JA"")"),"推定クレアチニンクリアランス")</f>
        <v>推定クレアチニンクリアランス</v>
      </c>
    </row>
    <row r="1170" ht="13.5" customHeight="1">
      <c r="A1170" s="1" t="s">
        <v>11</v>
      </c>
      <c r="B1170" s="1" t="s">
        <v>5916</v>
      </c>
      <c r="C1170" s="1" t="s">
        <v>5917</v>
      </c>
      <c r="D1170" s="1" t="s">
        <v>5918</v>
      </c>
      <c r="E1170" s="1" t="s">
        <v>5918</v>
      </c>
      <c r="F1170" s="1" t="s">
        <v>5919</v>
      </c>
      <c r="G1170" s="1" t="s">
        <v>5920</v>
      </c>
      <c r="H1170" s="1" t="str">
        <f>IFERROR(__xludf.DUMMYFUNCTION("GOOGLETRANSLATE(D1170,""EN"",""JA"")"),"コルチコステロン/クレアチニン")</f>
        <v>コルチコステロン/クレアチニン</v>
      </c>
      <c r="I1170" s="1" t="str">
        <f>IFERROR(__xludf.DUMMYFUNCTION("GOOGLETRANSLATE(E1170,""EN"",""JA"")"),"コルチコステロン/クレアチニン")</f>
        <v>コルチコステロン/クレアチニン</v>
      </c>
      <c r="J1170" s="1" t="str">
        <f>IFERROR(__xludf.DUMMYFUNCTION("GOOGLETRANSLATE(F1170,""EN"",""JA"")"),"サンプル中に存在するコルチコステロンとクレアチニンの相対的な測定値 (比率またはパーセンテージ)。")</f>
        <v>サンプル中に存在するコルチコステロンとクレアチニンの相対的な測定値 (比率またはパーセンテージ)。</v>
      </c>
      <c r="K1170" s="1" t="str">
        <f>IFERROR(__xludf.DUMMYFUNCTION("GOOGLETRANSLATE(G1170,""EN"",""JA"")"),"コルチコステロン対クレアチニン比測定")</f>
        <v>コルチコステロン対クレアチニン比測定</v>
      </c>
    </row>
    <row r="1171" ht="13.5" customHeight="1">
      <c r="A1171" s="1" t="s">
        <v>11</v>
      </c>
      <c r="B1171" s="1" t="s">
        <v>5921</v>
      </c>
      <c r="C1171" s="1" t="s">
        <v>5922</v>
      </c>
      <c r="D1171" s="1" t="s">
        <v>5923</v>
      </c>
      <c r="E1171" s="1" t="s">
        <v>5923</v>
      </c>
      <c r="F1171" s="1" t="s">
        <v>5924</v>
      </c>
      <c r="G1171" s="1" t="s">
        <v>5925</v>
      </c>
      <c r="H1171" s="1" t="str">
        <f>IFERROR(__xludf.DUMMYFUNCTION("GOOGLETRANSLATE(D1171,""EN"",""JA"")"),"コルチゾール、自由排泄率")</f>
        <v>コルチゾール、自由排泄率</v>
      </c>
      <c r="I1171" s="1" t="str">
        <f>IFERROR(__xludf.DUMMYFUNCTION("GOOGLETRANSLATE(E1171,""EN"",""JA"")"),"コルチゾール、自由排泄率")</f>
        <v>コルチゾール、自由排泄率</v>
      </c>
      <c r="J1171" s="1" t="str">
        <f>IFERROR(__xludf.DUMMYFUNCTION("GOOGLETRANSLATE(F1171,""EN"",""JA"")"),"定義された時間（例：1 時間）にわたって生物学的標本中に排出される遊離コルチゾールの量を測定します。")</f>
        <v>定義された時間（例：1 時間）にわたって生物学的標本中に排出される遊離コルチゾールの量を測定します。</v>
      </c>
      <c r="K1171" s="1" t="str">
        <f>IFERROR(__xludf.DUMMYFUNCTION("GOOGLETRANSLATE(G1171,""EN"",""JA"")"),"遊離コルチゾール排泄率")</f>
        <v>遊離コルチゾール排泄率</v>
      </c>
    </row>
    <row r="1172" ht="13.5" customHeight="1">
      <c r="A1172" s="1" t="s">
        <v>11</v>
      </c>
      <c r="B1172" s="1" t="s">
        <v>5926</v>
      </c>
      <c r="C1172" s="1" t="s">
        <v>5927</v>
      </c>
      <c r="D1172" s="1" t="s">
        <v>5928</v>
      </c>
      <c r="E1172" s="1" t="s">
        <v>5928</v>
      </c>
      <c r="F1172" s="1" t="s">
        <v>5929</v>
      </c>
      <c r="G1172" s="1" t="s">
        <v>5930</v>
      </c>
      <c r="H1172" s="1" t="str">
        <f>IFERROR(__xludf.DUMMYFUNCTION("GOOGLETRANSLATE(D1172,""EN"",""JA"")"),"カロチン")</f>
        <v>カロチン</v>
      </c>
      <c r="I1172" s="1" t="str">
        <f>IFERROR(__xludf.DUMMYFUNCTION("GOOGLETRANSLATE(E1172,""EN"",""JA"")"),"カロチン")</f>
        <v>カロチン</v>
      </c>
      <c r="J1172" s="1" t="str">
        <f>IFERROR(__xludf.DUMMYFUNCTION("GOOGLETRANSLATE(F1172,""EN"",""JA"")"),"生物標本中の総カロテン量の測定。")</f>
        <v>生物標本中の総カロテン量の測定。</v>
      </c>
      <c r="K1172" s="1" t="str">
        <f>IFERROR(__xludf.DUMMYFUNCTION("GOOGLETRANSLATE(G1172,""EN"",""JA"")"),"カロテン測定")</f>
        <v>カロテン測定</v>
      </c>
    </row>
    <row r="1173" ht="13.5" customHeight="1">
      <c r="A1173" s="1" t="s">
        <v>11</v>
      </c>
      <c r="B1173" s="1" t="s">
        <v>5931</v>
      </c>
      <c r="C1173" s="1" t="s">
        <v>5932</v>
      </c>
      <c r="D1173" s="1" t="s">
        <v>5933</v>
      </c>
      <c r="E1173" s="1" t="s">
        <v>5933</v>
      </c>
      <c r="F1173" s="1" t="s">
        <v>5934</v>
      </c>
      <c r="G1173" s="1" t="s">
        <v>5935</v>
      </c>
      <c r="H1173" s="1" t="str">
        <f>IFERROR(__xludf.DUMMYFUNCTION("GOOGLETRANSLATE(D1173,""EN"",""JA"")"),"コルチコステロン")</f>
        <v>コルチコステロン</v>
      </c>
      <c r="I1173" s="1" t="str">
        <f>IFERROR(__xludf.DUMMYFUNCTION("GOOGLETRANSLATE(E1173,""EN"",""JA"")"),"コルチコステロン")</f>
        <v>コルチコステロン</v>
      </c>
      <c r="J1173" s="1" t="str">
        <f>IFERROR(__xludf.DUMMYFUNCTION("GOOGLETRANSLATE(F1173,""EN"",""JA"")"),"生物標本中のコルチコステロンの測定。")</f>
        <v>生物標本中のコルチコステロンの測定。</v>
      </c>
      <c r="K1173" s="1" t="str">
        <f>IFERROR(__xludf.DUMMYFUNCTION("GOOGLETRANSLATE(G1173,""EN"",""JA"")"),"コルチコステロン測定")</f>
        <v>コルチコステロン測定</v>
      </c>
    </row>
    <row r="1174" ht="13.5" customHeight="1">
      <c r="A1174" s="1" t="s">
        <v>67</v>
      </c>
      <c r="B1174" s="1" t="s">
        <v>5936</v>
      </c>
      <c r="C1174" s="1" t="s">
        <v>5937</v>
      </c>
      <c r="D1174" s="1" t="s">
        <v>5938</v>
      </c>
      <c r="E1174" s="1" t="s">
        <v>5938</v>
      </c>
      <c r="F1174" s="1" t="s">
        <v>5939</v>
      </c>
      <c r="G1174" s="1" t="s">
        <v>5940</v>
      </c>
      <c r="H1174" s="1" t="str">
        <f>IFERROR(__xludf.DUMMYFUNCTION("GOOGLETRANSLATE(D1174,""EN"",""JA"")"),"カンジダ・ルゴサ")</f>
        <v>カンジダ・ルゴサ</v>
      </c>
      <c r="I1174" s="1" t="str">
        <f>IFERROR(__xludf.DUMMYFUNCTION("GOOGLETRANSLATE(E1174,""EN"",""JA"")"),"カンジダ・ルゴサ")</f>
        <v>カンジダ・ルゴサ</v>
      </c>
      <c r="J1174" s="1" t="str">
        <f>IFERROR(__xludf.DUMMYFUNCTION("GOOGLETRANSLATE(F1174,""EN"",""JA"")"),"生物標本中のCandida rugosaの測定。")</f>
        <v>生物標本中のCandida rugosaの測定。</v>
      </c>
      <c r="K1174" s="1" t="str">
        <f>IFERROR(__xludf.DUMMYFUNCTION("GOOGLETRANSLATE(G1174,""EN"",""JA"")"),"カンジダ・ルゴサ測定")</f>
        <v>カンジダ・ルゴサ測定</v>
      </c>
    </row>
    <row r="1175" ht="13.5" customHeight="1">
      <c r="A1175" s="1" t="s">
        <v>129</v>
      </c>
      <c r="B1175" s="1" t="s">
        <v>5941</v>
      </c>
      <c r="C1175" s="1" t="s">
        <v>5942</v>
      </c>
      <c r="D1175" s="1" t="s">
        <v>5943</v>
      </c>
      <c r="E1175" s="1" t="s">
        <v>5943</v>
      </c>
      <c r="F1175" s="1" t="s">
        <v>5944</v>
      </c>
      <c r="G1175" s="1" t="s">
        <v>5945</v>
      </c>
      <c r="H1175" s="1" t="str">
        <f>IFERROR(__xludf.DUMMYFUNCTION("GOOGLETRANSLATE(D1175,""EN"",""JA"")"),"クラウンからヒールまでの長さ")</f>
        <v>クラウンからヒールまでの長さ</v>
      </c>
      <c r="I1175" s="1" t="str">
        <f>IFERROR(__xludf.DUMMYFUNCTION("GOOGLETRANSLATE(E1175,""EN"",""JA"")"),"クラウンからヒールまでの長さ")</f>
        <v>クラウンからヒールまでの長さ</v>
      </c>
      <c r="J1175" s="1" t="str">
        <f>IFERROR(__xludf.DUMMYFUNCTION("GOOGLETRANSLATE(F1175,""EN"",""JA"")"),"頭頂部からかかとの底までの体の長さを測る単位。")</f>
        <v>頭頂部からかかとの底までの体の長さを測る単位。</v>
      </c>
      <c r="K1175" s="1" t="str">
        <f>IFERROR(__xludf.DUMMYFUNCTION("GOOGLETRANSLATE(G1175,""EN"",""JA"")"),"クラウンからヒールまでの長さ")</f>
        <v>クラウンからヒールまでの長さ</v>
      </c>
    </row>
    <row r="1176" ht="13.5" customHeight="1">
      <c r="A1176" s="1" t="s">
        <v>90</v>
      </c>
      <c r="B1176" s="1" t="s">
        <v>5946</v>
      </c>
      <c r="C1176" s="1" t="s">
        <v>5947</v>
      </c>
      <c r="D1176" s="1" t="s">
        <v>5948</v>
      </c>
      <c r="E1176" s="1" t="s">
        <v>5949</v>
      </c>
      <c r="F1176" s="1" t="s">
        <v>5950</v>
      </c>
      <c r="G1176" s="1" t="s">
        <v>5948</v>
      </c>
      <c r="H1176" s="1" t="str">
        <f>IFERROR(__xludf.DUMMYFUNCTION("GOOGLETRANSLATE(D1176,""EN"",""JA"")"),"心拍リズムデバイスの故障の兆候")</f>
        <v>心拍リズムデバイスの故障の兆候</v>
      </c>
      <c r="I1176" s="1" t="str">
        <f>IFERROR(__xludf.DUMMYFUNCTION("GOOGLETRANSLATE(E1176,""EN"",""JA"")"),"心調律デバイス故障の兆候; 心調律デバイス故障の兆候")</f>
        <v>心調律デバイス故障の兆候; 心調律デバイス故障の兆候</v>
      </c>
      <c r="J1176" s="1" t="str">
        <f>IFERROR(__xludf.DUMMYFUNCTION("GOOGLETRANSLATE(F1176,""EN"",""JA"")"),"心臓リズム装置の故障の結果。")</f>
        <v>心臓リズム装置の故障の結果。</v>
      </c>
      <c r="K1176" s="1" t="str">
        <f>IFERROR(__xludf.DUMMYFUNCTION("GOOGLETRANSLATE(G1176,""EN"",""JA"")"),"心拍リズムデバイスの故障の兆候")</f>
        <v>心拍リズムデバイスの故障の兆候</v>
      </c>
    </row>
    <row r="1177" ht="13.5" customHeight="1">
      <c r="A1177" s="1" t="s">
        <v>11</v>
      </c>
      <c r="B1177" s="1" t="s">
        <v>5951</v>
      </c>
      <c r="C1177" s="1" t="s">
        <v>5952</v>
      </c>
      <c r="D1177" s="1" t="s">
        <v>5953</v>
      </c>
      <c r="E1177" s="1" t="s">
        <v>5953</v>
      </c>
      <c r="F1177" s="1" t="s">
        <v>5954</v>
      </c>
      <c r="G1177" s="1" t="s">
        <v>5955</v>
      </c>
      <c r="H1177" s="1" t="str">
        <f>IFERROR(__xludf.DUMMYFUNCTION("GOOGLETRANSLATE(D1177,""EN"",""JA"")"),"クリオグロブリン量/血清量")</f>
        <v>クリオグロブリン量/血清量</v>
      </c>
      <c r="I1177" s="1" t="str">
        <f>IFERROR(__xludf.DUMMYFUNCTION("GOOGLETRANSLATE(E1177,""EN"",""JA"")"),"クリオグロブリン量/血清量")</f>
        <v>クリオグロブリン量/血清量</v>
      </c>
      <c r="J1177" s="1" t="str">
        <f>IFERROR(__xludf.DUMMYFUNCTION("GOOGLETRANSLATE(F1177,""EN"",""JA"")"),"生物標本中の血清総量に対するクリオグロブリン量の相対的な測定値（比率またはパーセンテージ）。")</f>
        <v>生物標本中の血清総量に対するクリオグロブリン量の相対的な測定値（比率またはパーセンテージ）。</v>
      </c>
      <c r="K1177" s="1" t="str">
        <f>IFERROR(__xludf.DUMMYFUNCTION("GOOGLETRANSLATE(G1177,""EN"",""JA"")"),"クリオグロブリン量と血清量との比の測定")</f>
        <v>クリオグロブリン量と血清量との比の測定</v>
      </c>
    </row>
    <row r="1178" ht="13.5" customHeight="1">
      <c r="A1178" s="1" t="s">
        <v>11</v>
      </c>
      <c r="B1178" s="1" t="s">
        <v>5956</v>
      </c>
      <c r="C1178" s="1" t="s">
        <v>5957</v>
      </c>
      <c r="D1178" s="1" t="s">
        <v>5958</v>
      </c>
      <c r="E1178" s="1" t="s">
        <v>5958</v>
      </c>
      <c r="F1178" s="1" t="s">
        <v>5959</v>
      </c>
      <c r="G1178" s="1" t="s">
        <v>5960</v>
      </c>
      <c r="H1178" s="1" t="str">
        <f>IFERROR(__xludf.DUMMYFUNCTION("GOOGLETRANSLATE(D1178,""EN"",""JA"")"),"クリオフィブリノーゲン")</f>
        <v>クリオフィブリノーゲン</v>
      </c>
      <c r="I1178" s="1" t="str">
        <f>IFERROR(__xludf.DUMMYFUNCTION("GOOGLETRANSLATE(E1178,""EN"",""JA"")"),"クリオフィブリノーゲン")</f>
        <v>クリオフィブリノーゲン</v>
      </c>
      <c r="J1178" s="1" t="str">
        <f>IFERROR(__xludf.DUMMYFUNCTION("GOOGLETRANSLATE(F1178,""EN"",""JA"")"),"生物標本中のクライオフィブリノーゲンの測定。")</f>
        <v>生物標本中のクライオフィブリノーゲンの測定。</v>
      </c>
      <c r="K1178" s="1" t="str">
        <f>IFERROR(__xludf.DUMMYFUNCTION("GOOGLETRANSLATE(G1178,""EN"",""JA"")"),"クライオフィブリノーゲン測定")</f>
        <v>クライオフィブリノーゲン測定</v>
      </c>
    </row>
    <row r="1179" ht="13.5" customHeight="1">
      <c r="A1179" s="1" t="s">
        <v>11</v>
      </c>
      <c r="B1179" s="1" t="s">
        <v>5961</v>
      </c>
      <c r="C1179" s="1" t="s">
        <v>5962</v>
      </c>
      <c r="D1179" s="1" t="s">
        <v>5963</v>
      </c>
      <c r="E1179" s="1" t="s">
        <v>5963</v>
      </c>
      <c r="F1179" s="1" t="s">
        <v>5964</v>
      </c>
      <c r="G1179" s="1" t="s">
        <v>5965</v>
      </c>
      <c r="H1179" s="1" t="str">
        <f>IFERROR(__xludf.DUMMYFUNCTION("GOOGLETRANSLATE(D1179,""EN"",""JA"")"),"クリオグロブリン")</f>
        <v>クリオグロブリン</v>
      </c>
      <c r="I1179" s="1" t="str">
        <f>IFERROR(__xludf.DUMMYFUNCTION("GOOGLETRANSLATE(E1179,""EN"",""JA"")"),"クリオグロブリン")</f>
        <v>クリオグロブリン</v>
      </c>
      <c r="J1179" s="1" t="str">
        <f>IFERROR(__xludf.DUMMYFUNCTION("GOOGLETRANSLATE(F1179,""EN"",""JA"")"),"生物標本中のクリオグロブリンの測定。")</f>
        <v>生物標本中のクリオグロブリンの測定。</v>
      </c>
      <c r="K1179" s="1" t="str">
        <f>IFERROR(__xludf.DUMMYFUNCTION("GOOGLETRANSLATE(G1179,""EN"",""JA"")"),"クリオグロブリン測定")</f>
        <v>クリオグロブリン測定</v>
      </c>
    </row>
    <row r="1180" ht="13.5" customHeight="1">
      <c r="A1180" s="1" t="s">
        <v>134</v>
      </c>
      <c r="B1180" s="1" t="s">
        <v>5966</v>
      </c>
      <c r="C1180" s="1" t="s">
        <v>5967</v>
      </c>
      <c r="D1180" s="1" t="s">
        <v>5968</v>
      </c>
      <c r="E1180" s="1" t="s">
        <v>5968</v>
      </c>
      <c r="F1180" s="1" t="s">
        <v>5969</v>
      </c>
      <c r="G1180" s="1" t="s">
        <v>5970</v>
      </c>
      <c r="H1180" s="1" t="str">
        <f>IFERROR(__xludf.DUMMYFUNCTION("GOOGLETRANSLATE(D1180,""EN"",""JA"")"),"陰窩膿瘍")</f>
        <v>陰窩膿瘍</v>
      </c>
      <c r="I1180" s="1" t="str">
        <f>IFERROR(__xludf.DUMMYFUNCTION("GOOGLETRANSLATE(E1180,""EN"",""JA"")"),"陰窩膿瘍")</f>
        <v>陰窩膿瘍</v>
      </c>
      <c r="J1180" s="1" t="str">
        <f>IFERROR(__xludf.DUMMYFUNCTION("GOOGLETRANSLATE(F1180,""EN"",""JA"")"),"生物標本における陰窩膿瘍の評価。")</f>
        <v>生物標本における陰窩膿瘍の評価。</v>
      </c>
      <c r="K1180" s="1" t="str">
        <f>IFERROR(__xludf.DUMMYFUNCTION("GOOGLETRANSLATE(G1180,""EN"",""JA"")"),"陰窩膿瘍の評価")</f>
        <v>陰窩膿瘍の評価</v>
      </c>
    </row>
    <row r="1181" ht="13.5" customHeight="1">
      <c r="A1181" s="1" t="s">
        <v>134</v>
      </c>
      <c r="B1181" s="1" t="s">
        <v>5971</v>
      </c>
      <c r="C1181" s="1" t="s">
        <v>5972</v>
      </c>
      <c r="D1181" s="1" t="s">
        <v>5973</v>
      </c>
      <c r="E1181" s="1" t="s">
        <v>5973</v>
      </c>
      <c r="F1181" s="1" t="s">
        <v>5974</v>
      </c>
      <c r="G1181" s="1" t="s">
        <v>5975</v>
      </c>
      <c r="H1181" s="1" t="str">
        <f>IFERROR(__xludf.DUMMYFUNCTION("GOOGLETRANSLATE(D1181,""EN"",""JA"")"),"地下聖堂の建築的損傷")</f>
        <v>地下聖堂の建築的損傷</v>
      </c>
      <c r="I1181" s="1" t="str">
        <f>IFERROR(__xludf.DUMMYFUNCTION("GOOGLETRANSLATE(E1181,""EN"",""JA"")"),"地下聖堂の建築的損傷")</f>
        <v>地下聖堂の建築的損傷</v>
      </c>
      <c r="J1181" s="1" t="str">
        <f>IFERROR(__xludf.DUMMYFUNCTION("GOOGLETRANSLATE(F1181,""EN"",""JA"")"),"生物標本の陰窩に対する建築的損傷の程度の評価。")</f>
        <v>生物標本の陰窩に対する建築的損傷の程度の評価。</v>
      </c>
      <c r="K1181" s="1" t="str">
        <f>IFERROR(__xludf.DUMMYFUNCTION("GOOGLETRANSLATE(G1181,""EN"",""JA"")"),"地下室建築損傷評価")</f>
        <v>地下室建築損傷評価</v>
      </c>
    </row>
    <row r="1182" ht="13.5" customHeight="1">
      <c r="A1182" s="1" t="s">
        <v>67</v>
      </c>
      <c r="B1182" s="1" t="s">
        <v>5976</v>
      </c>
      <c r="C1182" s="1" t="s">
        <v>5977</v>
      </c>
      <c r="D1182" s="1" t="s">
        <v>5978</v>
      </c>
      <c r="E1182" s="1" t="s">
        <v>5978</v>
      </c>
      <c r="F1182" s="1" t="s">
        <v>5979</v>
      </c>
      <c r="G1182" s="1" t="s">
        <v>5980</v>
      </c>
      <c r="H1182" s="1" t="str">
        <f>IFERROR(__xludf.DUMMYFUNCTION("GOOGLETRANSLATE(D1182,""EN"",""JA"")"),"クリプトコッカス抗原")</f>
        <v>クリプトコッカス抗原</v>
      </c>
      <c r="I1182" s="1" t="str">
        <f>IFERROR(__xludf.DUMMYFUNCTION("GOOGLETRANSLATE(E1182,""EN"",""JA"")"),"クリプトコッカス抗原")</f>
        <v>クリプトコッカス抗原</v>
      </c>
      <c r="J1182" s="1" t="str">
        <f>IFERROR(__xludf.DUMMYFUNCTION("GOOGLETRANSLATE(F1182,""EN"",""JA"")"),"生物標本中のクリプトコッカス属の任意の菌の抗原の測定。")</f>
        <v>生物標本中のクリプトコッカス属の任意の菌の抗原の測定。</v>
      </c>
      <c r="K1182" s="1" t="str">
        <f>IFERROR(__xludf.DUMMYFUNCTION("GOOGLETRANSLATE(G1182,""EN"",""JA"")"),"クリプトコッカス抗原測定")</f>
        <v>クリプトコッカス抗原測定</v>
      </c>
    </row>
    <row r="1183" ht="13.5" customHeight="1">
      <c r="A1183" s="1" t="s">
        <v>67</v>
      </c>
      <c r="B1183" s="1" t="s">
        <v>5981</v>
      </c>
      <c r="C1183" s="1" t="s">
        <v>5982</v>
      </c>
      <c r="D1183" s="1" t="s">
        <v>5983</v>
      </c>
      <c r="E1183" s="1" t="s">
        <v>5983</v>
      </c>
      <c r="F1183" s="1" t="s">
        <v>5984</v>
      </c>
      <c r="G1183" s="1" t="s">
        <v>5985</v>
      </c>
      <c r="H1183" s="1" t="str">
        <f>IFERROR(__xludf.DUMMYFUNCTION("GOOGLETRANSLATE(D1183,""EN"",""JA"")"),"クリプトスポリジウムDNA")</f>
        <v>クリプトスポリジウムDNA</v>
      </c>
      <c r="I1183" s="1" t="str">
        <f>IFERROR(__xludf.DUMMYFUNCTION("GOOGLETRANSLATE(E1183,""EN"",""JA"")"),"クリプトスポリジウムDNA")</f>
        <v>クリプトスポリジウムDNA</v>
      </c>
      <c r="J1183" s="1" t="str">
        <f>IFERROR(__xludf.DUMMYFUNCTION("GOOGLETRANSLATE(F1183,""EN"",""JA"")"),"生物標本中のクリプトスポリジウム属の任意の菌の DNA の測定。")</f>
        <v>生物標本中のクリプトスポリジウム属の任意の菌の DNA の測定。</v>
      </c>
      <c r="K1183" s="1" t="str">
        <f>IFERROR(__xludf.DUMMYFUNCTION("GOOGLETRANSLATE(G1183,""EN"",""JA"")"),"クリプトスポリジウムDNA測定")</f>
        <v>クリプトスポリジウムDNA測定</v>
      </c>
    </row>
    <row r="1184" ht="13.5" customHeight="1">
      <c r="A1184" s="1" t="s">
        <v>134</v>
      </c>
      <c r="B1184" s="1" t="s">
        <v>5986</v>
      </c>
      <c r="C1184" s="1" t="s">
        <v>5987</v>
      </c>
      <c r="D1184" s="1" t="s">
        <v>5988</v>
      </c>
      <c r="E1184" s="1" t="s">
        <v>5988</v>
      </c>
      <c r="F1184" s="1" t="s">
        <v>5989</v>
      </c>
      <c r="G1184" s="1" t="s">
        <v>5990</v>
      </c>
      <c r="H1184" s="1" t="str">
        <f>IFERROR(__xludf.DUMMYFUNCTION("GOOGLETRANSLATE(D1184,""EN"",""JA"")"),"クリプトチス")</f>
        <v>クリプトチス</v>
      </c>
      <c r="I1184" s="1" t="str">
        <f>IFERROR(__xludf.DUMMYFUNCTION("GOOGLETRANSLATE(E1184,""EN"",""JA"")"),"クリプトチス")</f>
        <v>クリプトチス</v>
      </c>
      <c r="J1184" s="1" t="str">
        <f>IFERROR(__xludf.DUMMYFUNCTION("GOOGLETRANSLATE(F1184,""EN"",""JA"")"),"生物標本における陰窩炎の評価。")</f>
        <v>生物標本における陰窩炎の評価。</v>
      </c>
      <c r="K1184" s="1" t="str">
        <f>IFERROR(__xludf.DUMMYFUNCTION("GOOGLETRANSLATE(G1184,""EN"",""JA"")"),"クリプトチス評価")</f>
        <v>クリプトチス評価</v>
      </c>
    </row>
    <row r="1185" ht="13.5" customHeight="1">
      <c r="A1185" s="1" t="s">
        <v>11</v>
      </c>
      <c r="B1185" s="1" t="s">
        <v>5991</v>
      </c>
      <c r="C1185" s="1" t="s">
        <v>5992</v>
      </c>
      <c r="D1185" s="1" t="s">
        <v>5993</v>
      </c>
      <c r="E1185" s="1" t="s">
        <v>5994</v>
      </c>
      <c r="F1185" s="1" t="s">
        <v>5995</v>
      </c>
      <c r="G1185" s="1" t="s">
        <v>5996</v>
      </c>
      <c r="H1185" s="1" t="str">
        <f>IFERROR(__xludf.DUMMYFUNCTION("GOOGLETRANSLATE(D1185,""EN"",""JA"")"),"クリスタル")</f>
        <v>クリスタル</v>
      </c>
      <c r="I1185" s="1" t="str">
        <f>IFERROR(__xludf.DUMMYFUNCTION("GOOGLETRANSLATE(E1185,""EN"",""JA"")"),"結晶; 結晶なしインジケーター")</f>
        <v>結晶; 結晶なしインジケーター</v>
      </c>
      <c r="J1185" s="1" t="str">
        <f>IFERROR(__xludf.DUMMYFUNCTION("GOOGLETRANSLATE(F1185,""EN"",""JA"")"),"生物標本内で結晶が探されたが見つからなかったことを示す兆候。")</f>
        <v>生物標本内で結晶が探されたが見つからなかったことを示す兆候。</v>
      </c>
      <c r="K1185" s="1" t="str">
        <f>IFERROR(__xludf.DUMMYFUNCTION("GOOGLETRANSLATE(G1185,""EN"",""JA"")"),"クリスタル不在インジケーター")</f>
        <v>クリスタル不在インジケーター</v>
      </c>
    </row>
    <row r="1186" ht="13.5" customHeight="1">
      <c r="A1186" s="1" t="s">
        <v>11</v>
      </c>
      <c r="B1186" s="1" t="s">
        <v>5997</v>
      </c>
      <c r="C1186" s="1" t="s">
        <v>5998</v>
      </c>
      <c r="D1186" s="1" t="s">
        <v>5999</v>
      </c>
      <c r="E1186" s="1" t="s">
        <v>5999</v>
      </c>
      <c r="F1186" s="1" t="s">
        <v>6000</v>
      </c>
      <c r="G1186" s="1" t="s">
        <v>6001</v>
      </c>
      <c r="H1186" s="1" t="str">
        <f>IFERROR(__xludf.DUMMYFUNCTION("GOOGLETRANSLATE(D1186,""EN"",""JA"")"),"細菌円柱")</f>
        <v>細菌円柱</v>
      </c>
      <c r="I1186" s="1" t="str">
        <f>IFERROR(__xludf.DUMMYFUNCTION("GOOGLETRANSLATE(E1186,""EN"",""JA"")"),"細菌円柱")</f>
        <v>細菌円柱</v>
      </c>
      <c r="J1186" s="1" t="str">
        <f>IFERROR(__xludf.DUMMYFUNCTION("GOOGLETRANSLATE(F1186,""EN"",""JA"")"),"生物標本中に存在する細菌鋳型の測定。")</f>
        <v>生物標本中に存在する細菌鋳型の測定。</v>
      </c>
      <c r="K1186" s="1" t="str">
        <f>IFERROR(__xludf.DUMMYFUNCTION("GOOGLETRANSLATE(G1186,""EN"",""JA"")"),"細菌円柱測定")</f>
        <v>細菌円柱測定</v>
      </c>
    </row>
    <row r="1187" ht="13.5" customHeight="1">
      <c r="A1187" s="1" t="s">
        <v>11</v>
      </c>
      <c r="B1187" s="1" t="s">
        <v>6002</v>
      </c>
      <c r="C1187" s="1" t="s">
        <v>6003</v>
      </c>
      <c r="D1187" s="1" t="s">
        <v>6004</v>
      </c>
      <c r="E1187" s="1" t="s">
        <v>6004</v>
      </c>
      <c r="F1187" s="1" t="s">
        <v>6005</v>
      </c>
      <c r="G1187" s="1" t="s">
        <v>6006</v>
      </c>
      <c r="H1187" s="1" t="str">
        <f>IFERROR(__xludf.DUMMYFUNCTION("GOOGLETRANSLATE(D1187,""EN"",""JA"")"),"放送")</f>
        <v>放送</v>
      </c>
      <c r="I1187" s="1" t="str">
        <f>IFERROR(__xludf.DUMMYFUNCTION("GOOGLETRANSLATE(E1187,""EN"",""JA"")"),"放送")</f>
        <v>放送</v>
      </c>
      <c r="J1187" s="1" t="str">
        <f>IFERROR(__xludf.DUMMYFUNCTION("GOOGLETRANSLATE(F1187,""EN"",""JA"")"),"生物標本内のブロードキャストの測定。")</f>
        <v>生物標本内のブロードキャストの測定。</v>
      </c>
      <c r="K1187" s="1" t="str">
        <f>IFERROR(__xludf.DUMMYFUNCTION("GOOGLETRANSLATE(G1187,""EN"",""JA"")"),"放送測定")</f>
        <v>放送測定</v>
      </c>
    </row>
    <row r="1188" ht="13.5" customHeight="1">
      <c r="A1188" s="1" t="s">
        <v>11</v>
      </c>
      <c r="B1188" s="1" t="s">
        <v>6007</v>
      </c>
      <c r="C1188" s="1" t="s">
        <v>6008</v>
      </c>
      <c r="D1188" s="1" t="s">
        <v>6009</v>
      </c>
      <c r="E1188" s="1" t="s">
        <v>6009</v>
      </c>
      <c r="F1188" s="1" t="s">
        <v>6010</v>
      </c>
      <c r="G1188" s="1" t="s">
        <v>6011</v>
      </c>
      <c r="H1188" s="1" t="str">
        <f>IFERROR(__xludf.DUMMYFUNCTION("GOOGLETRANSLATE(D1188,""EN"",""JA"")"),"細胞鋳型")</f>
        <v>細胞鋳型</v>
      </c>
      <c r="I1188" s="1" t="str">
        <f>IFERROR(__xludf.DUMMYFUNCTION("GOOGLETRANSLATE(E1188,""EN"",""JA"")"),"細胞鋳型")</f>
        <v>細胞鋳型</v>
      </c>
      <c r="J1188" s="1" t="str">
        <f>IFERROR(__xludf.DUMMYFUNCTION("GOOGLETRANSLATE(F1188,""EN"",""JA"")"),"生物標本中に存在する細胞円柱（白血球、赤血球、上皮細胞、細菌）の測定。")</f>
        <v>生物標本中に存在する細胞円柱（白血球、赤血球、上皮細胞、細菌）の測定。</v>
      </c>
      <c r="K1188" s="1" t="str">
        <f>IFERROR(__xludf.DUMMYFUNCTION("GOOGLETRANSLATE(G1188,""EN"",""JA"")"),"細胞キャスト測定")</f>
        <v>細胞キャスト測定</v>
      </c>
    </row>
    <row r="1189" ht="13.5" customHeight="1">
      <c r="A1189" s="1" t="s">
        <v>11</v>
      </c>
      <c r="B1189" s="1" t="s">
        <v>6012</v>
      </c>
      <c r="C1189" s="1" t="s">
        <v>6013</v>
      </c>
      <c r="D1189" s="1" t="s">
        <v>6014</v>
      </c>
      <c r="E1189" s="1" t="s">
        <v>6015</v>
      </c>
      <c r="F1189" s="1" t="s">
        <v>6016</v>
      </c>
      <c r="G1189" s="1" t="s">
        <v>6017</v>
      </c>
      <c r="H1189" s="1" t="str">
        <f>IFERROR(__xludf.DUMMYFUNCTION("GOOGLETRANSLATE(D1189,""EN"",""JA"")"),"円筒状体キャスト")</f>
        <v>円筒状体キャスト</v>
      </c>
      <c r="I1189" s="1" t="str">
        <f>IFERROR(__xludf.DUMMYFUNCTION("GOOGLETRANSLATE(E1189,""EN"",""JA"")"),"類円筒状鋳型; 類円筒状擬似鋳型")</f>
        <v>類円筒状鋳型; 類円筒状擬似鋳型</v>
      </c>
      <c r="J1189" s="1" t="str">
        <f>IFERROR(__xludf.DUMMYFUNCTION("GOOGLETRANSLATE(F1189,""EN"",""JA"")"),"生物標本における類円筒状鋳型（先端が細くなった鋳型）の測定。")</f>
        <v>生物標本における類円筒状鋳型（先端が細くなった鋳型）の測定。</v>
      </c>
      <c r="K1189" s="1" t="str">
        <f>IFERROR(__xludf.DUMMYFUNCTION("GOOGLETRANSLATE(G1189,""EN"",""JA"")"),"円柱状体鋳型の測定")</f>
        <v>円柱状体鋳型の測定</v>
      </c>
    </row>
    <row r="1190" ht="13.5" customHeight="1">
      <c r="A1190" s="1" t="s">
        <v>90</v>
      </c>
      <c r="B1190" s="1" t="s">
        <v>6018</v>
      </c>
      <c r="C1190" s="1" t="s">
        <v>6019</v>
      </c>
      <c r="D1190" s="1" t="s">
        <v>6020</v>
      </c>
      <c r="E1190" s="1" t="s">
        <v>6020</v>
      </c>
      <c r="F1190" s="1" t="s">
        <v>6021</v>
      </c>
      <c r="G1190" s="1" t="s">
        <v>6020</v>
      </c>
      <c r="H1190" s="1" t="str">
        <f>IFERROR(__xludf.DUMMYFUNCTION("GOOGLETRANSLATE(D1190,""EN"",""JA"")"),"断面直径")</f>
        <v>断面直径</v>
      </c>
      <c r="I1190" s="1" t="str">
        <f>IFERROR(__xludf.DUMMYFUNCTION("GOOGLETRANSLATE(E1190,""EN"",""JA"")"),"断面直径")</f>
        <v>断面直径</v>
      </c>
      <c r="J1190" s="1" t="str">
        <f>IFERROR(__xludf.DUMMYFUNCTION("GOOGLETRANSLATE(F1190,""EN"",""JA"")"),"長軸に垂直な平面に沿って取られた構造の測定値。")</f>
        <v>長軸に垂直な平面に沿って取られた構造の測定値。</v>
      </c>
      <c r="K1190" s="1" t="str">
        <f>IFERROR(__xludf.DUMMYFUNCTION("GOOGLETRANSLATE(G1190,""EN"",""JA"")"),"断面直径")</f>
        <v>断面直径</v>
      </c>
    </row>
    <row r="1191" ht="13.5" customHeight="1">
      <c r="A1191" s="1" t="s">
        <v>90</v>
      </c>
      <c r="B1191" s="1" t="s">
        <v>6022</v>
      </c>
      <c r="C1191" s="1" t="s">
        <v>6023</v>
      </c>
      <c r="D1191" s="1" t="s">
        <v>6024</v>
      </c>
      <c r="E1191" s="1" t="s">
        <v>6025</v>
      </c>
      <c r="F1191" s="1" t="s">
        <v>6026</v>
      </c>
      <c r="G1191" s="1" t="s">
        <v>6027</v>
      </c>
      <c r="H1191" s="1" t="str">
        <f>IFERROR(__xludf.DUMMYFUNCTION("GOOGLETRANSLATE(D1191,""EN"",""JA"")"),"交差秒直径、EVD")</f>
        <v>交差秒直径、EVD</v>
      </c>
      <c r="I1191" s="1" t="str">
        <f>IFERROR(__xludf.DUMMYFUNCTION("GOOGLETRANSLATE(E1191,""EN"",""JA"")"),"断面積直径、EVD; 断面積直径、心室拡張末期")</f>
        <v>断面積直径、EVD; 断面積直径、心室拡張末期</v>
      </c>
      <c r="J1191" s="1" t="str">
        <f>IFERROR(__xludf.DUMMYFUNCTION("GOOGLETRANSLATE(F1191,""EN"",""JA"")"),"心室拡張期末期に測定された心血管構造の断面直径。")</f>
        <v>心室拡張期末期に測定された心血管構造の断面直径。</v>
      </c>
      <c r="K1191" s="1" t="str">
        <f>IFERROR(__xludf.DUMMYFUNCTION("GOOGLETRANSLATE(G1191,""EN"",""JA"")"),"心室拡張末期の断面直径")</f>
        <v>心室拡張末期の断面直径</v>
      </c>
    </row>
    <row r="1192" ht="13.5" customHeight="1">
      <c r="A1192" s="1" t="s">
        <v>90</v>
      </c>
      <c r="B1192" s="1" t="s">
        <v>6028</v>
      </c>
      <c r="C1192" s="1" t="s">
        <v>6029</v>
      </c>
      <c r="D1192" s="1" t="s">
        <v>6030</v>
      </c>
      <c r="E1192" s="1" t="s">
        <v>6031</v>
      </c>
      <c r="F1192" s="1" t="s">
        <v>6032</v>
      </c>
      <c r="G1192" s="1" t="s">
        <v>6033</v>
      </c>
      <c r="H1192" s="1" t="str">
        <f>IFERROR(__xludf.DUMMYFUNCTION("GOOGLETRANSLATE(D1192,""EN"",""JA"")"),"交差秒直径、EVS")</f>
        <v>交差秒直径、EVS</v>
      </c>
      <c r="I1192" s="1" t="str">
        <f>IFERROR(__xludf.DUMMYFUNCTION("GOOGLETRANSLATE(E1192,""EN"",""JA"")"),"EVS断面径; 心室収縮終期断面径")</f>
        <v>EVS断面径; 心室収縮終期断面径</v>
      </c>
      <c r="J1192" s="1" t="str">
        <f>IFERROR(__xludf.DUMMYFUNCTION("GOOGLETRANSLATE(F1192,""EN"",""JA"")"),"心室収縮末期に測定された心血管構造の断面直径。")</f>
        <v>心室収縮末期に測定された心血管構造の断面直径。</v>
      </c>
      <c r="K1192" s="1" t="str">
        <f>IFERROR(__xludf.DUMMYFUNCTION("GOOGLETRANSLATE(G1192,""EN"",""JA"")"),"心室収縮終期における断面直径")</f>
        <v>心室収縮終期における断面直径</v>
      </c>
    </row>
    <row r="1193" ht="13.5" customHeight="1">
      <c r="A1193" s="1" t="s">
        <v>90</v>
      </c>
      <c r="B1193" s="1" t="s">
        <v>6034</v>
      </c>
      <c r="C1193" s="1" t="s">
        <v>6035</v>
      </c>
      <c r="D1193" s="1" t="s">
        <v>6036</v>
      </c>
      <c r="E1193" s="1" t="s">
        <v>6037</v>
      </c>
      <c r="F1193" s="1" t="s">
        <v>6038</v>
      </c>
      <c r="G1193" s="1" t="s">
        <v>6039</v>
      </c>
      <c r="H1193" s="1" t="str">
        <f>IFERROR(__xludf.DUMMYFUNCTION("GOOGLETRANSLATE(D1193,""EN"",""JA"")"),"交差秒直径、MVS")</f>
        <v>交差秒直径、MVS</v>
      </c>
      <c r="I1193" s="1" t="str">
        <f>IFERROR(__xludf.DUMMYFUNCTION("GOOGLETRANSLATE(E1193,""EN"",""JA"")"),"横断面直径、MVS; 横断面直径、心室収縮期中期")</f>
        <v>横断面直径、MVS; 横断面直径、心室収縮期中期</v>
      </c>
      <c r="J1193" s="1" t="str">
        <f>IFERROR(__xludf.DUMMYFUNCTION("GOOGLETRANSLATE(F1193,""EN"",""JA"")"),"心室収縮期中期に測定された心血管構造の断面直径。")</f>
        <v>心室収縮期中期に測定された心血管構造の断面直径。</v>
      </c>
      <c r="K1193" s="1" t="str">
        <f>IFERROR(__xludf.DUMMYFUNCTION("GOOGLETRANSLATE(G1193,""EN"",""JA"")"),"心室収縮期中期の断面直径")</f>
        <v>心室収縮期中期の断面直径</v>
      </c>
    </row>
    <row r="1194" ht="13.5" customHeight="1">
      <c r="A1194" s="1" t="s">
        <v>11</v>
      </c>
      <c r="B1194" s="1" t="s">
        <v>6040</v>
      </c>
      <c r="C1194" s="1" t="s">
        <v>6041</v>
      </c>
      <c r="D1194" s="1" t="s">
        <v>6042</v>
      </c>
      <c r="E1194" s="1" t="s">
        <v>6042</v>
      </c>
      <c r="F1194" s="1" t="s">
        <v>6043</v>
      </c>
      <c r="G1194" s="1" t="s">
        <v>6044</v>
      </c>
      <c r="H1194" s="1" t="str">
        <f>IFERROR(__xludf.DUMMYFUNCTION("GOOGLETRANSLATE(D1194,""EN"",""JA"")"),"上皮円柱")</f>
        <v>上皮円柱</v>
      </c>
      <c r="I1194" s="1" t="str">
        <f>IFERROR(__xludf.DUMMYFUNCTION("GOOGLETRANSLATE(E1194,""EN"",""JA"")"),"上皮円柱")</f>
        <v>上皮円柱</v>
      </c>
      <c r="J1194" s="1" t="str">
        <f>IFERROR(__xludf.DUMMYFUNCTION("GOOGLETRANSLATE(F1194,""EN"",""JA"")"),"生物標本中に存在する上皮細胞円柱の測定。")</f>
        <v>生物標本中に存在する上皮細胞円柱の測定。</v>
      </c>
      <c r="K1194" s="1" t="str">
        <f>IFERROR(__xludf.DUMMYFUNCTION("GOOGLETRANSLATE(G1194,""EN"",""JA"")"),"上皮鋳型の測定")</f>
        <v>上皮鋳型の測定</v>
      </c>
    </row>
    <row r="1195" ht="13.5" customHeight="1">
      <c r="A1195" s="1" t="s">
        <v>11</v>
      </c>
      <c r="B1195" s="1" t="s">
        <v>6045</v>
      </c>
      <c r="C1195" s="1" t="s">
        <v>6046</v>
      </c>
      <c r="D1195" s="1" t="s">
        <v>6047</v>
      </c>
      <c r="E1195" s="1" t="s">
        <v>6048</v>
      </c>
      <c r="F1195" s="1" t="s">
        <v>6049</v>
      </c>
      <c r="G1195" s="1" t="s">
        <v>6050</v>
      </c>
      <c r="H1195" s="1" t="str">
        <f>IFERROR(__xludf.DUMMYFUNCTION("GOOGLETRANSLATE(D1195,""EN"",""JA"")"),"アグリカンコンドロイチン硫酸エピトープ846")</f>
        <v>アグリカンコンドロイチン硫酸エピトープ846</v>
      </c>
      <c r="I1195" s="1" t="str">
        <f>IFERROR(__xludf.DUMMYFUNCTION("GOOGLETRANSLATE(E1195,""EN"",""JA"")"),"846-エピトープ; アグリカンコンドロイチン硫酸エピトープ 846; コンドロイチン硫酸エピトープ 846; コンドロイチン硫酸プロテオグリカン 1 エピトープ 846; CS846")</f>
        <v>846-エピトープ; アグリカンコンドロイチン硫酸エピトープ 846; コンドロイチン硫酸エピトープ 846; コンドロイチン硫酸プロテオグリカン 1 エピトープ 846; CS846</v>
      </c>
      <c r="J1195" s="1" t="str">
        <f>IFERROR(__xludf.DUMMYFUNCTION("GOOGLETRANSLATE(F1195,""EN"",""JA"")"),"生物標本中のアグリカンのコンドロイチン硫酸鎖に存在する 846 番目のエピトープの測定。")</f>
        <v>生物標本中のアグリカンのコンドロイチン硫酸鎖に存在する 846 番目のエピトープの測定。</v>
      </c>
      <c r="K1195" s="1" t="str">
        <f>IFERROR(__xludf.DUMMYFUNCTION("GOOGLETRANSLATE(G1195,""EN"",""JA"")"),"アグリカンコンドロイチン硫酸エピトープ846測定")</f>
        <v>アグリカンコンドロイチン硫酸エピトープ846測定</v>
      </c>
    </row>
    <row r="1196" ht="13.5" customHeight="1">
      <c r="A1196" s="1" t="s">
        <v>11</v>
      </c>
      <c r="B1196" s="1" t="s">
        <v>6051</v>
      </c>
      <c r="C1196" s="1" t="s">
        <v>6052</v>
      </c>
      <c r="D1196" s="1" t="s">
        <v>6053</v>
      </c>
      <c r="E1196" s="1" t="s">
        <v>6053</v>
      </c>
      <c r="F1196" s="1" t="s">
        <v>6054</v>
      </c>
      <c r="G1196" s="1" t="s">
        <v>6055</v>
      </c>
      <c r="H1196" s="1" t="str">
        <f>IFERROR(__xludf.DUMMYFUNCTION("GOOGLETRANSLATE(D1196,""EN"",""JA"")"),"腎上皮円柱")</f>
        <v>腎上皮円柱</v>
      </c>
      <c r="I1196" s="1" t="str">
        <f>IFERROR(__xludf.DUMMYFUNCTION("GOOGLETRANSLATE(E1196,""EN"",""JA"")"),"腎上皮円柱")</f>
        <v>腎上皮円柱</v>
      </c>
      <c r="J1196" s="1" t="str">
        <f>IFERROR(__xludf.DUMMYFUNCTION("GOOGLETRANSLATE(F1196,""EN"",""JA"")"),"生物標本中の腎上皮細胞円柱の測定。")</f>
        <v>生物標本中の腎上皮細胞円柱の測定。</v>
      </c>
      <c r="K1196" s="1" t="str">
        <f>IFERROR(__xludf.DUMMYFUNCTION("GOOGLETRANSLATE(G1196,""EN"",""JA"")"),"腎上皮円柱測定")</f>
        <v>腎上皮円柱測定</v>
      </c>
    </row>
    <row r="1197" ht="13.5" customHeight="1">
      <c r="A1197" s="1" t="s">
        <v>11</v>
      </c>
      <c r="B1197" s="1" t="s">
        <v>6056</v>
      </c>
      <c r="C1197" s="1" t="s">
        <v>6057</v>
      </c>
      <c r="D1197" s="1" t="s">
        <v>6058</v>
      </c>
      <c r="E1197" s="1" t="s">
        <v>6058</v>
      </c>
      <c r="F1197" s="1" t="s">
        <v>6059</v>
      </c>
      <c r="G1197" s="1" t="s">
        <v>6060</v>
      </c>
      <c r="H1197" s="1" t="str">
        <f>IFERROR(__xludf.DUMMYFUNCTION("GOOGLETRANSLATE(D1197,""EN"",""JA"")"),"腎尿細管上皮円柱")</f>
        <v>腎尿細管上皮円柱</v>
      </c>
      <c r="I1197" s="1" t="str">
        <f>IFERROR(__xludf.DUMMYFUNCTION("GOOGLETRANSLATE(E1197,""EN"",""JA"")"),"腎尿細管上皮円柱")</f>
        <v>腎尿細管上皮円柱</v>
      </c>
      <c r="J1197" s="1" t="str">
        <f>IFERROR(__xludf.DUMMYFUNCTION("GOOGLETRANSLATE(F1197,""EN"",""JA"")"),"生物標本中の腎尿細管上皮細胞円柱の測定。")</f>
        <v>生物標本中の腎尿細管上皮細胞円柱の測定。</v>
      </c>
      <c r="K1197" s="1" t="str">
        <f>IFERROR(__xludf.DUMMYFUNCTION("GOOGLETRANSLATE(G1197,""EN"",""JA"")"),"腎尿細管上皮円柱測定")</f>
        <v>腎尿細管上皮円柱測定</v>
      </c>
    </row>
    <row r="1198" ht="13.5" customHeight="1">
      <c r="A1198" s="1" t="s">
        <v>11</v>
      </c>
      <c r="B1198" s="1" t="s">
        <v>6061</v>
      </c>
      <c r="C1198" s="1" t="s">
        <v>6062</v>
      </c>
      <c r="D1198" s="1" t="s">
        <v>6063</v>
      </c>
      <c r="E1198" s="1" t="s">
        <v>6063</v>
      </c>
      <c r="F1198" s="1" t="s">
        <v>6064</v>
      </c>
      <c r="G1198" s="1" t="s">
        <v>6065</v>
      </c>
      <c r="H1198" s="1" t="str">
        <f>IFERROR(__xludf.DUMMYFUNCTION("GOOGLETRANSLATE(D1198,""EN"",""JA"")"),"脂肪鋳型")</f>
        <v>脂肪鋳型</v>
      </c>
      <c r="I1198" s="1" t="str">
        <f>IFERROR(__xludf.DUMMYFUNCTION("GOOGLETRANSLATE(E1198,""EN"",""JA"")"),"脂肪鋳型")</f>
        <v>脂肪鋳型</v>
      </c>
      <c r="J1198" s="1" t="str">
        <f>IFERROR(__xludf.DUMMYFUNCTION("GOOGLETRANSLATE(F1198,""EN"",""JA"")"),"生物標本中に存在する脂肪円柱の測定。")</f>
        <v>生物標本中に存在する脂肪円柱の測定。</v>
      </c>
      <c r="K1198" s="1" t="str">
        <f>IFERROR(__xludf.DUMMYFUNCTION("GOOGLETRANSLATE(G1198,""EN"",""JA"")"),"脂肪円柱測定")</f>
        <v>脂肪円柱測定</v>
      </c>
    </row>
    <row r="1199" ht="13.5" customHeight="1">
      <c r="A1199" s="1" t="s">
        <v>11</v>
      </c>
      <c r="B1199" s="1" t="s">
        <v>6066</v>
      </c>
      <c r="C1199" s="1" t="s">
        <v>6067</v>
      </c>
      <c r="D1199" s="1" t="s">
        <v>6068</v>
      </c>
      <c r="E1199" s="1" t="s">
        <v>6069</v>
      </c>
      <c r="F1199" s="1" t="s">
        <v>6070</v>
      </c>
      <c r="G1199" s="1" t="s">
        <v>6071</v>
      </c>
      <c r="H1199" s="1" t="str">
        <f>IFERROR(__xludf.DUMMYFUNCTION("GOOGLETRANSLATE(D1199,""EN"",""JA"")"),"髄液IgG指数")</f>
        <v>髄液IgG指数</v>
      </c>
      <c r="I1199" s="1" t="str">
        <f>IFERROR(__xludf.DUMMYFUNCTION("GOOGLETRANSLATE(E1199,""EN"",""JA"")"),"髄液IgG指数; 髄液指数; IgG指数")</f>
        <v>髄液IgG指数; 髄液指数; IgG指数</v>
      </c>
      <c r="J1199" s="1" t="str">
        <f>IFERROR(__xludf.DUMMYFUNCTION("GOOGLETRANSLATE(F1199,""EN"",""JA"")"),"脳脊髄液中の IgG とアルブミンの相対測定値（比率）と血清中の IgG とアルブミンの相対測定値（比率）。")</f>
        <v>脳脊髄液中の IgG とアルブミンの相対測定値（比率）と血清中の IgG とアルブミンの相対測定値（比率）。</v>
      </c>
      <c r="K1199" s="1" t="str">
        <f>IFERROR(__xludf.DUMMYFUNCTION("GOOGLETRANSLATE(G1199,""EN"",""JA"")"),"IgG指数")</f>
        <v>IgG指数</v>
      </c>
    </row>
    <row r="1200" ht="13.5" customHeight="1">
      <c r="A1200" s="1" t="s">
        <v>11</v>
      </c>
      <c r="B1200" s="1" t="s">
        <v>6072</v>
      </c>
      <c r="C1200" s="1" t="s">
        <v>6073</v>
      </c>
      <c r="D1200" s="1" t="s">
        <v>6074</v>
      </c>
      <c r="E1200" s="1" t="s">
        <v>6074</v>
      </c>
      <c r="F1200" s="1" t="s">
        <v>6075</v>
      </c>
      <c r="G1200" s="1" t="s">
        <v>6076</v>
      </c>
      <c r="H1200" s="1" t="str">
        <f>IFERROR(__xludf.DUMMYFUNCTION("GOOGLETRANSLATE(D1200,""EN"",""JA"")"),"顆粒状のキャスト")</f>
        <v>顆粒状のキャスト</v>
      </c>
      <c r="I1200" s="1" t="str">
        <f>IFERROR(__xludf.DUMMYFUNCTION("GOOGLETRANSLATE(E1200,""EN"",""JA"")"),"顆粒状のキャスト")</f>
        <v>顆粒状のキャスト</v>
      </c>
      <c r="J1200" s="1" t="str">
        <f>IFERROR(__xludf.DUMMYFUNCTION("GOOGLETRANSLATE(F1200,""EN"",""JA"")"),"生物標本中に存在する粒状（粗粒および微細粒）の鋳型の測定。")</f>
        <v>生物標本中に存在する粒状（粗粒および微細粒）の鋳型の測定。</v>
      </c>
      <c r="K1200" s="1" t="str">
        <f>IFERROR(__xludf.DUMMYFUNCTION("GOOGLETRANSLATE(G1200,""EN"",""JA"")"),"粒状キャスト測定")</f>
        <v>粒状キャスト測定</v>
      </c>
    </row>
    <row r="1201" ht="13.5" customHeight="1">
      <c r="A1201" s="1" t="s">
        <v>11</v>
      </c>
      <c r="B1201" s="1" t="s">
        <v>6077</v>
      </c>
      <c r="C1201" s="1" t="s">
        <v>6078</v>
      </c>
      <c r="D1201" s="1" t="s">
        <v>6079</v>
      </c>
      <c r="E1201" s="1" t="s">
        <v>6079</v>
      </c>
      <c r="F1201" s="1" t="s">
        <v>6080</v>
      </c>
      <c r="G1201" s="1" t="s">
        <v>6081</v>
      </c>
      <c r="H1201" s="1" t="str">
        <f>IFERROR(__xludf.DUMMYFUNCTION("GOOGLETRANSLATE(D1201,""EN"",""JA"")"),"粒状粗鋳物")</f>
        <v>粒状粗鋳物</v>
      </c>
      <c r="I1201" s="1" t="str">
        <f>IFERROR(__xludf.DUMMYFUNCTION("GOOGLETRANSLATE(E1201,""EN"",""JA"")"),"粒状粗鋳物")</f>
        <v>粒状粗鋳物</v>
      </c>
      <c r="J1201" s="1" t="str">
        <f>IFERROR(__xludf.DUMMYFUNCTION("GOOGLETRANSLATE(F1201,""EN"",""JA"")"),"生物標本中に存在する粗い顆粒円柱の測定値。")</f>
        <v>生物標本中に存在する粗い顆粒円柱の測定値。</v>
      </c>
      <c r="K1201" s="1" t="str">
        <f>IFERROR(__xludf.DUMMYFUNCTION("GOOGLETRANSLATE(G1201,""EN"",""JA"")"),"粗粒キャスト測定")</f>
        <v>粗粒キャスト測定</v>
      </c>
    </row>
    <row r="1202" ht="13.5" customHeight="1">
      <c r="A1202" s="1" t="s">
        <v>11</v>
      </c>
      <c r="B1202" s="1" t="s">
        <v>6082</v>
      </c>
      <c r="C1202" s="1" t="s">
        <v>6083</v>
      </c>
      <c r="D1202" s="1" t="s">
        <v>6084</v>
      </c>
      <c r="E1202" s="1" t="s">
        <v>6084</v>
      </c>
      <c r="F1202" s="1" t="s">
        <v>6085</v>
      </c>
      <c r="G1202" s="1" t="s">
        <v>6086</v>
      </c>
      <c r="H1202" s="1" t="str">
        <f>IFERROR(__xludf.DUMMYFUNCTION("GOOGLETRANSLATE(D1202,""EN"",""JA"")"),"粒状微細鋳物")</f>
        <v>粒状微細鋳物</v>
      </c>
      <c r="I1202" s="1" t="str">
        <f>IFERROR(__xludf.DUMMYFUNCTION("GOOGLETRANSLATE(E1202,""EN"",""JA"")"),"粒状微細鋳物")</f>
        <v>粒状微細鋳物</v>
      </c>
      <c r="J1202" s="1" t="str">
        <f>IFERROR(__xludf.DUMMYFUNCTION("GOOGLETRANSLATE(F1202,""EN"",""JA"")"),"生物標本中に存在する微細顆粒円柱の測定。")</f>
        <v>生物標本中に存在する微細顆粒円柱の測定。</v>
      </c>
      <c r="K1202" s="1" t="str">
        <f>IFERROR(__xludf.DUMMYFUNCTION("GOOGLETRANSLATE(G1202,""EN"",""JA"")"),"粒状微細鋳造測定")</f>
        <v>粒状微細鋳造測定</v>
      </c>
    </row>
    <row r="1203" ht="13.5" customHeight="1">
      <c r="A1203" s="1" t="s">
        <v>11</v>
      </c>
      <c r="B1203" s="1" t="s">
        <v>6087</v>
      </c>
      <c r="C1203" s="1" t="s">
        <v>6088</v>
      </c>
      <c r="D1203" s="1" t="s">
        <v>6089</v>
      </c>
      <c r="E1203" s="1" t="s">
        <v>6089</v>
      </c>
      <c r="F1203" s="1" t="s">
        <v>6090</v>
      </c>
      <c r="G1203" s="1" t="s">
        <v>6091</v>
      </c>
      <c r="H1203" s="1" t="str">
        <f>IFERROR(__xludf.DUMMYFUNCTION("GOOGLETRANSLATE(D1203,""EN"",""JA"")"),"硝子鋳型")</f>
        <v>硝子鋳型</v>
      </c>
      <c r="I1203" s="1" t="str">
        <f>IFERROR(__xludf.DUMMYFUNCTION("GOOGLETRANSLATE(E1203,""EN"",""JA"")"),"硝子鋳型")</f>
        <v>硝子鋳型</v>
      </c>
      <c r="J1203" s="1" t="str">
        <f>IFERROR(__xludf.DUMMYFUNCTION("GOOGLETRANSLATE(F1203,""EN"",""JA"")"),"生物標本中に存在する硝子円柱の測定。")</f>
        <v>生物標本中に存在する硝子円柱の測定。</v>
      </c>
      <c r="K1203" s="1" t="str">
        <f>IFERROR(__xludf.DUMMYFUNCTION("GOOGLETRANSLATE(G1203,""EN"",""JA"")"),"硝子柱測定")</f>
        <v>硝子柱測定</v>
      </c>
    </row>
    <row r="1204" ht="13.5" customHeight="1">
      <c r="A1204" s="1" t="s">
        <v>11</v>
      </c>
      <c r="B1204" s="1" t="s">
        <v>6092</v>
      </c>
      <c r="C1204" s="1" t="s">
        <v>6093</v>
      </c>
      <c r="D1204" s="1" t="s">
        <v>6094</v>
      </c>
      <c r="E1204" s="1" t="s">
        <v>6094</v>
      </c>
      <c r="F1204" s="1" t="s">
        <v>6095</v>
      </c>
      <c r="G1204" s="1" t="s">
        <v>6094</v>
      </c>
      <c r="H1204" s="1" t="str">
        <f>IFERROR(__xludf.DUMMYFUNCTION("GOOGLETRANSLATE(D1204,""EN"",""JA"")"),"硝子顆粒円柱")</f>
        <v>硝子顆粒円柱</v>
      </c>
      <c r="I1204" s="1" t="str">
        <f>IFERROR(__xludf.DUMMYFUNCTION("GOOGLETRANSLATE(E1204,""EN"",""JA"")"),"硝子顆粒円柱")</f>
        <v>硝子顆粒円柱</v>
      </c>
      <c r="J1204" s="1" t="str">
        <f>IFERROR(__xludf.DUMMYFUNCTION("GOOGLETRANSLATE(F1204,""EN"",""JA"")"),"生物標本内の硝子顆粒円柱の測定。")</f>
        <v>生物標本内の硝子顆粒円柱の測定。</v>
      </c>
      <c r="K1204" s="1" t="str">
        <f>IFERROR(__xludf.DUMMYFUNCTION("GOOGLETRANSLATE(G1204,""EN"",""JA"")"),"硝子顆粒円柱")</f>
        <v>硝子顆粒円柱</v>
      </c>
    </row>
    <row r="1205" ht="13.5" customHeight="1">
      <c r="A1205" s="1" t="s">
        <v>11</v>
      </c>
      <c r="B1205" s="1" t="s">
        <v>6096</v>
      </c>
      <c r="C1205" s="1" t="s">
        <v>6097</v>
      </c>
      <c r="D1205" s="1" t="s">
        <v>6098</v>
      </c>
      <c r="E1205" s="1" t="s">
        <v>6098</v>
      </c>
      <c r="F1205" s="1" t="s">
        <v>6099</v>
      </c>
      <c r="G1205" s="1" t="s">
        <v>6100</v>
      </c>
      <c r="H1205" s="1" t="str">
        <f>IFERROR(__xludf.DUMMYFUNCTION("GOOGLETRANSLATE(D1205,""EN"",""JA"")"),"混合キャスト")</f>
        <v>混合キャスト</v>
      </c>
      <c r="I1205" s="1" t="str">
        <f>IFERROR(__xludf.DUMMYFUNCTION("GOOGLETRANSLATE(E1205,""EN"",""JA"")"),"混合キャスト")</f>
        <v>混合キャスト</v>
      </c>
      <c r="J1205" s="1" t="str">
        <f>IFERROR(__xludf.DUMMYFUNCTION("GOOGLETRANSLATE(F1205,""EN"",""JA"")"),"生物標本内に存在する混合円柱（円柱には複数の種類の細胞が混在している）の測定値。")</f>
        <v>生物標本内に存在する混合円柱（円柱には複数の種類の細胞が混在している）の測定値。</v>
      </c>
      <c r="K1205" s="1" t="str">
        <f>IFERROR(__xludf.DUMMYFUNCTION("GOOGLETRANSLATE(G1205,""EN"",""JA"")"),"混合キャスト数")</f>
        <v>混合キャスト数</v>
      </c>
    </row>
    <row r="1206" ht="13.5" customHeight="1">
      <c r="A1206" s="1" t="s">
        <v>11</v>
      </c>
      <c r="B1206" s="1" t="s">
        <v>6101</v>
      </c>
      <c r="C1206" s="1" t="s">
        <v>6102</v>
      </c>
      <c r="D1206" s="1" t="s">
        <v>6103</v>
      </c>
      <c r="E1206" s="1" t="s">
        <v>6104</v>
      </c>
      <c r="F1206" s="1" t="s">
        <v>6105</v>
      </c>
      <c r="G1206" s="1" t="s">
        <v>6106</v>
      </c>
      <c r="H1206" s="1" t="str">
        <f>IFERROR(__xludf.DUMMYFUNCTION("GOOGLETRANSLATE(D1206,""EN"",""JA"")"),"病理学的キャスト")</f>
        <v>病理学的キャスト</v>
      </c>
      <c r="I1206" s="1" t="str">
        <f>IFERROR(__xludf.DUMMYFUNCTION("GOOGLETRANSLATE(E1206,""EN"",""JA"")"),"非硝子円柱; 非硝子円柱; 病理学的円柱")</f>
        <v>非硝子円柱; 非硝子円柱; 病理学的円柱</v>
      </c>
      <c r="J1206" s="1" t="str">
        <f>IFERROR(__xludf.DUMMYFUNCTION("GOOGLETRANSLATE(F1206,""EN"",""JA"")"),"生物標本中に存在する病理学的（非硝子質）円柱の測定。")</f>
        <v>生物標本中に存在する病理学的（非硝子質）円柱の測定。</v>
      </c>
      <c r="K1206" s="1" t="str">
        <f>IFERROR(__xludf.DUMMYFUNCTION("GOOGLETRANSLATE(G1206,""EN"",""JA"")"),"病理学的キャスト測定")</f>
        <v>病理学的キャスト測定</v>
      </c>
    </row>
    <row r="1207" ht="13.5" customHeight="1">
      <c r="A1207" s="1" t="s">
        <v>90</v>
      </c>
      <c r="B1207" s="1" t="s">
        <v>6107</v>
      </c>
      <c r="C1207" s="1" t="s">
        <v>6108</v>
      </c>
      <c r="D1207" s="1" t="s">
        <v>6109</v>
      </c>
      <c r="E1207" s="1" t="s">
        <v>6109</v>
      </c>
      <c r="F1207" s="1" t="s">
        <v>6110</v>
      </c>
      <c r="G1207" s="1" t="s">
        <v>6109</v>
      </c>
      <c r="H1207" s="1" t="str">
        <f>IFERROR(__xludf.DUMMYFUNCTION("GOOGLETRANSLATE(D1207,""EN"",""JA"")"),"カスプ・ドーミング・インジケーター")</f>
        <v>カスプ・ドーミング・インジケーター</v>
      </c>
      <c r="I1207" s="1" t="str">
        <f>IFERROR(__xludf.DUMMYFUNCTION("GOOGLETRANSLATE(E1207,""EN"",""JA"")"),"カスプ・ドーミング・インジケーター")</f>
        <v>カスプ・ドーミング・インジケーター</v>
      </c>
      <c r="J1207" s="1" t="str">
        <f>IFERROR(__xludf.DUMMYFUNCTION("GOOGLETRANSLATE(F1207,""EN"",""JA"")"),"心臓弁尖のドーム状化があるかどうかを示します。")</f>
        <v>心臓弁尖のドーム状化があるかどうかを示します。</v>
      </c>
      <c r="K1207" s="1" t="str">
        <f>IFERROR(__xludf.DUMMYFUNCTION("GOOGLETRANSLATE(G1207,""EN"",""JA"")"),"カスプ・ドーミング・インジケーター")</f>
        <v>カスプ・ドーミング・インジケーター</v>
      </c>
    </row>
    <row r="1208" ht="13.5" customHeight="1">
      <c r="A1208" s="1" t="s">
        <v>90</v>
      </c>
      <c r="B1208" s="1" t="s">
        <v>6111</v>
      </c>
      <c r="C1208" s="1" t="s">
        <v>6112</v>
      </c>
      <c r="D1208" s="1" t="s">
        <v>6113</v>
      </c>
      <c r="E1208" s="1" t="s">
        <v>6113</v>
      </c>
      <c r="F1208" s="1" t="s">
        <v>6114</v>
      </c>
      <c r="G1208" s="1" t="s">
        <v>6113</v>
      </c>
      <c r="H1208" s="1" t="str">
        <f>IFERROR(__xludf.DUMMYFUNCTION("GOOGLETRANSLATE(D1208,""EN"",""JA"")"),"カスプ・ドーミングの重症度")</f>
        <v>カスプ・ドーミングの重症度</v>
      </c>
      <c r="I1208" s="1" t="str">
        <f>IFERROR(__xludf.DUMMYFUNCTION("GOOGLETRANSLATE(E1208,""EN"",""JA"")"),"カスプ・ドーミングの重症度")</f>
        <v>カスプ・ドーミングの重症度</v>
      </c>
      <c r="J1208" s="1" t="str">
        <f>IFERROR(__xludf.DUMMYFUNCTION("GOOGLETRANSLATE(F1208,""EN"",""JA"")"),"心臓弁尖のドーム形成の重症度の評価。")</f>
        <v>心臓弁尖のドーム形成の重症度の評価。</v>
      </c>
      <c r="K1208" s="1" t="str">
        <f>IFERROR(__xludf.DUMMYFUNCTION("GOOGLETRANSLATE(G1208,""EN"",""JA"")"),"カスプ・ドーミングの重症度")</f>
        <v>カスプ・ドーミングの重症度</v>
      </c>
    </row>
    <row r="1209" ht="13.5" customHeight="1">
      <c r="A1209" s="1" t="s">
        <v>90</v>
      </c>
      <c r="B1209" s="1" t="s">
        <v>6115</v>
      </c>
      <c r="C1209" s="1" t="s">
        <v>6116</v>
      </c>
      <c r="D1209" s="1" t="s">
        <v>6117</v>
      </c>
      <c r="E1209" s="1" t="s">
        <v>6117</v>
      </c>
      <c r="F1209" s="1" t="s">
        <v>6118</v>
      </c>
      <c r="G1209" s="1" t="s">
        <v>6117</v>
      </c>
      <c r="H1209" s="1" t="str">
        <f>IFERROR(__xludf.DUMMYFUNCTION("GOOGLETRANSLATE(D1209,""EN"",""JA"")"),"カスプフレイルインジケーター")</f>
        <v>カスプフレイルインジケーター</v>
      </c>
      <c r="I1209" s="1" t="str">
        <f>IFERROR(__xludf.DUMMYFUNCTION("GOOGLETRANSLATE(E1209,""EN"",""JA"")"),"カスプフレイルインジケーター")</f>
        <v>カスプフレイルインジケーター</v>
      </c>
      <c r="J1209" s="1" t="str">
        <f>IFERROR(__xludf.DUMMYFUNCTION("GOOGLETRANSLATE(F1209,""EN"",""JA"")"),"心臓弁尖の動揺があるかどうかを示します。")</f>
        <v>心臓弁尖の動揺があるかどうかを示します。</v>
      </c>
      <c r="K1209" s="1" t="str">
        <f>IFERROR(__xludf.DUMMYFUNCTION("GOOGLETRANSLATE(G1209,""EN"",""JA"")"),"カスプフレイルインジケーター")</f>
        <v>カスプフレイルインジケーター</v>
      </c>
    </row>
    <row r="1210" ht="13.5" customHeight="1">
      <c r="A1210" s="1" t="s">
        <v>90</v>
      </c>
      <c r="B1210" s="1" t="s">
        <v>6119</v>
      </c>
      <c r="C1210" s="1" t="s">
        <v>6120</v>
      </c>
      <c r="D1210" s="1" t="s">
        <v>6121</v>
      </c>
      <c r="E1210" s="1" t="s">
        <v>6121</v>
      </c>
      <c r="F1210" s="1" t="s">
        <v>6122</v>
      </c>
      <c r="G1210" s="1" t="s">
        <v>6121</v>
      </c>
      <c r="H1210" s="1" t="str">
        <f>IFERROR(__xludf.DUMMYFUNCTION("GOOGLETRANSLATE(D1210,""EN"",""JA"")"),"カスプフレイル重症度")</f>
        <v>カスプフレイル重症度</v>
      </c>
      <c r="I1210" s="1" t="str">
        <f>IFERROR(__xludf.DUMMYFUNCTION("GOOGLETRANSLATE(E1210,""EN"",""JA"")"),"カスプフレイル重症度")</f>
        <v>カスプフレイル重症度</v>
      </c>
      <c r="J1210" s="1" t="str">
        <f>IFERROR(__xludf.DUMMYFUNCTION("GOOGLETRANSLATE(F1210,""EN"",""JA"")"),"動揺する心臓弁尖の重症度の評価。")</f>
        <v>動揺する心臓弁尖の重症度の評価。</v>
      </c>
      <c r="K1210" s="1" t="str">
        <f>IFERROR(__xludf.DUMMYFUNCTION("GOOGLETRANSLATE(G1210,""EN"",""JA"")"),"カスプフレイル重症度")</f>
        <v>カスプフレイル重症度</v>
      </c>
    </row>
    <row r="1211" ht="13.5" customHeight="1">
      <c r="A1211" s="1" t="s">
        <v>90</v>
      </c>
      <c r="B1211" s="1" t="s">
        <v>6123</v>
      </c>
      <c r="C1211" s="1" t="s">
        <v>6124</v>
      </c>
      <c r="D1211" s="1" t="s">
        <v>6125</v>
      </c>
      <c r="E1211" s="1" t="s">
        <v>6125</v>
      </c>
      <c r="F1211" s="1" t="s">
        <v>6126</v>
      </c>
      <c r="G1211" s="1" t="s">
        <v>6125</v>
      </c>
      <c r="H1211" s="1" t="str">
        <f>IFERROR(__xludf.DUMMYFUNCTION("GOOGLETRANSLATE(D1211,""EN"",""JA"")"),"カスプフレイルタイミング")</f>
        <v>カスプフレイルタイミング</v>
      </c>
      <c r="I1211" s="1" t="str">
        <f>IFERROR(__xludf.DUMMYFUNCTION("GOOGLETRANSLATE(E1211,""EN"",""JA"")"),"カスプフレイルタイミング")</f>
        <v>カスプフレイルタイミング</v>
      </c>
      <c r="J1211" s="1" t="str">
        <f>IFERROR(__xludf.DUMMYFUNCTION("GOOGLETRANSLATE(F1211,""EN"",""JA"")"),"心拍周期中に 1 つ以上の心臓弁尖の動揺が発生する時点。")</f>
        <v>心拍周期中に 1 つ以上の心臓弁尖の動揺が発生する時点。</v>
      </c>
      <c r="K1211" s="1" t="str">
        <f>IFERROR(__xludf.DUMMYFUNCTION("GOOGLETRANSLATE(G1211,""EN"",""JA"")"),"カスプフレイルタイミング")</f>
        <v>カスプフレイルタイミング</v>
      </c>
    </row>
    <row r="1212" ht="13.5" customHeight="1">
      <c r="A1212" s="1" t="s">
        <v>11</v>
      </c>
      <c r="B1212" s="1" t="s">
        <v>6127</v>
      </c>
      <c r="C1212" s="1" t="s">
        <v>6128</v>
      </c>
      <c r="D1212" s="1" t="s">
        <v>6129</v>
      </c>
      <c r="E1212" s="1" t="s">
        <v>6130</v>
      </c>
      <c r="F1212" s="1" t="s">
        <v>6131</v>
      </c>
      <c r="G1212" s="1" t="s">
        <v>6132</v>
      </c>
      <c r="H1212" s="1" t="str">
        <f>IFERROR(__xludf.DUMMYFUNCTION("GOOGLETRANSLATE(D1212,""EN"",""JA"")"),"色素キャスト")</f>
        <v>色素キャスト</v>
      </c>
      <c r="I1212" s="1" t="str">
        <f>IFERROR(__xludf.DUMMYFUNCTION("GOOGLETRANSLATE(E1212,""EN"",""JA"")"),"色素沈着円柱")</f>
        <v>色素沈着円柱</v>
      </c>
      <c r="J1212" s="1" t="str">
        <f>IFERROR(__xludf.DUMMYFUNCTION("GOOGLETRANSLATE(F1212,""EN"",""JA"")"),"生物標本中に存在する色素鋳型の測定。")</f>
        <v>生物標本中に存在する色素鋳型の測定。</v>
      </c>
      <c r="K1212" s="1" t="str">
        <f>IFERROR(__xludf.DUMMYFUNCTION("GOOGLETRANSLATE(G1212,""EN"",""JA"")"),"顔料キャスト測定")</f>
        <v>顔料キャスト測定</v>
      </c>
    </row>
    <row r="1213" ht="13.5" customHeight="1">
      <c r="A1213" s="1" t="s">
        <v>67</v>
      </c>
      <c r="B1213" s="1" t="s">
        <v>6133</v>
      </c>
      <c r="C1213" s="1" t="s">
        <v>6134</v>
      </c>
      <c r="D1213" s="1" t="s">
        <v>6135</v>
      </c>
      <c r="E1213" s="1" t="s">
        <v>6135</v>
      </c>
      <c r="F1213" s="1" t="s">
        <v>6136</v>
      </c>
      <c r="G1213" s="1" t="s">
        <v>6137</v>
      </c>
      <c r="H1213" s="1" t="str">
        <f>IFERROR(__xludf.DUMMYFUNCTION("GOOGLETRANSLATE(D1213,""EN"",""JA"")"),"クリプトスポリジウム抗原")</f>
        <v>クリプトスポリジウム抗原</v>
      </c>
      <c r="I1213" s="1" t="str">
        <f>IFERROR(__xludf.DUMMYFUNCTION("GOOGLETRANSLATE(E1213,""EN"",""JA"")"),"クリプトスポリジウム抗原")</f>
        <v>クリプトスポリジウム抗原</v>
      </c>
      <c r="J1213" s="1" t="str">
        <f>IFERROR(__xludf.DUMMYFUNCTION("GOOGLETRANSLATE(F1213,""EN"",""JA"")"),"生物標本中のクリプトスポリジウム属の任意の菌の抗原の測定。")</f>
        <v>生物標本中のクリプトスポリジウム属の任意の菌の抗原の測定。</v>
      </c>
      <c r="K1213" s="1" t="str">
        <f>IFERROR(__xludf.DUMMYFUNCTION("GOOGLETRANSLATE(G1213,""EN"",""JA"")"),"クリプトスポリジウム抗原測定")</f>
        <v>クリプトスポリジウム抗原測定</v>
      </c>
    </row>
    <row r="1214" ht="13.5" customHeight="1">
      <c r="A1214" s="1" t="s">
        <v>90</v>
      </c>
      <c r="B1214" s="1" t="s">
        <v>6138</v>
      </c>
      <c r="C1214" s="1" t="s">
        <v>6139</v>
      </c>
      <c r="D1214" s="1" t="s">
        <v>6140</v>
      </c>
      <c r="E1214" s="1" t="s">
        <v>6140</v>
      </c>
      <c r="F1214" s="1" t="s">
        <v>6141</v>
      </c>
      <c r="G1214" s="1" t="s">
        <v>6140</v>
      </c>
      <c r="H1214" s="1" t="str">
        <f>IFERROR(__xludf.DUMMYFUNCTION("GOOGLETRANSLATE(D1214,""EN"",""JA"")"),"尖逸脱インジケーター")</f>
        <v>尖逸脱インジケーター</v>
      </c>
      <c r="I1214" s="1" t="str">
        <f>IFERROR(__xludf.DUMMYFUNCTION("GOOGLETRANSLATE(E1214,""EN"",""JA"")"),"尖逸脱インジケーター")</f>
        <v>尖逸脱インジケーター</v>
      </c>
      <c r="J1214" s="1" t="str">
        <f>IFERROR(__xludf.DUMMYFUNCTION("GOOGLETRANSLATE(F1214,""EN"",""JA"")"),"心臓弁尖の脱出があるかどうかを示します。")</f>
        <v>心臓弁尖の脱出があるかどうかを示します。</v>
      </c>
      <c r="K1214" s="1" t="str">
        <f>IFERROR(__xludf.DUMMYFUNCTION("GOOGLETRANSLATE(G1214,""EN"",""JA"")"),"尖逸脱インジケーター")</f>
        <v>尖逸脱インジケーター</v>
      </c>
    </row>
    <row r="1215" ht="13.5" customHeight="1">
      <c r="A1215" s="1" t="s">
        <v>90</v>
      </c>
      <c r="B1215" s="1" t="s">
        <v>6142</v>
      </c>
      <c r="C1215" s="1" t="s">
        <v>6143</v>
      </c>
      <c r="D1215" s="1" t="s">
        <v>6144</v>
      </c>
      <c r="E1215" s="1" t="s">
        <v>6144</v>
      </c>
      <c r="F1215" s="1" t="s">
        <v>6145</v>
      </c>
      <c r="G1215" s="1" t="s">
        <v>6144</v>
      </c>
      <c r="H1215" s="1" t="str">
        <f>IFERROR(__xludf.DUMMYFUNCTION("GOOGLETRANSLATE(D1215,""EN"",""JA"")"),"尖逸脱の重症度")</f>
        <v>尖逸脱の重症度</v>
      </c>
      <c r="I1215" s="1" t="str">
        <f>IFERROR(__xludf.DUMMYFUNCTION("GOOGLETRANSLATE(E1215,""EN"",""JA"")"),"尖逸脱の重症度")</f>
        <v>尖逸脱の重症度</v>
      </c>
      <c r="J1215" s="1" t="str">
        <f>IFERROR(__xludf.DUMMYFUNCTION("GOOGLETRANSLATE(F1215,""EN"",""JA"")"),"脱出した心臓弁尖の重症度の評価。")</f>
        <v>脱出した心臓弁尖の重症度の評価。</v>
      </c>
      <c r="K1215" s="1" t="str">
        <f>IFERROR(__xludf.DUMMYFUNCTION("GOOGLETRANSLATE(G1215,""EN"",""JA"")"),"尖逸脱の重症度")</f>
        <v>尖逸脱の重症度</v>
      </c>
    </row>
    <row r="1216" ht="13.5" customHeight="1">
      <c r="A1216" s="1" t="s">
        <v>90</v>
      </c>
      <c r="B1216" s="1" t="s">
        <v>6146</v>
      </c>
      <c r="C1216" s="1" t="s">
        <v>6147</v>
      </c>
      <c r="D1216" s="1" t="s">
        <v>6148</v>
      </c>
      <c r="E1216" s="1" t="s">
        <v>6148</v>
      </c>
      <c r="F1216" s="1" t="s">
        <v>6149</v>
      </c>
      <c r="G1216" s="1" t="s">
        <v>6148</v>
      </c>
      <c r="H1216" s="1" t="str">
        <f>IFERROR(__xludf.DUMMYFUNCTION("GOOGLETRANSLATE(D1216,""EN"",""JA"")"),"尖逸脱のタイミング")</f>
        <v>尖逸脱のタイミング</v>
      </c>
      <c r="I1216" s="1" t="str">
        <f>IFERROR(__xludf.DUMMYFUNCTION("GOOGLETRANSLATE(E1216,""EN"",""JA"")"),"尖逸脱のタイミング")</f>
        <v>尖逸脱のタイミング</v>
      </c>
      <c r="J1216" s="1" t="str">
        <f>IFERROR(__xludf.DUMMYFUNCTION("GOOGLETRANSLATE(F1216,""EN"",""JA"")"),"心臓周期中に 1 つ以上の心臓弁尖の脱出が発生する時点。")</f>
        <v>心臓周期中に 1 つ以上の心臓弁尖の脱出が発生する時点。</v>
      </c>
      <c r="K1216" s="1" t="str">
        <f>IFERROR(__xludf.DUMMYFUNCTION("GOOGLETRANSLATE(G1216,""EN"",""JA"")"),"尖逸脱のタイミング")</f>
        <v>尖逸脱のタイミング</v>
      </c>
    </row>
    <row r="1217" ht="13.5" customHeight="1">
      <c r="A1217" s="1" t="s">
        <v>90</v>
      </c>
      <c r="B1217" s="1" t="s">
        <v>6150</v>
      </c>
      <c r="C1217" s="1" t="s">
        <v>6151</v>
      </c>
      <c r="D1217" s="1" t="s">
        <v>6152</v>
      </c>
      <c r="E1217" s="1" t="s">
        <v>6152</v>
      </c>
      <c r="F1217" s="1" t="s">
        <v>6153</v>
      </c>
      <c r="G1217" s="1" t="s">
        <v>6152</v>
      </c>
      <c r="H1217" s="1" t="str">
        <f>IFERROR(__xludf.DUMMYFUNCTION("GOOGLETRANSLATE(D1217,""EN"",""JA"")"),"カスプ制限運動インジケーター")</f>
        <v>カスプ制限運動インジケーター</v>
      </c>
      <c r="I1217" s="1" t="str">
        <f>IFERROR(__xludf.DUMMYFUNCTION("GOOGLETRANSLATE(E1217,""EN"",""JA"")"),"カスプ制限運動インジケーター")</f>
        <v>カスプ制限運動インジケーター</v>
      </c>
      <c r="J1217" s="1" t="str">
        <f>IFERROR(__xludf.DUMMYFUNCTION("GOOGLETRANSLATE(F1217,""EN"",""JA"")"),"心臓弁尖の動きが制限されているかどうかを示します。")</f>
        <v>心臓弁尖の動きが制限されているかどうかを示します。</v>
      </c>
      <c r="K1217" s="1" t="str">
        <f>IFERROR(__xludf.DUMMYFUNCTION("GOOGLETRANSLATE(G1217,""EN"",""JA"")"),"カスプ制限運動インジケーター")</f>
        <v>カスプ制限運動インジケーター</v>
      </c>
    </row>
    <row r="1218" ht="13.5" customHeight="1">
      <c r="A1218" s="1" t="s">
        <v>90</v>
      </c>
      <c r="B1218" s="1" t="s">
        <v>6154</v>
      </c>
      <c r="C1218" s="1" t="s">
        <v>6155</v>
      </c>
      <c r="D1218" s="1" t="s">
        <v>6156</v>
      </c>
      <c r="E1218" s="1" t="s">
        <v>6156</v>
      </c>
      <c r="F1218" s="1" t="s">
        <v>6157</v>
      </c>
      <c r="G1218" s="1" t="s">
        <v>6156</v>
      </c>
      <c r="H1218" s="1" t="str">
        <f>IFERROR(__xludf.DUMMYFUNCTION("GOOGLETRANSLATE(D1218,""EN"",""JA"")"),"咬頭制限運動の重症度")</f>
        <v>咬頭制限運動の重症度</v>
      </c>
      <c r="I1218" s="1" t="str">
        <f>IFERROR(__xludf.DUMMYFUNCTION("GOOGLETRANSLATE(E1218,""EN"",""JA"")"),"咬頭制限運動の重症度")</f>
        <v>咬頭制限運動の重症度</v>
      </c>
      <c r="J1218" s="1" t="str">
        <f>IFERROR(__xludf.DUMMYFUNCTION("GOOGLETRANSLATE(F1218,""EN"",""JA"")"),"心臓弁尖の動きの制限の重症度の評価。")</f>
        <v>心臓弁尖の動きの制限の重症度の評価。</v>
      </c>
      <c r="K1218" s="1" t="str">
        <f>IFERROR(__xludf.DUMMYFUNCTION("GOOGLETRANSLATE(G1218,""EN"",""JA"")"),"咬頭制限運動の重症度")</f>
        <v>咬頭制限運動の重症度</v>
      </c>
    </row>
    <row r="1219" ht="13.5" customHeight="1">
      <c r="A1219" s="1" t="s">
        <v>90</v>
      </c>
      <c r="B1219" s="1" t="s">
        <v>6158</v>
      </c>
      <c r="C1219" s="1" t="s">
        <v>6159</v>
      </c>
      <c r="D1219" s="1" t="s">
        <v>6160</v>
      </c>
      <c r="E1219" s="1" t="s">
        <v>6160</v>
      </c>
      <c r="F1219" s="1" t="s">
        <v>6161</v>
      </c>
      <c r="G1219" s="1" t="s">
        <v>6160</v>
      </c>
      <c r="H1219" s="1" t="str">
        <f>IFERROR(__xludf.DUMMYFUNCTION("GOOGLETRANSLATE(D1219,""EN"",""JA"")"),"カスプテザリングインジケーター")</f>
        <v>カスプテザリングインジケーター</v>
      </c>
      <c r="I1219" s="1" t="str">
        <f>IFERROR(__xludf.DUMMYFUNCTION("GOOGLETRANSLATE(E1219,""EN"",""JA"")"),"カスプテザリングインジケーター")</f>
        <v>カスプテザリングインジケーター</v>
      </c>
      <c r="J1219" s="1" t="str">
        <f>IFERROR(__xludf.DUMMYFUNCTION("GOOGLETRANSLATE(F1219,""EN"",""JA"")"),"心臓弁尖の係留があるかどうかを示します。")</f>
        <v>心臓弁尖の係留があるかどうかを示します。</v>
      </c>
      <c r="K1219" s="1" t="str">
        <f>IFERROR(__xludf.DUMMYFUNCTION("GOOGLETRANSLATE(G1219,""EN"",""JA"")"),"カスプテザリングインジケーター")</f>
        <v>カスプテザリングインジケーター</v>
      </c>
    </row>
    <row r="1220" ht="13.5" customHeight="1">
      <c r="A1220" s="1" t="s">
        <v>90</v>
      </c>
      <c r="B1220" s="1" t="s">
        <v>6162</v>
      </c>
      <c r="C1220" s="1" t="s">
        <v>6163</v>
      </c>
      <c r="D1220" s="1" t="s">
        <v>6164</v>
      </c>
      <c r="E1220" s="1" t="s">
        <v>6164</v>
      </c>
      <c r="F1220" s="1" t="s">
        <v>6165</v>
      </c>
      <c r="G1220" s="1" t="s">
        <v>6164</v>
      </c>
      <c r="H1220" s="1" t="str">
        <f>IFERROR(__xludf.DUMMYFUNCTION("GOOGLETRANSLATE(D1220,""EN"",""JA"")"),"カスプテザリングの重症度")</f>
        <v>カスプテザリングの重症度</v>
      </c>
      <c r="I1220" s="1" t="str">
        <f>IFERROR(__xludf.DUMMYFUNCTION("GOOGLETRANSLATE(E1220,""EN"",""JA"")"),"カスプテザリングの重症度")</f>
        <v>カスプテザリングの重症度</v>
      </c>
      <c r="J1220" s="1" t="str">
        <f>IFERROR(__xludf.DUMMYFUNCTION("GOOGLETRANSLATE(F1220,""EN"",""JA"")"),"心臓弁尖の係留の重症度の評価。")</f>
        <v>心臓弁尖の係留の重症度の評価。</v>
      </c>
      <c r="K1220" s="1" t="str">
        <f>IFERROR(__xludf.DUMMYFUNCTION("GOOGLETRANSLATE(G1220,""EN"",""JA"")"),"カスプテザリングの重症度")</f>
        <v>カスプテザリングの重症度</v>
      </c>
    </row>
    <row r="1221" ht="13.5" customHeight="1">
      <c r="A1221" s="1" t="s">
        <v>90</v>
      </c>
      <c r="B1221" s="1" t="s">
        <v>6166</v>
      </c>
      <c r="C1221" s="1" t="s">
        <v>6167</v>
      </c>
      <c r="D1221" s="1" t="s">
        <v>6168</v>
      </c>
      <c r="E1221" s="1" t="s">
        <v>6168</v>
      </c>
      <c r="F1221" s="1" t="s">
        <v>6169</v>
      </c>
      <c r="G1221" s="1" t="s">
        <v>6168</v>
      </c>
      <c r="H1221" s="1" t="str">
        <f>IFERROR(__xludf.DUMMYFUNCTION("GOOGLETRANSLATE(D1221,""EN"",""JA"")"),"カスプ肥厚指標")</f>
        <v>カスプ肥厚指標</v>
      </c>
      <c r="I1221" s="1" t="str">
        <f>IFERROR(__xludf.DUMMYFUNCTION("GOOGLETRANSLATE(E1221,""EN"",""JA"")"),"カスプ肥厚指標")</f>
        <v>カスプ肥厚指標</v>
      </c>
      <c r="J1221" s="1" t="str">
        <f>IFERROR(__xludf.DUMMYFUNCTION("GOOGLETRANSLATE(F1221,""EN"",""JA"")"),"心臓弁尖の肥厚があるかどうかを示します。")</f>
        <v>心臓弁尖の肥厚があるかどうかを示します。</v>
      </c>
      <c r="K1221" s="1" t="str">
        <f>IFERROR(__xludf.DUMMYFUNCTION("GOOGLETRANSLATE(G1221,""EN"",""JA"")"),"カスプ肥厚指標")</f>
        <v>カスプ肥厚指標</v>
      </c>
    </row>
    <row r="1222" ht="13.5" customHeight="1">
      <c r="A1222" s="1" t="s">
        <v>90</v>
      </c>
      <c r="B1222" s="1" t="s">
        <v>6170</v>
      </c>
      <c r="C1222" s="1" t="s">
        <v>6171</v>
      </c>
      <c r="D1222" s="1" t="s">
        <v>6172</v>
      </c>
      <c r="E1222" s="1" t="s">
        <v>6172</v>
      </c>
      <c r="F1222" s="1" t="s">
        <v>6173</v>
      </c>
      <c r="G1222" s="1" t="s">
        <v>6172</v>
      </c>
      <c r="H1222" s="1" t="str">
        <f>IFERROR(__xludf.DUMMYFUNCTION("GOOGLETRANSLATE(D1222,""EN"",""JA"")"),"尖端肥厚の重症度")</f>
        <v>尖端肥厚の重症度</v>
      </c>
      <c r="I1222" s="1" t="str">
        <f>IFERROR(__xludf.DUMMYFUNCTION("GOOGLETRANSLATE(E1222,""EN"",""JA"")"),"尖端肥厚の重症度")</f>
        <v>尖端肥厚の重症度</v>
      </c>
      <c r="J1222" s="1" t="str">
        <f>IFERROR(__xludf.DUMMYFUNCTION("GOOGLETRANSLATE(F1222,""EN"",""JA"")"),"肥厚した心臓尖の重症度の評価。")</f>
        <v>肥厚した心臓尖の重症度の評価。</v>
      </c>
      <c r="K1222" s="1" t="str">
        <f>IFERROR(__xludf.DUMMYFUNCTION("GOOGLETRANSLATE(G1222,""EN"",""JA"")"),"尖端肥厚の重症度")</f>
        <v>尖端肥厚の重症度</v>
      </c>
    </row>
    <row r="1223" ht="13.5" customHeight="1">
      <c r="A1223" s="1" t="s">
        <v>397</v>
      </c>
      <c r="B1223" s="1" t="s">
        <v>6174</v>
      </c>
      <c r="C1223" s="1" t="s">
        <v>6175</v>
      </c>
      <c r="D1223" s="1" t="s">
        <v>6176</v>
      </c>
      <c r="E1223" s="1" t="s">
        <v>6176</v>
      </c>
      <c r="F1223" s="1" t="s">
        <v>6177</v>
      </c>
      <c r="G1223" s="1" t="s">
        <v>6176</v>
      </c>
      <c r="H1223" s="1" t="str">
        <f>IFERROR(__xludf.DUMMYFUNCTION("GOOGLETRANSLATE(D1223,""EN"",""JA"")"),"臨床試験報告書アーカイブ日")</f>
        <v>臨床試験報告書アーカイブ日</v>
      </c>
      <c r="I1223" s="1" t="str">
        <f>IFERROR(__xludf.DUMMYFUNCTION("GOOGLETRANSLATE(E1223,""EN"",""JA"")"),"臨床試験報告書アーカイブ日")</f>
        <v>臨床試験報告書アーカイブ日</v>
      </c>
      <c r="J1223" s="1" t="str">
        <f>IFERROR(__xludf.DUMMYFUNCTION("GOOGLETRANSLATE(F1223,""EN"",""JA"")"),"臨床試験レポートがアーカイブされた日付。")</f>
        <v>臨床試験レポートがアーカイブされた日付。</v>
      </c>
      <c r="K1223" s="1" t="str">
        <f>IFERROR(__xludf.DUMMYFUNCTION("GOOGLETRANSLATE(G1223,""EN"",""JA"")"),"臨床試験報告書アーカイブ日")</f>
        <v>臨床試験報告書アーカイブ日</v>
      </c>
    </row>
    <row r="1224" ht="13.5" customHeight="1">
      <c r="A1224" s="1" t="s">
        <v>11</v>
      </c>
      <c r="B1224" s="1" t="s">
        <v>6178</v>
      </c>
      <c r="C1224" s="1" t="s">
        <v>6179</v>
      </c>
      <c r="D1224" s="1" t="s">
        <v>6180</v>
      </c>
      <c r="E1224" s="1" t="s">
        <v>6181</v>
      </c>
      <c r="F1224" s="1" t="s">
        <v>6182</v>
      </c>
      <c r="G1224" s="1" t="s">
        <v>6183</v>
      </c>
      <c r="H1224" s="1" t="str">
        <f>IFERROR(__xludf.DUMMYFUNCTION("GOOGLETRANSLATE(D1224,""EN"",""JA"")"),"赤血球キャスト")</f>
        <v>赤血球キャスト</v>
      </c>
      <c r="I1224" s="1" t="str">
        <f>IFERROR(__xludf.DUMMYFUNCTION("GOOGLETRANSLATE(E1224,""EN"",""JA"")"),"赤血球円柱")</f>
        <v>赤血球円柱</v>
      </c>
      <c r="J1224" s="1" t="str">
        <f>IFERROR(__xludf.DUMMYFUNCTION("GOOGLETRANSLATE(F1224,""EN"",""JA"")"),"生物標本中に存在する赤血球円柱の測定。")</f>
        <v>生物標本中に存在する赤血球円柱の測定。</v>
      </c>
      <c r="K1224" s="1" t="str">
        <f>IFERROR(__xludf.DUMMYFUNCTION("GOOGLETRANSLATE(G1224,""EN"",""JA"")"),"赤血球円柱測定")</f>
        <v>赤血球円柱測定</v>
      </c>
    </row>
    <row r="1225" ht="13.5" customHeight="1">
      <c r="A1225" s="1" t="s">
        <v>160</v>
      </c>
      <c r="B1225" s="1" t="s">
        <v>6184</v>
      </c>
      <c r="C1225" s="1" t="s">
        <v>6185</v>
      </c>
      <c r="D1225" s="1" t="s">
        <v>6186</v>
      </c>
      <c r="E1225" s="1" t="s">
        <v>6187</v>
      </c>
      <c r="F1225" s="1" t="s">
        <v>6188</v>
      </c>
      <c r="G1225" s="1" t="s">
        <v>6186</v>
      </c>
      <c r="H1225" s="1" t="str">
        <f>IFERROR(__xludf.DUMMYFUNCTION("GOOGLETRANSLATE(D1225,""EN"",""JA"")"),"帝王切開の件数")</f>
        <v>帝王切開の件数</v>
      </c>
      <c r="I1225" s="1" t="str">
        <f>IFERROR(__xludf.DUMMYFUNCTION("GOOGLETRANSLATE(E1225,""EN"",""JA"")"),"帝王切開の回数")</f>
        <v>帝王切開の回数</v>
      </c>
      <c r="J1225" s="1" t="str">
        <f>IFERROR(__xludf.DUMMYFUNCTION("GOOGLETRANSLATE(F1225,""EN"",""JA"")"),"個人が経験した帝王切開出産回数の合計の測定値。")</f>
        <v>個人が経験した帝王切開出産回数の合計の測定値。</v>
      </c>
      <c r="K1225" s="1" t="str">
        <f>IFERROR(__xludf.DUMMYFUNCTION("GOOGLETRANSLATE(G1225,""EN"",""JA"")"),"帝王切開の件数")</f>
        <v>帝王切開の件数</v>
      </c>
    </row>
    <row r="1226" ht="13.5" customHeight="1">
      <c r="A1226" s="1" t="s">
        <v>67</v>
      </c>
      <c r="B1226" s="1" t="s">
        <v>6189</v>
      </c>
      <c r="C1226" s="1" t="s">
        <v>6190</v>
      </c>
      <c r="D1226" s="1" t="s">
        <v>6191</v>
      </c>
      <c r="E1226" s="1" t="s">
        <v>6191</v>
      </c>
      <c r="F1226" s="1" t="s">
        <v>6192</v>
      </c>
      <c r="G1226" s="1" t="s">
        <v>6193</v>
      </c>
      <c r="H1226" s="1" t="str">
        <f>IFERROR(__xludf.DUMMYFUNCTION("GOOGLETRANSLATE(D1226,""EN"",""JA"")"),"コリネバクテリウム・ストリアタム")</f>
        <v>コリネバクテリウム・ストリアタム</v>
      </c>
      <c r="I1226" s="1" t="str">
        <f>IFERROR(__xludf.DUMMYFUNCTION("GOOGLETRANSLATE(E1226,""EN"",""JA"")"),"コリネバクテリウム・ストリアタム")</f>
        <v>コリネバクテリウム・ストリアタム</v>
      </c>
      <c r="J1226" s="1" t="str">
        <f>IFERROR(__xludf.DUMMYFUNCTION("GOOGLETRANSLATE(F1226,""EN"",""JA"")"),"生物標本中の Corynebacterium striatum の測定。")</f>
        <v>生物標本中の Corynebacterium striatum の測定。</v>
      </c>
      <c r="K1226" s="1" t="str">
        <f>IFERROR(__xludf.DUMMYFUNCTION("GOOGLETRANSLATE(G1226,""EN"",""JA"")"),"コリネバクテリウム・ストリアタム測定")</f>
        <v>コリネバクテリウム・ストリアタム測定</v>
      </c>
    </row>
    <row r="1227" ht="13.5" customHeight="1">
      <c r="A1227" s="1" t="s">
        <v>11</v>
      </c>
      <c r="B1227" s="1" t="s">
        <v>6194</v>
      </c>
      <c r="C1227" s="1" t="s">
        <v>6195</v>
      </c>
      <c r="D1227" s="1" t="s">
        <v>6196</v>
      </c>
      <c r="E1227" s="1" t="s">
        <v>6196</v>
      </c>
      <c r="F1227" s="1" t="s">
        <v>6197</v>
      </c>
      <c r="G1227" s="1" t="s">
        <v>6198</v>
      </c>
      <c r="H1227" s="1" t="str">
        <f>IFERROR(__xludf.DUMMYFUNCTION("GOOGLETRANSLATE(D1227,""EN"",""JA"")"),"未分類のキャスト")</f>
        <v>未分類のキャスト</v>
      </c>
      <c r="I1227" s="1" t="str">
        <f>IFERROR(__xludf.DUMMYFUNCTION("GOOGLETRANSLATE(E1227,""EN"",""JA"")"),"未分類のキャスト")</f>
        <v>未分類のキャスト</v>
      </c>
      <c r="J1227" s="1" t="str">
        <f>IFERROR(__xludf.DUMMYFUNCTION("GOOGLETRANSLATE(F1227,""EN"",""JA"")"),"生物標本中に存在する分類不能な円柱の測定値。")</f>
        <v>生物標本中に存在する分類不能な円柱の測定値。</v>
      </c>
      <c r="K1227" s="1" t="str">
        <f>IFERROR(__xludf.DUMMYFUNCTION("GOOGLETRANSLATE(G1227,""EN"",""JA"")"),"未分類のキャスト測定")</f>
        <v>未分類のキャスト測定</v>
      </c>
    </row>
    <row r="1228" ht="13.5" customHeight="1">
      <c r="A1228" s="1" t="s">
        <v>11</v>
      </c>
      <c r="B1228" s="1" t="s">
        <v>6199</v>
      </c>
      <c r="C1228" s="1" t="s">
        <v>6200</v>
      </c>
      <c r="D1228" s="1" t="s">
        <v>6201</v>
      </c>
      <c r="E1228" s="1" t="s">
        <v>6201</v>
      </c>
      <c r="F1228" s="1" t="s">
        <v>6202</v>
      </c>
      <c r="G1228" s="1" t="s">
        <v>6203</v>
      </c>
      <c r="H1228" s="1" t="str">
        <f>IFERROR(__xludf.DUMMYFUNCTION("GOOGLETRANSLATE(D1228,""EN"",""JA"")"),"蝋様鋳型")</f>
        <v>蝋様鋳型</v>
      </c>
      <c r="I1228" s="1" t="str">
        <f>IFERROR(__xludf.DUMMYFUNCTION("GOOGLETRANSLATE(E1228,""EN"",""JA"")"),"蝋様鋳型")</f>
        <v>蝋様鋳型</v>
      </c>
      <c r="J1228" s="1" t="str">
        <f>IFERROR(__xludf.DUMMYFUNCTION("GOOGLETRANSLATE(F1228,""EN"",""JA"")"),"生物標本中に存在する蝋状鋳型の測定。")</f>
        <v>生物標本中に存在する蝋状鋳型の測定。</v>
      </c>
      <c r="K1228" s="1" t="str">
        <f>IFERROR(__xludf.DUMMYFUNCTION("GOOGLETRANSLATE(G1228,""EN"",""JA"")"),"蝋様細胞鋳型の測定")</f>
        <v>蝋様細胞鋳型の測定</v>
      </c>
    </row>
    <row r="1229" ht="13.5" customHeight="1">
      <c r="A1229" s="1" t="s">
        <v>11</v>
      </c>
      <c r="B1229" s="1" t="s">
        <v>6204</v>
      </c>
      <c r="C1229" s="1" t="s">
        <v>6205</v>
      </c>
      <c r="D1229" s="1" t="s">
        <v>6206</v>
      </c>
      <c r="E1229" s="1" t="s">
        <v>6206</v>
      </c>
      <c r="F1229" s="1" t="s">
        <v>6207</v>
      </c>
      <c r="G1229" s="1" t="s">
        <v>6208</v>
      </c>
      <c r="H1229" s="1" t="str">
        <f>IFERROR(__xludf.DUMMYFUNCTION("GOOGLETRANSLATE(D1229,""EN"",""JA"")"),"WBCキャスト")</f>
        <v>WBCキャスト</v>
      </c>
      <c r="I1229" s="1" t="str">
        <f>IFERROR(__xludf.DUMMYFUNCTION("GOOGLETRANSLATE(E1229,""EN"",""JA"")"),"WBCキャスト")</f>
        <v>WBCキャスト</v>
      </c>
      <c r="J1229" s="1" t="str">
        <f>IFERROR(__xludf.DUMMYFUNCTION("GOOGLETRANSLATE(F1229,""EN"",""JA"")"),"生物標本中に存在する白血球円柱の測定。")</f>
        <v>生物標本中に存在する白血球円柱の測定。</v>
      </c>
      <c r="K1229" s="1" t="str">
        <f>IFERROR(__xludf.DUMMYFUNCTION("GOOGLETRANSLATE(G1229,""EN"",""JA"")"),"白血球円柱測定")</f>
        <v>白血球円柱測定</v>
      </c>
    </row>
    <row r="1230" ht="13.5" customHeight="1">
      <c r="A1230" s="1" t="s">
        <v>397</v>
      </c>
      <c r="B1230" s="1" t="s">
        <v>6209</v>
      </c>
      <c r="C1230" s="1" t="s">
        <v>6210</v>
      </c>
      <c r="D1230" s="1" t="s">
        <v>6211</v>
      </c>
      <c r="E1230" s="1" t="s">
        <v>6211</v>
      </c>
      <c r="F1230" s="1" t="s">
        <v>6212</v>
      </c>
      <c r="G1230" s="1" t="s">
        <v>6213</v>
      </c>
      <c r="H1230" s="1" t="str">
        <f>IFERROR(__xludf.DUMMYFUNCTION("GOOGLETRANSLATE(D1230,""EN"",""JA"")"),"CDISC治療領域ユーザーガイド")</f>
        <v>CDISC治療領域ユーザーガイド</v>
      </c>
      <c r="I1230" s="1" t="str">
        <f>IFERROR(__xludf.DUMMYFUNCTION("GOOGLETRANSLATE(E1230,""EN"",""JA"")"),"CDISC治療領域ユーザーガイド")</f>
        <v>CDISC治療領域ユーザーガイド</v>
      </c>
      <c r="J1230" s="1" t="str">
        <f>IFERROR(__xludf.DUMMYFUNCTION("GOOGLETRANSLATE(F1230,""EN"",""JA"")"),"研究提出に使用されている CDISC 治療領域ユーザー ガイドの名前とバージョン。")</f>
        <v>研究提出に使用されている CDISC 治療領域ユーザー ガイドの名前とバージョン。</v>
      </c>
      <c r="K1230" s="1" t="str">
        <f>IFERROR(__xludf.DUMMYFUNCTION("GOOGLETRANSLATE(G1230,""EN"",""JA"")"),"CDISC治療領域ユーザーガイドの名称とバージョン")</f>
        <v>CDISC治療領域ユーザーガイドの名称とバージョン</v>
      </c>
    </row>
    <row r="1231" ht="13.5" customHeight="1">
      <c r="A1231" s="1" t="s">
        <v>11</v>
      </c>
      <c r="B1231" s="1" t="s">
        <v>6214</v>
      </c>
      <c r="C1231" s="1" t="s">
        <v>6215</v>
      </c>
      <c r="D1231" s="1" t="s">
        <v>6216</v>
      </c>
      <c r="E1231" s="1" t="s">
        <v>6216</v>
      </c>
      <c r="F1231" s="1" t="s">
        <v>6217</v>
      </c>
      <c r="G1231" s="1" t="s">
        <v>6218</v>
      </c>
      <c r="H1231" s="1" t="str">
        <f>IFERROR(__xludf.DUMMYFUNCTION("GOOGLETRANSLATE(D1231,""EN"",""JA"")"),"循環腫瘍細胞")</f>
        <v>循環腫瘍細胞</v>
      </c>
      <c r="I1231" s="1" t="str">
        <f>IFERROR(__xludf.DUMMYFUNCTION("GOOGLETRANSLATE(E1231,""EN"",""JA"")"),"循環腫瘍細胞")</f>
        <v>循環腫瘍細胞</v>
      </c>
      <c r="J1231" s="1" t="str">
        <f>IFERROR(__xludf.DUMMYFUNCTION("GOOGLETRANSLATE(F1231,""EN"",""JA"")"),"生物学的標本内の循環腫瘍細胞の測定。")</f>
        <v>生物学的標本内の循環腫瘍細胞の測定。</v>
      </c>
      <c r="K1231" s="1" t="str">
        <f>IFERROR(__xludf.DUMMYFUNCTION("GOOGLETRANSLATE(G1231,""EN"",""JA"")"),"循環腫瘍細胞数")</f>
        <v>循環腫瘍細胞数</v>
      </c>
    </row>
    <row r="1232" ht="13.5" customHeight="1">
      <c r="A1232" s="1" t="s">
        <v>11</v>
      </c>
      <c r="B1232" s="1" t="s">
        <v>6219</v>
      </c>
      <c r="C1232" s="1" t="s">
        <v>6220</v>
      </c>
      <c r="D1232" s="1" t="s">
        <v>6221</v>
      </c>
      <c r="E1232" s="1" t="s">
        <v>6221</v>
      </c>
      <c r="F1232" s="1" t="s">
        <v>6222</v>
      </c>
      <c r="G1232" s="1" t="s">
        <v>6223</v>
      </c>
      <c r="H1232" s="1" t="str">
        <f>IFERROR(__xludf.DUMMYFUNCTION("GOOGLETRANSLATE(D1232,""EN"",""JA"")"),"循環腫瘍細胞、アポトーシス")</f>
        <v>循環腫瘍細胞、アポトーシス</v>
      </c>
      <c r="I1232" s="1" t="str">
        <f>IFERROR(__xludf.DUMMYFUNCTION("GOOGLETRANSLATE(E1232,""EN"",""JA"")"),"循環腫瘍細胞、アポトーシス")</f>
        <v>循環腫瘍細胞、アポトーシス</v>
      </c>
      <c r="J1232" s="1" t="str">
        <f>IFERROR(__xludf.DUMMYFUNCTION("GOOGLETRANSLATE(F1232,""EN"",""JA"")"),"生物学的標本中のアポトーシスを起こしている循環腫瘍細胞の測定。")</f>
        <v>生物学的標本中のアポトーシスを起こしている循環腫瘍細胞の測定。</v>
      </c>
      <c r="K1232" s="1" t="str">
        <f>IFERROR(__xludf.DUMMYFUNCTION("GOOGLETRANSLATE(G1232,""EN"",""JA"")"),"アポトーシス循環腫瘍細胞数")</f>
        <v>アポトーシス循環腫瘍細胞数</v>
      </c>
    </row>
    <row r="1233" ht="13.5" customHeight="1">
      <c r="A1233" s="1" t="s">
        <v>11</v>
      </c>
      <c r="B1233" s="1" t="s">
        <v>6224</v>
      </c>
      <c r="C1233" s="1" t="s">
        <v>6225</v>
      </c>
      <c r="D1233" s="1" t="s">
        <v>6226</v>
      </c>
      <c r="E1233" s="1" t="s">
        <v>6226</v>
      </c>
      <c r="F1233" s="1" t="s">
        <v>6227</v>
      </c>
      <c r="G1233" s="1" t="s">
        <v>6228</v>
      </c>
      <c r="H1233" s="1" t="str">
        <f>IFERROR(__xludf.DUMMYFUNCTION("GOOGLETRANSLATE(D1233,""EN"",""JA"")"),"カテコールアミン")</f>
        <v>カテコールアミン</v>
      </c>
      <c r="I1233" s="1" t="str">
        <f>IFERROR(__xludf.DUMMYFUNCTION("GOOGLETRANSLATE(E1233,""EN"",""JA"")"),"カテコールアミン")</f>
        <v>カテコールアミン</v>
      </c>
      <c r="J1233" s="1" t="str">
        <f>IFERROR(__xludf.DUMMYFUNCTION("GOOGLETRANSLATE(F1233,""EN"",""JA"")"),"生物標本中の総カテコールアミンの測定。")</f>
        <v>生物標本中の総カテコールアミンの測定。</v>
      </c>
      <c r="K1233" s="1" t="str">
        <f>IFERROR(__xludf.DUMMYFUNCTION("GOOGLETRANSLATE(G1233,""EN"",""JA"")"),"カテコールアミン測定")</f>
        <v>カテコールアミン測定</v>
      </c>
    </row>
    <row r="1234" ht="13.5" customHeight="1">
      <c r="A1234" s="1" t="s">
        <v>201</v>
      </c>
      <c r="B1234" s="1" t="s">
        <v>6229</v>
      </c>
      <c r="C1234" s="1" t="s">
        <v>6230</v>
      </c>
      <c r="D1234" s="1" t="s">
        <v>6231</v>
      </c>
      <c r="E1234" s="1" t="s">
        <v>6232</v>
      </c>
      <c r="F1234" s="1" t="s">
        <v>6233</v>
      </c>
      <c r="G1234" s="1" t="s">
        <v>6234</v>
      </c>
      <c r="H1234" s="1" t="str">
        <f>IFERROR(__xludf.DUMMYFUNCTION("GOOGLETRANSLATE(D1234,""EN"",""JA"")"),"細胞傷害性T細胞による細胞溶解")</f>
        <v>細胞傷害性T細胞による細胞溶解</v>
      </c>
      <c r="I1234" s="1" t="str">
        <f>IFERROR(__xludf.DUMMYFUNCTION("GOOGLETRANSLATE(E1234,""EN"",""JA"")"),"CTL媒介性細胞溶解; 細胞傷害性T細胞媒介性細胞溶解; 細胞傷害性Tリンパ球媒介性細胞溶解")</f>
        <v>CTL媒介性細胞溶解; 細胞傷害性T細胞媒介性細胞溶解; 細胞傷害性Tリンパ球媒介性細胞溶解</v>
      </c>
      <c r="J1234" s="1" t="str">
        <f>IFERROR(__xludf.DUMMYFUNCTION("GOOGLETRANSLATE(F1234,""EN"",""JA"")"),"生物標本中の細胞傷害性 T 細胞によって媒介される標的細胞の溶解の測定。")</f>
        <v>生物標本中の細胞傷害性 T 細胞によって媒介される標的細胞の溶解の測定。</v>
      </c>
      <c r="K1234" s="1" t="str">
        <f>IFERROR(__xludf.DUMMYFUNCTION("GOOGLETRANSLATE(G1234,""EN"",""JA"")"),"細胞傷害性T細胞による細胞溶解の評価")</f>
        <v>細胞傷害性T細胞による細胞溶解の評価</v>
      </c>
    </row>
    <row r="1235" ht="13.5" customHeight="1">
      <c r="A1235" s="1" t="s">
        <v>11</v>
      </c>
      <c r="B1235" s="1" t="s">
        <v>6235</v>
      </c>
      <c r="C1235" s="1" t="s">
        <v>6236</v>
      </c>
      <c r="D1235" s="1" t="s">
        <v>6237</v>
      </c>
      <c r="E1235" s="1" t="s">
        <v>6237</v>
      </c>
      <c r="F1235" s="1" t="s">
        <v>6238</v>
      </c>
      <c r="G1235" s="1" t="s">
        <v>6239</v>
      </c>
      <c r="H1235" s="1" t="str">
        <f>IFERROR(__xludf.DUMMYFUNCTION("GOOGLETRANSLATE(D1235,""EN"",""JA"")"),"循環腫瘍細胞、従来型")</f>
        <v>循環腫瘍細胞、従来型</v>
      </c>
      <c r="I1235" s="1" t="str">
        <f>IFERROR(__xludf.DUMMYFUNCTION("GOOGLETRANSLATE(E1235,""EN"",""JA"")"),"循環腫瘍細胞、従来型")</f>
        <v>循環腫瘍細胞、従来型</v>
      </c>
      <c r="J1235" s="1" t="str">
        <f>IFERROR(__xludf.DUMMYFUNCTION("GOOGLETRANSLATE(F1235,""EN"",""JA"")"),"生物学的標本内の従来の循環腫瘍細胞の測定。")</f>
        <v>生物学的標本内の従来の循環腫瘍細胞の測定。</v>
      </c>
      <c r="K1235" s="1" t="str">
        <f>IFERROR(__xludf.DUMMYFUNCTION("GOOGLETRANSLATE(G1235,""EN"",""JA"")"),"従来の循環腫瘍細胞数")</f>
        <v>従来の循環腫瘍細胞数</v>
      </c>
    </row>
    <row r="1236" ht="13.5" customHeight="1">
      <c r="A1236" s="1" t="s">
        <v>11</v>
      </c>
      <c r="B1236" s="1" t="s">
        <v>6240</v>
      </c>
      <c r="C1236" s="1" t="s">
        <v>6241</v>
      </c>
      <c r="D1236" s="1" t="s">
        <v>6242</v>
      </c>
      <c r="E1236" s="1" t="s">
        <v>6243</v>
      </c>
      <c r="F1236" s="1" t="s">
        <v>6244</v>
      </c>
      <c r="G1236" s="1" t="s">
        <v>6245</v>
      </c>
      <c r="H1236" s="1" t="str">
        <f>IFERROR(__xludf.DUMMYFUNCTION("GOOGLETRANSLATE(D1236,""EN"",""JA"")"),"結合組織成長因子")</f>
        <v>結合組織成長因子</v>
      </c>
      <c r="I1236" s="1" t="str">
        <f>IFERROR(__xludf.DUMMYFUNCTION("GOOGLETRANSLATE(E1236,""EN"",""JA"")"),"細胞コミュニケーションネットワーク因子2; CN2; 結合組織増殖因子; IGFBP8")</f>
        <v>細胞コミュニケーションネットワーク因子2; CN2; 結合組織増殖因子; IGFBP8</v>
      </c>
      <c r="J1236" s="1" t="str">
        <f>IFERROR(__xludf.DUMMYFUNCTION("GOOGLETRANSLATE(F1236,""EN"",""JA"")"),"生物標本中の結合組織成長因子の測定。")</f>
        <v>生物標本中の結合組織成長因子の測定。</v>
      </c>
      <c r="K1236" s="1" t="str">
        <f>IFERROR(__xludf.DUMMYFUNCTION("GOOGLETRANSLATE(G1236,""EN"",""JA"")"),"結合組織成長因子測定")</f>
        <v>結合組織成長因子測定</v>
      </c>
    </row>
    <row r="1237" ht="13.5" customHeight="1">
      <c r="A1237" s="1" t="s">
        <v>11</v>
      </c>
      <c r="B1237" s="1" t="s">
        <v>6246</v>
      </c>
      <c r="C1237" s="1" t="s">
        <v>6247</v>
      </c>
      <c r="D1237" s="1" t="s">
        <v>6248</v>
      </c>
      <c r="E1237" s="1" t="s">
        <v>6248</v>
      </c>
      <c r="F1237" s="1" t="s">
        <v>6249</v>
      </c>
      <c r="G1237" s="1" t="s">
        <v>6250</v>
      </c>
      <c r="H1237" s="1" t="str">
        <f>IFERROR(__xludf.DUMMYFUNCTION("GOOGLETRANSLATE(D1237,""EN"",""JA"")"),"シトルリン/クレアチニン")</f>
        <v>シトルリン/クレアチニン</v>
      </c>
      <c r="I1237" s="1" t="str">
        <f>IFERROR(__xludf.DUMMYFUNCTION("GOOGLETRANSLATE(E1237,""EN"",""JA"")"),"シトルリン/クレアチニン")</f>
        <v>シトルリン/クレアチニン</v>
      </c>
      <c r="J1237" s="1" t="str">
        <f>IFERROR(__xludf.DUMMYFUNCTION("GOOGLETRANSLATE(F1237,""EN"",""JA"")"),"生物標本中のシトルリンとクレアチニンの相対的な測定値（比率またはパーセンテージ）。")</f>
        <v>生物標本中のシトルリンとクレアチニンの相対的な測定値（比率またはパーセンテージ）。</v>
      </c>
      <c r="K1237" s="1" t="str">
        <f>IFERROR(__xludf.DUMMYFUNCTION("GOOGLETRANSLATE(G1237,""EN"",""JA"")"),"シトルリンとクレアチニンの比率測定")</f>
        <v>シトルリンとクレアチニンの比率測定</v>
      </c>
    </row>
    <row r="1238" ht="13.5" customHeight="1">
      <c r="A1238" s="1" t="s">
        <v>11</v>
      </c>
      <c r="B1238" s="1" t="s">
        <v>6251</v>
      </c>
      <c r="C1238" s="1" t="s">
        <v>6252</v>
      </c>
      <c r="D1238" s="1" t="s">
        <v>6253</v>
      </c>
      <c r="E1238" s="1" t="s">
        <v>6253</v>
      </c>
      <c r="F1238" s="1" t="s">
        <v>6254</v>
      </c>
      <c r="G1238" s="1" t="s">
        <v>6255</v>
      </c>
      <c r="H1238" s="1" t="str">
        <f>IFERROR(__xludf.DUMMYFUNCTION("GOOGLETRANSLATE(D1238,""EN"",""JA"")"),"シタロプラム")</f>
        <v>シタロプラム</v>
      </c>
      <c r="I1238" s="1" t="str">
        <f>IFERROR(__xludf.DUMMYFUNCTION("GOOGLETRANSLATE(E1238,""EN"",""JA"")"),"シタロプラム")</f>
        <v>シタロプラム</v>
      </c>
      <c r="J1238" s="1" t="str">
        <f>IFERROR(__xludf.DUMMYFUNCTION("GOOGLETRANSLATE(F1238,""EN"",""JA"")"),"生物標本中に存在するシタロプラムの測定。")</f>
        <v>生物標本中に存在するシタロプラムの測定。</v>
      </c>
      <c r="K1238" s="1" t="str">
        <f>IFERROR(__xludf.DUMMYFUNCTION("GOOGLETRANSLATE(G1238,""EN"",""JA"")"),"シタロプラム測定")</f>
        <v>シタロプラム測定</v>
      </c>
    </row>
    <row r="1239" ht="13.5" customHeight="1">
      <c r="A1239" s="1" t="s">
        <v>11</v>
      </c>
      <c r="B1239" s="1" t="s">
        <v>6256</v>
      </c>
      <c r="C1239" s="1" t="s">
        <v>6257</v>
      </c>
      <c r="D1239" s="1" t="s">
        <v>6258</v>
      </c>
      <c r="E1239" s="1" t="s">
        <v>6259</v>
      </c>
      <c r="F1239" s="1" t="s">
        <v>6260</v>
      </c>
      <c r="G1239" s="1" t="s">
        <v>6261</v>
      </c>
      <c r="H1239" s="1" t="str">
        <f>IFERROR(__xludf.DUMMYFUNCTION("GOOGLETRANSLATE(D1239,""EN"",""JA"")"),"デスメチルシタロプラム")</f>
        <v>デスメチルシタロプラム</v>
      </c>
      <c r="I1239" s="1" t="str">
        <f>IFERROR(__xludf.DUMMYFUNCTION("GOOGLETRANSLATE(E1239,""EN"",""JA"")"),"デスメチルシタロプラム;デスメチルシタロプラム;ノーシタロプラム")</f>
        <v>デスメチルシタロプラム;デスメチルシタロプラム;ノーシタロプラム</v>
      </c>
      <c r="J1239" s="1" t="str">
        <f>IFERROR(__xludf.DUMMYFUNCTION("GOOGLETRANSLATE(F1239,""EN"",""JA"")"),"生物標本中のデスメチルシタロプラムの測定。")</f>
        <v>生物標本中のデスメチルシタロプラムの測定。</v>
      </c>
      <c r="K1239" s="1" t="str">
        <f>IFERROR(__xludf.DUMMYFUNCTION("GOOGLETRANSLATE(G1239,""EN"",""JA"")"),"デスメチルシタロプラム測定")</f>
        <v>デスメチルシタロプラム測定</v>
      </c>
    </row>
    <row r="1240" ht="13.5" customHeight="1">
      <c r="A1240" s="1" t="s">
        <v>11</v>
      </c>
      <c r="B1240" s="1" t="s">
        <v>6262</v>
      </c>
      <c r="C1240" s="1" t="s">
        <v>6263</v>
      </c>
      <c r="D1240" s="1" t="s">
        <v>6264</v>
      </c>
      <c r="E1240" s="1" t="s">
        <v>6264</v>
      </c>
      <c r="F1240" s="1" t="s">
        <v>6265</v>
      </c>
      <c r="G1240" s="1" t="s">
        <v>6266</v>
      </c>
      <c r="H1240" s="1" t="str">
        <f>IFERROR(__xludf.DUMMYFUNCTION("GOOGLETRANSLATE(D1240,""EN"",""JA"")"),"ジデスメチルシタロプラム")</f>
        <v>ジデスメチルシタロプラム</v>
      </c>
      <c r="I1240" s="1" t="str">
        <f>IFERROR(__xludf.DUMMYFUNCTION("GOOGLETRANSLATE(E1240,""EN"",""JA"")"),"ジデスメチルシタロプラム")</f>
        <v>ジデスメチルシタロプラム</v>
      </c>
      <c r="J1240" s="1" t="str">
        <f>IFERROR(__xludf.DUMMYFUNCTION("GOOGLETRANSLATE(F1240,""EN"",""JA"")"),"生物標本中のジデスメチルシタロプラムの測定。")</f>
        <v>生物標本中のジデスメチルシタロプラムの測定。</v>
      </c>
      <c r="K1240" s="1" t="str">
        <f>IFERROR(__xludf.DUMMYFUNCTION("GOOGLETRANSLATE(G1240,""EN"",""JA"")"),"ジデスメチルシタロプラム測定")</f>
        <v>ジデスメチルシタロプラム測定</v>
      </c>
    </row>
    <row r="1241" ht="13.5" customHeight="1">
      <c r="A1241" s="1" t="s">
        <v>176</v>
      </c>
      <c r="B1241" s="1" t="s">
        <v>6267</v>
      </c>
      <c r="C1241" s="1" t="s">
        <v>6268</v>
      </c>
      <c r="D1241" s="1" t="s">
        <v>6269</v>
      </c>
      <c r="E1241" s="1" t="s">
        <v>6269</v>
      </c>
      <c r="F1241" s="1" t="s">
        <v>6270</v>
      </c>
      <c r="G1241" s="1" t="s">
        <v>6271</v>
      </c>
      <c r="H1241" s="1" t="str">
        <f>IFERROR(__xludf.DUMMYFUNCTION("GOOGLETRANSLATE(D1241,""EN"",""JA"")"),"クレアチン + コリン")</f>
        <v>クレアチン + コリン</v>
      </c>
      <c r="I1241" s="1" t="str">
        <f>IFERROR(__xludf.DUMMYFUNCTION("GOOGLETRANSLATE(E1241,""EN"",""JA"")"),"クレアチン + コリン")</f>
        <v>クレアチン + コリン</v>
      </c>
      <c r="J1241" s="1" t="str">
        <f>IFERROR(__xludf.DUMMYFUNCTION("GOOGLETRANSLATE(F1241,""EN"",""JA"")"),"生物標本中のクレアチンとコリンの測定。")</f>
        <v>生物標本中のクレアチンとコリンの測定。</v>
      </c>
      <c r="K1241" s="1" t="str">
        <f>IFERROR(__xludf.DUMMYFUNCTION("GOOGLETRANSLATE(G1241,""EN"",""JA"")"),"クレアチンとコリンの測定")</f>
        <v>クレアチンとコリンの測定</v>
      </c>
    </row>
    <row r="1242" ht="13.5" customHeight="1">
      <c r="A1242" s="1" t="s">
        <v>11</v>
      </c>
      <c r="B1242" s="1" t="s">
        <v>6272</v>
      </c>
      <c r="C1242" s="1" t="s">
        <v>6273</v>
      </c>
      <c r="D1242" s="1" t="s">
        <v>6274</v>
      </c>
      <c r="E1242" s="1" t="s">
        <v>6275</v>
      </c>
      <c r="F1242" s="1" t="s">
        <v>6276</v>
      </c>
      <c r="G1242" s="1" t="s">
        <v>6277</v>
      </c>
      <c r="H1242" s="1" t="str">
        <f>IFERROR(__xludf.DUMMYFUNCTION("GOOGLETRANSLATE(D1242,""EN"",""JA"")"),"コチニングルクロン酸抱合体")</f>
        <v>コチニングルクロン酸抱合体</v>
      </c>
      <c r="I1242" s="1" t="str">
        <f>IFERROR(__xludf.DUMMYFUNCTION("GOOGLETRANSLATE(E1242,""EN"",""JA"")"),"コチニングルクロニド、コチニン N-B-D-グルクロニド、コチニン N-β-D-グルクロニド、コチニングルクロニド、コチニン-N-グルクロニド")</f>
        <v>コチニングルクロニド、コチニン N-B-D-グルクロニド、コチニン N-β-D-グルクロニド、コチニングルクロニド、コチニン-N-グルクロニド</v>
      </c>
      <c r="J1242" s="1" t="str">
        <f>IFERROR(__xludf.DUMMYFUNCTION("GOOGLETRANSLATE(F1242,""EN"",""JA"")"),"検体中のコチニングルクロン酸抱合体の測定。")</f>
        <v>検体中のコチニングルクロン酸抱合体の測定。</v>
      </c>
      <c r="K1242" s="1" t="str">
        <f>IFERROR(__xludf.DUMMYFUNCTION("GOOGLETRANSLATE(G1242,""EN"",""JA"")"),"コチニングルクロン酸抱合体測定")</f>
        <v>コチニングルクロン酸抱合体測定</v>
      </c>
    </row>
    <row r="1243" ht="13.5" customHeight="1">
      <c r="A1243" s="1" t="s">
        <v>176</v>
      </c>
      <c r="B1243" s="1" t="s">
        <v>6278</v>
      </c>
      <c r="C1243" s="1" t="s">
        <v>6279</v>
      </c>
      <c r="D1243" s="1" t="s">
        <v>6280</v>
      </c>
      <c r="E1243" s="1" t="s">
        <v>6280</v>
      </c>
      <c r="F1243" s="1" t="s">
        <v>6281</v>
      </c>
      <c r="G1243" s="1" t="s">
        <v>6282</v>
      </c>
      <c r="H1243" s="1" t="str">
        <f>IFERROR(__xludf.DUMMYFUNCTION("GOOGLETRANSLATE(D1243,""EN"",""JA"")"),"クレアチン+クレアチンリン酸")</f>
        <v>クレアチン+クレアチンリン酸</v>
      </c>
      <c r="I1243" s="1" t="str">
        <f>IFERROR(__xludf.DUMMYFUNCTION("GOOGLETRANSLATE(E1243,""EN"",""JA"")"),"クレアチン+クレアチンリン酸")</f>
        <v>クレアチン+クレアチンリン酸</v>
      </c>
      <c r="J1243" s="1" t="str">
        <f>IFERROR(__xludf.DUMMYFUNCTION("GOOGLETRANSLATE(F1243,""EN"",""JA"")"),"生物標本中のクレアチンとクレアチンリン酸の測定。")</f>
        <v>生物標本中のクレアチンとクレアチンリン酸の測定。</v>
      </c>
      <c r="K1243" s="1" t="str">
        <f>IFERROR(__xludf.DUMMYFUNCTION("GOOGLETRANSLATE(G1243,""EN"",""JA"")"),"クレアチンおよびクレアチンリン酸の測定")</f>
        <v>クレアチンおよびクレアチンリン酸の測定</v>
      </c>
    </row>
    <row r="1244" ht="13.5" customHeight="1">
      <c r="A1244" s="1" t="s">
        <v>11</v>
      </c>
      <c r="B1244" s="1" t="s">
        <v>6283</v>
      </c>
      <c r="C1244" s="1" t="s">
        <v>6284</v>
      </c>
      <c r="D1244" s="1" t="s">
        <v>6285</v>
      </c>
      <c r="E1244" s="1" t="s">
        <v>6286</v>
      </c>
      <c r="F1244" s="1" t="s">
        <v>6287</v>
      </c>
      <c r="G1244" s="1" t="s">
        <v>6288</v>
      </c>
      <c r="H1244" s="1" t="str">
        <f>IFERROR(__xludf.DUMMYFUNCTION("GOOGLETRANSLATE(D1244,""EN"",""JA"")"),"補数合計")</f>
        <v>補数合計</v>
      </c>
      <c r="I1244" s="1" t="str">
        <f>IFERROR(__xludf.DUMMYFUNCTION("GOOGLETRANSLATE(E1244,""EN"",""JA"")"),"補体総量；溶血補体総量")</f>
        <v>補体総量；溶血補体総量</v>
      </c>
      <c r="J1244" s="1" t="str">
        <f>IFERROR(__xludf.DUMMYFUNCTION("GOOGLETRANSLATE(F1244,""EN"",""JA"")"),"生物標本中の補体総量の測定値。")</f>
        <v>生物標本中の補体総量の測定値。</v>
      </c>
      <c r="K1244" s="1" t="str">
        <f>IFERROR(__xludf.DUMMYFUNCTION("GOOGLETRANSLATE(G1244,""EN"",""JA"")"),"補数測定")</f>
        <v>補数測定</v>
      </c>
    </row>
    <row r="1245" ht="13.5" customHeight="1">
      <c r="A1245" s="1" t="s">
        <v>90</v>
      </c>
      <c r="B1245" s="1" t="s">
        <v>6289</v>
      </c>
      <c r="C1245" s="1" t="s">
        <v>6290</v>
      </c>
      <c r="D1245" s="1" t="s">
        <v>6291</v>
      </c>
      <c r="E1245" s="1" t="s">
        <v>6291</v>
      </c>
      <c r="F1245" s="1" t="s">
        <v>6292</v>
      </c>
      <c r="G1245" s="1" t="s">
        <v>6291</v>
      </c>
      <c r="H1245" s="1" t="str">
        <f>IFERROR(__xludf.DUMMYFUNCTION("GOOGLETRANSLATE(D1245,""EN"",""JA"")"),"腱索索の脱出インジケーター")</f>
        <v>腱索索の脱出インジケーター</v>
      </c>
      <c r="I1245" s="1" t="str">
        <f>IFERROR(__xludf.DUMMYFUNCTION("GOOGLETRANSLATE(E1245,""EN"",""JA"")"),"腱索索の脱出インジケーター")</f>
        <v>腱索索の脱出インジケーター</v>
      </c>
      <c r="J1245" s="1" t="str">
        <f>IFERROR(__xludf.DUMMYFUNCTION("GOOGLETRANSLATE(F1245,""EN"",""JA"")"),"心臓弁腱索の脱出があるかどうかを示します。")</f>
        <v>心臓弁腱索の脱出があるかどうかを示します。</v>
      </c>
      <c r="K1245" s="1" t="str">
        <f>IFERROR(__xludf.DUMMYFUNCTION("GOOGLETRANSLATE(G1245,""EN"",""JA"")"),"腱索索の脱出インジケーター")</f>
        <v>腱索索の脱出インジケーター</v>
      </c>
    </row>
    <row r="1246" ht="13.5" customHeight="1">
      <c r="A1246" s="1" t="s">
        <v>67</v>
      </c>
      <c r="B1246" s="1" t="s">
        <v>6293</v>
      </c>
      <c r="C1246" s="1" t="s">
        <v>6294</v>
      </c>
      <c r="D1246" s="1" t="s">
        <v>6295</v>
      </c>
      <c r="E1246" s="1" t="s">
        <v>6295</v>
      </c>
      <c r="F1246" s="1" t="s">
        <v>6296</v>
      </c>
      <c r="G1246" s="1" t="s">
        <v>6297</v>
      </c>
      <c r="H1246" s="1" t="str">
        <f>IFERROR(__xludf.DUMMYFUNCTION("GOOGLETRANSLATE(D1246,""EN"",""JA"")"),"クラミジア・トラコマティス")</f>
        <v>クラミジア・トラコマティス</v>
      </c>
      <c r="I1246" s="1" t="str">
        <f>IFERROR(__xludf.DUMMYFUNCTION("GOOGLETRANSLATE(E1246,""EN"",""JA"")"),"クラミジア・トラコマティス")</f>
        <v>クラミジア・トラコマティス</v>
      </c>
      <c r="J1246" s="1" t="str">
        <f>IFERROR(__xludf.DUMMYFUNCTION("GOOGLETRANSLATE(F1246,""EN"",""JA"")"),"生物標本中のクラミジア・トラコマティスの測定。")</f>
        <v>生物標本中のクラミジア・トラコマティスの測定。</v>
      </c>
      <c r="K1246" s="1" t="str">
        <f>IFERROR(__xludf.DUMMYFUNCTION("GOOGLETRANSLATE(G1246,""EN"",""JA"")"),"クラミジア・トラコマティス測定")</f>
        <v>クラミジア・トラコマティス測定</v>
      </c>
    </row>
    <row r="1247" ht="13.5" customHeight="1">
      <c r="A1247" s="1" t="s">
        <v>67</v>
      </c>
      <c r="B1247" s="1" t="s">
        <v>6298</v>
      </c>
      <c r="C1247" s="1" t="s">
        <v>6299</v>
      </c>
      <c r="D1247" s="1" t="s">
        <v>6300</v>
      </c>
      <c r="E1247" s="1" t="s">
        <v>6300</v>
      </c>
      <c r="F1247" s="1" t="s">
        <v>6301</v>
      </c>
      <c r="G1247" s="1" t="s">
        <v>6302</v>
      </c>
      <c r="H1247" s="1" t="str">
        <f>IFERROR(__xludf.DUMMYFUNCTION("GOOGLETRANSLATE(D1247,""EN"",""JA"")"),"クラミジア・トラコマティス抗原")</f>
        <v>クラミジア・トラコマティス抗原</v>
      </c>
      <c r="I1247" s="1" t="str">
        <f>IFERROR(__xludf.DUMMYFUNCTION("GOOGLETRANSLATE(E1247,""EN"",""JA"")"),"クラミジア・トラコマティス抗原")</f>
        <v>クラミジア・トラコマティス抗原</v>
      </c>
      <c r="J1247" s="1" t="str">
        <f>IFERROR(__xludf.DUMMYFUNCTION("GOOGLETRANSLATE(F1247,""EN"",""JA"")"),"生物標本中のクラミジア・トラコマティス抗原の測定。")</f>
        <v>生物標本中のクラミジア・トラコマティス抗原の測定。</v>
      </c>
      <c r="K1247" s="1" t="str">
        <f>IFERROR(__xludf.DUMMYFUNCTION("GOOGLETRANSLATE(G1247,""EN"",""JA"")"),"クラミジア・トラコマティス抗原測定")</f>
        <v>クラミジア・トラコマティス抗原測定</v>
      </c>
    </row>
    <row r="1248" ht="13.5" customHeight="1">
      <c r="A1248" s="1" t="s">
        <v>67</v>
      </c>
      <c r="B1248" s="1" t="s">
        <v>6303</v>
      </c>
      <c r="C1248" s="1" t="s">
        <v>6304</v>
      </c>
      <c r="D1248" s="1" t="s">
        <v>6305</v>
      </c>
      <c r="E1248" s="1" t="s">
        <v>6305</v>
      </c>
      <c r="F1248" s="1" t="s">
        <v>6306</v>
      </c>
      <c r="G1248" s="1" t="s">
        <v>6307</v>
      </c>
      <c r="H1248" s="1" t="str">
        <f>IFERROR(__xludf.DUMMYFUNCTION("GOOGLETRANSLATE(D1248,""EN"",""JA"")"),"クラミジア・トラコマティスDNA")</f>
        <v>クラミジア・トラコマティスDNA</v>
      </c>
      <c r="I1248" s="1" t="str">
        <f>IFERROR(__xludf.DUMMYFUNCTION("GOOGLETRANSLATE(E1248,""EN"",""JA"")"),"クラミジア・トラコマティスDNA")</f>
        <v>クラミジア・トラコマティスDNA</v>
      </c>
      <c r="J1248" s="1" t="str">
        <f>IFERROR(__xludf.DUMMYFUNCTION("GOOGLETRANSLATE(F1248,""EN"",""JA"")"),"生物標本中のクラミジア・トラコマティス DNA の測定。")</f>
        <v>生物標本中のクラミジア・トラコマティス DNA の測定。</v>
      </c>
      <c r="K1248" s="1" t="str">
        <f>IFERROR(__xludf.DUMMYFUNCTION("GOOGLETRANSLATE(G1248,""EN"",""JA"")"),"クラミジア・トラコマティスDNA測定")</f>
        <v>クラミジア・トラコマティスDNA測定</v>
      </c>
    </row>
    <row r="1249" ht="13.5" customHeight="1">
      <c r="A1249" s="1" t="s">
        <v>67</v>
      </c>
      <c r="B1249" s="1" t="s">
        <v>6308</v>
      </c>
      <c r="C1249" s="1" t="s">
        <v>6309</v>
      </c>
      <c r="D1249" s="1" t="s">
        <v>6310</v>
      </c>
      <c r="E1249" s="1" t="s">
        <v>6310</v>
      </c>
      <c r="F1249" s="1" t="s">
        <v>6311</v>
      </c>
      <c r="G1249" s="1" t="s">
        <v>6312</v>
      </c>
      <c r="H1249" s="1" t="str">
        <f>IFERROR(__xludf.DUMMYFUNCTION("GOOGLETRANSLATE(D1249,""EN"",""JA"")"),"カンジダ・トロピカリス")</f>
        <v>カンジダ・トロピカリス</v>
      </c>
      <c r="I1249" s="1" t="str">
        <f>IFERROR(__xludf.DUMMYFUNCTION("GOOGLETRANSLATE(E1249,""EN"",""JA"")"),"カンジダ・トロピカリス")</f>
        <v>カンジダ・トロピカリス</v>
      </c>
      <c r="J1249" s="1" t="str">
        <f>IFERROR(__xludf.DUMMYFUNCTION("GOOGLETRANSLATE(F1249,""EN"",""JA"")"),"生物標本中のカンジダ・トロピカリスの測定。")</f>
        <v>生物標本中のカンジダ・トロピカリスの測定。</v>
      </c>
      <c r="K1249" s="1" t="str">
        <f>IFERROR(__xludf.DUMMYFUNCTION("GOOGLETRANSLATE(G1249,""EN"",""JA"")"),"カンジダ・トロピカリスの測定")</f>
        <v>カンジダ・トロピカリスの測定</v>
      </c>
    </row>
    <row r="1250" ht="13.5" customHeight="1">
      <c r="A1250" s="1" t="s">
        <v>870</v>
      </c>
      <c r="B1250" s="1" t="s">
        <v>6313</v>
      </c>
      <c r="C1250" s="1" t="s">
        <v>6314</v>
      </c>
      <c r="D1250" s="1" t="s">
        <v>6315</v>
      </c>
      <c r="E1250" s="1" t="s">
        <v>6316</v>
      </c>
      <c r="F1250" s="1" t="s">
        <v>6317</v>
      </c>
      <c r="G1250" s="1" t="s">
        <v>6318</v>
      </c>
      <c r="H1250" s="1" t="str">
        <f>IFERROR(__xludf.DUMMYFUNCTION("GOOGLETRANSLATE(D1250,""EN"",""JA"")"),"コンクトラフ")</f>
        <v>コンクトラフ</v>
      </c>
      <c r="I1250" s="1" t="str">
        <f>IFERROR(__xludf.DUMMYFUNCTION("GOOGLETRANSLATE(E1250,""EN"",""JA"")"),"濃度トラフ; 濃度トラフ; Cトラフ; トラフレベル")</f>
        <v>濃度トラフ; 濃度トラフ; Cトラフ; トラフレベル</v>
      </c>
      <c r="J1250" s="1" t="str">
        <f>IFERROR(__xludf.DUMMYFUNCTION("GOOGLETRANSLATE(F1250,""EN"",""JA"")"),"投与間隔の終了時、次の投与が行われる直前の濃度。")</f>
        <v>投与間隔の終了時、次の投与が行われる直前の濃度。</v>
      </c>
      <c r="K1250" s="1" t="str">
        <f>IFERROR(__xludf.DUMMYFUNCTION("GOOGLETRANSLATE(G1250,""EN"",""JA"")"),"トラフ濃度")</f>
        <v>トラフ濃度</v>
      </c>
    </row>
    <row r="1251" ht="13.5" customHeight="1">
      <c r="A1251" s="1" t="s">
        <v>870</v>
      </c>
      <c r="B1251" s="1" t="s">
        <v>6319</v>
      </c>
      <c r="C1251" s="1" t="s">
        <v>6320</v>
      </c>
      <c r="D1251" s="1" t="s">
        <v>6321</v>
      </c>
      <c r="E1251" s="1" t="s">
        <v>6321</v>
      </c>
      <c r="F1251" s="1" t="s">
        <v>6322</v>
      </c>
      <c r="G1251" s="1" t="s">
        <v>6323</v>
      </c>
      <c r="H1251" s="1" t="str">
        <f>IFERROR(__xludf.DUMMYFUNCTION("GOOGLETRANSLATE(D1251,""EN"",""JA"")"),"BMIによるコンクトラフ")</f>
        <v>BMIによるコンクトラフ</v>
      </c>
      <c r="I1251" s="1" t="str">
        <f>IFERROR(__xludf.DUMMYFUNCTION("GOOGLETRANSLATE(E1251,""EN"",""JA"")"),"BMIによるコンクトラフ")</f>
        <v>BMIによるコンクトラフ</v>
      </c>
      <c r="J1251" s="1" t="str">
        <f>IFERROR(__xludf.DUMMYFUNCTION("GOOGLETRANSLATE(F1251,""EN"",""JA"")"),"トラフ濃度をBMIで割ったもの。")</f>
        <v>トラフ濃度をBMIで割ったもの。</v>
      </c>
      <c r="K1251" s="1" t="str">
        <f>IFERROR(__xludf.DUMMYFUNCTION("GOOGLETRANSLATE(G1251,""EN"",""JA"")"),"トラフ濃度をBMIで割った値")</f>
        <v>トラフ濃度をBMIで割った値</v>
      </c>
    </row>
    <row r="1252" ht="13.5" customHeight="1">
      <c r="A1252" s="1" t="s">
        <v>870</v>
      </c>
      <c r="B1252" s="1" t="s">
        <v>6324</v>
      </c>
      <c r="C1252" s="1" t="s">
        <v>6325</v>
      </c>
      <c r="D1252" s="1" t="s">
        <v>6326</v>
      </c>
      <c r="E1252" s="1" t="s">
        <v>6326</v>
      </c>
      <c r="F1252" s="1" t="s">
        <v>6327</v>
      </c>
      <c r="G1252" s="1" t="s">
        <v>6328</v>
      </c>
      <c r="H1252" s="1" t="str">
        <f>IFERROR(__xludf.DUMMYFUNCTION("GOOGLETRANSLATE(D1252,""EN"",""JA"")"),"投与量別濃度トラフ")</f>
        <v>投与量別濃度トラフ</v>
      </c>
      <c r="I1252" s="1" t="str">
        <f>IFERROR(__xludf.DUMMYFUNCTION("GOOGLETRANSLATE(E1252,""EN"",""JA"")"),"投与量別濃度トラフ")</f>
        <v>投与量別濃度トラフ</v>
      </c>
      <c r="J1252" s="1" t="str">
        <f>IFERROR(__xludf.DUMMYFUNCTION("GOOGLETRANSLATE(F1252,""EN"",""JA"")"),"トラフ濃度を投与量で割ったもの。")</f>
        <v>トラフ濃度を投与量で割ったもの。</v>
      </c>
      <c r="K1252" s="1" t="str">
        <f>IFERROR(__xludf.DUMMYFUNCTION("GOOGLETRANSLATE(G1252,""EN"",""JA"")"),"トラフ濃度を投与量で割った値")</f>
        <v>トラフ濃度を投与量で割った値</v>
      </c>
    </row>
    <row r="1253" ht="13.5" customHeight="1">
      <c r="A1253" s="1" t="s">
        <v>870</v>
      </c>
      <c r="B1253" s="1" t="s">
        <v>6329</v>
      </c>
      <c r="C1253" s="1" t="s">
        <v>6330</v>
      </c>
      <c r="D1253" s="1" t="s">
        <v>6331</v>
      </c>
      <c r="E1253" s="1" t="s">
        <v>6331</v>
      </c>
      <c r="F1253" s="1" t="s">
        <v>6332</v>
      </c>
      <c r="G1253" s="1" t="s">
        <v>6333</v>
      </c>
      <c r="H1253" s="1" t="str">
        <f>IFERROR(__xludf.DUMMYFUNCTION("GOOGLETRANSLATE(D1253,""EN"",""JA"")"),"SAによるコンクトラフ")</f>
        <v>SAによるコンクトラフ</v>
      </c>
      <c r="I1253" s="1" t="str">
        <f>IFERROR(__xludf.DUMMYFUNCTION("GOOGLETRANSLATE(E1253,""EN"",""JA"")"),"SAによるコンクトラフ")</f>
        <v>SAによるコンクトラフ</v>
      </c>
      <c r="J1253" s="1" t="str">
        <f>IFERROR(__xludf.DUMMYFUNCTION("GOOGLETRANSLATE(F1253,""EN"",""JA"")"),"谷間濃度を表面積で割ったもの。")</f>
        <v>谷間濃度を表面積で割ったもの。</v>
      </c>
      <c r="K1253" s="1" t="str">
        <f>IFERROR(__xludf.DUMMYFUNCTION("GOOGLETRANSLATE(G1253,""EN"",""JA"")"),"谷間濃度を表面積で割った値")</f>
        <v>谷間濃度を表面積で割った値</v>
      </c>
    </row>
    <row r="1254" ht="13.5" customHeight="1">
      <c r="A1254" s="1" t="s">
        <v>870</v>
      </c>
      <c r="B1254" s="1" t="s">
        <v>6334</v>
      </c>
      <c r="C1254" s="1" t="s">
        <v>6335</v>
      </c>
      <c r="D1254" s="1" t="s">
        <v>6336</v>
      </c>
      <c r="E1254" s="1" t="s">
        <v>6336</v>
      </c>
      <c r="F1254" s="1" t="s">
        <v>6337</v>
      </c>
      <c r="G1254" s="1" t="s">
        <v>6338</v>
      </c>
      <c r="H1254" s="1" t="str">
        <f>IFERROR(__xludf.DUMMYFUNCTION("GOOGLETRANSLATE(D1254,""EN"",""JA"")"),"WTによるコンクトラフ")</f>
        <v>WTによるコンクトラフ</v>
      </c>
      <c r="I1254" s="1" t="str">
        <f>IFERROR(__xludf.DUMMYFUNCTION("GOOGLETRANSLATE(E1254,""EN"",""JA"")"),"WTによるコンクトラフ")</f>
        <v>WTによるコンクトラフ</v>
      </c>
      <c r="J1254" s="1" t="str">
        <f>IFERROR(__xludf.DUMMYFUNCTION("GOOGLETRANSLATE(F1254,""EN"",""JA"")"),"トラフ濃度を重量で割ったもの。")</f>
        <v>トラフ濃度を重量で割ったもの。</v>
      </c>
      <c r="K1254" s="1" t="str">
        <f>IFERROR(__xludf.DUMMYFUNCTION("GOOGLETRANSLATE(G1254,""EN"",""JA"")"),"トラフ濃度を重量で割った値")</f>
        <v>トラフ濃度を重量で割った値</v>
      </c>
    </row>
    <row r="1255" ht="13.5" customHeight="1">
      <c r="A1255" s="1" t="s">
        <v>67</v>
      </c>
      <c r="B1255" s="1" t="s">
        <v>6339</v>
      </c>
      <c r="C1255" s="1" t="s">
        <v>6340</v>
      </c>
      <c r="D1255" s="1" t="s">
        <v>6341</v>
      </c>
      <c r="E1255" s="1" t="s">
        <v>6341</v>
      </c>
      <c r="F1255" s="1" t="s">
        <v>6342</v>
      </c>
      <c r="G1255" s="1" t="s">
        <v>6343</v>
      </c>
      <c r="H1255" s="1" t="str">
        <f>IFERROR(__xludf.DUMMYFUNCTION("GOOGLETRANSLATE(D1255,""EN"",""JA"")"),"クラミジア・トラコマティスRNA")</f>
        <v>クラミジア・トラコマティスRNA</v>
      </c>
      <c r="I1255" s="1" t="str">
        <f>IFERROR(__xludf.DUMMYFUNCTION("GOOGLETRANSLATE(E1255,""EN"",""JA"")"),"クラミジア・トラコマティスRNA")</f>
        <v>クラミジア・トラコマティスRNA</v>
      </c>
      <c r="J1255" s="1" t="str">
        <f>IFERROR(__xludf.DUMMYFUNCTION("GOOGLETRANSLATE(F1255,""EN"",""JA"")"),"生物標本中のクラミジア・トラコマティス RNA の測定。")</f>
        <v>生物標本中のクラミジア・トラコマティス RNA の測定。</v>
      </c>
      <c r="K1255" s="1" t="str">
        <f>IFERROR(__xludf.DUMMYFUNCTION("GOOGLETRANSLATE(G1255,""EN"",""JA"")"),"クラミジア・トラコマティスRNA測定")</f>
        <v>クラミジア・トラコマティスRNA測定</v>
      </c>
    </row>
    <row r="1256" ht="13.5" customHeight="1">
      <c r="A1256" s="1" t="s">
        <v>601</v>
      </c>
      <c r="B1256" s="1" t="s">
        <v>6344</v>
      </c>
      <c r="C1256" s="1" t="s">
        <v>6345</v>
      </c>
      <c r="D1256" s="1" t="s">
        <v>6346</v>
      </c>
      <c r="E1256" s="1" t="s">
        <v>6346</v>
      </c>
      <c r="F1256" s="1" t="s">
        <v>6347</v>
      </c>
      <c r="G1256" s="1" t="s">
        <v>6348</v>
      </c>
      <c r="H1256" s="1" t="str">
        <f>IFERROR(__xludf.DUMMYFUNCTION("GOOGLETRANSLATE(D1256,""EN"",""JA"")"),"Ptntl Cntry Disease Expからの入国日")</f>
        <v>Ptntl Cntry Disease Expからの入国日</v>
      </c>
      <c r="I1256" s="1" t="str">
        <f>IFERROR(__xludf.DUMMYFUNCTION("GOOGLETRANSLATE(E1256,""EN"",""JA"")"),"Ptntl Cntry Disease Expからの入国日")</f>
        <v>Ptntl Cntry Disease Expからの入国日</v>
      </c>
      <c r="J1256" s="1" t="str">
        <f>IFERROR(__xludf.DUMMYFUNCTION("GOOGLETRANSLATE(F1256,""EN"",""JA"")"),"対象者が潜在的な疾病曝露国から報告国に到着した日付。")</f>
        <v>対象者が潜在的な疾病曝露国から報告国に到着した日付。</v>
      </c>
      <c r="K1256" s="1" t="str">
        <f>IFERROR(__xludf.DUMMYFUNCTION("GOOGLETRANSLATE(G1256,""EN"",""JA"")"),"疾病曝露の可能性がある国からの入国日")</f>
        <v>疾病曝露の可能性がある国からの入国日</v>
      </c>
    </row>
    <row r="1257" ht="13.5" customHeight="1">
      <c r="A1257" s="1" t="s">
        <v>601</v>
      </c>
      <c r="B1257" s="1" t="s">
        <v>6349</v>
      </c>
      <c r="C1257" s="1" t="s">
        <v>6350</v>
      </c>
      <c r="D1257" s="1" t="s">
        <v>6351</v>
      </c>
      <c r="E1257" s="1" t="s">
        <v>6351</v>
      </c>
      <c r="F1257" s="1" t="s">
        <v>6352</v>
      </c>
      <c r="G1257" s="1" t="s">
        <v>6351</v>
      </c>
      <c r="H1257" s="1" t="str">
        <f>IFERROR(__xludf.DUMMYFUNCTION("GOOGLETRANSLATE(D1257,""EN"",""JA"")"),"疾病への潜在的曝露国")</f>
        <v>疾病への潜在的曝露国</v>
      </c>
      <c r="I1257" s="1" t="str">
        <f>IFERROR(__xludf.DUMMYFUNCTION("GOOGLETRANSLATE(E1257,""EN"",""JA"")"),"疾病への潜在的曝露国")</f>
        <v>疾病への潜在的曝露国</v>
      </c>
      <c r="J1257" s="1" t="str">
        <f>IFERROR(__xludf.DUMMYFUNCTION("GOOGLETRANSLATE(F1257,""EN"",""JA"")"),"個人が現在居住している国に関係なく、個人が病気に感染した国に基づいた分類システム。")</f>
        <v>個人が現在居住している国に関係なく、個人が病気に感染した国に基づいた分類システム。</v>
      </c>
      <c r="K1257" s="1" t="str">
        <f>IFERROR(__xludf.DUMMYFUNCTION("GOOGLETRANSLATE(G1257,""EN"",""JA"")"),"疾病への潜在的曝露国")</f>
        <v>疾病への潜在的曝露国</v>
      </c>
    </row>
    <row r="1258" ht="13.5" customHeight="1">
      <c r="A1258" s="1" t="s">
        <v>601</v>
      </c>
      <c r="B1258" s="1" t="s">
        <v>6353</v>
      </c>
      <c r="C1258" s="1" t="s">
        <v>6354</v>
      </c>
      <c r="D1258" s="1" t="s">
        <v>6355</v>
      </c>
      <c r="E1258" s="1" t="s">
        <v>6355</v>
      </c>
      <c r="F1258" s="1" t="s">
        <v>6356</v>
      </c>
      <c r="G1258" s="1" t="s">
        <v>6355</v>
      </c>
      <c r="H1258" s="1" t="str">
        <f>IFERROR(__xludf.DUMMYFUNCTION("GOOGLETRANSLATE(D1258,""EN"",""JA"")"),"永住住所国")</f>
        <v>永住住所国</v>
      </c>
      <c r="I1258" s="1" t="str">
        <f>IFERROR(__xludf.DUMMYFUNCTION("GOOGLETRANSLATE(E1258,""EN"",""JA"")"),"永住住所国")</f>
        <v>永住住所国</v>
      </c>
      <c r="J1258" s="1" t="str">
        <f>IFERROR(__xludf.DUMMYFUNCTION("GOOGLETRANSLATE(F1258,""EN"",""JA"")"),"個人の永住地として特定された国。")</f>
        <v>個人の永住地として特定された国。</v>
      </c>
      <c r="K1258" s="1" t="str">
        <f>IFERROR(__xludf.DUMMYFUNCTION("GOOGLETRANSLATE(G1258,""EN"",""JA"")"),"永住住所国")</f>
        <v>永住住所国</v>
      </c>
    </row>
    <row r="1259" ht="13.5" customHeight="1">
      <c r="A1259" s="1" t="s">
        <v>11</v>
      </c>
      <c r="B1259" s="1" t="s">
        <v>6357</v>
      </c>
      <c r="C1259" s="1" t="s">
        <v>6358</v>
      </c>
      <c r="D1259" s="1" t="s">
        <v>6359</v>
      </c>
      <c r="E1259" s="1" t="s">
        <v>6359</v>
      </c>
      <c r="F1259" s="1" t="s">
        <v>6360</v>
      </c>
      <c r="G1259" s="1" t="s">
        <v>6361</v>
      </c>
      <c r="H1259" s="1" t="str">
        <f>IFERROR(__xludf.DUMMYFUNCTION("GOOGLETRANSLATE(D1259,""EN"",""JA"")"),"カテプシンD")</f>
        <v>カテプシンD</v>
      </c>
      <c r="I1259" s="1" t="str">
        <f>IFERROR(__xludf.DUMMYFUNCTION("GOOGLETRANSLATE(E1259,""EN"",""JA"")"),"カテプシンD")</f>
        <v>カテプシンD</v>
      </c>
      <c r="J1259" s="1" t="str">
        <f>IFERROR(__xludf.DUMMYFUNCTION("GOOGLETRANSLATE(F1259,""EN"",""JA"")"),"生物標本中のカテプシン D の測定。")</f>
        <v>生物標本中のカテプシン D の測定。</v>
      </c>
      <c r="K1259" s="1" t="str">
        <f>IFERROR(__xludf.DUMMYFUNCTION("GOOGLETRANSLATE(G1259,""EN"",""JA"")"),"カテプシンD測定")</f>
        <v>カテプシンD測定</v>
      </c>
    </row>
    <row r="1260" ht="13.5" customHeight="1">
      <c r="A1260" s="1" t="s">
        <v>67</v>
      </c>
      <c r="B1260" s="1" t="s">
        <v>6362</v>
      </c>
      <c r="C1260" s="1" t="s">
        <v>6363</v>
      </c>
      <c r="D1260" s="1" t="s">
        <v>6364</v>
      </c>
      <c r="E1260" s="1" t="s">
        <v>6364</v>
      </c>
      <c r="F1260" s="1" t="s">
        <v>6365</v>
      </c>
      <c r="G1260" s="1" t="s">
        <v>6366</v>
      </c>
      <c r="H1260" s="1" t="str">
        <f>IFERROR(__xludf.DUMMYFUNCTION("GOOGLETRANSLATE(D1260,""EN"",""JA"")"),"コリネバクテリウム・ツベルクロステアリカム")</f>
        <v>コリネバクテリウム・ツベルクロステアリカム</v>
      </c>
      <c r="I1260" s="1" t="str">
        <f>IFERROR(__xludf.DUMMYFUNCTION("GOOGLETRANSLATE(E1260,""EN"",""JA"")"),"コリネバクテリウム・ツベルクロステアリカム")</f>
        <v>コリネバクテリウム・ツベルクロステアリカム</v>
      </c>
      <c r="J1260" s="1" t="str">
        <f>IFERROR(__xludf.DUMMYFUNCTION("GOOGLETRANSLATE(F1260,""EN"",""JA"")"),"生物標本中の Corynebacterium tuberculostearicum の測定。")</f>
        <v>生物標本中の Corynebacterium tuberculostearicum の測定。</v>
      </c>
      <c r="K1260" s="1" t="str">
        <f>IFERROR(__xludf.DUMMYFUNCTION("GOOGLETRANSLATE(G1260,""EN"",""JA"")"),"コリネバクテリウム・ツベルクロステアリカム測定")</f>
        <v>コリネバクテリウム・ツベルクロステアリカム測定</v>
      </c>
    </row>
    <row r="1261" ht="13.5" customHeight="1">
      <c r="A1261" s="1" t="s">
        <v>11</v>
      </c>
      <c r="B1261" s="1" t="s">
        <v>6367</v>
      </c>
      <c r="C1261" s="1" t="s">
        <v>6368</v>
      </c>
      <c r="D1261" s="1" t="s">
        <v>6369</v>
      </c>
      <c r="E1261" s="1" t="s">
        <v>6370</v>
      </c>
      <c r="F1261" s="1" t="s">
        <v>6371</v>
      </c>
      <c r="G1261" s="1" t="s">
        <v>6372</v>
      </c>
      <c r="H1261" s="1" t="str">
        <f>IFERROR(__xludf.DUMMYFUNCTION("GOOGLETRANSLATE(D1261,""EN"",""JA"")"),"I型コラーゲンC-テロペプチド")</f>
        <v>I型コラーゲンC-テロペプチド</v>
      </c>
      <c r="I1261" s="1" t="str">
        <f>IFERROR(__xludf.DUMMYFUNCTION("GOOGLETRANSLATE(E1261,""EN"",""JA"")"),"I型コラーゲンのC末端テロペプチド；I型コラーゲンCテロペプチド；I型コラーゲンX連鎖Cテロペプチド")</f>
        <v>I型コラーゲンのC末端テロペプチド；I型コラーゲンCテロペプチド；I型コラーゲンX連鎖Cテロペプチド</v>
      </c>
      <c r="J1261" s="1" t="str">
        <f>IFERROR(__xludf.DUMMYFUNCTION("GOOGLETRANSLATE(F1261,""EN"",""JA"")"),"生物標本中の I 型コラーゲン架橋 C-テロペプチドの測定。")</f>
        <v>生物標本中の I 型コラーゲン架橋 C-テロペプチドの測定。</v>
      </c>
      <c r="K1261" s="1" t="str">
        <f>IFERROR(__xludf.DUMMYFUNCTION("GOOGLETRANSLATE(G1261,""EN"",""JA"")"),"I型コラーゲンC-テロペプチド測定")</f>
        <v>I型コラーゲンC-テロペプチド測定</v>
      </c>
    </row>
    <row r="1262" ht="13.5" customHeight="1">
      <c r="A1262" s="1" t="s">
        <v>11</v>
      </c>
      <c r="B1262" s="1" t="s">
        <v>6373</v>
      </c>
      <c r="C1262" s="1" t="s">
        <v>6374</v>
      </c>
      <c r="D1262" s="1" t="s">
        <v>6375</v>
      </c>
      <c r="E1262" s="1" t="s">
        <v>6376</v>
      </c>
      <c r="F1262" s="1" t="s">
        <v>6377</v>
      </c>
      <c r="G1262" s="1" t="s">
        <v>6378</v>
      </c>
      <c r="H1262" s="1" t="str">
        <f>IFERROR(__xludf.DUMMYFUNCTION("GOOGLETRANSLATE(D1262,""EN"",""JA"")"),"I型コラーゲンC-テロペプチドベータ")</f>
        <v>I型コラーゲンC-テロペプチドベータ</v>
      </c>
      <c r="I1262" s="1" t="str">
        <f>IFERROR(__xludf.DUMMYFUNCTION("GOOGLETRANSLATE(E1262,""EN"",""JA"")"),"B-CTx; I型コラーゲンのC末端テロペプチドのベータ異性体; Beta-CrossLaps; I型コラーゲンC-テロペプチドベータ")</f>
        <v>B-CTx; I型コラーゲンのC末端テロペプチドのベータ異性体; Beta-CrossLaps; I型コラーゲンC-テロペプチドベータ</v>
      </c>
      <c r="J1262" s="1" t="str">
        <f>IFERROR(__xludf.DUMMYFUNCTION("GOOGLETRANSLATE(F1262,""EN"",""JA"")"),"生物標本中の I 型コラーゲン架橋 C-テロペプチドのベータ異性体の測定。")</f>
        <v>生物標本中の I 型コラーゲン架橋 C-テロペプチドのベータ異性体の測定。</v>
      </c>
      <c r="K1262" s="1" t="str">
        <f>IFERROR(__xludf.DUMMYFUNCTION("GOOGLETRANSLATE(G1262,""EN"",""JA"")"),"I型コラーゲンのC末端テロペプチドのβ異性体の測定")</f>
        <v>I型コラーゲンのC末端テロペプチドのβ異性体の測定</v>
      </c>
    </row>
    <row r="1263" ht="13.5" customHeight="1">
      <c r="A1263" s="1" t="s">
        <v>11</v>
      </c>
      <c r="B1263" s="1" t="s">
        <v>6379</v>
      </c>
      <c r="C1263" s="1" t="s">
        <v>6380</v>
      </c>
      <c r="D1263" s="1" t="s">
        <v>6381</v>
      </c>
      <c r="E1263" s="1" t="s">
        <v>6382</v>
      </c>
      <c r="F1263" s="1" t="s">
        <v>6383</v>
      </c>
      <c r="G1263" s="1" t="s">
        <v>6384</v>
      </c>
      <c r="H1263" s="1" t="str">
        <f>IFERROR(__xludf.DUMMYFUNCTION("GOOGLETRANSLATE(D1263,""EN"",""JA"")"),"I型コラーゲンC-テロペプチド/クレアチン")</f>
        <v>I型コラーゲンC-テロペプチド/クレアチン</v>
      </c>
      <c r="I1263" s="1" t="str">
        <f>IFERROR(__xludf.DUMMYFUNCTION("GOOGLETRANSLATE(E1263,""EN"",""JA"")"),"I型コラーゲンC-テロペプチド/クレアチニン; I型コラーゲンX連鎖C-テロペプチド/クレアチニン")</f>
        <v>I型コラーゲンC-テロペプチド/クレアチニン; I型コラーゲンX連鎖C-テロペプチド/クレアチニン</v>
      </c>
      <c r="J1263" s="1" t="str">
        <f>IFERROR(__xludf.DUMMYFUNCTION("GOOGLETRANSLATE(F1263,""EN"",""JA"")"),"生物標本中のクレアチニンに対する、I 型コラーゲン架橋 C-テロペプチドの相対測定値 (比率またはパーセンテージ)。")</f>
        <v>生物標本中のクレアチニンに対する、I 型コラーゲン架橋 C-テロペプチドの相対測定値 (比率またはパーセンテージ)。</v>
      </c>
      <c r="K1263" s="1" t="str">
        <f>IFERROR(__xludf.DUMMYFUNCTION("GOOGLETRANSLATE(G1263,""EN"",""JA"")"),"I型コラーゲンC-テロペプチドとクレアチニンの比測定")</f>
        <v>I型コラーゲンC-テロペプチドとクレアチニンの比測定</v>
      </c>
    </row>
    <row r="1264" ht="13.5" customHeight="1">
      <c r="A1264" s="1" t="s">
        <v>11</v>
      </c>
      <c r="B1264" s="1" t="s">
        <v>6385</v>
      </c>
      <c r="C1264" s="1" t="s">
        <v>6386</v>
      </c>
      <c r="D1264" s="1" t="s">
        <v>6387</v>
      </c>
      <c r="E1264" s="1" t="s">
        <v>6388</v>
      </c>
      <c r="F1264" s="1" t="s">
        <v>6389</v>
      </c>
      <c r="G1264" s="1" t="s">
        <v>6390</v>
      </c>
      <c r="H1264" s="1" t="str">
        <f>IFERROR(__xludf.DUMMYFUNCTION("GOOGLETRANSLATE(D1264,""EN"",""JA"")"),"II型コラーゲンC-テロペプチド")</f>
        <v>II型コラーゲンC-テロペプチド</v>
      </c>
      <c r="I1264" s="1" t="str">
        <f>IFERROR(__xludf.DUMMYFUNCTION("GOOGLETRANSLATE(E1264,""EN"",""JA"")"),"II型コラーゲンC-テロペプチド; II型コラーゲンX連鎖C-テロペプチド")</f>
        <v>II型コラーゲンC-テロペプチド; II型コラーゲンX連鎖C-テロペプチド</v>
      </c>
      <c r="J1264" s="1" t="str">
        <f>IFERROR(__xludf.DUMMYFUNCTION("GOOGLETRANSLATE(F1264,""EN"",""JA"")"),"生物標本中の II 型コラーゲン架橋 C-テロペプチドの測定。")</f>
        <v>生物標本中の II 型コラーゲン架橋 C-テロペプチドの測定。</v>
      </c>
      <c r="K1264" s="1" t="str">
        <f>IFERROR(__xludf.DUMMYFUNCTION("GOOGLETRANSLATE(G1264,""EN"",""JA"")"),"II型コラーゲンC-テロペプチド測定")</f>
        <v>II型コラーゲンC-テロペプチド測定</v>
      </c>
    </row>
    <row r="1265" ht="13.5" customHeight="1">
      <c r="A1265" s="1" t="s">
        <v>11</v>
      </c>
      <c r="B1265" s="1" t="s">
        <v>6391</v>
      </c>
      <c r="C1265" s="1" t="s">
        <v>6392</v>
      </c>
      <c r="D1265" s="1" t="s">
        <v>6393</v>
      </c>
      <c r="E1265" s="1" t="s">
        <v>6394</v>
      </c>
      <c r="F1265" s="1" t="s">
        <v>6395</v>
      </c>
      <c r="G1265" s="1" t="s">
        <v>6396</v>
      </c>
      <c r="H1265" s="1" t="str">
        <f>IFERROR(__xludf.DUMMYFUNCTION("GOOGLETRANSLATE(D1265,""EN"",""JA"")"),"II型コラーゲンC-テロペプチド/クレアチン")</f>
        <v>II型コラーゲンC-テロペプチド/クレアチン</v>
      </c>
      <c r="I1265" s="1" t="str">
        <f>IFERROR(__xludf.DUMMYFUNCTION("GOOGLETRANSLATE(E1265,""EN"",""JA"")"),"II型コラーゲンC-テロペプチド/クレアチニン; II型コラーゲンX連鎖C-テロペプチド/クレアチニン")</f>
        <v>II型コラーゲンC-テロペプチド/クレアチニン; II型コラーゲンX連鎖C-テロペプチド/クレアチニン</v>
      </c>
      <c r="J1265" s="1" t="str">
        <f>IFERROR(__xludf.DUMMYFUNCTION("GOOGLETRANSLATE(F1265,""EN"",""JA"")"),"生物標本中のクレアチニンに対する、II 型コラーゲン架橋 C-テロペプチドの相対測定値 (比率またはパーセンテージ)。")</f>
        <v>生物標本中のクレアチニンに対する、II 型コラーゲン架橋 C-テロペプチドの相対測定値 (比率またはパーセンテージ)。</v>
      </c>
      <c r="K1265" s="1" t="str">
        <f>IFERROR(__xludf.DUMMYFUNCTION("GOOGLETRANSLATE(G1265,""EN"",""JA"")"),"II型コラーゲンC-テロペプチドとクレアチニンの比率測定")</f>
        <v>II型コラーゲンC-テロペプチドとクレアチニンの比率測定</v>
      </c>
    </row>
    <row r="1266" ht="13.5" customHeight="1">
      <c r="A1266" s="1" t="s">
        <v>11</v>
      </c>
      <c r="B1266" s="1" t="s">
        <v>6397</v>
      </c>
      <c r="C1266" s="1" t="s">
        <v>6398</v>
      </c>
      <c r="D1266" s="1" t="s">
        <v>6399</v>
      </c>
      <c r="E1266" s="1" t="s">
        <v>6400</v>
      </c>
      <c r="F1266" s="1" t="s">
        <v>6401</v>
      </c>
      <c r="G1266" s="1" t="s">
        <v>6402</v>
      </c>
      <c r="H1266" s="1" t="str">
        <f>IFERROR(__xludf.DUMMYFUNCTION("GOOGLETRANSLATE(D1266,""EN"",""JA"")"),"III型コラーゲンC-テロペプチド")</f>
        <v>III型コラーゲンC-テロペプチド</v>
      </c>
      <c r="I1266" s="1" t="str">
        <f>IFERROR(__xludf.DUMMYFUNCTION("GOOGLETRANSLATE(E1266,""EN"",""JA"")"),"III型コラーゲンの架橋C-テロペプチド；III型コラーゲンC-テロペプチド；III型コラーゲンX-架橋C-テロペプチド")</f>
        <v>III型コラーゲンの架橋C-テロペプチド；III型コラーゲンC-テロペプチド；III型コラーゲンX-架橋C-テロペプチド</v>
      </c>
      <c r="J1266" s="1" t="str">
        <f>IFERROR(__xludf.DUMMYFUNCTION("GOOGLETRANSLATE(F1266,""EN"",""JA"")"),"生物標本中の III 型コラーゲン架橋 C-テロペプチドの測定。")</f>
        <v>生物標本中の III 型コラーゲン架橋 C-テロペプチドの測定。</v>
      </c>
      <c r="K1266" s="1" t="str">
        <f>IFERROR(__xludf.DUMMYFUNCTION("GOOGLETRANSLATE(G1266,""EN"",""JA"")"),"III型コラーゲン架橋C-テロペプチド測定")</f>
        <v>III型コラーゲン架橋C-テロペプチド測定</v>
      </c>
    </row>
    <row r="1267" ht="13.5" customHeight="1">
      <c r="A1267" s="1" t="s">
        <v>1997</v>
      </c>
      <c r="B1267" s="1" t="s">
        <v>6403</v>
      </c>
      <c r="C1267" s="1" t="s">
        <v>6404</v>
      </c>
      <c r="D1267" s="1" t="s">
        <v>6405</v>
      </c>
      <c r="E1267" s="1" t="s">
        <v>6405</v>
      </c>
      <c r="F1267" s="1" t="s">
        <v>6406</v>
      </c>
      <c r="G1267" s="1" t="s">
        <v>6407</v>
      </c>
      <c r="H1267" s="1" t="str">
        <f>IFERROR(__xludf.DUMMYFUNCTION("GOOGLETRANSLATE(D1267,""EN"",""JA"")"),"カップとディスクの比率")</f>
        <v>カップとディスクの比率</v>
      </c>
      <c r="I1267" s="1" t="str">
        <f>IFERROR(__xludf.DUMMYFUNCTION("GOOGLETRANSLATE(E1267,""EN"",""JA"")"),"カップとディスクの比率")</f>
        <v>カップとディスクの比率</v>
      </c>
      <c r="J1267" s="1" t="str">
        <f>IFERROR(__xludf.DUMMYFUNCTION("GOOGLETRANSLATE(F1267,""EN"",""JA"")"),"視神経カップの直径と視神経乳頭の直径の比率。(NCI)")</f>
        <v>視神経カップの直径と視神経乳頭の直径の比率。(NCI)</v>
      </c>
      <c r="K1267" s="1" t="str">
        <f>IFERROR(__xludf.DUMMYFUNCTION("GOOGLETRANSLATE(G1267,""EN"",""JA"")"),"視神経カップと視神経乳頭の比率")</f>
        <v>視神経カップと視神経乳頭の比率</v>
      </c>
    </row>
    <row r="1268" ht="13.5" customHeight="1">
      <c r="A1268" s="1" t="s">
        <v>67</v>
      </c>
      <c r="B1268" s="1" t="s">
        <v>6408</v>
      </c>
      <c r="C1268" s="1" t="s">
        <v>6409</v>
      </c>
      <c r="D1268" s="1" t="s">
        <v>6410</v>
      </c>
      <c r="E1268" s="1" t="s">
        <v>6410</v>
      </c>
      <c r="F1268" s="1" t="s">
        <v>6411</v>
      </c>
      <c r="G1268" s="1" t="s">
        <v>6412</v>
      </c>
      <c r="H1268" s="1" t="str">
        <f>IFERROR(__xludf.DUMMYFUNCTION("GOOGLETRANSLATE(D1268,""EN"",""JA"")"),"コリネバクテリウム・ウレアリティカム")</f>
        <v>コリネバクテリウム・ウレアリティカム</v>
      </c>
      <c r="I1268" s="1" t="str">
        <f>IFERROR(__xludf.DUMMYFUNCTION("GOOGLETRANSLATE(E1268,""EN"",""JA"")"),"コリネバクテリウム・ウレアリティカム")</f>
        <v>コリネバクテリウム・ウレアリティカム</v>
      </c>
      <c r="J1268" s="1" t="str">
        <f>IFERROR(__xludf.DUMMYFUNCTION("GOOGLETRANSLATE(F1268,""EN"",""JA"")"),"生物標本中の Corynebacterium urealyticum の測定。")</f>
        <v>生物標本中の Corynebacterium urealyticum の測定。</v>
      </c>
      <c r="K1268" s="1" t="str">
        <f>IFERROR(__xludf.DUMMYFUNCTION("GOOGLETRANSLATE(G1268,""EN"",""JA"")"),"コリネバクテリウム・ウレアリティカム測定")</f>
        <v>コリネバクテリウム・ウレアリティカム測定</v>
      </c>
    </row>
    <row r="1269" ht="13.5" customHeight="1">
      <c r="A1269" s="1" t="s">
        <v>160</v>
      </c>
      <c r="B1269" s="1" t="s">
        <v>6413</v>
      </c>
      <c r="C1269" s="1" t="s">
        <v>6414</v>
      </c>
      <c r="D1269" s="1" t="s">
        <v>6415</v>
      </c>
      <c r="E1269" s="1" t="s">
        <v>6415</v>
      </c>
      <c r="F1269" s="1" t="s">
        <v>6416</v>
      </c>
      <c r="G1269" s="1" t="s">
        <v>6415</v>
      </c>
      <c r="H1269" s="1" t="str">
        <f>IFERROR(__xludf.DUMMYFUNCTION("GOOGLETRANSLATE(D1269,""EN"",""JA"")"),"現在の胎児数")</f>
        <v>現在の胎児数</v>
      </c>
      <c r="I1269" s="1" t="str">
        <f>IFERROR(__xludf.DUMMYFUNCTION("GOOGLETRANSLATE(E1269,""EN"",""JA"")"),"現在の胎児数")</f>
        <v>現在の胎児数</v>
      </c>
      <c r="J1269" s="1" t="str">
        <f>IFERROR(__xludf.DUMMYFUNCTION("GOOGLETRANSLATE(F1269,""EN"",""JA"")"),"質問があった時点での 1 回の妊娠期間中に子宮内に存在していた胎児の数。")</f>
        <v>質問があった時点での 1 回の妊娠期間中に子宮内に存在していた胎児の数。</v>
      </c>
      <c r="K1269" s="1" t="str">
        <f>IFERROR(__xludf.DUMMYFUNCTION("GOOGLETRANSLATE(G1269,""EN"",""JA"")"),"現在の胎児数")</f>
        <v>現在の胎児数</v>
      </c>
    </row>
    <row r="1270" ht="13.5" customHeight="1">
      <c r="A1270" s="1" t="s">
        <v>397</v>
      </c>
      <c r="B1270" s="1" t="s">
        <v>6417</v>
      </c>
      <c r="C1270" s="1" t="s">
        <v>6418</v>
      </c>
      <c r="D1270" s="1" t="s">
        <v>6419</v>
      </c>
      <c r="E1270" s="1" t="s">
        <v>6420</v>
      </c>
      <c r="F1270" s="1" t="s">
        <v>6421</v>
      </c>
      <c r="G1270" s="1" t="s">
        <v>6422</v>
      </c>
      <c r="H1270" s="1" t="str">
        <f>IFERROR(__xludf.DUMMYFUNCTION("GOOGLETRANSLATE(D1270,""EN"",""JA"")"),"現在の治療法")</f>
        <v>現在の治療法</v>
      </c>
      <c r="I1270" s="1" t="str">
        <f>IFERROR(__xludf.DUMMYFUNCTION("GOOGLETRANSLATE(E1270,""EN"",""JA"")"),"背景治療、現在の治療法または治療")</f>
        <v>背景治療、現在の治療法または治療</v>
      </c>
      <c r="J1270" s="1" t="str">
        <f>IFERROR(__xludf.DUMMYFUNCTION("GOOGLETRANSLATE(F1270,""EN"",""JA"")"),"プロトコルで指定された背景治療の名前。つまり、特定の症状/疾患に対する標準的な治療として現在服用されている薬剤です。")</f>
        <v>プロトコルで指定された背景治療の名前。つまり、特定の症状/疾患に対する標準的な治療として現在服用されている薬剤です。</v>
      </c>
      <c r="K1270" s="1" t="str">
        <f>IFERROR(__xludf.DUMMYFUNCTION("GOOGLETRANSLATE(G1270,""EN"",""JA"")"),"現在の治療法")</f>
        <v>現在の治療法</v>
      </c>
    </row>
    <row r="1271" ht="13.5" customHeight="1">
      <c r="A1271" s="1" t="s">
        <v>67</v>
      </c>
      <c r="B1271" s="1" t="s">
        <v>6423</v>
      </c>
      <c r="C1271" s="1" t="s">
        <v>6424</v>
      </c>
      <c r="D1271" s="1" t="s">
        <v>6425</v>
      </c>
      <c r="E1271" s="1" t="s">
        <v>6426</v>
      </c>
      <c r="F1271" s="1" t="s">
        <v>6427</v>
      </c>
      <c r="G1271" s="1" t="s">
        <v>6428</v>
      </c>
      <c r="H1271" s="1" t="str">
        <f>IFERROR(__xludf.DUMMYFUNCTION("GOOGLETRANSLATE(D1271,""EN"",""JA"")"),"湾曲したバチルス")</f>
        <v>湾曲したバチルス</v>
      </c>
      <c r="I1271" s="1" t="str">
        <f>IFERROR(__xludf.DUMMYFUNCTION("GOOGLETRANSLATE(E1271,""EN"",""JA"")"),"湾曲した桿菌; 湾曲した桿菌")</f>
        <v>湾曲した桿菌; 湾曲した桿菌</v>
      </c>
      <c r="J1271" s="1" t="str">
        <f>IFERROR(__xludf.DUMMYFUNCTION("GOOGLETRANSLATE(F1271,""EN"",""JA"")"),"生物標本中の湾曲した桿菌の測定。")</f>
        <v>生物標本中の湾曲した桿菌の測定。</v>
      </c>
      <c r="K1271" s="1" t="str">
        <f>IFERROR(__xludf.DUMMYFUNCTION("GOOGLETRANSLATE(G1271,""EN"",""JA"")"),"曲線バチルス測定")</f>
        <v>曲線バチルス測定</v>
      </c>
    </row>
    <row r="1272" ht="13.5" customHeight="1">
      <c r="A1272" s="1" t="s">
        <v>842</v>
      </c>
      <c r="B1272" s="1" t="s">
        <v>6429</v>
      </c>
      <c r="C1272" s="1" t="s">
        <v>6430</v>
      </c>
      <c r="D1272" s="1" t="s">
        <v>6431</v>
      </c>
      <c r="E1272" s="1" t="s">
        <v>6432</v>
      </c>
      <c r="F1272" s="1" t="s">
        <v>6433</v>
      </c>
      <c r="G1272" s="1" t="s">
        <v>6434</v>
      </c>
      <c r="H1272" s="1" t="str">
        <f>IFERROR(__xludf.DUMMYFUNCTION("GOOGLETRANSLATE(D1272,""EN"",""JA"")"),"研究中の病状 死亡に寄与する 産業")</f>
        <v>研究中の病状 死亡に寄与する 産業</v>
      </c>
      <c r="I1272" s="1" t="str">
        <f>IFERROR(__xludf.DUMMYFUNCTION("GOOGLETRANSLATE(E1272,""EN"",""JA"")"),"研究中の病状が死亡に寄与した指標; 研究中の病状が死亡に寄与した指標")</f>
        <v>研究中の病状が死亡に寄与した指標; 研究中の病状が死亡に寄与した指標</v>
      </c>
      <c r="J1272" s="1" t="str">
        <f>IFERROR(__xludf.DUMMYFUNCTION("GOOGLETRANSLATE(F1272,""EN"",""JA"")"),"研究対象の状態が死亡原因に寄与したかどうかを示します。")</f>
        <v>研究対象の状態が死亡原因に寄与したかどうかを示します。</v>
      </c>
      <c r="K1272" s="1" t="str">
        <f>IFERROR(__xludf.DUMMYFUNCTION("GOOGLETRANSLATE(G1272,""EN"",""JA"")"),"研究中の疾患の兆候が死亡指標に寄与した")</f>
        <v>研究中の疾患の兆候が死亡指標に寄与した</v>
      </c>
    </row>
    <row r="1273" ht="13.5" customHeight="1">
      <c r="A1273" s="1" t="s">
        <v>90</v>
      </c>
      <c r="B1273" s="1" t="s">
        <v>6435</v>
      </c>
      <c r="C1273" s="1" t="s">
        <v>6436</v>
      </c>
      <c r="D1273" s="1" t="s">
        <v>6437</v>
      </c>
      <c r="E1273" s="1" t="s">
        <v>6437</v>
      </c>
      <c r="F1273" s="1" t="s">
        <v>6438</v>
      </c>
      <c r="G1273" s="1" t="s">
        <v>6437</v>
      </c>
      <c r="H1273" s="1" t="str">
        <f>IFERROR(__xludf.DUMMYFUNCTION("GOOGLETRANSLATE(D1273,""EN"",""JA"")"),"冠動脈疾患の範囲")</f>
        <v>冠動脈疾患の範囲</v>
      </c>
      <c r="I1273" s="1" t="str">
        <f>IFERROR(__xludf.DUMMYFUNCTION("GOOGLETRANSLATE(E1273,""EN"",""JA"")"),"冠動脈疾患の範囲")</f>
        <v>冠動脈疾患の範囲</v>
      </c>
      <c r="J1273" s="1" t="str">
        <f>IFERROR(__xludf.DUMMYFUNCTION("GOOGLETRANSLATE(F1273,""EN"",""JA"")"),"冠状血管における疾患の存在範囲、大きさ、または距離。")</f>
        <v>冠状血管における疾患の存在範囲、大きさ、または距離。</v>
      </c>
      <c r="K1273" s="1" t="str">
        <f>IFERROR(__xludf.DUMMYFUNCTION("GOOGLETRANSLATE(G1273,""EN"",""JA"")"),"冠動脈疾患の範囲")</f>
        <v>冠動脈疾患の範囲</v>
      </c>
    </row>
    <row r="1274" ht="13.5" customHeight="1">
      <c r="A1274" s="1" t="s">
        <v>6439</v>
      </c>
      <c r="B1274" s="1" t="s">
        <v>6440</v>
      </c>
      <c r="C1274" s="1" t="s">
        <v>6441</v>
      </c>
      <c r="D1274" s="1" t="s">
        <v>6442</v>
      </c>
      <c r="E1274" s="1" t="s">
        <v>6442</v>
      </c>
      <c r="F1274" s="1" t="s">
        <v>6443</v>
      </c>
      <c r="G1274" s="1" t="s">
        <v>6442</v>
      </c>
      <c r="H1274" s="1" t="str">
        <f>IFERROR(__xludf.DUMMYFUNCTION("GOOGLETRANSLATE(D1274,""EN"",""JA"")"),"心血管病変指標")</f>
        <v>心血管病変指標</v>
      </c>
      <c r="I1274" s="1" t="str">
        <f>IFERROR(__xludf.DUMMYFUNCTION("GOOGLETRANSLATE(E1274,""EN"",""JA"")"),"心血管病変指標")</f>
        <v>心血管病変指標</v>
      </c>
      <c r="J1274" s="1" t="str">
        <f>IFERROR(__xludf.DUMMYFUNCTION("GOOGLETRANSLATE(F1274,""EN"",""JA"")"),"心血管病変が存在するかどうかを示します。")</f>
        <v>心血管病変が存在するかどうかを示します。</v>
      </c>
      <c r="K1274" s="1" t="str">
        <f>IFERROR(__xludf.DUMMYFUNCTION("GOOGLETRANSLATE(G1274,""EN"",""JA"")"),"心血管病変指標")</f>
        <v>心血管病変指標</v>
      </c>
    </row>
    <row r="1275" ht="13.5" customHeight="1">
      <c r="A1275" s="1" t="s">
        <v>90</v>
      </c>
      <c r="B1275" s="1" t="s">
        <v>6444</v>
      </c>
      <c r="C1275" s="1" t="s">
        <v>6445</v>
      </c>
      <c r="D1275" s="1" t="s">
        <v>6446</v>
      </c>
      <c r="E1275" s="1" t="s">
        <v>6446</v>
      </c>
      <c r="F1275" s="1" t="s">
        <v>6447</v>
      </c>
      <c r="G1275" s="1" t="s">
        <v>6446</v>
      </c>
      <c r="H1275" s="1" t="str">
        <f>IFERROR(__xludf.DUMMYFUNCTION("GOOGLETRANSLATE(D1275,""EN"",""JA"")"),"心臓弁逆流症の重症度")</f>
        <v>心臓弁逆流症の重症度</v>
      </c>
      <c r="I1275" s="1" t="str">
        <f>IFERROR(__xludf.DUMMYFUNCTION("GOOGLETRANSLATE(E1275,""EN"",""JA"")"),"心臓弁逆流症の重症度")</f>
        <v>心臓弁逆流症の重症度</v>
      </c>
      <c r="J1275" s="1" t="str">
        <f>IFERROR(__xludf.DUMMYFUNCTION("GOOGLETRANSLATE(F1275,""EN"",""JA"")"),"心臓弁逆流の重症度の定性的な測定。")</f>
        <v>心臓弁逆流の重症度の定性的な測定。</v>
      </c>
      <c r="K1275" s="1" t="str">
        <f>IFERROR(__xludf.DUMMYFUNCTION("GOOGLETRANSLATE(G1275,""EN"",""JA"")"),"心臓弁逆流症の重症度")</f>
        <v>心臓弁逆流症の重症度</v>
      </c>
    </row>
    <row r="1276" ht="13.5" customHeight="1">
      <c r="A1276" s="1" t="s">
        <v>90</v>
      </c>
      <c r="B1276" s="1" t="s">
        <v>6448</v>
      </c>
      <c r="C1276" s="1" t="s">
        <v>6449</v>
      </c>
      <c r="D1276" s="1" t="s">
        <v>6450</v>
      </c>
      <c r="E1276" s="1" t="s">
        <v>6450</v>
      </c>
      <c r="F1276" s="1" t="s">
        <v>6451</v>
      </c>
      <c r="G1276" s="1" t="s">
        <v>6450</v>
      </c>
      <c r="H1276" s="1" t="str">
        <f>IFERROR(__xludf.DUMMYFUNCTION("GOOGLETRANSLATE(D1276,""EN"",""JA"")"),"心臓弁狭窄症の重症度")</f>
        <v>心臓弁狭窄症の重症度</v>
      </c>
      <c r="I1276" s="1" t="str">
        <f>IFERROR(__xludf.DUMMYFUNCTION("GOOGLETRANSLATE(E1276,""EN"",""JA"")"),"心臓弁狭窄症の重症度")</f>
        <v>心臓弁狭窄症の重症度</v>
      </c>
      <c r="J1276" s="1" t="str">
        <f>IFERROR(__xludf.DUMMYFUNCTION("GOOGLETRANSLATE(F1276,""EN"",""JA"")"),"心臓弁狭窄の重症度の定性的な測定。")</f>
        <v>心臓弁狭窄の重症度の定性的な測定。</v>
      </c>
      <c r="K1276" s="1" t="str">
        <f>IFERROR(__xludf.DUMMYFUNCTION("GOOGLETRANSLATE(G1276,""EN"",""JA"")"),"心臓弁狭窄症の重症度")</f>
        <v>心臓弁狭窄症の重症度</v>
      </c>
    </row>
    <row r="1277" ht="13.5" customHeight="1">
      <c r="A1277" s="1" t="s">
        <v>90</v>
      </c>
      <c r="B1277" s="1" t="s">
        <v>6452</v>
      </c>
      <c r="C1277" s="1" t="s">
        <v>6453</v>
      </c>
      <c r="D1277" s="1" t="s">
        <v>6454</v>
      </c>
      <c r="E1277" s="1" t="s">
        <v>6454</v>
      </c>
      <c r="F1277" s="1" t="s">
        <v>6455</v>
      </c>
      <c r="G1277" s="1" t="s">
        <v>6454</v>
      </c>
      <c r="H1277" s="1" t="str">
        <f>IFERROR(__xludf.DUMMYFUNCTION("GOOGLETRANSLATE(D1277,""EN"",""JA"")"),"心臓弁逆流指標")</f>
        <v>心臓弁逆流指標</v>
      </c>
      <c r="I1277" s="1" t="str">
        <f>IFERROR(__xludf.DUMMYFUNCTION("GOOGLETRANSLATE(E1277,""EN"",""JA"")"),"心臓弁逆流指標")</f>
        <v>心臓弁逆流指標</v>
      </c>
      <c r="J1277" s="1" t="str">
        <f>IFERROR(__xludf.DUMMYFUNCTION("GOOGLETRANSLATE(F1277,""EN"",""JA"")"),"特定の心臓弁が逆流しているかどうかを示す指標。")</f>
        <v>特定の心臓弁が逆流しているかどうかを示す指標。</v>
      </c>
      <c r="K1277" s="1" t="str">
        <f>IFERROR(__xludf.DUMMYFUNCTION("GOOGLETRANSLATE(G1277,""EN"",""JA"")"),"心臓弁逆流指標")</f>
        <v>心臓弁逆流指標</v>
      </c>
    </row>
    <row r="1278" ht="13.5" customHeight="1">
      <c r="A1278" s="1" t="s">
        <v>90</v>
      </c>
      <c r="B1278" s="1" t="s">
        <v>6456</v>
      </c>
      <c r="C1278" s="1" t="s">
        <v>6457</v>
      </c>
      <c r="D1278" s="1" t="s">
        <v>6458</v>
      </c>
      <c r="E1278" s="1" t="s">
        <v>6459</v>
      </c>
      <c r="F1278" s="1" t="s">
        <v>6460</v>
      </c>
      <c r="G1278" s="1" t="s">
        <v>6461</v>
      </c>
      <c r="H1278" s="1" t="str">
        <f>IFERROR(__xludf.DUMMYFUNCTION("GOOGLETRANSLATE(D1278,""EN"",""JA"")"),"心臓弁逆流ジェット方向")</f>
        <v>心臓弁逆流ジェット方向</v>
      </c>
      <c r="I1278" s="1" t="str">
        <f>IFERROR(__xludf.DUMMYFUNCTION("GOOGLETRANSLATE(E1278,""EN"",""JA"")"),"心臓弁逆流ジェット方向; 心臓弁逆流ジェット方向")</f>
        <v>心臓弁逆流ジェット方向; 心臓弁逆流ジェット方向</v>
      </c>
      <c r="J1278" s="1" t="str">
        <f>IFERROR(__xludf.DUMMYFUNCTION("GOOGLETRANSLATE(F1278,""EN"",""JA"")"),"心臓弁からの逆行性血流の軌跡。")</f>
        <v>心臓弁からの逆行性血流の軌跡。</v>
      </c>
      <c r="K1278" s="1" t="str">
        <f>IFERROR(__xludf.DUMMYFUNCTION("GOOGLETRANSLATE(G1278,""EN"",""JA"")"),"心臓弁逆流ジェット方向")</f>
        <v>心臓弁逆流ジェット方向</v>
      </c>
    </row>
    <row r="1279" ht="13.5" customHeight="1">
      <c r="A1279" s="1" t="s">
        <v>90</v>
      </c>
      <c r="B1279" s="1" t="s">
        <v>6462</v>
      </c>
      <c r="C1279" s="1" t="s">
        <v>6463</v>
      </c>
      <c r="D1279" s="1" t="s">
        <v>6464</v>
      </c>
      <c r="E1279" s="1" t="s">
        <v>6465</v>
      </c>
      <c r="F1279" s="1" t="s">
        <v>6466</v>
      </c>
      <c r="G1279" s="1" t="s">
        <v>6467</v>
      </c>
      <c r="H1279" s="1" t="str">
        <f>IFERROR(__xludf.DUMMYFUNCTION("GOOGLETRANSLATE(D1279,""EN"",""JA"")"),"心臓弁逆流症の考えられる病因")</f>
        <v>心臓弁逆流症の考えられる病因</v>
      </c>
      <c r="I1279" s="1" t="str">
        <f>IFERROR(__xludf.DUMMYFUNCTION("GOOGLETRANSLATE(E1279,""EN"",""JA"")"),"心臓弁逆流の可能性のある病因; 心臓弁逆流の可能性のある病因")</f>
        <v>心臓弁逆流の可能性のある病因; 心臓弁逆流の可能性のある病因</v>
      </c>
      <c r="J1279" s="1" t="str">
        <f>IFERROR(__xludf.DUMMYFUNCTION("GOOGLETRANSLATE(F1279,""EN"",""JA"")"),"心臓弁逆流の原因となる病理の原因についての推定。")</f>
        <v>心臓弁逆流の原因となる病理の原因についての推定。</v>
      </c>
      <c r="K1279" s="1" t="str">
        <f>IFERROR(__xludf.DUMMYFUNCTION("GOOGLETRANSLATE(G1279,""EN"",""JA"")"),"心臓弁逆流症の考えられる病因")</f>
        <v>心臓弁逆流症の考えられる病因</v>
      </c>
    </row>
    <row r="1280" ht="13.5" customHeight="1">
      <c r="A1280" s="1" t="s">
        <v>90</v>
      </c>
      <c r="B1280" s="1" t="s">
        <v>6468</v>
      </c>
      <c r="C1280" s="1" t="s">
        <v>6469</v>
      </c>
      <c r="D1280" s="1" t="s">
        <v>6470</v>
      </c>
      <c r="E1280" s="1" t="s">
        <v>6470</v>
      </c>
      <c r="F1280" s="1" t="s">
        <v>6471</v>
      </c>
      <c r="G1280" s="1" t="s">
        <v>6470</v>
      </c>
      <c r="H1280" s="1" t="str">
        <f>IFERROR(__xludf.DUMMYFUNCTION("GOOGLETRANSLATE(D1280,""EN"",""JA"")"),"心臓壁運動型")</f>
        <v>心臓壁運動型</v>
      </c>
      <c r="I1280" s="1" t="str">
        <f>IFERROR(__xludf.DUMMYFUNCTION("GOOGLETRANSLATE(E1280,""EN"",""JA"")"),"心臓壁運動型")</f>
        <v>心臓壁運動型</v>
      </c>
      <c r="J1280" s="1" t="str">
        <f>IFERROR(__xludf.DUMMYFUNCTION("GOOGLETRANSLATE(F1280,""EN"",""JA"")"),"心筋全体または 1 つ以上の特定の解剖学的位置における心筋の動きを評価します。")</f>
        <v>心筋全体または 1 つ以上の特定の解剖学的位置における心筋の動きを評価します。</v>
      </c>
      <c r="K1280" s="1" t="str">
        <f>IFERROR(__xludf.DUMMYFUNCTION("GOOGLETRANSLATE(G1280,""EN"",""JA"")"),"心臓壁運動型")</f>
        <v>心臓壁運動型</v>
      </c>
    </row>
    <row r="1281" ht="13.5" customHeight="1">
      <c r="A1281" s="1" t="s">
        <v>11</v>
      </c>
      <c r="B1281" s="1" t="s">
        <v>6472</v>
      </c>
      <c r="C1281" s="1" t="s">
        <v>6473</v>
      </c>
      <c r="D1281" s="1" t="s">
        <v>6474</v>
      </c>
      <c r="E1281" s="1" t="s">
        <v>6475</v>
      </c>
      <c r="F1281" s="1" t="s">
        <v>6476</v>
      </c>
      <c r="G1281" s="1" t="s">
        <v>6477</v>
      </c>
      <c r="H1281" s="1" t="str">
        <f>IFERROR(__xludf.DUMMYFUNCTION("GOOGLETRANSLATE(D1281,""EN"",""JA"")"),"ケモカイン（C-X3-Cモチーフ）リガンド1")</f>
        <v>ケモカイン（C-X3-Cモチーフ）リガンド1</v>
      </c>
      <c r="I1281" s="1" t="str">
        <f>IFERROR(__xludf.DUMMYFUNCTION("GOOGLETRANSLATE(E1281,""EN"",""JA"")"),"ケモカイン（C-X3-Cモチーフ）リガンド1；フラクタルカイン；ニューロタクチン")</f>
        <v>ケモカイン（C-X3-Cモチーフ）リガンド1；フラクタルカイン；ニューロタクチン</v>
      </c>
      <c r="J1281" s="1" t="str">
        <f>IFERROR(__xludf.DUMMYFUNCTION("GOOGLETRANSLATE(F1281,""EN"",""JA"")"),"生物標本中のケモカイン（C-X3-C モチーフ）リガンド 1 の測定。")</f>
        <v>生物標本中のケモカイン（C-X3-C モチーフ）リガンド 1 の測定。</v>
      </c>
      <c r="K1281" s="1" t="str">
        <f>IFERROR(__xludf.DUMMYFUNCTION("GOOGLETRANSLATE(G1281,""EN"",""JA"")"),"ケモカイン（C-X3-Cモチーフ）リガンド1の測定")</f>
        <v>ケモカイン（C-X3-Cモチーフ）リガンド1の測定</v>
      </c>
    </row>
    <row r="1282" ht="13.5" customHeight="1">
      <c r="A1282" s="1" t="s">
        <v>11</v>
      </c>
      <c r="B1282" s="1" t="s">
        <v>6478</v>
      </c>
      <c r="C1282" s="1" t="s">
        <v>6479</v>
      </c>
      <c r="D1282" s="1" t="s">
        <v>6480</v>
      </c>
      <c r="E1282" s="1" t="s">
        <v>6481</v>
      </c>
      <c r="F1282" s="1" t="s">
        <v>6482</v>
      </c>
      <c r="G1282" s="1" t="s">
        <v>6483</v>
      </c>
      <c r="H1282" s="1" t="str">
        <f>IFERROR(__xludf.DUMMYFUNCTION("GOOGLETRANSLATE(D1282,""EN"",""JA"")"),"ケモカイン（C-X-Cモチーフ）リガンド1")</f>
        <v>ケモカイン（C-X-Cモチーフ）リガンド1</v>
      </c>
      <c r="I1282" s="1" t="str">
        <f>IFERROR(__xludf.DUMMYFUNCTION("GOOGLETRANSLATE(E1282,""EN"",""JA"")"),"ケモカイン（C-X-Cモチーフ）リガンド1; GROアルファ; GRO/KC; GRO1; GROA; 成長制御アルファタンパク質; メラノーマ成長刺激活性アルファ")</f>
        <v>ケモカイン（C-X-Cモチーフ）リガンド1; GROアルファ; GRO/KC; GRO1; GROA; 成長制御アルファタンパク質; メラノーマ成長刺激活性アルファ</v>
      </c>
      <c r="J1282" s="1" t="str">
        <f>IFERROR(__xludf.DUMMYFUNCTION("GOOGLETRANSLATE(F1282,""EN"",""JA"")"),"生物標本中のケモカイン（C-X-C モチーフ）リガンド 1 である CXCL1 の測定。")</f>
        <v>生物標本中のケモカイン（C-X-C モチーフ）リガンド 1 である CXCL1 の測定。</v>
      </c>
      <c r="K1282" s="1" t="str">
        <f>IFERROR(__xludf.DUMMYFUNCTION("GOOGLETRANSLATE(G1282,""EN"",""JA"")"),"ケモカイン（C-X-Cモチーフ）リガンド1の測定")</f>
        <v>ケモカイン（C-X-Cモチーフ）リガンド1の測定</v>
      </c>
    </row>
    <row r="1283" ht="13.5" customHeight="1">
      <c r="A1283" s="1" t="s">
        <v>11</v>
      </c>
      <c r="B1283" s="1" t="s">
        <v>6484</v>
      </c>
      <c r="C1283" s="1" t="s">
        <v>6485</v>
      </c>
      <c r="D1283" s="1" t="s">
        <v>6486</v>
      </c>
      <c r="E1283" s="1" t="s">
        <v>6487</v>
      </c>
      <c r="F1283" s="1" t="s">
        <v>6488</v>
      </c>
      <c r="G1283" s="1" t="s">
        <v>6489</v>
      </c>
      <c r="H1283" s="1" t="str">
        <f>IFERROR(__xludf.DUMMYFUNCTION("GOOGLETRANSLATE(D1283,""EN"",""JA"")"),"ケモカイン（C-X-Cモチーフ）リガンド10")</f>
        <v>ケモカイン（C-X-Cモチーフ）リガンド10</v>
      </c>
      <c r="I1283" s="1" t="str">
        <f>IFERROR(__xludf.DUMMYFUNCTION("GOOGLETRANSLATE(E1283,""EN"",""JA"")"),"ケモカイン（C-X-Cモチーフ）リガンド10; インターフェロンγ誘導タンパク質10; インターフェロン誘導タンパク質10; IP-10; 低分子誘導性サイトカインB10")</f>
        <v>ケモカイン（C-X-Cモチーフ）リガンド10; インターフェロンγ誘導タンパク質10; インターフェロン誘導タンパク質10; IP-10; 低分子誘導性サイトカインB10</v>
      </c>
      <c r="J1283" s="1" t="str">
        <f>IFERROR(__xludf.DUMMYFUNCTION("GOOGLETRANSLATE(F1283,""EN"",""JA"")"),"生物標本中のケモカイン（C-X-C モチーフ）リガンド 10 である CXCL10 の測定。")</f>
        <v>生物標本中のケモカイン（C-X-C モチーフ）リガンド 10 である CXCL10 の測定。</v>
      </c>
      <c r="K1283" s="1" t="str">
        <f>IFERROR(__xludf.DUMMYFUNCTION("GOOGLETRANSLATE(G1283,""EN"",""JA"")"),"ケモカイン（C-X-Cモチーフ）リガンド10の測定")</f>
        <v>ケモカイン（C-X-Cモチーフ）リガンド10の測定</v>
      </c>
    </row>
    <row r="1284" ht="13.5" customHeight="1">
      <c r="A1284" s="1" t="s">
        <v>11</v>
      </c>
      <c r="B1284" s="1" t="s">
        <v>6490</v>
      </c>
      <c r="C1284" s="1" t="s">
        <v>6491</v>
      </c>
      <c r="D1284" s="1" t="s">
        <v>6492</v>
      </c>
      <c r="E1284" s="1" t="s">
        <v>6493</v>
      </c>
      <c r="F1284" s="1" t="s">
        <v>6494</v>
      </c>
      <c r="G1284" s="1" t="s">
        <v>6495</v>
      </c>
      <c r="H1284" s="1" t="str">
        <f>IFERROR(__xludf.DUMMYFUNCTION("GOOGLETRANSLATE(D1284,""EN"",""JA"")"),"ケモカイン（C-X-Cモチーフ）リガンド11")</f>
        <v>ケモカイン（C-X-Cモチーフ）リガンド11</v>
      </c>
      <c r="I1284" s="1" t="str">
        <f>IFERROR(__xludf.DUMMYFUNCTION("GOOGLETRANSLATE(E1284,""EN"",""JA"")"),"ケモカイン（C-X-Cモチーフ）リガンド11; I-TAC; IFN誘導性T細胞α走化性因子; ITAC")</f>
        <v>ケモカイン（C-X-Cモチーフ）リガンド11; I-TAC; IFN誘導性T細胞α走化性因子; ITAC</v>
      </c>
      <c r="J1284" s="1" t="str">
        <f>IFERROR(__xludf.DUMMYFUNCTION("GOOGLETRANSLATE(F1284,""EN"",""JA"")"),"生物標本中のケモカイン（C-X-C モチーフ）リガンド 11 の測定。")</f>
        <v>生物標本中のケモカイン（C-X-C モチーフ）リガンド 11 の測定。</v>
      </c>
      <c r="K1284" s="1" t="str">
        <f>IFERROR(__xludf.DUMMYFUNCTION("GOOGLETRANSLATE(G1284,""EN"",""JA"")"),"ケモカイン（C-X-Cモチーフ）リガンド11の測定")</f>
        <v>ケモカイン（C-X-Cモチーフ）リガンド11の測定</v>
      </c>
    </row>
    <row r="1285" ht="13.5" customHeight="1">
      <c r="A1285" s="1" t="s">
        <v>11</v>
      </c>
      <c r="B1285" s="1" t="s">
        <v>6496</v>
      </c>
      <c r="C1285" s="1" t="s">
        <v>6497</v>
      </c>
      <c r="D1285" s="1" t="s">
        <v>6498</v>
      </c>
      <c r="E1285" s="1" t="s">
        <v>6499</v>
      </c>
      <c r="F1285" s="1" t="s">
        <v>6500</v>
      </c>
      <c r="G1285" s="1" t="s">
        <v>6501</v>
      </c>
      <c r="H1285" s="1" t="str">
        <f>IFERROR(__xludf.DUMMYFUNCTION("GOOGLETRANSLATE(D1285,""EN"",""JA"")"),"ケモカイン（C-X-Cモチーフ）リガンド12")</f>
        <v>ケモカイン（C-X-Cモチーフ）リガンド12</v>
      </c>
      <c r="I1285" s="1" t="str">
        <f>IFERROR(__xludf.DUMMYFUNCTION("GOOGLETRANSLATE(E1285,""EN"",""JA"")"),"ケモカイン（C-X-Cモチーフ）リガンド12; IRH; PBSF; SCYB12; SDF1; SDF1A; SDF1B; 間質細胞由来因子1α; 間質細胞由来因子1β; TLSF; TPAR1")</f>
        <v>ケモカイン（C-X-Cモチーフ）リガンド12; IRH; PBSF; SCYB12; SDF1; SDF1A; SDF1B; 間質細胞由来因子1α; 間質細胞由来因子1β; TLSF; TPAR1</v>
      </c>
      <c r="J1285" s="1" t="str">
        <f>IFERROR(__xludf.DUMMYFUNCTION("GOOGLETRANSLATE(F1285,""EN"",""JA"")"),"生物標本中のケモカイン（C-X-C モチーフ）リガンド 12 である CXCL12 の測定。")</f>
        <v>生物標本中のケモカイン（C-X-C モチーフ）リガンド 12 である CXCL12 の測定。</v>
      </c>
      <c r="K1285" s="1" t="str">
        <f>IFERROR(__xludf.DUMMYFUNCTION("GOOGLETRANSLATE(G1285,""EN"",""JA"")"),"ケモカイン（C-X-Cモチーフ）リガンド12の測定")</f>
        <v>ケモカイン（C-X-Cモチーフ）リガンド12の測定</v>
      </c>
    </row>
    <row r="1286" ht="13.5" customHeight="1">
      <c r="A1286" s="1" t="s">
        <v>11</v>
      </c>
      <c r="B1286" s="1" t="s">
        <v>6502</v>
      </c>
      <c r="C1286" s="1" t="s">
        <v>6503</v>
      </c>
      <c r="D1286" s="1" t="s">
        <v>6504</v>
      </c>
      <c r="E1286" s="1" t="s">
        <v>6505</v>
      </c>
      <c r="F1286" s="1" t="s">
        <v>6506</v>
      </c>
      <c r="G1286" s="1" t="s">
        <v>6507</v>
      </c>
      <c r="H1286" s="1" t="str">
        <f>IFERROR(__xludf.DUMMYFUNCTION("GOOGLETRANSLATE(D1286,""EN"",""JA"")"),"ケモカイン（C-X-Cモチーフ）リガンド13")</f>
        <v>ケモカイン（C-X-Cモチーフ）リガンド13</v>
      </c>
      <c r="I1286" s="1" t="str">
        <f>IFERROR(__xludf.DUMMYFUNCTION("GOOGLETRANSLATE(E1286,""EN"",""JA"")"),"Bリンパ球走化性因子；ケモカイン（C-X-Cモチーフ）リガンド13")</f>
        <v>Bリンパ球走化性因子；ケモカイン（C-X-Cモチーフ）リガンド13</v>
      </c>
      <c r="J1286" s="1" t="str">
        <f>IFERROR(__xludf.DUMMYFUNCTION("GOOGLETRANSLATE(F1286,""EN"",""JA"")"),"生物標本中のケモカイン（C-X-C モチーフ）リガンド 13 である CXCL13 の測定。")</f>
        <v>生物標本中のケモカイン（C-X-C モチーフ）リガンド 13 である CXCL13 の測定。</v>
      </c>
      <c r="K1286" s="1" t="str">
        <f>IFERROR(__xludf.DUMMYFUNCTION("GOOGLETRANSLATE(G1286,""EN"",""JA"")"),"ケモカイン（C-X-Cモチーフ）リガンド13の測定")</f>
        <v>ケモカイン（C-X-Cモチーフ）リガンド13の測定</v>
      </c>
    </row>
    <row r="1287" ht="13.5" customHeight="1">
      <c r="A1287" s="1" t="s">
        <v>11</v>
      </c>
      <c r="B1287" s="1" t="s">
        <v>6508</v>
      </c>
      <c r="C1287" s="1" t="s">
        <v>6509</v>
      </c>
      <c r="D1287" s="1" t="s">
        <v>6510</v>
      </c>
      <c r="E1287" s="1" t="s">
        <v>6511</v>
      </c>
      <c r="F1287" s="1" t="s">
        <v>6512</v>
      </c>
      <c r="G1287" s="1" t="s">
        <v>6513</v>
      </c>
      <c r="H1287" s="1" t="str">
        <f>IFERROR(__xludf.DUMMYFUNCTION("GOOGLETRANSLATE(D1287,""EN"",""JA"")"),"ケモカイン（C-X-Cモチーフ）リガンド2")</f>
        <v>ケモカイン（C-X-Cモチーフ）リガンド2</v>
      </c>
      <c r="I1287" s="1" t="str">
        <f>IFERROR(__xludf.DUMMYFUNCTION("GOOGLETRANSLATE(E1287,""EN"",""JA"")"),"ケモカイン（C-X-Cモチーフ）リガンド2; GROベータ; GRO2; MIP2アルファ")</f>
        <v>ケモカイン（C-X-Cモチーフ）リガンド2; GROベータ; GRO2; MIP2アルファ</v>
      </c>
      <c r="J1287" s="1" t="str">
        <f>IFERROR(__xludf.DUMMYFUNCTION("GOOGLETRANSLATE(F1287,""EN"",""JA"")"),"生物標本中のケモカイン（C-X-C モチーフ）リガンド 2 である CXCL2 の測定。")</f>
        <v>生物標本中のケモカイン（C-X-C モチーフ）リガンド 2 である CXCL2 の測定。</v>
      </c>
      <c r="K1287" s="1" t="str">
        <f>IFERROR(__xludf.DUMMYFUNCTION("GOOGLETRANSLATE(G1287,""EN"",""JA"")"),"ケモカイン（C-X-Cモチーフ）リガンド2の測定")</f>
        <v>ケモカイン（C-X-Cモチーフ）リガンド2の測定</v>
      </c>
    </row>
    <row r="1288" ht="13.5" customHeight="1">
      <c r="A1288" s="1" t="s">
        <v>11</v>
      </c>
      <c r="B1288" s="1" t="s">
        <v>6514</v>
      </c>
      <c r="C1288" s="1" t="s">
        <v>6515</v>
      </c>
      <c r="D1288" s="1" t="s">
        <v>6516</v>
      </c>
      <c r="E1288" s="1" t="s">
        <v>6517</v>
      </c>
      <c r="F1288" s="1" t="s">
        <v>6518</v>
      </c>
      <c r="G1288" s="1" t="s">
        <v>6519</v>
      </c>
      <c r="H1288" s="1" t="str">
        <f>IFERROR(__xludf.DUMMYFUNCTION("GOOGLETRANSLATE(D1288,""EN"",""JA"")"),"ケモカイン（C-X-Cモチーフ）リガンド3")</f>
        <v>ケモカイン（C-X-Cモチーフ）リガンド3</v>
      </c>
      <c r="I1288" s="1" t="str">
        <f>IFERROR(__xludf.DUMMYFUNCTION("GOOGLETRANSLATE(E1288,""EN"",""JA"")"),"ケモカイン（C-X-Cモチーフ）リガンド3; GROガンマ; マクロファージ炎症性タンパク質2-ベータ; MIP2ベータ; MIP2B")</f>
        <v>ケモカイン（C-X-Cモチーフ）リガンド3; GROガンマ; マクロファージ炎症性タンパク質2-ベータ; MIP2ベータ; MIP2B</v>
      </c>
      <c r="J1288" s="1" t="str">
        <f>IFERROR(__xludf.DUMMYFUNCTION("GOOGLETRANSLATE(F1288,""EN"",""JA"")"),"生物標本中のケモカイン（C-X-C モチーフ）リガンド 3 である CXCL3 の測定。")</f>
        <v>生物標本中のケモカイン（C-X-C モチーフ）リガンド 3 である CXCL3 の測定。</v>
      </c>
      <c r="K1288" s="1" t="str">
        <f>IFERROR(__xludf.DUMMYFUNCTION("GOOGLETRANSLATE(G1288,""EN"",""JA"")"),"ケモカイン（C-X-Cモチーフ）リガンド3の測定")</f>
        <v>ケモカイン（C-X-Cモチーフ）リガンド3の測定</v>
      </c>
    </row>
    <row r="1289" ht="13.5" customHeight="1">
      <c r="A1289" s="1" t="s">
        <v>11</v>
      </c>
      <c r="B1289" s="1" t="s">
        <v>6520</v>
      </c>
      <c r="C1289" s="1" t="s">
        <v>6521</v>
      </c>
      <c r="D1289" s="1" t="s">
        <v>6522</v>
      </c>
      <c r="E1289" s="1" t="s">
        <v>6523</v>
      </c>
      <c r="F1289" s="1" t="s">
        <v>6524</v>
      </c>
      <c r="G1289" s="1" t="s">
        <v>6525</v>
      </c>
      <c r="H1289" s="1" t="str">
        <f>IFERROR(__xludf.DUMMYFUNCTION("GOOGLETRANSLATE(D1289,""EN"",""JA"")"),"ケモカイン（C-X-Cモチーフ）リガンド4")</f>
        <v>ケモカイン（C-X-Cモチーフ）リガンド4</v>
      </c>
      <c r="I1289" s="1" t="str">
        <f>IFERROR(__xludf.DUMMYFUNCTION("GOOGLETRANSLATE(E1289,""EN"",""JA"")"),"ケモカイン（C-X-Cモチーフ）リガンド4; オンコスタチンA; 血小板因子4; PLF4")</f>
        <v>ケモカイン（C-X-Cモチーフ）リガンド4; オンコスタチンA; 血小板因子4; PLF4</v>
      </c>
      <c r="J1289" s="1" t="str">
        <f>IFERROR(__xludf.DUMMYFUNCTION("GOOGLETRANSLATE(F1289,""EN"",""JA"")"),"生物標本中のケモカイン（C-X-C モチーフ）リガンド 4 である CXCL4 の測定。")</f>
        <v>生物標本中のケモカイン（C-X-C モチーフ）リガンド 4 である CXCL4 の測定。</v>
      </c>
      <c r="K1289" s="1" t="str">
        <f>IFERROR(__xludf.DUMMYFUNCTION("GOOGLETRANSLATE(G1289,""EN"",""JA"")"),"ケモカイン（C-X-Cモチーフ）リガンド4の測定")</f>
        <v>ケモカイン（C-X-Cモチーフ）リガンド4の測定</v>
      </c>
    </row>
    <row r="1290" ht="13.5" customHeight="1">
      <c r="A1290" s="1" t="s">
        <v>11</v>
      </c>
      <c r="B1290" s="1" t="s">
        <v>6526</v>
      </c>
      <c r="C1290" s="1" t="s">
        <v>6527</v>
      </c>
      <c r="D1290" s="1" t="s">
        <v>6528</v>
      </c>
      <c r="E1290" s="1" t="s">
        <v>6529</v>
      </c>
      <c r="F1290" s="1" t="s">
        <v>6530</v>
      </c>
      <c r="G1290" s="1" t="s">
        <v>6531</v>
      </c>
      <c r="H1290" s="1" t="str">
        <f>IFERROR(__xludf.DUMMYFUNCTION("GOOGLETRANSLATE(D1290,""EN"",""JA"")"),"ケモカイン（C-X-Cモチーフ）リガンド6")</f>
        <v>ケモカイン（C-X-Cモチーフ）リガンド6</v>
      </c>
      <c r="I1290" s="1" t="str">
        <f>IFERROR(__xludf.DUMMYFUNCTION("GOOGLETRANSLATE(E1290,""EN"",""JA"")"),"ケモカイン（C-X-Cモチーフ）リガンド6; GCP2; 顆粒球走化性タンパク質2")</f>
        <v>ケモカイン（C-X-Cモチーフ）リガンド6; GCP2; 顆粒球走化性タンパク質2</v>
      </c>
      <c r="J1290" s="1" t="str">
        <f>IFERROR(__xludf.DUMMYFUNCTION("GOOGLETRANSLATE(F1290,""EN"",""JA"")"),"生物標本中のケモカイン（C-X-C モチーフ）リガンド 6 である CXCL6 の測定。")</f>
        <v>生物標本中のケモカイン（C-X-C モチーフ）リガンド 6 である CXCL6 の測定。</v>
      </c>
      <c r="K1290" s="1" t="str">
        <f>IFERROR(__xludf.DUMMYFUNCTION("GOOGLETRANSLATE(G1290,""EN"",""JA"")"),"ケモカイン（C-X-Cモチーフ）リガンド6の測定")</f>
        <v>ケモカイン（C-X-Cモチーフ）リガンド6の測定</v>
      </c>
    </row>
    <row r="1291" ht="13.5" customHeight="1">
      <c r="A1291" s="1" t="s">
        <v>11</v>
      </c>
      <c r="B1291" s="1" t="s">
        <v>6532</v>
      </c>
      <c r="C1291" s="1" t="s">
        <v>6533</v>
      </c>
      <c r="D1291" s="1" t="s">
        <v>6534</v>
      </c>
      <c r="E1291" s="1" t="s">
        <v>6535</v>
      </c>
      <c r="F1291" s="1" t="s">
        <v>6536</v>
      </c>
      <c r="G1291" s="1" t="s">
        <v>6537</v>
      </c>
      <c r="H1291" s="1" t="str">
        <f>IFERROR(__xludf.DUMMYFUNCTION("GOOGLETRANSLATE(D1291,""EN"",""JA"")"),"ケモカイン（C-X-Cモチーフ）リガンド7")</f>
        <v>ケモカイン（C-X-Cモチーフ）リガンド7</v>
      </c>
      <c r="I1291" s="1" t="str">
        <f>IFERROR(__xludf.DUMMYFUNCTION("GOOGLETRANSLATE(E1291,""EN"",""JA"")"),"B-TG1; ベータTG; ケモカイン（C-X-C モチーフ）リガンド 7; CTAP-III; CTAP3; CTAPIII; LA-PF4; LDGF; MDGF; NAP-2; 好中球活性化ペプチド 2; PBP; PPBP; プロ血小板塩基性タンパク質; SCYB7; TC1; TC2; TGB; TGB1; THBGB; THBGB1")</f>
        <v>B-TG1; ベータTG; ケモカイン（C-X-C モチーフ）リガンド 7; CTAP-III; CTAP3; CTAPIII; LA-PF4; LDGF; MDGF; NAP-2; 好中球活性化ペプチド 2; PBP; PPBP; プロ血小板塩基性タンパク質; SCYB7; TC1; TC2; TGB; TGB1; THBGB; THBGB1</v>
      </c>
      <c r="J1291" s="1" t="str">
        <f>IFERROR(__xludf.DUMMYFUNCTION("GOOGLETRANSLATE(F1291,""EN"",""JA"")"),"生物学的標本中の血小板前駆体塩基性タンパク質の測定。")</f>
        <v>生物学的標本中の血小板前駆体塩基性タンパク質の測定。</v>
      </c>
      <c r="K1291" s="1" t="str">
        <f>IFERROR(__xludf.DUMMYFUNCTION("GOOGLETRANSLATE(G1291,""EN"",""JA"")"),"ケモカイン（C-X-Cモチーフ）リガンド7の測定")</f>
        <v>ケモカイン（C-X-Cモチーフ）リガンド7の測定</v>
      </c>
    </row>
    <row r="1292" ht="13.5" customHeight="1">
      <c r="A1292" s="1" t="s">
        <v>11</v>
      </c>
      <c r="B1292" s="1" t="s">
        <v>6538</v>
      </c>
      <c r="C1292" s="1" t="s">
        <v>6539</v>
      </c>
      <c r="D1292" s="1" t="s">
        <v>6540</v>
      </c>
      <c r="E1292" s="1" t="s">
        <v>6541</v>
      </c>
      <c r="F1292" s="1" t="s">
        <v>6542</v>
      </c>
      <c r="G1292" s="1" t="s">
        <v>6543</v>
      </c>
      <c r="H1292" s="1" t="str">
        <f>IFERROR(__xludf.DUMMYFUNCTION("GOOGLETRANSLATE(D1292,""EN"",""JA"")"),"ケモカイン（C-X-Cモチーフ）リガンド9")</f>
        <v>ケモカイン（C-X-Cモチーフ）リガンド9</v>
      </c>
      <c r="I1292" s="1" t="str">
        <f>IFERROR(__xludf.DUMMYFUNCTION("GOOGLETRANSLATE(E1292,""EN"",""JA"")"),"ケモカイン（C-X-Cモチーフ）リガンド9; CMK; crg-10; Humig; MIG; ガンマインターフェロン誘導モノカイン; SCYB9")</f>
        <v>ケモカイン（C-X-Cモチーフ）リガンド9; CMK; crg-10; Humig; MIG; ガンマインターフェロン誘導モノカイン; SCYB9</v>
      </c>
      <c r="J1292" s="1" t="str">
        <f>IFERROR(__xludf.DUMMYFUNCTION("GOOGLETRANSLATE(F1292,""EN"",""JA"")"),"生物標本中のケモカイン（C-X-C モチーフ）リガンド 9 である CXCL9 の測定。")</f>
        <v>生物標本中のケモカイン（C-X-C モチーフ）リガンド 9 である CXCL9 の測定。</v>
      </c>
      <c r="K1292" s="1" t="str">
        <f>IFERROR(__xludf.DUMMYFUNCTION("GOOGLETRANSLATE(G1292,""EN"",""JA"")"),"ケモカイン（C-X-Cモチーフ）リガンド9の測定")</f>
        <v>ケモカイン（C-X-Cモチーフ）リガンド9の測定</v>
      </c>
    </row>
    <row r="1293" ht="13.5" customHeight="1">
      <c r="A1293" s="1" t="s">
        <v>11</v>
      </c>
      <c r="B1293" s="1" t="s">
        <v>6544</v>
      </c>
      <c r="C1293" s="1" t="s">
        <v>6545</v>
      </c>
      <c r="D1293" s="1" t="s">
        <v>6546</v>
      </c>
      <c r="E1293" s="1" t="s">
        <v>6547</v>
      </c>
      <c r="F1293" s="1" t="s">
        <v>6548</v>
      </c>
      <c r="G1293" s="1" t="s">
        <v>6549</v>
      </c>
      <c r="H1293" s="1" t="str">
        <f>IFERROR(__xludf.DUMMYFUNCTION("GOOGLETRANSLATE(D1293,""EN"",""JA"")"),"ケモカイン（C-X-Cモチーフ）受容体3")</f>
        <v>ケモカイン（C-X-Cモチーフ）受容体3</v>
      </c>
      <c r="I1293" s="1" t="str">
        <f>IFERROR(__xludf.DUMMYFUNCTION("GOOGLETRANSLATE(E1293,""EN"",""JA"")"),"ケモカイン（C-X-Cモチーフ）受容体3; CXCR3; GPR9; 可溶性CD183")</f>
        <v>ケモカイン（C-X-Cモチーフ）受容体3; CXCR3; GPR9; 可溶性CD183</v>
      </c>
      <c r="J1293" s="1" t="str">
        <f>IFERROR(__xludf.DUMMYFUNCTION("GOOGLETRANSLATE(F1293,""EN"",""JA"")"),"生物標本中のケモカイン（C-X-C モチーフ）受容体 3 である CXCR3 の測定。")</f>
        <v>生物標本中のケモカイン（C-X-C モチーフ）受容体 3 である CXCR3 の測定。</v>
      </c>
      <c r="K1293" s="1" t="str">
        <f>IFERROR(__xludf.DUMMYFUNCTION("GOOGLETRANSLATE(G1293,""EN"",""JA"")"),"ケモカイン受容体CXCR3の測定")</f>
        <v>ケモカイン受容体CXCR3の測定</v>
      </c>
    </row>
    <row r="1294" ht="13.5" customHeight="1">
      <c r="A1294" s="1" t="s">
        <v>11</v>
      </c>
      <c r="B1294" s="1" t="s">
        <v>6550</v>
      </c>
      <c r="C1294" s="1" t="s">
        <v>6551</v>
      </c>
      <c r="D1294" s="1" t="s">
        <v>6552</v>
      </c>
      <c r="E1294" s="1" t="s">
        <v>6553</v>
      </c>
      <c r="F1294" s="1" t="s">
        <v>6554</v>
      </c>
      <c r="G1294" s="1" t="s">
        <v>6555</v>
      </c>
      <c r="H1294" s="1" t="str">
        <f>IFERROR(__xludf.DUMMYFUNCTION("GOOGLETRANSLATE(D1294,""EN"",""JA"")"),"ケモカイン（C-X-Cモチーフ）受容体4")</f>
        <v>ケモカイン（C-X-Cモチーフ）受容体4</v>
      </c>
      <c r="I1294" s="1" t="str">
        <f>IFERROR(__xludf.DUMMYFUNCTION("GOOGLETRANSLATE(E1294,""EN"",""JA"")"),"ケモカイン（C-X-Cモチーフ）受容体4; LPS関連タンパク質3; 可溶性CD184; 間質細胞由来因子1受容体")</f>
        <v>ケモカイン（C-X-Cモチーフ）受容体4; LPS関連タンパク質3; 可溶性CD184; 間質細胞由来因子1受容体</v>
      </c>
      <c r="J1294" s="1" t="str">
        <f>IFERROR(__xludf.DUMMYFUNCTION("GOOGLETRANSLATE(F1294,""EN"",""JA"")"),"生物標本中のケモカイン（C-X-C モチーフ）受容体 4 である CXCR4 の測定。")</f>
        <v>生物標本中のケモカイン（C-X-C モチーフ）受容体 4 である CXCR4 の測定。</v>
      </c>
      <c r="K1294" s="1" t="str">
        <f>IFERROR(__xludf.DUMMYFUNCTION("GOOGLETRANSLATE(G1294,""EN"",""JA"")"),"C-X-Cケモカイン受容体4型測定")</f>
        <v>C-X-Cケモカイン受容体4型測定</v>
      </c>
    </row>
    <row r="1295" ht="13.5" customHeight="1">
      <c r="A1295" s="1" t="s">
        <v>134</v>
      </c>
      <c r="B1295" s="1" t="s">
        <v>6556</v>
      </c>
      <c r="C1295" s="1" t="s">
        <v>6557</v>
      </c>
      <c r="D1295" s="1" t="s">
        <v>6558</v>
      </c>
      <c r="E1295" s="1" t="s">
        <v>6558</v>
      </c>
      <c r="F1295" s="1" t="s">
        <v>6559</v>
      </c>
      <c r="G1295" s="1" t="s">
        <v>6560</v>
      </c>
      <c r="H1295" s="1" t="str">
        <f>IFERROR(__xludf.DUMMYFUNCTION("GOOGLETRANSLATE(D1295,""EN"",""JA"")"),"サイトケラチン16")</f>
        <v>サイトケラチン16</v>
      </c>
      <c r="I1295" s="1" t="str">
        <f>IFERROR(__xludf.DUMMYFUNCTION("GOOGLETRANSLATE(E1295,""EN"",""JA"")"),"サイトケラチン16")</f>
        <v>サイトケラチン16</v>
      </c>
      <c r="J1295" s="1" t="str">
        <f>IFERROR(__xludf.DUMMYFUNCTION("GOOGLETRANSLATE(F1295,""EN"",""JA"")"),"生物標本中のサイトケラチン 16 の測定。")</f>
        <v>生物標本中のサイトケラチン 16 の測定。</v>
      </c>
      <c r="K1295" s="1" t="str">
        <f>IFERROR(__xludf.DUMMYFUNCTION("GOOGLETRANSLATE(G1295,""EN"",""JA"")"),"サイトケラチン16測定")</f>
        <v>サイトケラチン16測定</v>
      </c>
    </row>
    <row r="1296" ht="13.5" customHeight="1">
      <c r="A1296" s="1" t="s">
        <v>11</v>
      </c>
      <c r="B1296" s="1" t="s">
        <v>6561</v>
      </c>
      <c r="C1296" s="1" t="s">
        <v>6562</v>
      </c>
      <c r="D1296" s="1" t="s">
        <v>6563</v>
      </c>
      <c r="E1296" s="1" t="s">
        <v>6564</v>
      </c>
      <c r="F1296" s="1" t="s">
        <v>6565</v>
      </c>
      <c r="G1296" s="1" t="s">
        <v>6566</v>
      </c>
      <c r="H1296" s="1" t="str">
        <f>IFERROR(__xludf.DUMMYFUNCTION("GOOGLETRANSLATE(D1296,""EN"",""JA"")"),"アンモニウムビウレート結晶")</f>
        <v>アンモニウムビウレート結晶</v>
      </c>
      <c r="I1296" s="1" t="str">
        <f>IFERROR(__xludf.DUMMYFUNCTION("GOOGLETRANSLATE(E1296,""EN"",""JA"")"),"酸性尿酸アンモニウム結晶; 重尿酸アンモニウム結晶; 尿酸アンモニウム結晶")</f>
        <v>酸性尿酸アンモニウム結晶; 重尿酸アンモニウム結晶; 尿酸アンモニウム結晶</v>
      </c>
      <c r="J1296" s="1" t="str">
        <f>IFERROR(__xludf.DUMMYFUNCTION("GOOGLETRANSLATE(F1296,""EN"",""JA"")"),"生物標本中に存在する重尿酸アンモニウム結晶の測定。")</f>
        <v>生物標本中に存在する重尿酸アンモニウム結晶の測定。</v>
      </c>
      <c r="K1296" s="1" t="str">
        <f>IFERROR(__xludf.DUMMYFUNCTION("GOOGLETRANSLATE(G1296,""EN"",""JA"")"),"アンモニウムビウレート結晶の測定")</f>
        <v>アンモニウムビウレート結晶の測定</v>
      </c>
    </row>
    <row r="1297" ht="13.5" customHeight="1">
      <c r="A1297" s="1" t="s">
        <v>11</v>
      </c>
      <c r="B1297" s="1" t="s">
        <v>6567</v>
      </c>
      <c r="C1297" s="1" t="s">
        <v>6568</v>
      </c>
      <c r="D1297" s="1" t="s">
        <v>6569</v>
      </c>
      <c r="E1297" s="1" t="s">
        <v>6569</v>
      </c>
      <c r="F1297" s="1" t="s">
        <v>6570</v>
      </c>
      <c r="G1297" s="1" t="s">
        <v>6571</v>
      </c>
      <c r="H1297" s="1" t="str">
        <f>IFERROR(__xludf.DUMMYFUNCTION("GOOGLETRANSLATE(D1297,""EN"",""JA"")"),"シュウ酸アンモニウム結晶")</f>
        <v>シュウ酸アンモニウム結晶</v>
      </c>
      <c r="I1297" s="1" t="str">
        <f>IFERROR(__xludf.DUMMYFUNCTION("GOOGLETRANSLATE(E1297,""EN"",""JA"")"),"シュウ酸アンモニウム結晶")</f>
        <v>シュウ酸アンモニウム結晶</v>
      </c>
      <c r="J1297" s="1" t="str">
        <f>IFERROR(__xludf.DUMMYFUNCTION("GOOGLETRANSLATE(F1297,""EN"",""JA"")"),"生物標本中のシュウ酸アンモニウム結晶の測定。")</f>
        <v>生物標本中のシュウ酸アンモニウム結晶の測定。</v>
      </c>
      <c r="K1297" s="1" t="str">
        <f>IFERROR(__xludf.DUMMYFUNCTION("GOOGLETRANSLATE(G1297,""EN"",""JA"")"),"シュウ酸アンモニウム結晶測定")</f>
        <v>シュウ酸アンモニウム結晶測定</v>
      </c>
    </row>
    <row r="1298" ht="13.5" customHeight="1">
      <c r="A1298" s="1" t="s">
        <v>11</v>
      </c>
      <c r="B1298" s="1" t="s">
        <v>6572</v>
      </c>
      <c r="C1298" s="1" t="s">
        <v>6573</v>
      </c>
      <c r="D1298" s="1" t="s">
        <v>6574</v>
      </c>
      <c r="E1298" s="1" t="s">
        <v>6574</v>
      </c>
      <c r="F1298" s="1" t="s">
        <v>6575</v>
      </c>
      <c r="G1298" s="1" t="s">
        <v>6576</v>
      </c>
      <c r="H1298" s="1" t="str">
        <f>IFERROR(__xludf.DUMMYFUNCTION("GOOGLETRANSLATE(D1298,""EN"",""JA"")"),"非晶質結晶")</f>
        <v>非晶質結晶</v>
      </c>
      <c r="I1298" s="1" t="str">
        <f>IFERROR(__xludf.DUMMYFUNCTION("GOOGLETRANSLATE(E1298,""EN"",""JA"")"),"非晶質結晶")</f>
        <v>非晶質結晶</v>
      </c>
      <c r="J1298" s="1" t="str">
        <f>IFERROR(__xludf.DUMMYFUNCTION("GOOGLETRANSLATE(F1298,""EN"",""JA"")"),"生物標本中に存在する非晶質（注：pH に応じてリン酸または尿酸）結晶の測定値。")</f>
        <v>生物標本中に存在する非晶質（注：pH に応じてリン酸または尿酸）結晶の測定値。</v>
      </c>
      <c r="K1298" s="1" t="str">
        <f>IFERROR(__xludf.DUMMYFUNCTION("GOOGLETRANSLATE(G1298,""EN"",""JA"")"),"非晶質結晶測定")</f>
        <v>非晶質結晶測定</v>
      </c>
    </row>
    <row r="1299" ht="13.5" customHeight="1">
      <c r="A1299" s="1" t="s">
        <v>11</v>
      </c>
      <c r="B1299" s="1" t="s">
        <v>6577</v>
      </c>
      <c r="C1299" s="1" t="s">
        <v>6578</v>
      </c>
      <c r="D1299" s="1" t="s">
        <v>6579</v>
      </c>
      <c r="E1299" s="1" t="s">
        <v>6579</v>
      </c>
      <c r="F1299" s="1" t="s">
        <v>6580</v>
      </c>
      <c r="G1299" s="1" t="s">
        <v>6581</v>
      </c>
      <c r="H1299" s="1" t="str">
        <f>IFERROR(__xludf.DUMMYFUNCTION("GOOGLETRANSLATE(D1299,""EN"",""JA"")"),"非晶質リン酸塩結晶")</f>
        <v>非晶質リン酸塩結晶</v>
      </c>
      <c r="I1299" s="1" t="str">
        <f>IFERROR(__xludf.DUMMYFUNCTION("GOOGLETRANSLATE(E1299,""EN"",""JA"")"),"非晶質リン酸塩結晶")</f>
        <v>非晶質リン酸塩結晶</v>
      </c>
      <c r="J1299" s="1" t="str">
        <f>IFERROR(__xludf.DUMMYFUNCTION("GOOGLETRANSLATE(F1299,""EN"",""JA"")"),"生物標本中の非晶質リン酸結晶の測定。")</f>
        <v>生物標本中の非晶質リン酸結晶の測定。</v>
      </c>
      <c r="K1299" s="1" t="str">
        <f>IFERROR(__xludf.DUMMYFUNCTION("GOOGLETRANSLATE(G1299,""EN"",""JA"")"),"非晶質リン酸塩結晶の測定")</f>
        <v>非晶質リン酸塩結晶の測定</v>
      </c>
    </row>
    <row r="1300" ht="13.5" customHeight="1">
      <c r="A1300" s="1" t="s">
        <v>11</v>
      </c>
      <c r="B1300" s="1" t="s">
        <v>6582</v>
      </c>
      <c r="C1300" s="1" t="s">
        <v>6583</v>
      </c>
      <c r="D1300" s="1" t="s">
        <v>6584</v>
      </c>
      <c r="E1300" s="1" t="s">
        <v>6584</v>
      </c>
      <c r="F1300" s="1" t="s">
        <v>6585</v>
      </c>
      <c r="G1300" s="1" t="s">
        <v>6586</v>
      </c>
      <c r="H1300" s="1" t="str">
        <f>IFERROR(__xludf.DUMMYFUNCTION("GOOGLETRANSLATE(D1300,""EN"",""JA"")"),"非晶質尿酸結晶")</f>
        <v>非晶質尿酸結晶</v>
      </c>
      <c r="I1300" s="1" t="str">
        <f>IFERROR(__xludf.DUMMYFUNCTION("GOOGLETRANSLATE(E1300,""EN"",""JA"")"),"非晶質尿酸結晶")</f>
        <v>非晶質尿酸結晶</v>
      </c>
      <c r="J1300" s="1" t="str">
        <f>IFERROR(__xludf.DUMMYFUNCTION("GOOGLETRANSLATE(F1300,""EN"",""JA"")"),"生物標本中の非晶質尿酸結晶の測定。")</f>
        <v>生物標本中の非晶質尿酸結晶の測定。</v>
      </c>
      <c r="K1300" s="1" t="str">
        <f>IFERROR(__xludf.DUMMYFUNCTION("GOOGLETRANSLATE(G1300,""EN"",""JA"")"),"非晶質尿酸結晶の測定")</f>
        <v>非晶質尿酸結晶の測定</v>
      </c>
    </row>
    <row r="1301" ht="13.5" customHeight="1">
      <c r="A1301" s="1" t="s">
        <v>67</v>
      </c>
      <c r="B1301" s="1" t="s">
        <v>6587</v>
      </c>
      <c r="C1301" s="1" t="s">
        <v>6588</v>
      </c>
      <c r="D1301" s="1" t="s">
        <v>6589</v>
      </c>
      <c r="E1301" s="1" t="s">
        <v>6589</v>
      </c>
      <c r="F1301" s="1" t="s">
        <v>6590</v>
      </c>
      <c r="G1301" s="1" t="s">
        <v>6591</v>
      </c>
      <c r="H1301" s="1" t="str">
        <f>IFERROR(__xludf.DUMMYFUNCTION("GOOGLETRANSLATE(D1301,""EN"",""JA"")"),"シアノバクテリア")</f>
        <v>シアノバクテリア</v>
      </c>
      <c r="I1301" s="1" t="str">
        <f>IFERROR(__xludf.DUMMYFUNCTION("GOOGLETRANSLATE(E1301,""EN"",""JA"")"),"シアノバクテリア")</f>
        <v>シアノバクテリア</v>
      </c>
      <c r="J1301" s="1" t="str">
        <f>IFERROR(__xludf.DUMMYFUNCTION("GOOGLETRANSLATE(F1301,""EN"",""JA"")"),"生物標本において、種レベルには割り当てられず、シアノバクテリア門レベルに割り当てられる生物の測定値。")</f>
        <v>生物標本において、種レベルには割り当てられず、シアノバクテリア門レベルに割り当てられる生物の測定値。</v>
      </c>
      <c r="K1301" s="1" t="str">
        <f>IFERROR(__xludf.DUMMYFUNCTION("GOOGLETRANSLATE(G1301,""EN"",""JA"")"),"シアノバクテリアの測定")</f>
        <v>シアノバクテリアの測定</v>
      </c>
    </row>
    <row r="1302" ht="13.5" customHeight="1">
      <c r="A1302" s="1" t="s">
        <v>11</v>
      </c>
      <c r="B1302" s="1" t="s">
        <v>6592</v>
      </c>
      <c r="C1302" s="1" t="s">
        <v>6593</v>
      </c>
      <c r="D1302" s="1" t="s">
        <v>6594</v>
      </c>
      <c r="E1302" s="1" t="s">
        <v>6594</v>
      </c>
      <c r="F1302" s="1" t="s">
        <v>6595</v>
      </c>
      <c r="G1302" s="1" t="s">
        <v>6596</v>
      </c>
      <c r="H1302" s="1" t="str">
        <f>IFERROR(__xludf.DUMMYFUNCTION("GOOGLETRANSLATE(D1302,""EN"",""JA"")"),"ビリルビン結晶")</f>
        <v>ビリルビン結晶</v>
      </c>
      <c r="I1302" s="1" t="str">
        <f>IFERROR(__xludf.DUMMYFUNCTION("GOOGLETRANSLATE(E1302,""EN"",""JA"")"),"ビリルビン結晶")</f>
        <v>ビリルビン結晶</v>
      </c>
      <c r="J1302" s="1" t="str">
        <f>IFERROR(__xludf.DUMMYFUNCTION("GOOGLETRANSLATE(F1302,""EN"",""JA"")"),"生物標本中に存在するビリルビン結晶の測定。")</f>
        <v>生物標本中に存在するビリルビン結晶の測定。</v>
      </c>
      <c r="K1302" s="1" t="str">
        <f>IFERROR(__xludf.DUMMYFUNCTION("GOOGLETRANSLATE(G1302,""EN"",""JA"")"),"ビリルビン結晶測定")</f>
        <v>ビリルビン結晶測定</v>
      </c>
    </row>
    <row r="1303" ht="13.5" customHeight="1">
      <c r="A1303" s="1" t="s">
        <v>11</v>
      </c>
      <c r="B1303" s="1" t="s">
        <v>6597</v>
      </c>
      <c r="C1303" s="1" t="s">
        <v>6598</v>
      </c>
      <c r="D1303" s="1" t="s">
        <v>6599</v>
      </c>
      <c r="E1303" s="1" t="s">
        <v>6599</v>
      </c>
      <c r="F1303" s="1" t="s">
        <v>6600</v>
      </c>
      <c r="G1303" s="1" t="s">
        <v>6601</v>
      </c>
      <c r="H1303" s="1" t="str">
        <f>IFERROR(__xludf.DUMMYFUNCTION("GOOGLETRANSLATE(D1303,""EN"",""JA"")"),"炭酸カルシウム結晶")</f>
        <v>炭酸カルシウム結晶</v>
      </c>
      <c r="I1303" s="1" t="str">
        <f>IFERROR(__xludf.DUMMYFUNCTION("GOOGLETRANSLATE(E1303,""EN"",""JA"")"),"炭酸カルシウム結晶")</f>
        <v>炭酸カルシウム結晶</v>
      </c>
      <c r="J1303" s="1" t="str">
        <f>IFERROR(__xludf.DUMMYFUNCTION("GOOGLETRANSLATE(F1303,""EN"",""JA"")"),"生物標本中に存在する炭酸カルシウム結晶の測定。")</f>
        <v>生物標本中に存在する炭酸カルシウム結晶の測定。</v>
      </c>
      <c r="K1303" s="1" t="str">
        <f>IFERROR(__xludf.DUMMYFUNCTION("GOOGLETRANSLATE(G1303,""EN"",""JA"")"),"炭酸カルシウム結晶測定")</f>
        <v>炭酸カルシウム結晶測定</v>
      </c>
    </row>
    <row r="1304" ht="13.5" customHeight="1">
      <c r="A1304" s="1" t="s">
        <v>11</v>
      </c>
      <c r="B1304" s="1" t="s">
        <v>6602</v>
      </c>
      <c r="C1304" s="1" t="s">
        <v>6603</v>
      </c>
      <c r="D1304" s="1" t="s">
        <v>6604</v>
      </c>
      <c r="E1304" s="1" t="s">
        <v>6604</v>
      </c>
      <c r="F1304" s="1" t="s">
        <v>6605</v>
      </c>
      <c r="G1304" s="1" t="s">
        <v>6606</v>
      </c>
      <c r="H1304" s="1" t="str">
        <f>IFERROR(__xludf.DUMMYFUNCTION("GOOGLETRANSLATE(D1304,""EN"",""JA"")"),"シュウ酸カルシウム結晶")</f>
        <v>シュウ酸カルシウム結晶</v>
      </c>
      <c r="I1304" s="1" t="str">
        <f>IFERROR(__xludf.DUMMYFUNCTION("GOOGLETRANSLATE(E1304,""EN"",""JA"")"),"シュウ酸カルシウム結晶")</f>
        <v>シュウ酸カルシウム結晶</v>
      </c>
      <c r="J1304" s="1" t="str">
        <f>IFERROR(__xludf.DUMMYFUNCTION("GOOGLETRANSLATE(F1304,""EN"",""JA"")"),"生物標本中に存在するシュウ酸カルシウム結晶の測定。")</f>
        <v>生物標本中に存在するシュウ酸カルシウム結晶の測定。</v>
      </c>
      <c r="K1304" s="1" t="str">
        <f>IFERROR(__xludf.DUMMYFUNCTION("GOOGLETRANSLATE(G1304,""EN"",""JA"")"),"シュウ酸カルシウム結晶の測定")</f>
        <v>シュウ酸カルシウム結晶の測定</v>
      </c>
    </row>
    <row r="1305" ht="13.5" customHeight="1">
      <c r="A1305" s="1" t="s">
        <v>11</v>
      </c>
      <c r="B1305" s="1" t="s">
        <v>6607</v>
      </c>
      <c r="C1305" s="1" t="s">
        <v>6608</v>
      </c>
      <c r="D1305" s="1" t="s">
        <v>6609</v>
      </c>
      <c r="E1305" s="1" t="s">
        <v>6609</v>
      </c>
      <c r="F1305" s="1" t="s">
        <v>6610</v>
      </c>
      <c r="G1305" s="1" t="s">
        <v>6611</v>
      </c>
      <c r="H1305" s="1" t="str">
        <f>IFERROR(__xludf.DUMMYFUNCTION("GOOGLETRANSLATE(D1305,""EN"",""JA"")"),"リン酸カルシウム結晶")</f>
        <v>リン酸カルシウム結晶</v>
      </c>
      <c r="I1305" s="1" t="str">
        <f>IFERROR(__xludf.DUMMYFUNCTION("GOOGLETRANSLATE(E1305,""EN"",""JA"")"),"リン酸カルシウム結晶")</f>
        <v>リン酸カルシウム結晶</v>
      </c>
      <c r="J1305" s="1" t="str">
        <f>IFERROR(__xludf.DUMMYFUNCTION("GOOGLETRANSLATE(F1305,""EN"",""JA"")"),"生物標本中に存在するリン酸カルシウム結晶の測定。")</f>
        <v>生物標本中に存在するリン酸カルシウム結晶の測定。</v>
      </c>
      <c r="K1305" s="1" t="str">
        <f>IFERROR(__xludf.DUMMYFUNCTION("GOOGLETRANSLATE(G1305,""EN"",""JA"")"),"リン酸カルシウム結晶測定")</f>
        <v>リン酸カルシウム結晶測定</v>
      </c>
    </row>
    <row r="1306" ht="13.5" customHeight="1">
      <c r="A1306" s="1" t="s">
        <v>11</v>
      </c>
      <c r="B1306" s="1" t="s">
        <v>6612</v>
      </c>
      <c r="C1306" s="1" t="s">
        <v>6613</v>
      </c>
      <c r="D1306" s="1" t="s">
        <v>6614</v>
      </c>
      <c r="E1306" s="1" t="s">
        <v>6614</v>
      </c>
      <c r="F1306" s="1" t="s">
        <v>6615</v>
      </c>
      <c r="G1306" s="1" t="s">
        <v>6616</v>
      </c>
      <c r="H1306" s="1" t="str">
        <f>IFERROR(__xludf.DUMMYFUNCTION("GOOGLETRANSLATE(D1306,""EN"",""JA"")"),"硫酸カルシウム結晶")</f>
        <v>硫酸カルシウム結晶</v>
      </c>
      <c r="I1306" s="1" t="str">
        <f>IFERROR(__xludf.DUMMYFUNCTION("GOOGLETRANSLATE(E1306,""EN"",""JA"")"),"硫酸カルシウム結晶")</f>
        <v>硫酸カルシウム結晶</v>
      </c>
      <c r="J1306" s="1" t="str">
        <f>IFERROR(__xludf.DUMMYFUNCTION("GOOGLETRANSLATE(F1306,""EN"",""JA"")"),"生物標本中に存在する硫酸カルシウム結晶の測定。")</f>
        <v>生物標本中に存在する硫酸カルシウム結晶の測定。</v>
      </c>
      <c r="K1306" s="1" t="str">
        <f>IFERROR(__xludf.DUMMYFUNCTION("GOOGLETRANSLATE(G1306,""EN"",""JA"")"),"硫酸カルシウム結晶の測定")</f>
        <v>硫酸カルシウム結晶の測定</v>
      </c>
    </row>
    <row r="1307" ht="13.5" customHeight="1">
      <c r="A1307" s="1" t="s">
        <v>11</v>
      </c>
      <c r="B1307" s="1" t="s">
        <v>6617</v>
      </c>
      <c r="C1307" s="1" t="s">
        <v>6618</v>
      </c>
      <c r="D1307" s="1" t="s">
        <v>6619</v>
      </c>
      <c r="E1307" s="1" t="s">
        <v>6619</v>
      </c>
      <c r="F1307" s="1" t="s">
        <v>6620</v>
      </c>
      <c r="G1307" s="1" t="s">
        <v>6621</v>
      </c>
      <c r="H1307" s="1" t="str">
        <f>IFERROR(__xludf.DUMMYFUNCTION("GOOGLETRANSLATE(D1307,""EN"",""JA"")"),"コレステロール結晶")</f>
        <v>コレステロール結晶</v>
      </c>
      <c r="I1307" s="1" t="str">
        <f>IFERROR(__xludf.DUMMYFUNCTION("GOOGLETRANSLATE(E1307,""EN"",""JA"")"),"コレステロール結晶")</f>
        <v>コレステロール結晶</v>
      </c>
      <c r="J1307" s="1" t="str">
        <f>IFERROR(__xludf.DUMMYFUNCTION("GOOGLETRANSLATE(F1307,""EN"",""JA"")"),"生物標本中に存在するコレステロール結晶の測定。")</f>
        <v>生物標本中に存在するコレステロール結晶の測定。</v>
      </c>
      <c r="K1307" s="1" t="str">
        <f>IFERROR(__xludf.DUMMYFUNCTION("GOOGLETRANSLATE(G1307,""EN"",""JA"")"),"コレステロール結晶測定")</f>
        <v>コレステロール結晶測定</v>
      </c>
    </row>
    <row r="1308" ht="13.5" customHeight="1">
      <c r="A1308" s="1" t="s">
        <v>11</v>
      </c>
      <c r="B1308" s="1" t="s">
        <v>6622</v>
      </c>
      <c r="C1308" s="1" t="s">
        <v>6623</v>
      </c>
      <c r="D1308" s="1" t="s">
        <v>6624</v>
      </c>
      <c r="E1308" s="1" t="s">
        <v>6625</v>
      </c>
      <c r="F1308" s="1" t="s">
        <v>6626</v>
      </c>
      <c r="G1308" s="1" t="s">
        <v>6627</v>
      </c>
      <c r="H1308" s="1" t="str">
        <f>IFERROR(__xludf.DUMMYFUNCTION("GOOGLETRANSLATE(D1308,""EN"",""JA"")"),"シャルコー・ライデン結晶")</f>
        <v>シャルコー・ライデン結晶</v>
      </c>
      <c r="I1308" s="1" t="str">
        <f>IFERROR(__xludf.DUMMYFUNCTION("GOOGLETRANSLATE(E1308,""EN"",""JA"")"),"シャルコー・ライデン結晶; シャルコー・ライデン結晶; CLC; ガレクチン-10結晶")</f>
        <v>シャルコー・ライデン結晶; シャルコー・ライデン結晶; CLC; ガレクチン-10結晶</v>
      </c>
      <c r="J1308" s="1" t="str">
        <f>IFERROR(__xludf.DUMMYFUNCTION("GOOGLETRANSLATE(F1308,""EN"",""JA"")"),"生物標本中に存在するシャルコー・ライデン結晶の測定。")</f>
        <v>生物標本中に存在するシャルコー・ライデン結晶の測定。</v>
      </c>
      <c r="K1308" s="1" t="str">
        <f>IFERROR(__xludf.DUMMYFUNCTION("GOOGLETRANSLATE(G1308,""EN"",""JA"")"),"シャルコー・ライデン結晶測定")</f>
        <v>シャルコー・ライデン結晶測定</v>
      </c>
    </row>
    <row r="1309" ht="13.5" customHeight="1">
      <c r="A1309" s="1" t="s">
        <v>11</v>
      </c>
      <c r="B1309" s="1" t="s">
        <v>6628</v>
      </c>
      <c r="C1309" s="1" t="s">
        <v>6629</v>
      </c>
      <c r="D1309" s="1" t="s">
        <v>6630</v>
      </c>
      <c r="E1309" s="1" t="s">
        <v>6630</v>
      </c>
      <c r="F1309" s="1" t="s">
        <v>6631</v>
      </c>
      <c r="G1309" s="1" t="s">
        <v>6632</v>
      </c>
      <c r="H1309" s="1" t="str">
        <f>IFERROR(__xludf.DUMMYFUNCTION("GOOGLETRANSLATE(D1309,""EN"",""JA"")"),"シスチン結晶")</f>
        <v>シスチン結晶</v>
      </c>
      <c r="I1309" s="1" t="str">
        <f>IFERROR(__xludf.DUMMYFUNCTION("GOOGLETRANSLATE(E1309,""EN"",""JA"")"),"シスチン結晶")</f>
        <v>シスチン結晶</v>
      </c>
      <c r="J1309" s="1" t="str">
        <f>IFERROR(__xludf.DUMMYFUNCTION("GOOGLETRANSLATE(F1309,""EN"",""JA"")"),"生物標本中に存在するシスチン結晶の測定。")</f>
        <v>生物標本中に存在するシスチン結晶の測定。</v>
      </c>
      <c r="K1309" s="1" t="str">
        <f>IFERROR(__xludf.DUMMYFUNCTION("GOOGLETRANSLATE(G1309,""EN"",""JA"")"),"シスチン結晶測定")</f>
        <v>シスチン結晶測定</v>
      </c>
    </row>
    <row r="1310" ht="13.5" customHeight="1">
      <c r="A1310" s="1" t="s">
        <v>11</v>
      </c>
      <c r="B1310" s="1" t="s">
        <v>6633</v>
      </c>
      <c r="C1310" s="1" t="s">
        <v>6634</v>
      </c>
      <c r="D1310" s="1" t="s">
        <v>6635</v>
      </c>
      <c r="E1310" s="1" t="s">
        <v>6635</v>
      </c>
      <c r="F1310" s="1" t="s">
        <v>6636</v>
      </c>
      <c r="G1310" s="1" t="s">
        <v>6637</v>
      </c>
      <c r="H1310" s="1" t="str">
        <f>IFERROR(__xludf.DUMMYFUNCTION("GOOGLETRANSLATE(D1310,""EN"",""JA"")"),"リン酸二カルシウム結晶")</f>
        <v>リン酸二カルシウム結晶</v>
      </c>
      <c r="I1310" s="1" t="str">
        <f>IFERROR(__xludf.DUMMYFUNCTION("GOOGLETRANSLATE(E1310,""EN"",""JA"")"),"リン酸二カルシウム結晶")</f>
        <v>リン酸二カルシウム結晶</v>
      </c>
      <c r="J1310" s="1" t="str">
        <f>IFERROR(__xludf.DUMMYFUNCTION("GOOGLETRANSLATE(F1310,""EN"",""JA"")"),"生物標本中のリン酸二カルシウム結晶の測定。")</f>
        <v>生物標本中のリン酸二カルシウム結晶の測定。</v>
      </c>
      <c r="K1310" s="1" t="str">
        <f>IFERROR(__xludf.DUMMYFUNCTION("GOOGLETRANSLATE(G1310,""EN"",""JA"")"),"リン酸二カルシウム結晶の測定")</f>
        <v>リン酸二カルシウム結晶の測定</v>
      </c>
    </row>
    <row r="1311" ht="13.5" customHeight="1">
      <c r="A1311" s="1" t="s">
        <v>11</v>
      </c>
      <c r="B1311" s="1" t="s">
        <v>6638</v>
      </c>
      <c r="C1311" s="1" t="s">
        <v>6639</v>
      </c>
      <c r="D1311" s="1" t="s">
        <v>6640</v>
      </c>
      <c r="E1311" s="1" t="s">
        <v>6640</v>
      </c>
      <c r="F1311" s="1" t="s">
        <v>6641</v>
      </c>
      <c r="G1311" s="1" t="s">
        <v>6642</v>
      </c>
      <c r="H1311" s="1" t="str">
        <f>IFERROR(__xludf.DUMMYFUNCTION("GOOGLETRANSLATE(D1311,""EN"",""JA"")"),"薬物結晶")</f>
        <v>薬物結晶</v>
      </c>
      <c r="I1311" s="1" t="str">
        <f>IFERROR(__xludf.DUMMYFUNCTION("GOOGLETRANSLATE(E1311,""EN"",""JA"")"),"薬物結晶")</f>
        <v>薬物結晶</v>
      </c>
      <c r="J1311" s="1" t="str">
        <f>IFERROR(__xludf.DUMMYFUNCTION("GOOGLETRANSLATE(F1311,""EN"",""JA"")"),"生物標本中の薬物結晶の測定。")</f>
        <v>生物標本中の薬物結晶の測定。</v>
      </c>
      <c r="K1311" s="1" t="str">
        <f>IFERROR(__xludf.DUMMYFUNCTION("GOOGLETRANSLATE(G1311,""EN"",""JA"")"),"薬物結晶測定")</f>
        <v>薬物結晶測定</v>
      </c>
    </row>
    <row r="1312" ht="13.5" customHeight="1">
      <c r="A1312" s="1" t="s">
        <v>11</v>
      </c>
      <c r="B1312" s="1" t="s">
        <v>6643</v>
      </c>
      <c r="C1312" s="1" t="s">
        <v>6644</v>
      </c>
      <c r="D1312" s="1" t="s">
        <v>6645</v>
      </c>
      <c r="E1312" s="1" t="s">
        <v>6646</v>
      </c>
      <c r="F1312" s="1" t="s">
        <v>6647</v>
      </c>
      <c r="G1312" s="1" t="s">
        <v>6648</v>
      </c>
      <c r="H1312" s="1" t="str">
        <f>IFERROR(__xludf.DUMMYFUNCTION("GOOGLETRANSLATE(D1312,""EN"",""JA"")"),"2-シアノエチルメルカプツール酸")</f>
        <v>2-シアノエチルメルカプツール酸</v>
      </c>
      <c r="I1312" s="1" t="str">
        <f>IFERROR(__xludf.DUMMYFUNCTION("GOOGLETRANSLATE(E1312,""EN"",""JA"")"),"2-シアノエチルメルカプツール酸; 2-シアノエチルメルカプツール酸; 2-シアノエチルメルカプツール酸; CEMA")</f>
        <v>2-シアノエチルメルカプツール酸; 2-シアノエチルメルカプツール酸; 2-シアノエチルメルカプツール酸; CEMA</v>
      </c>
      <c r="J1312" s="1" t="str">
        <f>IFERROR(__xludf.DUMMYFUNCTION("GOOGLETRANSLATE(F1312,""EN"",""JA"")"),"検体中の2-シアノエチルメルカプツール酸の測定。")</f>
        <v>検体中の2-シアノエチルメルカプツール酸の測定。</v>
      </c>
      <c r="K1312" s="1" t="str">
        <f>IFERROR(__xludf.DUMMYFUNCTION("GOOGLETRANSLATE(G1312,""EN"",""JA"")"),"2-シアノエチルメルカプツール酸測定")</f>
        <v>2-シアノエチルメルカプツール酸測定</v>
      </c>
    </row>
    <row r="1313" ht="13.5" customHeight="1">
      <c r="A1313" s="1" t="s">
        <v>11</v>
      </c>
      <c r="B1313" s="1" t="s">
        <v>6649</v>
      </c>
      <c r="C1313" s="1" t="s">
        <v>6650</v>
      </c>
      <c r="D1313" s="1" t="s">
        <v>6651</v>
      </c>
      <c r="E1313" s="1" t="s">
        <v>6652</v>
      </c>
      <c r="F1313" s="1" t="s">
        <v>6653</v>
      </c>
      <c r="G1313" s="1" t="s">
        <v>6654</v>
      </c>
      <c r="H1313" s="1" t="str">
        <f>IFERROR(__xludf.DUMMYFUNCTION("GOOGLETRANSLATE(D1313,""EN"",""JA"")"),"2-シアノエチルメルカプツール酸システイン")</f>
        <v>2-シアノエチルメルカプツール酸システイン</v>
      </c>
      <c r="I1313" s="1" t="str">
        <f>IFERROR(__xludf.DUMMYFUNCTION("GOOGLETRANSLATE(E1313,""EN"",""JA"")"),"2-シアノエチルメルカプツール酸システイン; 2-シアノエチルメルカプツール酸システイン; 2-シアノエチルメルカプツール酸システイン; 2-CyEMA; N-アセチル-S-(2-シアノエチル)-L-システイン")</f>
        <v>2-シアノエチルメルカプツール酸システイン; 2-シアノエチルメルカプツール酸システイン; 2-シアノエチルメルカプツール酸システイン; 2-CyEMA; N-アセチル-S-(2-シアノエチル)-L-システイン</v>
      </c>
      <c r="J1313" s="1" t="str">
        <f>IFERROR(__xludf.DUMMYFUNCTION("GOOGLETRANSLATE(F1313,""EN"",""JA"")"),"検体中の2-シアノエチルメルカプツール酸システインの測定。")</f>
        <v>検体中の2-シアノエチルメルカプツール酸システインの測定。</v>
      </c>
      <c r="K1313" s="1" t="str">
        <f>IFERROR(__xludf.DUMMYFUNCTION("GOOGLETRANSLATE(G1313,""EN"",""JA"")"),"2-シアノエチルメルカプツール酸システイン測定")</f>
        <v>2-シアノエチルメルカプツール酸システイン測定</v>
      </c>
    </row>
    <row r="1314" ht="13.5" customHeight="1">
      <c r="A1314" s="1" t="s">
        <v>134</v>
      </c>
      <c r="B1314" s="1" t="s">
        <v>6655</v>
      </c>
      <c r="C1314" s="1" t="s">
        <v>6656</v>
      </c>
      <c r="D1314" s="1" t="s">
        <v>6657</v>
      </c>
      <c r="E1314" s="1" t="s">
        <v>6657</v>
      </c>
      <c r="F1314" s="1" t="s">
        <v>6658</v>
      </c>
      <c r="G1314" s="1" t="s">
        <v>6659</v>
      </c>
      <c r="H1314" s="1" t="str">
        <f>IFERROR(__xludf.DUMMYFUNCTION("GOOGLETRANSLATE(D1314,""EN"",""JA"")"),"細胞遺伝学的検査")</f>
        <v>細胞遺伝学的検査</v>
      </c>
      <c r="I1314" s="1" t="str">
        <f>IFERROR(__xludf.DUMMYFUNCTION("GOOGLETRANSLATE(E1314,""EN"",""JA"")"),"細胞遺伝学的検査")</f>
        <v>細胞遺伝学的検査</v>
      </c>
      <c r="J1314" s="1" t="str">
        <f>IFERROR(__xludf.DUMMYFUNCTION("GOOGLETRANSLATE(F1314,""EN"",""JA"")"),"染色体および染色体サブ構造と機能の顕微鏡的分析による評価。")</f>
        <v>染色体および染色体サブ構造と機能の顕微鏡的分析による評価。</v>
      </c>
      <c r="K1314" s="1" t="str">
        <f>IFERROR(__xludf.DUMMYFUNCTION("GOOGLETRANSLATE(G1314,""EN"",""JA"")"),"細胞遺伝学的分析")</f>
        <v>細胞遺伝学的分析</v>
      </c>
    </row>
    <row r="1315" ht="13.5" customHeight="1">
      <c r="A1315" s="1" t="s">
        <v>11</v>
      </c>
      <c r="B1315" s="1" t="s">
        <v>6660</v>
      </c>
      <c r="C1315" s="1" t="s">
        <v>6661</v>
      </c>
      <c r="D1315" s="1" t="s">
        <v>6662</v>
      </c>
      <c r="E1315" s="1" t="s">
        <v>6662</v>
      </c>
      <c r="F1315" s="1" t="s">
        <v>6663</v>
      </c>
      <c r="G1315" s="1" t="s">
        <v>6664</v>
      </c>
      <c r="H1315" s="1" t="str">
        <f>IFERROR(__xludf.DUMMYFUNCTION("GOOGLETRANSLATE(D1315,""EN"",""JA"")"),"サイトケラチン18フラグメント")</f>
        <v>サイトケラチン18フラグメント</v>
      </c>
      <c r="I1315" s="1" t="str">
        <f>IFERROR(__xludf.DUMMYFUNCTION("GOOGLETRANSLATE(E1315,""EN"",""JA"")"),"サイトケラチン18フラグメント")</f>
        <v>サイトケラチン18フラグメント</v>
      </c>
      <c r="J1315" s="1" t="str">
        <f>IFERROR(__xludf.DUMMYFUNCTION("GOOGLETRANSLATE(F1315,""EN"",""JA"")"),"生物標本中のサイトケラチン 18 フラグメントの測定。")</f>
        <v>生物標本中のサイトケラチン 18 フラグメントの測定。</v>
      </c>
      <c r="K1315" s="1" t="str">
        <f>IFERROR(__xludf.DUMMYFUNCTION("GOOGLETRANSLATE(G1315,""EN"",""JA"")"),"サイトケラチン18フラグメント測定")</f>
        <v>サイトケラチン18フラグメント測定</v>
      </c>
    </row>
    <row r="1316" ht="13.5" customHeight="1">
      <c r="A1316" s="1" t="s">
        <v>11</v>
      </c>
      <c r="B1316" s="1" t="s">
        <v>6665</v>
      </c>
      <c r="C1316" s="1" t="s">
        <v>6666</v>
      </c>
      <c r="D1316" s="1" t="s">
        <v>6667</v>
      </c>
      <c r="E1316" s="1" t="s">
        <v>6668</v>
      </c>
      <c r="F1316" s="1" t="s">
        <v>6669</v>
      </c>
      <c r="G1316" s="1" t="s">
        <v>6670</v>
      </c>
      <c r="H1316" s="1" t="str">
        <f>IFERROR(__xludf.DUMMYFUNCTION("GOOGLETRANSLATE(D1316,""EN"",""JA"")"),"サイトケラチン19フラグメント21-1")</f>
        <v>サイトケラチン19フラグメント21-1</v>
      </c>
      <c r="I1316" s="1" t="str">
        <f>IFERROR(__xludf.DUMMYFUNCTION("GOOGLETRANSLATE(E1316,""EN"",""JA"")"),"CYFRA21-1; サイトケラチン19フラグメント21-1")</f>
        <v>CYFRA21-1; サイトケラチン19フラグメント21-1</v>
      </c>
      <c r="J1316" s="1" t="str">
        <f>IFERROR(__xludf.DUMMYFUNCTION("GOOGLETRANSLATE(F1316,""EN"",""JA"")"),"生物標本中のサイトケラチン 19 フラグメント 21-1 の測定。")</f>
        <v>生物標本中のサイトケラチン 19 フラグメント 21-1 の測定。</v>
      </c>
      <c r="K1316" s="1" t="str">
        <f>IFERROR(__xludf.DUMMYFUNCTION("GOOGLETRANSLATE(G1316,""EN"",""JA"")"),"サイトケラチン19フラグメント21-1の測定")</f>
        <v>サイトケラチン19フラグメント21-1の測定</v>
      </c>
    </row>
    <row r="1317" ht="13.5" customHeight="1">
      <c r="A1317" s="1" t="s">
        <v>11</v>
      </c>
      <c r="B1317" s="1" t="s">
        <v>6671</v>
      </c>
      <c r="C1317" s="1" t="s">
        <v>6672</v>
      </c>
      <c r="D1317" s="1" t="s">
        <v>6673</v>
      </c>
      <c r="E1317" s="1" t="s">
        <v>6673</v>
      </c>
      <c r="F1317" s="1" t="s">
        <v>6674</v>
      </c>
      <c r="G1317" s="1" t="s">
        <v>6675</v>
      </c>
      <c r="H1317" s="1" t="str">
        <f>IFERROR(__xludf.DUMMYFUNCTION("GOOGLETRANSLATE(D1317,""EN"",""JA"")"),"ヘモグロビンC結晶")</f>
        <v>ヘモグロビンC結晶</v>
      </c>
      <c r="I1317" s="1" t="str">
        <f>IFERROR(__xludf.DUMMYFUNCTION("GOOGLETRANSLATE(E1317,""EN"",""JA"")"),"ヘモグロビンC結晶")</f>
        <v>ヘモグロビンC結晶</v>
      </c>
      <c r="J1317" s="1" t="str">
        <f>IFERROR(__xludf.DUMMYFUNCTION("GOOGLETRANSLATE(F1317,""EN"",""JA"")"),"生物標本中のヘモグロビン C 結晶の測定。")</f>
        <v>生物標本中のヘモグロビン C 結晶の測定。</v>
      </c>
      <c r="K1317" s="1" t="str">
        <f>IFERROR(__xludf.DUMMYFUNCTION("GOOGLETRANSLATE(G1317,""EN"",""JA"")"),"ヘモグロビンC結晶測定")</f>
        <v>ヘモグロビンC結晶測定</v>
      </c>
    </row>
    <row r="1318" ht="13.5" customHeight="1">
      <c r="A1318" s="1" t="s">
        <v>11</v>
      </c>
      <c r="B1318" s="1" t="s">
        <v>6676</v>
      </c>
      <c r="C1318" s="1" t="s">
        <v>6677</v>
      </c>
      <c r="D1318" s="1" t="s">
        <v>6678</v>
      </c>
      <c r="E1318" s="1" t="s">
        <v>6679</v>
      </c>
      <c r="F1318" s="1" t="s">
        <v>6680</v>
      </c>
      <c r="G1318" s="1" t="s">
        <v>6681</v>
      </c>
      <c r="H1318" s="1" t="str">
        <f>IFERROR(__xludf.DUMMYFUNCTION("GOOGLETRANSLATE(D1318,""EN"",""JA"")"),"馬尿酸結晶")</f>
        <v>馬尿酸結晶</v>
      </c>
      <c r="I1318" s="1" t="str">
        <f>IFERROR(__xludf.DUMMYFUNCTION("GOOGLETRANSLATE(E1318,""EN"",""JA"")"),"馬尿酸結晶; 馬尿酸結晶")</f>
        <v>馬尿酸結晶; 馬尿酸結晶</v>
      </c>
      <c r="J1318" s="1" t="str">
        <f>IFERROR(__xludf.DUMMYFUNCTION("GOOGLETRANSLATE(F1318,""EN"",""JA"")"),"生物標本中に存在する馬尿酸結晶の測定。")</f>
        <v>生物標本中に存在する馬尿酸結晶の測定。</v>
      </c>
      <c r="K1318" s="1" t="str">
        <f>IFERROR(__xludf.DUMMYFUNCTION("GOOGLETRANSLATE(G1318,""EN"",""JA"")"),"馬尿酸結晶測定")</f>
        <v>馬尿酸結晶測定</v>
      </c>
    </row>
    <row r="1319" ht="13.5" customHeight="1">
      <c r="A1319" s="1" t="s">
        <v>201</v>
      </c>
      <c r="B1319" s="1" t="s">
        <v>6682</v>
      </c>
      <c r="C1319" s="1" t="s">
        <v>6683</v>
      </c>
      <c r="D1319" s="1" t="s">
        <v>6684</v>
      </c>
      <c r="E1319" s="1" t="s">
        <v>6684</v>
      </c>
      <c r="F1319" s="1" t="s">
        <v>6685</v>
      </c>
      <c r="G1319" s="1" t="s">
        <v>6686</v>
      </c>
      <c r="H1319" s="1" t="str">
        <f>IFERROR(__xludf.DUMMYFUNCTION("GOOGLETRANSLATE(D1319,""EN"",""JA"")"),"サイトカイン分泌細胞")</f>
        <v>サイトカイン分泌細胞</v>
      </c>
      <c r="I1319" s="1" t="str">
        <f>IFERROR(__xludf.DUMMYFUNCTION("GOOGLETRANSLATE(E1319,""EN"",""JA"")"),"サイトカイン分泌細胞")</f>
        <v>サイトカイン分泌細胞</v>
      </c>
      <c r="J1319" s="1" t="str">
        <f>IFERROR(__xludf.DUMMYFUNCTION("GOOGLETRANSLATE(F1319,""EN"",""JA"")"),"生物標本中のサイトカイン分泌細胞の測定。")</f>
        <v>生物標本中のサイトカイン分泌細胞の測定。</v>
      </c>
      <c r="K1319" s="1" t="str">
        <f>IFERROR(__xludf.DUMMYFUNCTION("GOOGLETRANSLATE(G1319,""EN"",""JA"")"),"サイトカイン分泌細胞の測定")</f>
        <v>サイトカイン分泌細胞の測定</v>
      </c>
    </row>
    <row r="1320" ht="13.5" customHeight="1">
      <c r="A1320" s="1" t="s">
        <v>201</v>
      </c>
      <c r="B1320" s="1" t="s">
        <v>6687</v>
      </c>
      <c r="C1320" s="1" t="s">
        <v>6688</v>
      </c>
      <c r="D1320" s="1" t="s">
        <v>6689</v>
      </c>
      <c r="E1320" s="1" t="s">
        <v>6689</v>
      </c>
      <c r="F1320" s="1" t="s">
        <v>6690</v>
      </c>
      <c r="G1320" s="1" t="s">
        <v>6691</v>
      </c>
      <c r="H1320" s="1" t="str">
        <f>IFERROR(__xludf.DUMMYFUNCTION("GOOGLETRANSLATE(D1320,""EN"",""JA"")"),"サイトカイン分泌T細胞")</f>
        <v>サイトカイン分泌T細胞</v>
      </c>
      <c r="I1320" s="1" t="str">
        <f>IFERROR(__xludf.DUMMYFUNCTION("GOOGLETRANSLATE(E1320,""EN"",""JA"")"),"サイトカイン分泌T細胞")</f>
        <v>サイトカイン分泌T細胞</v>
      </c>
      <c r="J1320" s="1" t="str">
        <f>IFERROR(__xludf.DUMMYFUNCTION("GOOGLETRANSLATE(F1320,""EN"",""JA"")"),"生物学的標本中のサイトカイン分泌Tリンパ球の測定。")</f>
        <v>生物学的標本中のサイトカイン分泌Tリンパ球の測定。</v>
      </c>
      <c r="K1320" s="1" t="str">
        <f>IFERROR(__xludf.DUMMYFUNCTION("GOOGLETRANSLATE(G1320,""EN"",""JA"")"),"サイトカイン分泌Tリンパ球数")</f>
        <v>サイトカイン分泌Tリンパ球数</v>
      </c>
    </row>
    <row r="1321" ht="13.5" customHeight="1">
      <c r="A1321" s="1" t="s">
        <v>11</v>
      </c>
      <c r="B1321" s="1" t="s">
        <v>6692</v>
      </c>
      <c r="C1321" s="1" t="s">
        <v>6693</v>
      </c>
      <c r="D1321" s="1" t="s">
        <v>6694</v>
      </c>
      <c r="E1321" s="1" t="s">
        <v>6694</v>
      </c>
      <c r="F1321" s="1" t="s">
        <v>6695</v>
      </c>
      <c r="G1321" s="1" t="s">
        <v>6696</v>
      </c>
      <c r="H1321" s="1" t="str">
        <f>IFERROR(__xludf.DUMMYFUNCTION("GOOGLETRANSLATE(D1321,""EN"",""JA"")"),"ロイシン結晶")</f>
        <v>ロイシン結晶</v>
      </c>
      <c r="I1321" s="1" t="str">
        <f>IFERROR(__xludf.DUMMYFUNCTION("GOOGLETRANSLATE(E1321,""EN"",""JA"")"),"ロイシン結晶")</f>
        <v>ロイシン結晶</v>
      </c>
      <c r="J1321" s="1" t="str">
        <f>IFERROR(__xludf.DUMMYFUNCTION("GOOGLETRANSLATE(F1321,""EN"",""JA"")"),"生物標本中に存在するロイシン結晶の測定。")</f>
        <v>生物標本中に存在するロイシン結晶の測定。</v>
      </c>
      <c r="K1321" s="1" t="str">
        <f>IFERROR(__xludf.DUMMYFUNCTION("GOOGLETRANSLATE(G1321,""EN"",""JA"")"),"ロイシン結晶測定")</f>
        <v>ロイシン結晶測定</v>
      </c>
    </row>
    <row r="1322" ht="13.5" customHeight="1">
      <c r="A1322" s="1" t="s">
        <v>11</v>
      </c>
      <c r="B1322" s="1" t="s">
        <v>6697</v>
      </c>
      <c r="C1322" s="1" t="s">
        <v>6698</v>
      </c>
      <c r="D1322" s="1" t="s">
        <v>6699</v>
      </c>
      <c r="E1322" s="1" t="s">
        <v>6700</v>
      </c>
      <c r="F1322" s="1" t="s">
        <v>6701</v>
      </c>
      <c r="G1322" s="1" t="s">
        <v>6702</v>
      </c>
      <c r="H1322" s="1" t="str">
        <f>IFERROR(__xludf.DUMMYFUNCTION("GOOGLETRANSLATE(D1322,""EN"",""JA"")"),"尿酸ナトリウム結晶")</f>
        <v>尿酸ナトリウム結晶</v>
      </c>
      <c r="I1322" s="1" t="str">
        <f>IFERROR(__xludf.DUMMYFUNCTION("GOOGLETRANSLATE(E1322,""EN"",""JA"")"),"尿酸ナトリウム結晶; 尿酸ナトリウム結晶")</f>
        <v>尿酸ナトリウム結晶; 尿酸ナトリウム結晶</v>
      </c>
      <c r="J1322" s="1" t="str">
        <f>IFERROR(__xludf.DUMMYFUNCTION("GOOGLETRANSLATE(F1322,""EN"",""JA"")"),"生物標本中に存在する尿酸ナトリウム結晶の測定。")</f>
        <v>生物標本中に存在する尿酸ナトリウム結晶の測定。</v>
      </c>
      <c r="K1322" s="1" t="str">
        <f>IFERROR(__xludf.DUMMYFUNCTION("GOOGLETRANSLATE(G1322,""EN"",""JA"")"),"尿酸ナトリウム結晶測定")</f>
        <v>尿酸ナトリウム結晶測定</v>
      </c>
    </row>
    <row r="1323" ht="13.5" customHeight="1">
      <c r="A1323" s="1" t="s">
        <v>11</v>
      </c>
      <c r="B1323" s="1" t="s">
        <v>6703</v>
      </c>
      <c r="C1323" s="1" t="s">
        <v>6704</v>
      </c>
      <c r="D1323" s="1" t="s">
        <v>6705</v>
      </c>
      <c r="E1323" s="1" t="s">
        <v>6705</v>
      </c>
      <c r="F1323" s="1" t="s">
        <v>6706</v>
      </c>
      <c r="G1323" s="1" t="s">
        <v>6707</v>
      </c>
      <c r="H1323" s="1" t="str">
        <f>IFERROR(__xludf.DUMMYFUNCTION("GOOGLETRANSLATE(D1323,""EN"",""JA"")"),"シトクロムP450 2A6")</f>
        <v>シトクロムP450 2A6</v>
      </c>
      <c r="I1323" s="1" t="str">
        <f>IFERROR(__xludf.DUMMYFUNCTION("GOOGLETRANSLATE(E1323,""EN"",""JA"")"),"シトクロムP450 2A6")</f>
        <v>シトクロムP450 2A6</v>
      </c>
      <c r="J1323" s="1" t="str">
        <f>IFERROR(__xludf.DUMMYFUNCTION("GOOGLETRANSLATE(F1323,""EN"",""JA"")"),"標本中のシトクロム P450 2A6 酵素の測定。")</f>
        <v>標本中のシトクロム P450 2A6 酵素の測定。</v>
      </c>
      <c r="K1323" s="1" t="str">
        <f>IFERROR(__xludf.DUMMYFUNCTION("GOOGLETRANSLATE(G1323,""EN"",""JA"")"),"シトクロムP450 2A6測定")</f>
        <v>シトクロムP450 2A6測定</v>
      </c>
    </row>
    <row r="1324" ht="13.5" customHeight="1">
      <c r="A1324" s="1" t="s">
        <v>11</v>
      </c>
      <c r="B1324" s="1" t="s">
        <v>6708</v>
      </c>
      <c r="C1324" s="1" t="s">
        <v>6709</v>
      </c>
      <c r="D1324" s="1" t="s">
        <v>6710</v>
      </c>
      <c r="E1324" s="1" t="s">
        <v>6710</v>
      </c>
      <c r="F1324" s="1" t="s">
        <v>6711</v>
      </c>
      <c r="G1324" s="1" t="s">
        <v>6712</v>
      </c>
      <c r="H1324" s="1" t="str">
        <f>IFERROR(__xludf.DUMMYFUNCTION("GOOGLETRANSLATE(D1324,""EN"",""JA"")"),"シトクロムP450 2C9")</f>
        <v>シトクロムP450 2C9</v>
      </c>
      <c r="I1324" s="1" t="str">
        <f>IFERROR(__xludf.DUMMYFUNCTION("GOOGLETRANSLATE(E1324,""EN"",""JA"")"),"シトクロムP450 2C9")</f>
        <v>シトクロムP450 2C9</v>
      </c>
      <c r="J1324" s="1" t="str">
        <f>IFERROR(__xludf.DUMMYFUNCTION("GOOGLETRANSLATE(F1324,""EN"",""JA"")"),"生物標本中のシトクロム P450 2C9 酵素の測定。")</f>
        <v>生物標本中のシトクロム P450 2C9 酵素の測定。</v>
      </c>
      <c r="K1324" s="1" t="str">
        <f>IFERROR(__xludf.DUMMYFUNCTION("GOOGLETRANSLATE(G1324,""EN"",""JA"")"),"シトクロムP450 2C9測定")</f>
        <v>シトクロムP450 2C9測定</v>
      </c>
    </row>
    <row r="1325" ht="13.5" customHeight="1">
      <c r="A1325" s="1" t="s">
        <v>11</v>
      </c>
      <c r="B1325" s="1" t="s">
        <v>6713</v>
      </c>
      <c r="C1325" s="1" t="s">
        <v>6714</v>
      </c>
      <c r="D1325" s="1" t="s">
        <v>6715</v>
      </c>
      <c r="E1325" s="1" t="s">
        <v>6715</v>
      </c>
      <c r="F1325" s="1" t="s">
        <v>6716</v>
      </c>
      <c r="G1325" s="1" t="s">
        <v>6717</v>
      </c>
      <c r="H1325" s="1" t="str">
        <f>IFERROR(__xludf.DUMMYFUNCTION("GOOGLETRANSLATE(D1325,""EN"",""JA"")"),"リン酸塩結晶")</f>
        <v>リン酸塩結晶</v>
      </c>
      <c r="I1325" s="1" t="str">
        <f>IFERROR(__xludf.DUMMYFUNCTION("GOOGLETRANSLATE(E1325,""EN"",""JA"")"),"リン酸塩結晶")</f>
        <v>リン酸塩結晶</v>
      </c>
      <c r="J1325" s="1" t="str">
        <f>IFERROR(__xludf.DUMMYFUNCTION("GOOGLETRANSLATE(F1325,""EN"",""JA"")"),"生物標本中のリン酸結晶の総量の測定。")</f>
        <v>生物標本中のリン酸結晶の総量の測定。</v>
      </c>
      <c r="K1325" s="1" t="str">
        <f>IFERROR(__xludf.DUMMYFUNCTION("GOOGLETRANSLATE(G1325,""EN"",""JA"")"),"リン酸塩結晶の測定")</f>
        <v>リン酸塩結晶の測定</v>
      </c>
    </row>
    <row r="1326" ht="13.5" customHeight="1">
      <c r="A1326" s="1" t="s">
        <v>11</v>
      </c>
      <c r="B1326" s="1" t="s">
        <v>6718</v>
      </c>
      <c r="C1326" s="1" t="s">
        <v>6719</v>
      </c>
      <c r="D1326" s="1" t="s">
        <v>6720</v>
      </c>
      <c r="E1326" s="1" t="s">
        <v>6720</v>
      </c>
      <c r="F1326" s="1" t="s">
        <v>6721</v>
      </c>
      <c r="G1326" s="1" t="s">
        <v>6722</v>
      </c>
      <c r="H1326" s="1" t="str">
        <f>IFERROR(__xludf.DUMMYFUNCTION("GOOGLETRANSLATE(D1326,""EN"",""JA"")"),"シスタチンC/クレアチニン")</f>
        <v>シスタチンC/クレアチニン</v>
      </c>
      <c r="I1326" s="1" t="str">
        <f>IFERROR(__xludf.DUMMYFUNCTION("GOOGLETRANSLATE(E1326,""EN"",""JA"")"),"シスタチンC/クレアチニン")</f>
        <v>シスタチンC/クレアチニン</v>
      </c>
      <c r="J1326" s="1" t="str">
        <f>IFERROR(__xludf.DUMMYFUNCTION("GOOGLETRANSLATE(F1326,""EN"",""JA"")"),"サンプル中に存在するシスタチン C とクレアチニンの相対的な測定値 (比率またはパーセンテージ)。")</f>
        <v>サンプル中に存在するシスタチン C とクレアチニンの相対的な測定値 (比率またはパーセンテージ)。</v>
      </c>
      <c r="K1326" s="1" t="str">
        <f>IFERROR(__xludf.DUMMYFUNCTION("GOOGLETRANSLATE(G1326,""EN"",""JA"")"),"シスタチンCとクレアチニンの比率測定")</f>
        <v>シスタチンCとクレアチニンの比率測定</v>
      </c>
    </row>
    <row r="1327" ht="13.5" customHeight="1">
      <c r="A1327" s="1" t="s">
        <v>11</v>
      </c>
      <c r="B1327" s="1" t="s">
        <v>6723</v>
      </c>
      <c r="C1327" s="1" t="s">
        <v>6724</v>
      </c>
      <c r="D1327" s="1" t="s">
        <v>6725</v>
      </c>
      <c r="E1327" s="1" t="s">
        <v>6726</v>
      </c>
      <c r="F1327" s="1" t="s">
        <v>6727</v>
      </c>
      <c r="G1327" s="1" t="s">
        <v>6728</v>
      </c>
      <c r="H1327" s="1" t="str">
        <f>IFERROR(__xludf.DUMMYFUNCTION("GOOGLETRANSLATE(D1327,""EN"",""JA"")"),"システイニルロイコトリエン受容体1")</f>
        <v>システイニルロイコトリエン受容体1</v>
      </c>
      <c r="I1327" s="1" t="str">
        <f>IFERROR(__xludf.DUMMYFUNCTION("GOOGLETRANSLATE(E1327,""EN"",""JA"")"),"CysLTR1; システイニルロイコトリエン受容体1")</f>
        <v>CysLTR1; システイニルロイコトリエン受容体1</v>
      </c>
      <c r="J1327" s="1" t="str">
        <f>IFERROR(__xludf.DUMMYFUNCTION("GOOGLETRANSLATE(F1327,""EN"",""JA"")"),"生物標本中のシステイニルロイコトリエン受容体 1 の測定。")</f>
        <v>生物標本中のシステイニルロイコトリエン受容体 1 の測定。</v>
      </c>
      <c r="K1327" s="1" t="str">
        <f>IFERROR(__xludf.DUMMYFUNCTION("GOOGLETRANSLATE(G1327,""EN"",""JA"")"),"システイニルロイコトリエン受容体1の測定")</f>
        <v>システイニルロイコトリエン受容体1の測定</v>
      </c>
    </row>
    <row r="1328" ht="13.5" customHeight="1">
      <c r="A1328" s="1" t="s">
        <v>11</v>
      </c>
      <c r="B1328" s="1" t="s">
        <v>6729</v>
      </c>
      <c r="C1328" s="1" t="s">
        <v>6730</v>
      </c>
      <c r="D1328" s="1" t="s">
        <v>6731</v>
      </c>
      <c r="E1328" s="1" t="s">
        <v>6732</v>
      </c>
      <c r="F1328" s="1" t="s">
        <v>6733</v>
      </c>
      <c r="G1328" s="1" t="s">
        <v>6734</v>
      </c>
      <c r="H1328" s="1" t="str">
        <f>IFERROR(__xludf.DUMMYFUNCTION("GOOGLETRANSLATE(D1328,""EN"",""JA"")"),"デンプン結晶")</f>
        <v>デンプン結晶</v>
      </c>
      <c r="I1328" s="1" t="str">
        <f>IFERROR(__xludf.DUMMYFUNCTION("GOOGLETRANSLATE(E1328,""EN"",""JA"")"),"デンプン結晶; デンプン顆粒")</f>
        <v>デンプン結晶; デンプン顆粒</v>
      </c>
      <c r="J1328" s="1" t="str">
        <f>IFERROR(__xludf.DUMMYFUNCTION("GOOGLETRANSLATE(F1328,""EN"",""JA"")"),"生物標本中のデンプン結晶の測定。")</f>
        <v>生物標本中のデンプン結晶の測定。</v>
      </c>
      <c r="K1328" s="1" t="str">
        <f>IFERROR(__xludf.DUMMYFUNCTION("GOOGLETRANSLATE(G1328,""EN"",""JA"")"),"デンプン結晶測定")</f>
        <v>デンプン結晶測定</v>
      </c>
    </row>
    <row r="1329" ht="13.5" customHeight="1">
      <c r="A1329" s="1" t="s">
        <v>11</v>
      </c>
      <c r="B1329" s="1" t="s">
        <v>6735</v>
      </c>
      <c r="C1329" s="1" t="s">
        <v>6736</v>
      </c>
      <c r="D1329" s="1" t="s">
        <v>6737</v>
      </c>
      <c r="E1329" s="1" t="s">
        <v>6738</v>
      </c>
      <c r="F1329" s="1" t="s">
        <v>6739</v>
      </c>
      <c r="G1329" s="1" t="s">
        <v>6740</v>
      </c>
      <c r="H1329" s="1" t="str">
        <f>IFERROR(__xludf.DUMMYFUNCTION("GOOGLETRANSLATE(D1329,""EN"",""JA"")"),"シスタチンB")</f>
        <v>シスタチンB</v>
      </c>
      <c r="I1329" s="1" t="str">
        <f>IFERROR(__xludf.DUMMYFUNCTION("GOOGLETRANSLATE(E1329,""EN"",""JA"")"),"CPI-B; シスタチンB")</f>
        <v>CPI-B; シスタチンB</v>
      </c>
      <c r="J1329" s="1" t="str">
        <f>IFERROR(__xludf.DUMMYFUNCTION("GOOGLETRANSLATE(F1329,""EN"",""JA"")"),"生物標本中のシスタチン B の測定。")</f>
        <v>生物標本中のシスタチン B の測定。</v>
      </c>
      <c r="K1329" s="1" t="str">
        <f>IFERROR(__xludf.DUMMYFUNCTION("GOOGLETRANSLATE(G1329,""EN"",""JA"")"),"シスタチンB測定")</f>
        <v>シスタチンB測定</v>
      </c>
    </row>
    <row r="1330" ht="13.5" customHeight="1">
      <c r="A1330" s="1" t="s">
        <v>11</v>
      </c>
      <c r="B1330" s="1" t="s">
        <v>6741</v>
      </c>
      <c r="C1330" s="1" t="s">
        <v>6742</v>
      </c>
      <c r="D1330" s="1" t="s">
        <v>6743</v>
      </c>
      <c r="E1330" s="1" t="s">
        <v>6743</v>
      </c>
      <c r="F1330" s="1" t="s">
        <v>6744</v>
      </c>
      <c r="G1330" s="1" t="s">
        <v>6745</v>
      </c>
      <c r="H1330" s="1" t="str">
        <f>IFERROR(__xludf.DUMMYFUNCTION("GOOGLETRANSLATE(D1330,""EN"",""JA"")"),"シスタチンC")</f>
        <v>シスタチンC</v>
      </c>
      <c r="I1330" s="1" t="str">
        <f>IFERROR(__xludf.DUMMYFUNCTION("GOOGLETRANSLATE(E1330,""EN"",""JA"")"),"シスタチンC")</f>
        <v>シスタチンC</v>
      </c>
      <c r="J1330" s="1" t="str">
        <f>IFERROR(__xludf.DUMMYFUNCTION("GOOGLETRANSLATE(F1330,""EN"",""JA"")"),"生物標本中のシスタチン C の測定。")</f>
        <v>生物標本中のシスタチン C の測定。</v>
      </c>
      <c r="K1330" s="1" t="str">
        <f>IFERROR(__xludf.DUMMYFUNCTION("GOOGLETRANSLATE(G1330,""EN"",""JA"")"),"シスタチンC測定")</f>
        <v>シスタチンC測定</v>
      </c>
    </row>
    <row r="1331" ht="13.5" customHeight="1">
      <c r="A1331" s="1" t="s">
        <v>11</v>
      </c>
      <c r="B1331" s="1" t="s">
        <v>6746</v>
      </c>
      <c r="C1331" s="1" t="s">
        <v>6747</v>
      </c>
      <c r="D1331" s="1" t="s">
        <v>6748</v>
      </c>
      <c r="E1331" s="1" t="s">
        <v>6748</v>
      </c>
      <c r="F1331" s="1" t="s">
        <v>6749</v>
      </c>
      <c r="G1331" s="1" t="s">
        <v>6750</v>
      </c>
      <c r="H1331" s="1" t="str">
        <f>IFERROR(__xludf.DUMMYFUNCTION("GOOGLETRANSLATE(D1331,""EN"",""JA"")"),"システイン")</f>
        <v>システイン</v>
      </c>
      <c r="I1331" s="1" t="str">
        <f>IFERROR(__xludf.DUMMYFUNCTION("GOOGLETRANSLATE(E1331,""EN"",""JA"")"),"システイン")</f>
        <v>システイン</v>
      </c>
      <c r="J1331" s="1" t="str">
        <f>IFERROR(__xludf.DUMMYFUNCTION("GOOGLETRANSLATE(F1331,""EN"",""JA"")"),"生物標本中のシステインの測定。")</f>
        <v>生物標本中のシステインの測定。</v>
      </c>
      <c r="K1331" s="1" t="str">
        <f>IFERROR(__xludf.DUMMYFUNCTION("GOOGLETRANSLATE(G1331,""EN"",""JA"")"),"システイン測定")</f>
        <v>システイン測定</v>
      </c>
    </row>
    <row r="1332" ht="13.5" customHeight="1">
      <c r="A1332" s="1" t="s">
        <v>11</v>
      </c>
      <c r="B1332" s="1" t="s">
        <v>6751</v>
      </c>
      <c r="C1332" s="1" t="s">
        <v>6752</v>
      </c>
      <c r="D1332" s="1" t="s">
        <v>6753</v>
      </c>
      <c r="E1332" s="1" t="s">
        <v>6753</v>
      </c>
      <c r="F1332" s="1" t="s">
        <v>6754</v>
      </c>
      <c r="G1332" s="1" t="s">
        <v>6755</v>
      </c>
      <c r="H1332" s="1" t="str">
        <f>IFERROR(__xludf.DUMMYFUNCTION("GOOGLETRANSLATE(D1332,""EN"",""JA"")"),"シスタチオニン")</f>
        <v>シスタチオニン</v>
      </c>
      <c r="I1332" s="1" t="str">
        <f>IFERROR(__xludf.DUMMYFUNCTION("GOOGLETRANSLATE(E1332,""EN"",""JA"")"),"シスタチオニン")</f>
        <v>シスタチオニン</v>
      </c>
      <c r="J1332" s="1" t="str">
        <f>IFERROR(__xludf.DUMMYFUNCTION("GOOGLETRANSLATE(F1332,""EN"",""JA"")"),"生物標本中のシスタチオニンの測定。")</f>
        <v>生物標本中のシスタチオニンの測定。</v>
      </c>
      <c r="K1332" s="1" t="str">
        <f>IFERROR(__xludf.DUMMYFUNCTION("GOOGLETRANSLATE(G1332,""EN"",""JA"")"),"シスタチオニン測定")</f>
        <v>シスタチオニン測定</v>
      </c>
    </row>
    <row r="1333" ht="13.5" customHeight="1">
      <c r="A1333" s="1" t="s">
        <v>11</v>
      </c>
      <c r="B1333" s="1" t="s">
        <v>6756</v>
      </c>
      <c r="C1333" s="1" t="s">
        <v>6757</v>
      </c>
      <c r="D1333" s="1" t="s">
        <v>6758</v>
      </c>
      <c r="E1333" s="1" t="s">
        <v>6758</v>
      </c>
      <c r="F1333" s="1" t="s">
        <v>6759</v>
      </c>
      <c r="G1333" s="1" t="s">
        <v>6760</v>
      </c>
      <c r="H1333" s="1" t="str">
        <f>IFERROR(__xludf.DUMMYFUNCTION("GOOGLETRANSLATE(D1333,""EN"",""JA"")"),"シスチン")</f>
        <v>シスチン</v>
      </c>
      <c r="I1333" s="1" t="str">
        <f>IFERROR(__xludf.DUMMYFUNCTION("GOOGLETRANSLATE(E1333,""EN"",""JA"")"),"シスチン")</f>
        <v>シスチン</v>
      </c>
      <c r="J1333" s="1" t="str">
        <f>IFERROR(__xludf.DUMMYFUNCTION("GOOGLETRANSLATE(F1333,""EN"",""JA"")"),"生物標本中のシスチンの測定。")</f>
        <v>生物標本中のシスチンの測定。</v>
      </c>
      <c r="K1333" s="1" t="str">
        <f>IFERROR(__xludf.DUMMYFUNCTION("GOOGLETRANSLATE(G1333,""EN"",""JA"")"),"シスチン測定")</f>
        <v>シスチン測定</v>
      </c>
    </row>
    <row r="1334" ht="13.5" customHeight="1">
      <c r="A1334" s="1" t="s">
        <v>11</v>
      </c>
      <c r="B1334" s="1" t="s">
        <v>6761</v>
      </c>
      <c r="C1334" s="1" t="s">
        <v>6762</v>
      </c>
      <c r="D1334" s="1" t="s">
        <v>6763</v>
      </c>
      <c r="E1334" s="1" t="s">
        <v>6764</v>
      </c>
      <c r="F1334" s="1" t="s">
        <v>6765</v>
      </c>
      <c r="G1334" s="1" t="s">
        <v>6766</v>
      </c>
      <c r="H1334" s="1" t="str">
        <f>IFERROR(__xludf.DUMMYFUNCTION("GOOGLETRANSLATE(D1334,""EN"",""JA"")"),"サルファ結晶")</f>
        <v>サルファ結晶</v>
      </c>
      <c r="I1334" s="1" t="str">
        <f>IFERROR(__xludf.DUMMYFUNCTION("GOOGLETRANSLATE(E1334,""EN"",""JA"")"),"サルファ結晶; スルホンアミド結晶")</f>
        <v>サルファ結晶; スルホンアミド結晶</v>
      </c>
      <c r="J1334" s="1" t="str">
        <f>IFERROR(__xludf.DUMMYFUNCTION("GOOGLETRANSLATE(F1334,""EN"",""JA"")"),"生物標本中に存在するサルファ結晶の測定。")</f>
        <v>生物標本中に存在するサルファ結晶の測定。</v>
      </c>
      <c r="K1334" s="1" t="str">
        <f>IFERROR(__xludf.DUMMYFUNCTION("GOOGLETRANSLATE(G1334,""EN"",""JA"")"),"サルファ結晶測定")</f>
        <v>サルファ結晶測定</v>
      </c>
    </row>
    <row r="1335" ht="13.5" customHeight="1">
      <c r="A1335" s="1" t="s">
        <v>1342</v>
      </c>
      <c r="B1335" s="1" t="s">
        <v>6767</v>
      </c>
      <c r="C1335" s="1" t="s">
        <v>6768</v>
      </c>
      <c r="D1335" s="1" t="s">
        <v>6769</v>
      </c>
      <c r="E1335" s="1" t="s">
        <v>6769</v>
      </c>
      <c r="F1335" s="1" t="s">
        <v>6770</v>
      </c>
      <c r="G1335" s="1" t="s">
        <v>6769</v>
      </c>
      <c r="H1335" s="1" t="str">
        <f>IFERROR(__xludf.DUMMYFUNCTION("GOOGLETRANSLATE(D1335,""EN"",""JA"")"),"細胞遺伝学的反応")</f>
        <v>細胞遺伝学的反応</v>
      </c>
      <c r="I1335" s="1" t="str">
        <f>IFERROR(__xludf.DUMMYFUNCTION("GOOGLETRANSLATE(E1335,""EN"",""JA"")"),"細胞遺伝学的反応")</f>
        <v>細胞遺伝学的反応</v>
      </c>
      <c r="J1335" s="1" t="str">
        <f>IFERROR(__xludf.DUMMYFUNCTION("GOOGLETRANSLATE(F1335,""EN"",""JA"")"),"治療に対する疾患の細胞遺伝学的反応の評価。")</f>
        <v>治療に対する疾患の細胞遺伝学的反応の評価。</v>
      </c>
      <c r="K1335" s="1" t="str">
        <f>IFERROR(__xludf.DUMMYFUNCTION("GOOGLETRANSLATE(G1335,""EN"",""JA"")"),"細胞遺伝学的反応")</f>
        <v>細胞遺伝学的反応</v>
      </c>
    </row>
    <row r="1336" ht="13.5" customHeight="1">
      <c r="A1336" s="1" t="s">
        <v>11</v>
      </c>
      <c r="B1336" s="1" t="s">
        <v>6771</v>
      </c>
      <c r="C1336" s="1" t="s">
        <v>6772</v>
      </c>
      <c r="D1336" s="1" t="s">
        <v>6773</v>
      </c>
      <c r="E1336" s="1" t="s">
        <v>6774</v>
      </c>
      <c r="F1336" s="1" t="s">
        <v>6775</v>
      </c>
      <c r="G1336" s="1" t="s">
        <v>6776</v>
      </c>
      <c r="H1336" s="1" t="str">
        <f>IFERROR(__xludf.DUMMYFUNCTION("GOOGLETRANSLATE(D1336,""EN"",""JA"")"),"三重リン酸結晶")</f>
        <v>三重リン酸結晶</v>
      </c>
      <c r="I1336" s="1" t="str">
        <f>IFERROR(__xludf.DUMMYFUNCTION("GOOGLETRANSLATE(E1336,""EN"",""JA"")"),"リン酸アンモニウムマグネシウム結晶；ストルバイト結晶；三リン酸結晶")</f>
        <v>リン酸アンモニウムマグネシウム結晶；ストルバイト結晶；三リン酸結晶</v>
      </c>
      <c r="J1336" s="1" t="str">
        <f>IFERROR(__xludf.DUMMYFUNCTION("GOOGLETRANSLATE(F1336,""EN"",""JA"")"),"生物標本中に存在する三重リン酸結晶の測定。")</f>
        <v>生物標本中に存在する三重リン酸結晶の測定。</v>
      </c>
      <c r="K1336" s="1" t="str">
        <f>IFERROR(__xludf.DUMMYFUNCTION("GOOGLETRANSLATE(G1336,""EN"",""JA"")"),"三重リン酸結晶測定")</f>
        <v>三重リン酸結晶測定</v>
      </c>
    </row>
    <row r="1337" ht="13.5" customHeight="1">
      <c r="A1337" s="1" t="s">
        <v>11</v>
      </c>
      <c r="B1337" s="1" t="s">
        <v>6777</v>
      </c>
      <c r="C1337" s="1" t="s">
        <v>6778</v>
      </c>
      <c r="D1337" s="1" t="s">
        <v>6779</v>
      </c>
      <c r="E1337" s="1" t="s">
        <v>6779</v>
      </c>
      <c r="F1337" s="1" t="s">
        <v>6780</v>
      </c>
      <c r="G1337" s="1" t="s">
        <v>6781</v>
      </c>
      <c r="H1337" s="1" t="str">
        <f>IFERROR(__xludf.DUMMYFUNCTION("GOOGLETRANSLATE(D1337,""EN"",""JA"")"),"チロシン結晶")</f>
        <v>チロシン結晶</v>
      </c>
      <c r="I1337" s="1" t="str">
        <f>IFERROR(__xludf.DUMMYFUNCTION("GOOGLETRANSLATE(E1337,""EN"",""JA"")"),"チロシン結晶")</f>
        <v>チロシン結晶</v>
      </c>
      <c r="J1337" s="1" t="str">
        <f>IFERROR(__xludf.DUMMYFUNCTION("GOOGLETRANSLATE(F1337,""EN"",""JA"")"),"生物標本中に存在するチロシン結晶の測定。")</f>
        <v>生物標本中に存在するチロシン結晶の測定。</v>
      </c>
      <c r="K1337" s="1" t="str">
        <f>IFERROR(__xludf.DUMMYFUNCTION("GOOGLETRANSLATE(G1337,""EN"",""JA"")"),"チロシン結晶測定")</f>
        <v>チロシン結晶測定</v>
      </c>
    </row>
    <row r="1338" ht="13.5" customHeight="1">
      <c r="A1338" s="1" t="s">
        <v>11</v>
      </c>
      <c r="B1338" s="1" t="s">
        <v>6782</v>
      </c>
      <c r="C1338" s="1" t="s">
        <v>6783</v>
      </c>
      <c r="D1338" s="1" t="s">
        <v>6784</v>
      </c>
      <c r="E1338" s="1" t="s">
        <v>6784</v>
      </c>
      <c r="F1338" s="1" t="s">
        <v>6785</v>
      </c>
      <c r="G1338" s="1" t="s">
        <v>6786</v>
      </c>
      <c r="H1338" s="1" t="str">
        <f>IFERROR(__xludf.DUMMYFUNCTION("GOOGLETRANSLATE(D1338,""EN"",""JA"")"),"未分類の結晶")</f>
        <v>未分類の結晶</v>
      </c>
      <c r="I1338" s="1" t="str">
        <f>IFERROR(__xludf.DUMMYFUNCTION("GOOGLETRANSLATE(E1338,""EN"",""JA"")"),"未分類の結晶")</f>
        <v>未分類の結晶</v>
      </c>
      <c r="J1338" s="1" t="str">
        <f>IFERROR(__xludf.DUMMYFUNCTION("GOOGLETRANSLATE(F1338,""EN"",""JA"")"),"生物標本中に存在する分類できない結晶の測定値。")</f>
        <v>生物標本中に存在する分類できない結晶の測定値。</v>
      </c>
      <c r="K1338" s="1" t="str">
        <f>IFERROR(__xludf.DUMMYFUNCTION("GOOGLETRANSLATE(G1338,""EN"",""JA"")"),"未分類の結晶測定")</f>
        <v>未分類の結晶測定</v>
      </c>
    </row>
    <row r="1339" ht="13.5" customHeight="1">
      <c r="A1339" s="1" t="s">
        <v>11</v>
      </c>
      <c r="B1339" s="1" t="s">
        <v>6787</v>
      </c>
      <c r="C1339" s="1" t="s">
        <v>6788</v>
      </c>
      <c r="D1339" s="1" t="s">
        <v>6789</v>
      </c>
      <c r="E1339" s="1" t="s">
        <v>6789</v>
      </c>
      <c r="F1339" s="1" t="s">
        <v>6790</v>
      </c>
      <c r="G1339" s="1" t="s">
        <v>6791</v>
      </c>
      <c r="H1339" s="1" t="str">
        <f>IFERROR(__xludf.DUMMYFUNCTION("GOOGLETRANSLATE(D1339,""EN"",""JA"")"),"尿酸結晶")</f>
        <v>尿酸結晶</v>
      </c>
      <c r="I1339" s="1" t="str">
        <f>IFERROR(__xludf.DUMMYFUNCTION("GOOGLETRANSLATE(E1339,""EN"",""JA"")"),"尿酸結晶")</f>
        <v>尿酸結晶</v>
      </c>
      <c r="J1339" s="1" t="str">
        <f>IFERROR(__xludf.DUMMYFUNCTION("GOOGLETRANSLATE(F1339,""EN"",""JA"")"),"生物学的標本中に存在する尿酸結晶（酸性尿酸塩および尿酸塩結晶を含む）の測定。")</f>
        <v>生物学的標本中に存在する尿酸結晶（酸性尿酸塩および尿酸塩結晶を含む）の測定。</v>
      </c>
      <c r="K1339" s="1" t="str">
        <f>IFERROR(__xludf.DUMMYFUNCTION("GOOGLETRANSLATE(G1339,""EN"",""JA"")"),"尿酸結晶測定")</f>
        <v>尿酸結晶測定</v>
      </c>
    </row>
    <row r="1340" ht="13.5" customHeight="1">
      <c r="A1340" s="1" t="s">
        <v>11</v>
      </c>
      <c r="B1340" s="1" t="s">
        <v>6792</v>
      </c>
      <c r="C1340" s="1" t="s">
        <v>6793</v>
      </c>
      <c r="D1340" s="1" t="s">
        <v>6794</v>
      </c>
      <c r="E1340" s="1" t="s">
        <v>6795</v>
      </c>
      <c r="F1340" s="1" t="s">
        <v>6796</v>
      </c>
      <c r="G1340" s="1" t="s">
        <v>6797</v>
      </c>
      <c r="H1340" s="1" t="str">
        <f>IFERROR(__xludf.DUMMYFUNCTION("GOOGLETRANSLATE(D1340,""EN"",""JA"")"),"デルタアミノレブリン酸")</f>
        <v>デルタアミノレブリン酸</v>
      </c>
      <c r="I1340" s="1" t="str">
        <f>IFERROR(__xludf.DUMMYFUNCTION("GOOGLETRANSLATE(E1340,""EN"",""JA"")"),"5-アミノレブリン酸; 5ALA;ダラ。デルタアミノレブリネート;デルタアミノレブリン酸")</f>
        <v>5-アミノレブリン酸; 5ALA;ダラ。デルタアミノレブリネート;デルタアミノレブリン酸</v>
      </c>
      <c r="J1340" s="1" t="str">
        <f>IFERROR(__xludf.DUMMYFUNCTION("GOOGLETRANSLATE(F1340,""EN"",""JA"")"),"生物標本中のデルタアミノレブリン酸の測定。")</f>
        <v>生物標本中のデルタアミノレブリン酸の測定。</v>
      </c>
      <c r="K1340" s="1" t="str">
        <f>IFERROR(__xludf.DUMMYFUNCTION("GOOGLETRANSLATE(G1340,""EN"",""JA"")"),"デルタアミノレブリネートの測定")</f>
        <v>デルタアミノレブリネートの測定</v>
      </c>
    </row>
    <row r="1341" ht="13.5" customHeight="1">
      <c r="A1341" s="1" t="s">
        <v>11</v>
      </c>
      <c r="B1341" s="1" t="s">
        <v>6798</v>
      </c>
      <c r="C1341" s="1" t="s">
        <v>6799</v>
      </c>
      <c r="D1341" s="1" t="s">
        <v>6800</v>
      </c>
      <c r="E1341" s="1" t="s">
        <v>6800</v>
      </c>
      <c r="F1341" s="1" t="s">
        <v>6801</v>
      </c>
      <c r="G1341" s="1" t="s">
        <v>6802</v>
      </c>
      <c r="H1341" s="1" t="str">
        <f>IFERROR(__xludf.DUMMYFUNCTION("GOOGLETRANSLATE(D1341,""EN"",""JA"")"),"デルタ アミノレブリネート/クレアチニン")</f>
        <v>デルタ アミノレブリネート/クレアチニン</v>
      </c>
      <c r="I1341" s="1" t="str">
        <f>IFERROR(__xludf.DUMMYFUNCTION("GOOGLETRANSLATE(E1341,""EN"",""JA"")"),"デルタ アミノレブリネート/クレアチニン")</f>
        <v>デルタ アミノレブリネート/クレアチニン</v>
      </c>
      <c r="J1341" s="1" t="str">
        <f>IFERROR(__xludf.DUMMYFUNCTION("GOOGLETRANSLATE(F1341,""EN"",""JA"")"),"生物学的標本中のクレアチニンに対するデルタアミノレブリン酸の相対的な測定値（比率またはパーセンテージ）。")</f>
        <v>生物学的標本中のクレアチニンに対するデルタアミノレブリン酸の相対的な測定値（比率またはパーセンテージ）。</v>
      </c>
      <c r="K1341" s="1" t="str">
        <f>IFERROR(__xludf.DUMMYFUNCTION("GOOGLETRANSLATE(G1341,""EN"",""JA"")"),"デルタアミノレブリン酸とクレアチニンの比率測定")</f>
        <v>デルタアミノレブリン酸とクレアチニンの比率測定</v>
      </c>
    </row>
    <row r="1342" ht="13.5" customHeight="1">
      <c r="A1342" s="1" t="s">
        <v>601</v>
      </c>
      <c r="B1342" s="1" t="s">
        <v>6803</v>
      </c>
      <c r="C1342" s="1" t="s">
        <v>6804</v>
      </c>
      <c r="D1342" s="1" t="s">
        <v>6805</v>
      </c>
      <c r="E1342" s="1" t="s">
        <v>6806</v>
      </c>
      <c r="F1342" s="1" t="s">
        <v>6807</v>
      </c>
      <c r="G1342" s="1" t="s">
        <v>6808</v>
      </c>
      <c r="H1342" s="1" t="str">
        <f>IFERROR(__xludf.DUMMYFUNCTION("GOOGLETRANSLATE(D1342,""EN"",""JA"")"),"保育指標")</f>
        <v>保育指標</v>
      </c>
      <c r="I1342" s="1" t="str">
        <f>IFERROR(__xludf.DUMMYFUNCTION("GOOGLETRANSLATE(E1342,""EN"",""JA"")"),"デイケア指標; デイケア指標")</f>
        <v>デイケア指標; デイケア指標</v>
      </c>
      <c r="J1342" s="1" t="str">
        <f>IFERROR(__xludf.DUMMYFUNCTION("GOOGLETRANSLATE(F1342,""EN"",""JA"")"),"個人が保育施設に入所しているかどうかを示します。")</f>
        <v>個人が保育施設に入所しているかどうかを示します。</v>
      </c>
      <c r="K1342" s="1" t="str">
        <f>IFERROR(__xludf.DUMMYFUNCTION("GOOGLETRANSLATE(G1342,""EN"",""JA"")"),"保育所入所指標")</f>
        <v>保育所入所指標</v>
      </c>
    </row>
    <row r="1343" ht="13.5" customHeight="1">
      <c r="A1343" s="1" t="s">
        <v>1997</v>
      </c>
      <c r="B1343" s="1" t="s">
        <v>6809</v>
      </c>
      <c r="C1343" s="1" t="s">
        <v>6810</v>
      </c>
      <c r="D1343" s="1" t="s">
        <v>6811</v>
      </c>
      <c r="E1343" s="1" t="s">
        <v>6811</v>
      </c>
      <c r="F1343" s="1" t="s">
        <v>6812</v>
      </c>
      <c r="G1343" s="1" t="s">
        <v>6811</v>
      </c>
      <c r="H1343" s="1" t="str">
        <f>IFERROR(__xludf.DUMMYFUNCTION("GOOGLETRANSLATE(D1343,""EN"",""JA"")"),"糖尿病黄斑浮腫のグレード")</f>
        <v>糖尿病黄斑浮腫のグレード</v>
      </c>
      <c r="I1343" s="1" t="str">
        <f>IFERROR(__xludf.DUMMYFUNCTION("GOOGLETRANSLATE(E1343,""EN"",""JA"")"),"糖尿病黄斑浮腫のグレード")</f>
        <v>糖尿病黄斑浮腫のグレード</v>
      </c>
      <c r="J1343" s="1" t="str">
        <f>IFERROR(__xludf.DUMMYFUNCTION("GOOGLETRANSLATE(F1343,""EN"",""JA"")"),"糖尿病黄斑浮腫を評価するスケール上の位置。")</f>
        <v>糖尿病黄斑浮腫を評価するスケール上の位置。</v>
      </c>
      <c r="K1343" s="1" t="str">
        <f>IFERROR(__xludf.DUMMYFUNCTION("GOOGLETRANSLATE(G1343,""EN"",""JA"")"),"糖尿病黄斑浮腫のグレード")</f>
        <v>糖尿病黄斑浮腫のグレード</v>
      </c>
    </row>
    <row r="1344" ht="13.5" customHeight="1">
      <c r="A1344" s="1" t="s">
        <v>129</v>
      </c>
      <c r="B1344" s="1" t="s">
        <v>6813</v>
      </c>
      <c r="C1344" s="1" t="s">
        <v>6814</v>
      </c>
      <c r="D1344" s="1" t="s">
        <v>6815</v>
      </c>
      <c r="E1344" s="1" t="s">
        <v>6816</v>
      </c>
      <c r="F1344" s="1" t="s">
        <v>6817</v>
      </c>
      <c r="G1344" s="1" t="s">
        <v>6818</v>
      </c>
      <c r="H1344" s="1" t="str">
        <f>IFERROR(__xludf.DUMMYFUNCTION("GOOGLETRANSLATE(D1344,""EN"",""JA"")"),"年齢別拡張期血圧パーセンタイル")</f>
        <v>年齢別拡張期血圧パーセンタイル</v>
      </c>
      <c r="I1344" s="1" t="str">
        <f>IFERROR(__xludf.DUMMYFUNCTION("GOOGLETRANSLATE(E1344,""EN"",""JA"")"),"年齢別拡張期血圧パーセンタイル; 年齢別拡張期血圧パーセンタイル")</f>
        <v>年齢別拡張期血圧パーセンタイル; 年齢別拡張期血圧パーセンタイル</v>
      </c>
      <c r="J1344" s="1" t="str">
        <f>IFERROR(__xludf.DUMMYFUNCTION("GOOGLETRANSLATE(F1344,""EN"",""JA"")"),"個人の拡張期血圧と年齢と参照集団の拡張期血圧および年齢との関係を評価し、パーセンタイルで表します。")</f>
        <v>個人の拡張期血圧と年齢と参照集団の拡張期血圧および年齢との関係を評価し、パーセンタイルで表します。</v>
      </c>
      <c r="K1344" s="1" t="str">
        <f>IFERROR(__xludf.DUMMYFUNCTION("GOOGLETRANSLATE(G1344,""EN"",""JA"")"),"年齢別拡張期血圧パーセンタイル")</f>
        <v>年齢別拡張期血圧パーセンタイル</v>
      </c>
    </row>
    <row r="1345" ht="13.5" customHeight="1">
      <c r="A1345" s="1" t="s">
        <v>129</v>
      </c>
      <c r="B1345" s="1" t="s">
        <v>6819</v>
      </c>
      <c r="C1345" s="1" t="s">
        <v>6820</v>
      </c>
      <c r="D1345" s="1" t="s">
        <v>6821</v>
      </c>
      <c r="E1345" s="1" t="s">
        <v>6822</v>
      </c>
      <c r="F1345" s="1" t="s">
        <v>6823</v>
      </c>
      <c r="G1345" s="1" t="s">
        <v>6824</v>
      </c>
      <c r="H1345" s="1" t="str">
        <f>IFERROR(__xludf.DUMMYFUNCTION("GOOGLETRANSLATE(D1345,""EN"",""JA"")"),"身長に対する拡張期血圧のパーセンタイル")</f>
        <v>身長に対する拡張期血圧のパーセンタイル</v>
      </c>
      <c r="I1345" s="1" t="str">
        <f>IFERROR(__xludf.DUMMYFUNCTION("GOOGLETRANSLATE(E1345,""EN"",""JA"")"),"身長に対する拡張期血圧パーセンタイル; 身長に対する拡張期血圧パーセンタイル")</f>
        <v>身長に対する拡張期血圧パーセンタイル; 身長に対する拡張期血圧パーセンタイル</v>
      </c>
      <c r="J1345" s="1" t="str">
        <f>IFERROR(__xludf.DUMMYFUNCTION("GOOGLETRANSLATE(F1345,""EN"",""JA"")"),"個人の拡張期血圧と身長と参照集団のそれらとの関係を評価し、パーセンタイルで表します。")</f>
        <v>個人の拡張期血圧と身長と参照集団のそれらとの関係を評価し、パーセンタイルで表します。</v>
      </c>
      <c r="K1345" s="1" t="str">
        <f>IFERROR(__xludf.DUMMYFUNCTION("GOOGLETRANSLATE(G1345,""EN"",""JA"")"),"身長に対する拡張期血圧のパーセンタイル")</f>
        <v>身長に対する拡張期血圧のパーセンタイル</v>
      </c>
    </row>
    <row r="1346" ht="13.5" customHeight="1">
      <c r="A1346" s="1" t="s">
        <v>1997</v>
      </c>
      <c r="B1346" s="1" t="s">
        <v>6825</v>
      </c>
      <c r="C1346" s="1" t="s">
        <v>6826</v>
      </c>
      <c r="D1346" s="1" t="s">
        <v>6827</v>
      </c>
      <c r="E1346" s="1" t="s">
        <v>6827</v>
      </c>
      <c r="F1346" s="1" t="s">
        <v>6828</v>
      </c>
      <c r="G1346" s="1" t="s">
        <v>6827</v>
      </c>
      <c r="H1346" s="1" t="str">
        <f>IFERROR(__xludf.DUMMYFUNCTION("GOOGLETRANSLATE(D1346,""EN"",""JA"")"),"糖尿病網膜症のグレード")</f>
        <v>糖尿病網膜症のグレード</v>
      </c>
      <c r="I1346" s="1" t="str">
        <f>IFERROR(__xludf.DUMMYFUNCTION("GOOGLETRANSLATE(E1346,""EN"",""JA"")"),"糖尿病網膜症のグレード")</f>
        <v>糖尿病網膜症のグレード</v>
      </c>
      <c r="J1346" s="1" t="str">
        <f>IFERROR(__xludf.DUMMYFUNCTION("GOOGLETRANSLATE(F1346,""EN"",""JA"")"),"糖尿病網膜症を評価するスケール上の位置。")</f>
        <v>糖尿病網膜症を評価するスケール上の位置。</v>
      </c>
      <c r="K1346" s="1" t="str">
        <f>IFERROR(__xludf.DUMMYFUNCTION("GOOGLETRANSLATE(G1346,""EN"",""JA"")"),"糖尿病網膜症のグレード")</f>
        <v>糖尿病網膜症のグレード</v>
      </c>
    </row>
    <row r="1347" ht="13.5" customHeight="1">
      <c r="A1347" s="1" t="s">
        <v>11</v>
      </c>
      <c r="B1347" s="1" t="s">
        <v>6829</v>
      </c>
      <c r="C1347" s="1" t="s">
        <v>6830</v>
      </c>
      <c r="D1347" s="1" t="s">
        <v>6831</v>
      </c>
      <c r="E1347" s="1" t="s">
        <v>6832</v>
      </c>
      <c r="F1347" s="1" t="s">
        <v>6833</v>
      </c>
      <c r="G1347" s="1" t="s">
        <v>6834</v>
      </c>
      <c r="H1347" s="1" t="str">
        <f>IFERROR(__xludf.DUMMYFUNCTION("GOOGLETRANSLATE(D1347,""EN"",""JA"")"),"デオキシコール酸")</f>
        <v>デオキシコール酸</v>
      </c>
      <c r="I1347" s="1" t="str">
        <f>IFERROR(__xludf.DUMMYFUNCTION("GOOGLETRANSLATE(E1347,""EN"",""JA"")"),"デオキシコール酸")</f>
        <v>デオキシコール酸</v>
      </c>
      <c r="J1347" s="1" t="str">
        <f>IFERROR(__xludf.DUMMYFUNCTION("GOOGLETRANSLATE(F1347,""EN"",""JA"")"),"生物標本中のデオキシコール酸の測定。")</f>
        <v>生物標本中のデオキシコール酸の測定。</v>
      </c>
      <c r="K1347" s="1" t="str">
        <f>IFERROR(__xludf.DUMMYFUNCTION("GOOGLETRANSLATE(G1347,""EN"",""JA"")"),"デオキシコール酸測定")</f>
        <v>デオキシコール酸測定</v>
      </c>
    </row>
    <row r="1348" ht="13.5" customHeight="1">
      <c r="A1348" s="1" t="s">
        <v>11</v>
      </c>
      <c r="B1348" s="1" t="s">
        <v>6835</v>
      </c>
      <c r="C1348" s="1" t="s">
        <v>6836</v>
      </c>
      <c r="D1348" s="1" t="s">
        <v>6837</v>
      </c>
      <c r="E1348" s="1" t="s">
        <v>6838</v>
      </c>
      <c r="F1348" s="1" t="s">
        <v>6839</v>
      </c>
      <c r="G1348" s="1" t="s">
        <v>6840</v>
      </c>
      <c r="H1348" s="1" t="str">
        <f>IFERROR(__xludf.DUMMYFUNCTION("GOOGLETRANSLATE(D1348,""EN"",""JA"")"),"デカノイルカルニチン")</f>
        <v>デカノイルカルニチン</v>
      </c>
      <c r="I1348" s="1" t="str">
        <f>IFERROR(__xludf.DUMMYFUNCTION("GOOGLETRANSLATE(E1348,""EN"",""JA"")"),"C10; デカノイルカルニチン")</f>
        <v>C10; デカノイルカルニチン</v>
      </c>
      <c r="J1348" s="1" t="str">
        <f>IFERROR(__xludf.DUMMYFUNCTION("GOOGLETRANSLATE(F1348,""EN"",""JA"")"),"生物標本中のデカノイルカルニチンの測定。")</f>
        <v>生物標本中のデカノイルカルニチンの測定。</v>
      </c>
      <c r="K1348" s="1" t="str">
        <f>IFERROR(__xludf.DUMMYFUNCTION("GOOGLETRANSLATE(G1348,""EN"",""JA"")"),"デカノイルカルニチン測定")</f>
        <v>デカノイルカルニチン測定</v>
      </c>
    </row>
    <row r="1349" ht="13.5" customHeight="1">
      <c r="A1349" s="1" t="s">
        <v>134</v>
      </c>
      <c r="B1349" s="1" t="s">
        <v>6841</v>
      </c>
      <c r="C1349" s="1" t="s">
        <v>6842</v>
      </c>
      <c r="D1349" s="1" t="s">
        <v>6843</v>
      </c>
      <c r="E1349" s="1" t="s">
        <v>6843</v>
      </c>
      <c r="F1349" s="1" t="s">
        <v>6844</v>
      </c>
      <c r="G1349" s="1" t="s">
        <v>6845</v>
      </c>
      <c r="H1349" s="1" t="str">
        <f>IFERROR(__xludf.DUMMYFUNCTION("GOOGLETRANSLATE(D1349,""EN"",""JA"")"),"樹状細胞-リソソーム関連膜タンパク質")</f>
        <v>樹状細胞-リソソーム関連膜タンパク質</v>
      </c>
      <c r="I1349" s="1" t="str">
        <f>IFERROR(__xludf.DUMMYFUNCTION("GOOGLETRANSLATE(E1349,""EN"",""JA"")"),"樹状細胞-リソソーム関連膜タンパク質")</f>
        <v>樹状細胞-リソソーム関連膜タンパク質</v>
      </c>
      <c r="J1349" s="1" t="str">
        <f>IFERROR(__xludf.DUMMYFUNCTION("GOOGLETRANSLATE(F1349,""EN"",""JA"")"),"生物標本中の樹状細胞-リソソーム関連膜タンパク質の測定。")</f>
        <v>生物標本中の樹状細胞-リソソーム関連膜タンパク質の測定。</v>
      </c>
      <c r="K1349" s="1" t="str">
        <f>IFERROR(__xludf.DUMMYFUNCTION("GOOGLETRANSLATE(G1349,""EN"",""JA"")"),"樹状細胞リソソーム関連膜タンパク質測定")</f>
        <v>樹状細胞リソソーム関連膜タンパク質測定</v>
      </c>
    </row>
    <row r="1350" ht="13.5" customHeight="1">
      <c r="A1350" s="1" t="s">
        <v>134</v>
      </c>
      <c r="B1350" s="1" t="s">
        <v>6846</v>
      </c>
      <c r="C1350" s="1" t="s">
        <v>6847</v>
      </c>
      <c r="D1350" s="1" t="s">
        <v>6848</v>
      </c>
      <c r="E1350" s="1" t="s">
        <v>6849</v>
      </c>
      <c r="F1350" s="1" t="s">
        <v>6850</v>
      </c>
      <c r="G1350" s="1" t="s">
        <v>6851</v>
      </c>
      <c r="H1350" s="1" t="str">
        <f>IFERROR(__xludf.DUMMYFUNCTION("GOOGLETRANSLATE(D1350,""EN"",""JA"")"),"DC 形質細胞様細胞")</f>
        <v>DC 形質細胞様細胞</v>
      </c>
      <c r="I1350" s="1" t="str">
        <f>IFERROR(__xludf.DUMMYFUNCTION("GOOGLETRANSLATE(E1350,""EN"",""JA"")"),"DC 形質細胞様細胞; 形質細胞様樹状細胞")</f>
        <v>DC 形質細胞様細胞; 形質細胞様樹状細胞</v>
      </c>
      <c r="J1350" s="1" t="str">
        <f>IFERROR(__xludf.DUMMYFUNCTION("GOOGLETRANSLATE(F1350,""EN"",""JA"")"),"生物標本中の形質細胞様樹状細胞の測定。")</f>
        <v>生物標本中の形質細胞様樹状細胞の測定。</v>
      </c>
      <c r="K1350" s="1" t="str">
        <f>IFERROR(__xludf.DUMMYFUNCTION("GOOGLETRANSLATE(G1350,""EN"",""JA"")"),"形質細胞様樹状細胞数")</f>
        <v>形質細胞様樹状細胞数</v>
      </c>
    </row>
    <row r="1351" ht="13.5" customHeight="1">
      <c r="A1351" s="1" t="s">
        <v>134</v>
      </c>
      <c r="B1351" s="1" t="s">
        <v>6852</v>
      </c>
      <c r="C1351" s="1" t="s">
        <v>6853</v>
      </c>
      <c r="D1351" s="1" t="s">
        <v>6854</v>
      </c>
      <c r="E1351" s="1" t="s">
        <v>6855</v>
      </c>
      <c r="F1351" s="1" t="s">
        <v>6856</v>
      </c>
      <c r="G1351" s="1" t="s">
        <v>6857</v>
      </c>
      <c r="H1351" s="1" t="str">
        <f>IFERROR(__xludf.DUMMYFUNCTION("GOOGLETRANSLATE(D1351,""EN"",""JA"")"),"DC 形質細胞様サブ")</f>
        <v>DC 形質細胞様サブ</v>
      </c>
      <c r="I1351" s="1" t="str">
        <f>IFERROR(__xludf.DUMMYFUNCTION("GOOGLETRANSLATE(E1351,""EN"",""JA"")"),"DC 形質細胞様サブ; 形質細胞様樹状細胞サブポピュレーション")</f>
        <v>DC 形質細胞様サブ; 形質細胞様樹状細胞サブポピュレーション</v>
      </c>
      <c r="J1351" s="1" t="str">
        <f>IFERROR(__xludf.DUMMYFUNCTION("GOOGLETRANSLATE(F1351,""EN"",""JA"")"),"生物標本中の形質細胞様樹状細胞のサブポピュレーションの測定。")</f>
        <v>生物標本中の形質細胞様樹状細胞のサブポピュレーションの測定。</v>
      </c>
      <c r="K1351" s="1" t="str">
        <f>IFERROR(__xludf.DUMMYFUNCTION("GOOGLETRANSLATE(G1351,""EN"",""JA"")"),"形質細胞様樹状細胞サブポピュレーション数")</f>
        <v>形質細胞様樹状細胞サブポピュレーション数</v>
      </c>
    </row>
    <row r="1352" ht="13.5" customHeight="1">
      <c r="A1352" s="1" t="s">
        <v>397</v>
      </c>
      <c r="B1352" s="1" t="s">
        <v>6858</v>
      </c>
      <c r="C1352" s="1" t="s">
        <v>6859</v>
      </c>
      <c r="D1352" s="1" t="s">
        <v>6860</v>
      </c>
      <c r="E1352" s="1" t="s">
        <v>6860</v>
      </c>
      <c r="F1352" s="1" t="s">
        <v>6861</v>
      </c>
      <c r="G1352" s="1" t="s">
        <v>6862</v>
      </c>
      <c r="H1352" s="1" t="str">
        <f>IFERROR(__xludf.DUMMYFUNCTION("GOOGLETRANSLATE(D1352,""EN"",""JA"")"),"データカットオフの説明")</f>
        <v>データカットオフの説明</v>
      </c>
      <c r="I1352" s="1" t="str">
        <f>IFERROR(__xludf.DUMMYFUNCTION("GOOGLETRANSLATE(E1352,""EN"",""JA"")"),"データカットオフの説明")</f>
        <v>データカットオフの説明</v>
      </c>
      <c r="J1352" s="1" t="str">
        <f>IFERROR(__xludf.DUMMYFUNCTION("GOOGLETRANSLATE(F1352,""EN"",""JA"")"),"締め切り日を説明するテキスト。")</f>
        <v>締め切り日を説明するテキスト。</v>
      </c>
      <c r="K1352" s="1" t="str">
        <f>IFERROR(__xludf.DUMMYFUNCTION("GOOGLETRANSLATE(G1352,""EN"",""JA"")"),"データカットオフ日の説明")</f>
        <v>データカットオフ日の説明</v>
      </c>
    </row>
    <row r="1353" ht="13.5" customHeight="1">
      <c r="A1353" s="1" t="s">
        <v>397</v>
      </c>
      <c r="B1353" s="1" t="s">
        <v>6863</v>
      </c>
      <c r="C1353" s="1" t="s">
        <v>6864</v>
      </c>
      <c r="D1353" s="1" t="s">
        <v>6865</v>
      </c>
      <c r="E1353" s="1" t="s">
        <v>6865</v>
      </c>
      <c r="F1353" s="1" t="s">
        <v>6866</v>
      </c>
      <c r="G1353" s="1" t="s">
        <v>6865</v>
      </c>
      <c r="H1353" s="1" t="str">
        <f>IFERROR(__xludf.DUMMYFUNCTION("GOOGLETRANSLATE(D1353,""EN"",""JA"")"),"データ締め切り日")</f>
        <v>データ締め切り日</v>
      </c>
      <c r="I1353" s="1" t="str">
        <f>IFERROR(__xludf.DUMMYFUNCTION("GOOGLETRANSLATE(E1353,""EN"",""JA"")"),"データ締め切り日")</f>
        <v>データ締め切り日</v>
      </c>
      <c r="J1353" s="1" t="str">
        <f>IFERROR(__xludf.DUMMYFUNCTION("GOOGLETRANSLATE(F1353,""EN"",""JA"")"),"この日付までに収集されたデータが分析に使用されることを示す日付。")</f>
        <v>この日付までに収集されたデータが分析に使用されることを示す日付。</v>
      </c>
      <c r="K1353" s="1" t="str">
        <f>IFERROR(__xludf.DUMMYFUNCTION("GOOGLETRANSLATE(G1353,""EN"",""JA"")"),"データ締め切り日")</f>
        <v>データ締め切り日</v>
      </c>
    </row>
    <row r="1354" ht="13.5" customHeight="1">
      <c r="A1354" s="1" t="s">
        <v>601</v>
      </c>
      <c r="B1354" s="1" t="s">
        <v>6867</v>
      </c>
      <c r="C1354" s="1" t="s">
        <v>6868</v>
      </c>
      <c r="D1354" s="1" t="s">
        <v>6869</v>
      </c>
      <c r="E1354" s="1" t="s">
        <v>6869</v>
      </c>
      <c r="F1354" s="1" t="s">
        <v>6870</v>
      </c>
      <c r="G1354" s="1" t="s">
        <v>6871</v>
      </c>
      <c r="H1354" s="1" t="str">
        <f>IFERROR(__xludf.DUMMYFUNCTION("GOOGLETRANSLATE(D1354,""EN"",""JA"")"),"故人寄付者による寄付の種類")</f>
        <v>故人寄付者による寄付の種類</v>
      </c>
      <c r="I1354" s="1" t="str">
        <f>IFERROR(__xludf.DUMMYFUNCTION("GOOGLETRANSLATE(E1354,""EN"",""JA"")"),"故人寄付者による寄付の種類")</f>
        <v>故人寄付者による寄付の種類</v>
      </c>
      <c r="J1354" s="1" t="str">
        <f>IFERROR(__xludf.DUMMYFUNCTION("GOOGLETRANSLATE(F1354,""EN"",""JA"")"),"臓器提供者の状態や環境など、死亡した提供者から臓器が摘出される条件。")</f>
        <v>臓器提供者の状態や環境など、死亡した提供者から臓器が摘出される条件。</v>
      </c>
      <c r="K1354" s="1" t="str">
        <f>IFERROR(__xludf.DUMMYFUNCTION("GOOGLETRANSLATE(G1354,""EN"",""JA"")"),"死体ドナーによる臓器提供の条件")</f>
        <v>死体ドナーによる臓器提供の条件</v>
      </c>
    </row>
    <row r="1355" ht="13.5" customHeight="1">
      <c r="A1355" s="1" t="s">
        <v>11</v>
      </c>
      <c r="B1355" s="1" t="s">
        <v>6872</v>
      </c>
      <c r="C1355" s="1" t="s">
        <v>6873</v>
      </c>
      <c r="D1355" s="1" t="s">
        <v>6874</v>
      </c>
      <c r="E1355" s="1" t="s">
        <v>6874</v>
      </c>
      <c r="F1355" s="1" t="s">
        <v>6875</v>
      </c>
      <c r="G1355" s="1" t="s">
        <v>6876</v>
      </c>
      <c r="H1355" s="1" t="str">
        <f>IFERROR(__xludf.DUMMYFUNCTION("GOOGLETRANSLATE(D1355,""EN"",""JA"")"),"Dダイマー")</f>
        <v>Dダイマー</v>
      </c>
      <c r="I1355" s="1" t="str">
        <f>IFERROR(__xludf.DUMMYFUNCTION("GOOGLETRANSLATE(E1355,""EN"",""JA"")"),"Dダイマー")</f>
        <v>Dダイマー</v>
      </c>
      <c r="J1355" s="1" t="str">
        <f>IFERROR(__xludf.DUMMYFUNCTION("GOOGLETRANSLATE(F1355,""EN"",""JA"")"),"生物標本中の D ダイマーの測定。")</f>
        <v>生物標本中の D ダイマーの測定。</v>
      </c>
      <c r="K1355" s="1" t="str">
        <f>IFERROR(__xludf.DUMMYFUNCTION("GOOGLETRANSLATE(G1355,""EN"",""JA"")"),"Dダイマー測定")</f>
        <v>Dダイマー測定</v>
      </c>
    </row>
    <row r="1356" ht="13.5" customHeight="1">
      <c r="A1356" s="1" t="s">
        <v>11</v>
      </c>
      <c r="B1356" s="1" t="s">
        <v>6877</v>
      </c>
      <c r="C1356" s="1" t="s">
        <v>6878</v>
      </c>
      <c r="D1356" s="1" t="s">
        <v>6879</v>
      </c>
      <c r="E1356" s="1" t="s">
        <v>6879</v>
      </c>
      <c r="F1356" s="1" t="s">
        <v>6880</v>
      </c>
      <c r="G1356" s="1" t="s">
        <v>6881</v>
      </c>
      <c r="H1356" s="1" t="str">
        <f>IFERROR(__xludf.DUMMYFUNCTION("GOOGLETRANSLATE(D1356,""EN"",""JA"")"),"抗二本鎖DNA IgG")</f>
        <v>抗二本鎖DNA IgG</v>
      </c>
      <c r="I1356" s="1" t="str">
        <f>IFERROR(__xludf.DUMMYFUNCTION("GOOGLETRANSLATE(E1356,""EN"",""JA"")"),"抗二本鎖DNA IgG")</f>
        <v>抗二本鎖DNA IgG</v>
      </c>
      <c r="J1356" s="1" t="str">
        <f>IFERROR(__xludf.DUMMYFUNCTION("GOOGLETRANSLATE(F1356,""EN"",""JA"")"),"生物学的標本中の二本鎖 DNA IgG 抗体の測定。")</f>
        <v>生物学的標本中の二本鎖 DNA IgG 抗体の測定。</v>
      </c>
      <c r="K1356" s="1" t="str">
        <f>IFERROR(__xludf.DUMMYFUNCTION("GOOGLETRANSLATE(G1356,""EN"",""JA"")"),"抗二本鎖DNA IgG測定")</f>
        <v>抗二本鎖DNA IgG測定</v>
      </c>
    </row>
    <row r="1357" ht="13.5" customHeight="1">
      <c r="A1357" s="1" t="s">
        <v>11</v>
      </c>
      <c r="B1357" s="1" t="s">
        <v>6882</v>
      </c>
      <c r="C1357" s="1" t="s">
        <v>6883</v>
      </c>
      <c r="D1357" s="1" t="s">
        <v>6884</v>
      </c>
      <c r="E1357" s="1" t="s">
        <v>6885</v>
      </c>
      <c r="F1357" s="1" t="s">
        <v>6886</v>
      </c>
      <c r="G1357" s="1" t="s">
        <v>6887</v>
      </c>
      <c r="H1357" s="1" t="str">
        <f>IFERROR(__xludf.DUMMYFUNCTION("GOOGLETRANSLATE(D1357,""EN"",""JA"")"),"デッドボックスプロテイン58")</f>
        <v>デッドボックスプロテイン58</v>
      </c>
      <c r="I1357" s="1" t="str">
        <f>IFERROR(__xludf.DUMMYFUNCTION("GOOGLETRANSLATE(E1357,""EN"",""JA"")"),"DEADボックスタンパク質58; DExD/Hボックスヘリカーゼ58; おそらくATP依存性RNAヘリカーゼDDX58")</f>
        <v>DEADボックスタンパク質58; DExD/Hボックスヘリカーゼ58; おそらくATP依存性RNAヘリカーゼDDX58</v>
      </c>
      <c r="J1357" s="1" t="str">
        <f>IFERROR(__xludf.DUMMYFUNCTION("GOOGLETRANSLATE(F1357,""EN"",""JA"")"),"生物標本中の DEAD ボックス タンパク質 58 の測定。")</f>
        <v>生物標本中の DEAD ボックス タンパク質 58 の測定。</v>
      </c>
      <c r="K1357" s="1" t="str">
        <f>IFERROR(__xludf.DUMMYFUNCTION("GOOGLETRANSLATE(G1357,""EN"",""JA"")"),"DEAD Boxプロテイン58測定")</f>
        <v>DEAD Boxプロテイン58測定</v>
      </c>
    </row>
    <row r="1358" ht="13.5" customHeight="1">
      <c r="A1358" s="1" t="s">
        <v>90</v>
      </c>
      <c r="B1358" s="1" t="s">
        <v>6888</v>
      </c>
      <c r="C1358" s="1" t="s">
        <v>6889</v>
      </c>
      <c r="D1358" s="1" t="s">
        <v>6890</v>
      </c>
      <c r="E1358" s="1" t="s">
        <v>6891</v>
      </c>
      <c r="F1358" s="1" t="s">
        <v>6892</v>
      </c>
      <c r="G1358" s="1" t="s">
        <v>6893</v>
      </c>
      <c r="H1358" s="1" t="str">
        <f>IFERROR(__xludf.DUMMYFUNCTION("GOOGLETRANSLATE(D1358,""EN"",""JA"")"),"DeBakey AoD分類")</f>
        <v>DeBakey AoD分類</v>
      </c>
      <c r="I1358" s="1" t="str">
        <f>IFERROR(__xludf.DUMMYFUNCTION("GOOGLETRANSLATE(E1358,""EN"",""JA"")"),"DeBakey AoD分類; DeBakey大動脈解離分類")</f>
        <v>DeBakey AoD分類; DeBakey大動脈解離分類</v>
      </c>
      <c r="J1358" s="1" t="str">
        <f>IFERROR(__xludf.DUMMYFUNCTION("GOOGLETRANSLATE(F1358,""EN"",""JA"")"),"DeBakey分類システム（DeBakey ME、Henly WS、Cooley DA、Morris GC Jr、Crawford ES、Beall AC Jr. 大動脈解離の外科的管理。J Thorac Cardiovasc Surg. 1965年1月;49）によって定義された大動脈解離の種類。")</f>
        <v>DeBakey分類システム（DeBakey ME、Henly WS、Cooley DA、Morris GC Jr、Crawford ES、Beall AC Jr. 大動脈解離の外科的管理。J Thorac Cardiovasc Surg. 1965年1月;49）によって定義された大動脈解離の種類。</v>
      </c>
      <c r="K1358" s="1" t="str">
        <f>IFERROR(__xludf.DUMMYFUNCTION("GOOGLETRANSLATE(G1358,""EN"",""JA"")"),"DeBakey大動脈解離分類")</f>
        <v>DeBakey大動脈解離分類</v>
      </c>
    </row>
    <row r="1359" ht="13.5" customHeight="1">
      <c r="A1359" s="1" t="s">
        <v>11</v>
      </c>
      <c r="B1359" s="1" t="s">
        <v>6894</v>
      </c>
      <c r="C1359" s="1" t="s">
        <v>6895</v>
      </c>
      <c r="D1359" s="1" t="s">
        <v>6896</v>
      </c>
      <c r="E1359" s="1" t="s">
        <v>6897</v>
      </c>
      <c r="F1359" s="1" t="s">
        <v>6898</v>
      </c>
      <c r="G1359" s="1" t="s">
        <v>6899</v>
      </c>
      <c r="H1359" s="1" t="str">
        <f>IFERROR(__xludf.DUMMYFUNCTION("GOOGLETRANSLATE(D1359,""EN"",""JA"")"),"デコリン")</f>
        <v>デコリン</v>
      </c>
      <c r="I1359" s="1" t="str">
        <f>IFERROR(__xludf.DUMMYFUNCTION("GOOGLETRANSLATE(E1359,""EN"",""JA"")"),"DCN; デコリン")</f>
        <v>DCN; デコリン</v>
      </c>
      <c r="J1359" s="1" t="str">
        <f>IFERROR(__xludf.DUMMYFUNCTION("GOOGLETRANSLATE(F1359,""EN"",""JA"")"),"生物標本中のデコリンの測定。")</f>
        <v>生物標本中のデコリンの測定。</v>
      </c>
      <c r="K1359" s="1" t="str">
        <f>IFERROR(__xludf.DUMMYFUNCTION("GOOGLETRANSLATE(G1359,""EN"",""JA"")"),"デコリン測定")</f>
        <v>デコリン測定</v>
      </c>
    </row>
    <row r="1360" ht="13.5" customHeight="1">
      <c r="A1360" s="1" t="s">
        <v>11</v>
      </c>
      <c r="B1360" s="1" t="s">
        <v>6900</v>
      </c>
      <c r="C1360" s="1" t="s">
        <v>6901</v>
      </c>
      <c r="D1360" s="1" t="s">
        <v>6902</v>
      </c>
      <c r="E1360" s="1" t="s">
        <v>6902</v>
      </c>
      <c r="F1360" s="1" t="s">
        <v>6903</v>
      </c>
      <c r="G1360" s="1" t="s">
        <v>6902</v>
      </c>
      <c r="H1360" s="1" t="str">
        <f>IFERROR(__xludf.DUMMYFUNCTION("GOOGLETRANSLATE(D1360,""EN"",""JA"")"),"密度")</f>
        <v>密度</v>
      </c>
      <c r="I1360" s="1" t="str">
        <f>IFERROR(__xludf.DUMMYFUNCTION("GOOGLETRANSLATE(E1360,""EN"",""JA"")"),"密度")</f>
        <v>密度</v>
      </c>
      <c r="J1360" s="1" t="str">
        <f>IFERROR(__xludf.DUMMYFUNCTION("GOOGLETRANSLATE(F1360,""EN"",""JA"")"),"単位体積あたりの質量で表される生物標本のコンパクトさの測定値。")</f>
        <v>単位体積あたりの質量で表される生物標本のコンパクトさの測定値。</v>
      </c>
      <c r="K1360" s="1" t="str">
        <f>IFERROR(__xludf.DUMMYFUNCTION("GOOGLETRANSLATE(G1360,""EN"",""JA"")"),"密度")</f>
        <v>密度</v>
      </c>
    </row>
    <row r="1361" ht="13.5" customHeight="1">
      <c r="A1361" s="1" t="s">
        <v>134</v>
      </c>
      <c r="B1361" s="1" t="s">
        <v>6904</v>
      </c>
      <c r="C1361" s="1" t="s">
        <v>6905</v>
      </c>
      <c r="D1361" s="1" t="s">
        <v>6906</v>
      </c>
      <c r="E1361" s="1" t="s">
        <v>6906</v>
      </c>
      <c r="F1361" s="1" t="s">
        <v>6907</v>
      </c>
      <c r="G1361" s="1" t="s">
        <v>6906</v>
      </c>
      <c r="H1361" s="1" t="str">
        <f>IFERROR(__xludf.DUMMYFUNCTION("GOOGLETRANSLATE(D1361,""EN"",""JA"")"),"深さ")</f>
        <v>深さ</v>
      </c>
      <c r="I1361" s="1" t="str">
        <f>IFERROR(__xludf.DUMMYFUNCTION("GOOGLETRANSLATE(E1361,""EN"",""JA"")"),"深さ")</f>
        <v>深さ</v>
      </c>
      <c r="J1361" s="1" t="str">
        <f>IFERROR(__xludf.DUMMYFUNCTION("GOOGLETRANSLATE(F1361,""EN"",""JA"")"),"下方または内方の範囲。深さを決定するために表面から下方へ垂直に測定した値。(NCI)")</f>
        <v>下方または内方の範囲。深さを決定するために表面から下方へ垂直に測定した値。(NCI)</v>
      </c>
      <c r="K1361" s="1" t="str">
        <f>IFERROR(__xludf.DUMMYFUNCTION("GOOGLETRANSLATE(G1361,""EN"",""JA"")"),"深さ")</f>
        <v>深さ</v>
      </c>
    </row>
    <row r="1362" ht="13.5" customHeight="1">
      <c r="A1362" s="1" t="s">
        <v>90</v>
      </c>
      <c r="B1362" s="1" t="s">
        <v>6904</v>
      </c>
      <c r="C1362" s="1" t="s">
        <v>6905</v>
      </c>
      <c r="D1362" s="1" t="s">
        <v>6906</v>
      </c>
      <c r="E1362" s="1" t="s">
        <v>6906</v>
      </c>
      <c r="F1362" s="1" t="s">
        <v>6907</v>
      </c>
      <c r="G1362" s="1" t="s">
        <v>6906</v>
      </c>
      <c r="H1362" s="1" t="str">
        <f>IFERROR(__xludf.DUMMYFUNCTION("GOOGLETRANSLATE(D1362,""EN"",""JA"")"),"深さ")</f>
        <v>深さ</v>
      </c>
      <c r="I1362" s="1" t="str">
        <f>IFERROR(__xludf.DUMMYFUNCTION("GOOGLETRANSLATE(E1362,""EN"",""JA"")"),"深さ")</f>
        <v>深さ</v>
      </c>
      <c r="J1362" s="1" t="str">
        <f>IFERROR(__xludf.DUMMYFUNCTION("GOOGLETRANSLATE(F1362,""EN"",""JA"")"),"下方または内方の範囲。深さを決定するために表面から下方へ垂直に測定した値。(NCI)")</f>
        <v>下方または内方の範囲。深さを決定するために表面から下方へ垂直に測定した値。(NCI)</v>
      </c>
      <c r="K1362" s="1" t="str">
        <f>IFERROR(__xludf.DUMMYFUNCTION("GOOGLETRANSLATE(G1362,""EN"",""JA"")"),"深さ")</f>
        <v>深さ</v>
      </c>
    </row>
    <row r="1363" ht="13.5" customHeight="1">
      <c r="A1363" s="1" t="s">
        <v>11</v>
      </c>
      <c r="B1363" s="1" t="s">
        <v>6908</v>
      </c>
      <c r="C1363" s="1" t="s">
        <v>6909</v>
      </c>
      <c r="D1363" s="1" t="s">
        <v>6910</v>
      </c>
      <c r="E1363" s="1" t="s">
        <v>6910</v>
      </c>
      <c r="F1363" s="1" t="s">
        <v>6911</v>
      </c>
      <c r="G1363" s="1" t="s">
        <v>6912</v>
      </c>
      <c r="H1363" s="1" t="str">
        <f>IFERROR(__xludf.DUMMYFUNCTION("GOOGLETRANSLATE(D1363,""EN"",""JA"")"),"デシプラミン")</f>
        <v>デシプラミン</v>
      </c>
      <c r="I1363" s="1" t="str">
        <f>IFERROR(__xludf.DUMMYFUNCTION("GOOGLETRANSLATE(E1363,""EN"",""JA"")"),"デシプラミン")</f>
        <v>デシプラミン</v>
      </c>
      <c r="J1363" s="1" t="str">
        <f>IFERROR(__xludf.DUMMYFUNCTION("GOOGLETRANSLATE(F1363,""EN"",""JA"")"),"生物標本中のデシプラミンの測定。")</f>
        <v>生物標本中のデシプラミンの測定。</v>
      </c>
      <c r="K1363" s="1" t="str">
        <f>IFERROR(__xludf.DUMMYFUNCTION("GOOGLETRANSLATE(G1363,""EN"",""JA"")"),"デシプラミン測定")</f>
        <v>デシプラミン測定</v>
      </c>
    </row>
    <row r="1364" ht="13.5" customHeight="1">
      <c r="A1364" s="1" t="s">
        <v>11</v>
      </c>
      <c r="B1364" s="1" t="s">
        <v>6913</v>
      </c>
      <c r="C1364" s="1" t="s">
        <v>6914</v>
      </c>
      <c r="D1364" s="1" t="s">
        <v>6915</v>
      </c>
      <c r="E1364" s="1" t="s">
        <v>6916</v>
      </c>
      <c r="F1364" s="1" t="s">
        <v>6917</v>
      </c>
      <c r="G1364" s="1" t="s">
        <v>6918</v>
      </c>
      <c r="H1364" s="1" t="str">
        <f>IFERROR(__xludf.DUMMYFUNCTION("GOOGLETRANSLATE(D1364,""EN"",""JA"")"),"デスモシン")</f>
        <v>デスモシン</v>
      </c>
      <c r="I1364" s="1" t="str">
        <f>IFERROR(__xludf.DUMMYFUNCTION("GOOGLETRANSLATE(E1364,""EN"",""JA"")"),"DES; デスモシン")</f>
        <v>DES; デスモシン</v>
      </c>
      <c r="J1364" s="1" t="str">
        <f>IFERROR(__xludf.DUMMYFUNCTION("GOOGLETRANSLATE(F1364,""EN"",""JA"")"),"標本中のデスモシンの測定。")</f>
        <v>標本中のデスモシンの測定。</v>
      </c>
      <c r="K1364" s="1" t="str">
        <f>IFERROR(__xludf.DUMMYFUNCTION("GOOGLETRANSLATE(G1364,""EN"",""JA"")"),"デスモシン測定")</f>
        <v>デスモシン測定</v>
      </c>
    </row>
    <row r="1365" ht="13.5" customHeight="1">
      <c r="A1365" s="1" t="s">
        <v>1997</v>
      </c>
      <c r="B1365" s="1" t="s">
        <v>6919</v>
      </c>
      <c r="C1365" s="1" t="s">
        <v>6920</v>
      </c>
      <c r="D1365" s="1" t="s">
        <v>6921</v>
      </c>
      <c r="E1365" s="1" t="s">
        <v>6921</v>
      </c>
      <c r="F1365" s="1" t="s">
        <v>6922</v>
      </c>
      <c r="G1365" s="1" t="s">
        <v>6923</v>
      </c>
      <c r="H1365" s="1" t="str">
        <f>IFERROR(__xludf.DUMMYFUNCTION("GOOGLETRANSLATE(D1365,""EN"",""JA"")"),"分遣隊")</f>
        <v>分遣隊</v>
      </c>
      <c r="I1365" s="1" t="str">
        <f>IFERROR(__xludf.DUMMYFUNCTION("GOOGLETRANSLATE(E1365,""EN"",""JA"")"),"分遣隊")</f>
        <v>分遣隊</v>
      </c>
      <c r="J1365" s="1" t="str">
        <f>IFERROR(__xludf.DUMMYFUNCTION("GOOGLETRANSLATE(F1365,""EN"",""JA"")"),"正常に接合されている 2 つの構造間の異常な分離の評価。")</f>
        <v>正常に接合されている 2 つの構造間の異常な分離の評価。</v>
      </c>
      <c r="K1365" s="1" t="str">
        <f>IFERROR(__xludf.DUMMYFUNCTION("GOOGLETRANSLATE(G1365,""EN"",""JA"")"),"組織剥離の評価")</f>
        <v>組織剥離の評価</v>
      </c>
    </row>
    <row r="1366" ht="13.5" customHeight="1">
      <c r="A1366" s="1" t="s">
        <v>11</v>
      </c>
      <c r="B1366" s="1" t="s">
        <v>6924</v>
      </c>
      <c r="C1366" s="1" t="s">
        <v>6925</v>
      </c>
      <c r="D1366" s="1" t="s">
        <v>6926</v>
      </c>
      <c r="E1366" s="1" t="s">
        <v>6926</v>
      </c>
      <c r="F1366" s="1" t="s">
        <v>6927</v>
      </c>
      <c r="G1366" s="1" t="s">
        <v>6928</v>
      </c>
      <c r="H1366" s="1" t="str">
        <f>IFERROR(__xludf.DUMMYFUNCTION("GOOGLETRANSLATE(D1366,""EN"",""JA"")"),"ジエチルプロピオン")</f>
        <v>ジエチルプロピオン</v>
      </c>
      <c r="I1366" s="1" t="str">
        <f>IFERROR(__xludf.DUMMYFUNCTION("GOOGLETRANSLATE(E1366,""EN"",""JA"")"),"ジエチルプロピオン")</f>
        <v>ジエチルプロピオン</v>
      </c>
      <c r="J1366" s="1" t="str">
        <f>IFERROR(__xludf.DUMMYFUNCTION("GOOGLETRANSLATE(F1366,""EN"",""JA"")"),"生物標本中のジエチルプロピオンの測定。")</f>
        <v>生物標本中のジエチルプロピオンの測定。</v>
      </c>
      <c r="K1366" s="1" t="str">
        <f>IFERROR(__xludf.DUMMYFUNCTION("GOOGLETRANSLATE(G1366,""EN"",""JA"")"),"ジエチルプロピオン測定")</f>
        <v>ジエチルプロピオン測定</v>
      </c>
    </row>
    <row r="1367" ht="13.5" customHeight="1">
      <c r="A1367" s="1" t="s">
        <v>11</v>
      </c>
      <c r="B1367" s="1" t="s">
        <v>6929</v>
      </c>
      <c r="C1367" s="1" t="s">
        <v>6930</v>
      </c>
      <c r="D1367" s="1" t="s">
        <v>6931</v>
      </c>
      <c r="E1367" s="1" t="s">
        <v>6931</v>
      </c>
      <c r="F1367" s="1" t="s">
        <v>6932</v>
      </c>
      <c r="G1367" s="1" t="s">
        <v>6931</v>
      </c>
      <c r="H1367" s="1" t="str">
        <f>IFERROR(__xludf.DUMMYFUNCTION("GOOGLETRANSLATE(D1367,""EN"",""JA"")"),"DNA断片化指数")</f>
        <v>DNA断片化指数</v>
      </c>
      <c r="I1367" s="1" t="str">
        <f>IFERROR(__xludf.DUMMYFUNCTION("GOOGLETRANSLATE(E1367,""EN"",""JA"")"),"DNA断片化指数")</f>
        <v>DNA断片化指数</v>
      </c>
      <c r="J1367" s="1" t="str">
        <f>IFERROR(__xludf.DUMMYFUNCTION("GOOGLETRANSLATE(F1367,""EN"",""JA"")"),"生物標本の核細胞内のデオキシリボ核酸の断片化の測定。")</f>
        <v>生物標本の核細胞内のデオキシリボ核酸の断片化の測定。</v>
      </c>
      <c r="K1367" s="1" t="str">
        <f>IFERROR(__xludf.DUMMYFUNCTION("GOOGLETRANSLATE(G1367,""EN"",""JA"")"),"DNA断片化指数")</f>
        <v>DNA断片化指数</v>
      </c>
    </row>
    <row r="1368" ht="13.5" customHeight="1">
      <c r="A1368" s="1" t="s">
        <v>67</v>
      </c>
      <c r="B1368" s="1" t="s">
        <v>6933</v>
      </c>
      <c r="C1368" s="1" t="s">
        <v>6934</v>
      </c>
      <c r="D1368" s="1" t="s">
        <v>6935</v>
      </c>
      <c r="E1368" s="1" t="s">
        <v>6935</v>
      </c>
      <c r="F1368" s="1" t="s">
        <v>6936</v>
      </c>
      <c r="G1368" s="1" t="s">
        <v>6937</v>
      </c>
      <c r="H1368" s="1" t="str">
        <f>IFERROR(__xludf.DUMMYFUNCTION("GOOGLETRANSLATE(D1368,""EN"",""JA"")"),"ジエントアメーバ・フラギリスDNA")</f>
        <v>ジエントアメーバ・フラギリスDNA</v>
      </c>
      <c r="I1368" s="1" t="str">
        <f>IFERROR(__xludf.DUMMYFUNCTION("GOOGLETRANSLATE(E1368,""EN"",""JA"")"),"ジエントアメーバ・フラギリスDNA")</f>
        <v>ジエントアメーバ・フラギリスDNA</v>
      </c>
      <c r="J1368" s="1" t="str">
        <f>IFERROR(__xludf.DUMMYFUNCTION("GOOGLETRANSLATE(F1368,""EN"",""JA"")"),"生物標本中の Dientamoeba fragilis DNA の測定。")</f>
        <v>生物標本中の Dientamoeba fragilis DNA の測定。</v>
      </c>
      <c r="K1368" s="1" t="str">
        <f>IFERROR(__xludf.DUMMYFUNCTION("GOOGLETRANSLATE(G1368,""EN"",""JA"")"),"ジエントアメーバ・フラギリスDNA測定")</f>
        <v>ジエントアメーバ・フラギリスDNA測定</v>
      </c>
    </row>
    <row r="1369" ht="13.5" customHeight="1">
      <c r="A1369" s="1" t="s">
        <v>397</v>
      </c>
      <c r="B1369" s="1" t="s">
        <v>6938</v>
      </c>
      <c r="C1369" s="1" t="s">
        <v>6939</v>
      </c>
      <c r="D1369" s="1" t="s">
        <v>6940</v>
      </c>
      <c r="E1369" s="1" t="s">
        <v>6941</v>
      </c>
      <c r="F1369" s="1" t="s">
        <v>6942</v>
      </c>
      <c r="G1369" s="1" t="s">
        <v>6943</v>
      </c>
      <c r="H1369" s="1" t="str">
        <f>IFERROR(__xludf.DUMMYFUNCTION("GOOGLETRANSLATE(D1369,""EN"",""JA"")"),"移植機能遅延診断基準")</f>
        <v>移植機能遅延診断基準</v>
      </c>
      <c r="I1369" s="1" t="str">
        <f>IFERROR(__xludf.DUMMYFUNCTION("GOOGLETRANSLATE(E1369,""EN"",""JA"")"),"遅延移植機能診断基準; 遅延移植機能診断基準")</f>
        <v>遅延移植機能診断基準; 遅延移植機能診断基準</v>
      </c>
      <c r="J1369" s="1" t="str">
        <f>IFERROR(__xludf.DUMMYFUNCTION("GOOGLETRANSLATE(F1369,""EN"",""JA"")"),"移植機能遅延（DGF）の判定を確立するための基準。")</f>
        <v>移植機能遅延（DGF）の判定を確立するための基準。</v>
      </c>
      <c r="K1369" s="1" t="str">
        <f>IFERROR(__xludf.DUMMYFUNCTION("GOOGLETRANSLATE(G1369,""EN"",""JA"")"),"移植機能遅延診断基準名")</f>
        <v>移植機能遅延診断基準名</v>
      </c>
    </row>
    <row r="1370" ht="13.5" customHeight="1">
      <c r="A1370" s="1" t="s">
        <v>11</v>
      </c>
      <c r="B1370" s="1" t="s">
        <v>6944</v>
      </c>
      <c r="C1370" s="1" t="s">
        <v>6945</v>
      </c>
      <c r="D1370" s="1" t="s">
        <v>6946</v>
      </c>
      <c r="E1370" s="1" t="s">
        <v>6947</v>
      </c>
      <c r="F1370" s="1" t="s">
        <v>6948</v>
      </c>
      <c r="G1370" s="1" t="s">
        <v>6949</v>
      </c>
      <c r="H1370" s="1" t="str">
        <f>IFERROR(__xludf.DUMMYFUNCTION("GOOGLETRANSLATE(D1370,""EN"",""JA"")"),"変性した白血球")</f>
        <v>変性した白血球</v>
      </c>
      <c r="I1370" s="1" t="str">
        <f>IFERROR(__xludf.DUMMYFUNCTION("GOOGLETRANSLATE(E1370,""EN"",""JA"")"),"変性白血球; 変性WBC; 変性白血球")</f>
        <v>変性白血球; 変性WBC; 変性白血球</v>
      </c>
      <c r="J1370" s="1" t="str">
        <f>IFERROR(__xludf.DUMMYFUNCTION("GOOGLETRANSLATE(F1370,""EN"",""JA"")"),"生物標本中の変性白血球（形態または機能が劣化した白血球）の測定。")</f>
        <v>生物標本中の変性白血球（形態または機能が劣化した白血球）の測定。</v>
      </c>
      <c r="K1370" s="1" t="str">
        <f>IFERROR(__xludf.DUMMYFUNCTION("GOOGLETRANSLATE(G1370,""EN"",""JA"")"),"変性白血球数")</f>
        <v>変性白血球数</v>
      </c>
    </row>
    <row r="1371" ht="13.5" customHeight="1">
      <c r="A1371" s="1" t="s">
        <v>11</v>
      </c>
      <c r="B1371" s="1" t="s">
        <v>6950</v>
      </c>
      <c r="C1371" s="1" t="s">
        <v>6951</v>
      </c>
      <c r="D1371" s="1" t="s">
        <v>6952</v>
      </c>
      <c r="E1371" s="1" t="s">
        <v>6953</v>
      </c>
      <c r="F1371" s="1" t="s">
        <v>6954</v>
      </c>
      <c r="G1371" s="1" t="s">
        <v>6955</v>
      </c>
      <c r="H1371" s="1" t="str">
        <f>IFERROR(__xludf.DUMMYFUNCTION("GOOGLETRANSLATE(D1371,""EN"",""JA"")"),"デヒドロエピアンドロステロン")</f>
        <v>デヒドロエピアンドロステロン</v>
      </c>
      <c r="I1371" s="1" t="str">
        <f>IFERROR(__xludf.DUMMYFUNCTION("GOOGLETRANSLATE(E1371,""EN"",""JA"")"),"デヒドロエピアンドロステロン; デヒドロイソアンドロステロン")</f>
        <v>デヒドロエピアンドロステロン; デヒドロイソアンドロステロン</v>
      </c>
      <c r="J1371" s="1" t="str">
        <f>IFERROR(__xludf.DUMMYFUNCTION("GOOGLETRANSLATE(F1371,""EN"",""JA"")"),"生物標本中のデヒドロエピアンドロステロン ホルモンの測定。")</f>
        <v>生物標本中のデヒドロエピアンドロステロン ホルモンの測定。</v>
      </c>
      <c r="K1371" s="1" t="str">
        <f>IFERROR(__xludf.DUMMYFUNCTION("GOOGLETRANSLATE(G1371,""EN"",""JA"")"),"デヒドロエピアンドロステロン測定")</f>
        <v>デヒドロエピアンドロステロン測定</v>
      </c>
    </row>
    <row r="1372" ht="13.5" customHeight="1">
      <c r="A1372" s="1" t="s">
        <v>11</v>
      </c>
      <c r="B1372" s="1" t="s">
        <v>6956</v>
      </c>
      <c r="C1372" s="1" t="s">
        <v>6957</v>
      </c>
      <c r="D1372" s="1" t="s">
        <v>6958</v>
      </c>
      <c r="E1372" s="1" t="s">
        <v>6959</v>
      </c>
      <c r="F1372" s="1" t="s">
        <v>6960</v>
      </c>
      <c r="G1372" s="1" t="s">
        <v>6961</v>
      </c>
      <c r="H1372" s="1" t="str">
        <f>IFERROR(__xludf.DUMMYFUNCTION("GOOGLETRANSLATE(D1372,""EN"",""JA"")"),"デヒドロエピアンドロステロン硫酸塩")</f>
        <v>デヒドロエピアンドロステロン硫酸塩</v>
      </c>
      <c r="I1372" s="1" t="str">
        <f>IFERROR(__xludf.DUMMYFUNCTION("GOOGLETRANSLATE(E1372,""EN"",""JA"")"),"デヒドロエピアンドロステロン硫酸塩; DHEA硫酸塩; DHEA-S; sDHEA")</f>
        <v>デヒドロエピアンドロステロン硫酸塩; DHEA硫酸塩; DHEA-S; sDHEA</v>
      </c>
      <c r="J1372" s="1" t="str">
        <f>IFERROR(__xludf.DUMMYFUNCTION("GOOGLETRANSLATE(F1372,""EN"",""JA"")"),"生物標本中の硫酸化デヒドロエピアンドロステロンの測定。")</f>
        <v>生物標本中の硫酸化デヒドロエピアンドロステロンの測定。</v>
      </c>
      <c r="K1372" s="1" t="str">
        <f>IFERROR(__xludf.DUMMYFUNCTION("GOOGLETRANSLATE(G1372,""EN"",""JA"")"),"硫酸化DHEA測定")</f>
        <v>硫酸化DHEA測定</v>
      </c>
    </row>
    <row r="1373" ht="13.5" customHeight="1">
      <c r="A1373" s="1" t="s">
        <v>11</v>
      </c>
      <c r="B1373" s="1" t="s">
        <v>6962</v>
      </c>
      <c r="C1373" s="1" t="s">
        <v>6963</v>
      </c>
      <c r="D1373" s="1" t="s">
        <v>6964</v>
      </c>
      <c r="E1373" s="1" t="s">
        <v>6965</v>
      </c>
      <c r="F1373" s="1" t="s">
        <v>6966</v>
      </c>
      <c r="G1373" s="1" t="s">
        <v>6967</v>
      </c>
      <c r="H1373" s="1" t="str">
        <f>IFERROR(__xludf.DUMMYFUNCTION("GOOGLETRANSLATE(D1373,""EN"",""JA"")"),"3,4-ジヒドロキシフェニルグリコール")</f>
        <v>3,4-ジヒドロキシフェニルグリコール</v>
      </c>
      <c r="I1373" s="1" t="str">
        <f>IFERROR(__xludf.DUMMYFUNCTION("GOOGLETRANSLATE(E1373,""EN"",""JA"")"),"3,4-ジヒドロキシフェニルグリコール; 3.4 ジヒドロキシフェニルグリコール")</f>
        <v>3,4-ジヒドロキシフェニルグリコール; 3.4 ジヒドロキシフェニルグリコール</v>
      </c>
      <c r="J1373" s="1" t="str">
        <f>IFERROR(__xludf.DUMMYFUNCTION("GOOGLETRANSLATE(F1373,""EN"",""JA"")"),"生物標本中のカテコールアミン代謝物、3,4-ジヒドロキシフェニルグリコールの測定。")</f>
        <v>生物標本中のカテコールアミン代謝物、3,4-ジヒドロキシフェニルグリコールの測定。</v>
      </c>
      <c r="K1373" s="1" t="str">
        <f>IFERROR(__xludf.DUMMYFUNCTION("GOOGLETRANSLATE(G1373,""EN"",""JA"")"),"3,4-ジヒドロキシフェニルグリコール測定")</f>
        <v>3,4-ジヒドロキシフェニルグリコール測定</v>
      </c>
    </row>
    <row r="1374" ht="13.5" customHeight="1">
      <c r="A1374" s="1" t="s">
        <v>11</v>
      </c>
      <c r="B1374" s="1" t="s">
        <v>6968</v>
      </c>
      <c r="C1374" s="1" t="s">
        <v>6969</v>
      </c>
      <c r="D1374" s="1" t="s">
        <v>6970</v>
      </c>
      <c r="E1374" s="1" t="s">
        <v>6971</v>
      </c>
      <c r="F1374" s="1" t="s">
        <v>6972</v>
      </c>
      <c r="G1374" s="1" t="s">
        <v>6973</v>
      </c>
      <c r="H1374" s="1" t="str">
        <f>IFERROR(__xludf.DUMMYFUNCTION("GOOGLETRANSLATE(D1374,""EN"",""JA"")"),"ジヒドロテストステロン")</f>
        <v>ジヒドロテストステロン</v>
      </c>
      <c r="I1374" s="1" t="str">
        <f>IFERROR(__xludf.DUMMYFUNCTION("GOOGLETRANSLATE(E1374,""EN"",""JA"")"),"アンドロスタノロン; ジヒドロテストステロン")</f>
        <v>アンドロスタノロン; ジヒドロテストステロン</v>
      </c>
      <c r="J1374" s="1" t="str">
        <f>IFERROR(__xludf.DUMMYFUNCTION("GOOGLETRANSLATE(F1374,""EN"",""JA"")"),"生物標本中のジヒドロテストステロンホルモンの測定。")</f>
        <v>生物標本中のジヒドロテストステロンホルモンの測定。</v>
      </c>
      <c r="K1374" s="1" t="str">
        <f>IFERROR(__xludf.DUMMYFUNCTION("GOOGLETRANSLATE(G1374,""EN"",""JA"")"),"ジヒドロテストステロン測定")</f>
        <v>ジヒドロテストステロン測定</v>
      </c>
    </row>
    <row r="1375" ht="13.5" customHeight="1">
      <c r="A1375" s="1" t="s">
        <v>11</v>
      </c>
      <c r="B1375" s="1" t="s">
        <v>6974</v>
      </c>
      <c r="C1375" s="1" t="s">
        <v>6975</v>
      </c>
      <c r="D1375" s="1" t="s">
        <v>6976</v>
      </c>
      <c r="E1375" s="1" t="s">
        <v>6977</v>
      </c>
      <c r="F1375" s="1" t="s">
        <v>6978</v>
      </c>
      <c r="G1375" s="1" t="s">
        <v>6979</v>
      </c>
      <c r="H1375" s="1" t="str">
        <f>IFERROR(__xludf.DUMMYFUNCTION("GOOGLETRANSLATE(D1375,""EN"",""JA"")"),"2,3-ジヒドロキシプロピルメルカプツール酸")</f>
        <v>2,3-ジヒドロキシプロピルメルカプツール酸</v>
      </c>
      <c r="I1375" s="1" t="str">
        <f>IFERROR(__xludf.DUMMYFUNCTION("GOOGLETRANSLATE(E1375,""EN"",""JA"")"),"2,3-ジヒドロキシプロピルメルカプツール酸; 2,3-ジヒドロキシプロピルメルカプツール酸; DHPMA")</f>
        <v>2,3-ジヒドロキシプロピルメルカプツール酸; 2,3-ジヒドロキシプロピルメルカプツール酸; DHPMA</v>
      </c>
      <c r="J1375" s="1" t="str">
        <f>IFERROR(__xludf.DUMMYFUNCTION("GOOGLETRANSLATE(F1375,""EN"",""JA"")"),"検体中の2,3-ジヒドロキシプロピルメルカプツール酸の測定。")</f>
        <v>検体中の2,3-ジヒドロキシプロピルメルカプツール酸の測定。</v>
      </c>
      <c r="K1375" s="1" t="str">
        <f>IFERROR(__xludf.DUMMYFUNCTION("GOOGLETRANSLATE(G1375,""EN"",""JA"")"),"2,3-ジヒドロキシプロピルメルカプツール酸測定")</f>
        <v>2,3-ジヒドロキシプロピルメルカプツール酸測定</v>
      </c>
    </row>
    <row r="1376" ht="13.5" customHeight="1">
      <c r="A1376" s="1" t="s">
        <v>129</v>
      </c>
      <c r="B1376" s="1" t="s">
        <v>6980</v>
      </c>
      <c r="C1376" s="1" t="s">
        <v>6981</v>
      </c>
      <c r="D1376" s="1" t="s">
        <v>6982</v>
      </c>
      <c r="E1376" s="1" t="s">
        <v>6982</v>
      </c>
      <c r="F1376" s="1" t="s">
        <v>6983</v>
      </c>
      <c r="G1376" s="1" t="s">
        <v>6982</v>
      </c>
      <c r="H1376" s="1" t="str">
        <f>IFERROR(__xludf.DUMMYFUNCTION("GOOGLETRANSLATE(D1376,""EN"",""JA"")"),"拡張期血圧")</f>
        <v>拡張期血圧</v>
      </c>
      <c r="I1376" s="1" t="str">
        <f>IFERROR(__xludf.DUMMYFUNCTION("GOOGLETRANSLATE(E1376,""EN"",""JA"")"),"拡張期血圧")</f>
        <v>拡張期血圧</v>
      </c>
      <c r="J1376" s="1" t="str">
        <f>IFERROR(__xludf.DUMMYFUNCTION("GOOGLETRANSLATE(F1376,""EN"",""JA"")"),"心臓周期中の全身動脈循環における最低血圧。")</f>
        <v>心臓周期中の全身動脈循環における最低血圧。</v>
      </c>
      <c r="K1376" s="1" t="str">
        <f>IFERROR(__xludf.DUMMYFUNCTION("GOOGLETRANSLATE(G1376,""EN"",""JA"")"),"拡張期血圧")</f>
        <v>拡張期血圧</v>
      </c>
    </row>
    <row r="1377" ht="13.5" customHeight="1">
      <c r="A1377" s="1" t="s">
        <v>134</v>
      </c>
      <c r="B1377" s="1" t="s">
        <v>6984</v>
      </c>
      <c r="C1377" s="1" t="s">
        <v>6985</v>
      </c>
      <c r="D1377" s="1" t="s">
        <v>6986</v>
      </c>
      <c r="E1377" s="1" t="s">
        <v>6987</v>
      </c>
      <c r="F1377" s="1" t="s">
        <v>6988</v>
      </c>
      <c r="G1377" s="1" t="s">
        <v>6989</v>
      </c>
      <c r="H1377" s="1" t="str">
        <f>IFERROR(__xludf.DUMMYFUNCTION("GOOGLETRANSLATE(D1377,""EN"",""JA"")"),"診断")</f>
        <v>診断</v>
      </c>
      <c r="I1377" s="1" t="str">
        <f>IFERROR(__xludf.DUMMYFUNCTION("GOOGLETRANSLATE(E1377,""EN"",""JA"")"),"診断")</f>
        <v>診断</v>
      </c>
      <c r="J1377" s="1" t="str">
        <f>IFERROR(__xludf.DUMMYFUNCTION("GOOGLETRANSLATE(F1377,""EN"",""JA"")"),"患者に発生する症状や兆候を説明する病気、状態、または傷害を特定するプロセス。")</f>
        <v>患者に発生する症状や兆候を説明する病気、状態、または傷害を特定するプロセス。</v>
      </c>
      <c r="K1377" s="1" t="str">
        <f>IFERROR(__xludf.DUMMYFUNCTION("GOOGLETRANSLATE(G1377,""EN"",""JA"")"),"診断評価")</f>
        <v>診断評価</v>
      </c>
    </row>
    <row r="1378" ht="13.5" customHeight="1">
      <c r="A1378" s="1" t="s">
        <v>233</v>
      </c>
      <c r="B1378" s="1" t="s">
        <v>6990</v>
      </c>
      <c r="C1378" s="1" t="s">
        <v>6991</v>
      </c>
      <c r="D1378" s="1" t="s">
        <v>6992</v>
      </c>
      <c r="E1378" s="1" t="s">
        <v>6992</v>
      </c>
      <c r="F1378" s="1" t="s">
        <v>6993</v>
      </c>
      <c r="G1378" s="1" t="s">
        <v>6992</v>
      </c>
      <c r="H1378" s="1" t="str">
        <f>IFERROR(__xludf.DUMMYFUNCTION("GOOGLETRANSLATE(D1378,""EN"",""JA"")"),"直径")</f>
        <v>直径</v>
      </c>
      <c r="I1378" s="1" t="str">
        <f>IFERROR(__xludf.DUMMYFUNCTION("GOOGLETRANSLATE(E1378,""EN"",""JA"")"),"直径")</f>
        <v>直径</v>
      </c>
      <c r="J1378" s="1" t="str">
        <f>IFERROR(__xludf.DUMMYFUNCTION("GOOGLETRANSLATE(F1378,""EN"",""JA"")"),"円または球の中心を通り、円周上の 2 点を結ぶ直線の長さ。(NCI)")</f>
        <v>円または球の中心を通り、円周上の 2 点を結ぶ直線の長さ。(NCI)</v>
      </c>
      <c r="K1378" s="1" t="str">
        <f>IFERROR(__xludf.DUMMYFUNCTION("GOOGLETRANSLATE(G1378,""EN"",""JA"")"),"直径")</f>
        <v>直径</v>
      </c>
    </row>
    <row r="1379" ht="13.5" customHeight="1">
      <c r="A1379" s="1" t="s">
        <v>1970</v>
      </c>
      <c r="B1379" s="1" t="s">
        <v>6990</v>
      </c>
      <c r="C1379" s="1" t="s">
        <v>6991</v>
      </c>
      <c r="D1379" s="1" t="s">
        <v>6992</v>
      </c>
      <c r="E1379" s="1" t="s">
        <v>6992</v>
      </c>
      <c r="F1379" s="1" t="s">
        <v>6993</v>
      </c>
      <c r="G1379" s="1" t="s">
        <v>6992</v>
      </c>
      <c r="H1379" s="1" t="str">
        <f>IFERROR(__xludf.DUMMYFUNCTION("GOOGLETRANSLATE(D1379,""EN"",""JA"")"),"直径")</f>
        <v>直径</v>
      </c>
      <c r="I1379" s="1" t="str">
        <f>IFERROR(__xludf.DUMMYFUNCTION("GOOGLETRANSLATE(E1379,""EN"",""JA"")"),"直径")</f>
        <v>直径</v>
      </c>
      <c r="J1379" s="1" t="str">
        <f>IFERROR(__xludf.DUMMYFUNCTION("GOOGLETRANSLATE(F1379,""EN"",""JA"")"),"円または球の中心を通り、円周上の 2 点を結ぶ直線の長さ。(NCI)")</f>
        <v>円または球の中心を通り、円周上の 2 点を結ぶ直線の長さ。(NCI)</v>
      </c>
      <c r="K1379" s="1" t="str">
        <f>IFERROR(__xludf.DUMMYFUNCTION("GOOGLETRANSLATE(G1379,""EN"",""JA"")"),"直径")</f>
        <v>直径</v>
      </c>
    </row>
    <row r="1380" ht="13.5" customHeight="1">
      <c r="A1380" s="1" t="s">
        <v>1997</v>
      </c>
      <c r="B1380" s="1" t="s">
        <v>6990</v>
      </c>
      <c r="C1380" s="1" t="s">
        <v>6991</v>
      </c>
      <c r="D1380" s="1" t="s">
        <v>6992</v>
      </c>
      <c r="E1380" s="1" t="s">
        <v>6992</v>
      </c>
      <c r="F1380" s="1" t="s">
        <v>6993</v>
      </c>
      <c r="G1380" s="1" t="s">
        <v>6992</v>
      </c>
      <c r="H1380" s="1" t="str">
        <f>IFERROR(__xludf.DUMMYFUNCTION("GOOGLETRANSLATE(D1380,""EN"",""JA"")"),"直径")</f>
        <v>直径</v>
      </c>
      <c r="I1380" s="1" t="str">
        <f>IFERROR(__xludf.DUMMYFUNCTION("GOOGLETRANSLATE(E1380,""EN"",""JA"")"),"直径")</f>
        <v>直径</v>
      </c>
      <c r="J1380" s="1" t="str">
        <f>IFERROR(__xludf.DUMMYFUNCTION("GOOGLETRANSLATE(F1380,""EN"",""JA"")"),"円または球の中心を通り、円周上の 2 点を結ぶ直線の長さ。(NCI)")</f>
        <v>円または球の中心を通り、円周上の 2 点を結ぶ直線の長さ。(NCI)</v>
      </c>
      <c r="K1380" s="1" t="str">
        <f>IFERROR(__xludf.DUMMYFUNCTION("GOOGLETRANSLATE(G1380,""EN"",""JA"")"),"直径")</f>
        <v>直径</v>
      </c>
    </row>
    <row r="1381" ht="13.5" customHeight="1">
      <c r="A1381" s="1" t="s">
        <v>1997</v>
      </c>
      <c r="B1381" s="1" t="s">
        <v>6994</v>
      </c>
      <c r="C1381" s="1" t="s">
        <v>6995</v>
      </c>
      <c r="D1381" s="1" t="s">
        <v>6996</v>
      </c>
      <c r="E1381" s="1" t="s">
        <v>6996</v>
      </c>
      <c r="F1381" s="1" t="s">
        <v>6997</v>
      </c>
      <c r="G1381" s="1" t="s">
        <v>6998</v>
      </c>
      <c r="H1381" s="1" t="str">
        <f>IFERROR(__xludf.DUMMYFUNCTION("GOOGLETRANSLATE(D1381,""EN"",""JA"")"),"直径、最小")</f>
        <v>直径、最小</v>
      </c>
      <c r="I1381" s="1" t="str">
        <f>IFERROR(__xludf.DUMMYFUNCTION("GOOGLETRANSLATE(E1381,""EN"",""JA"")"),"直径、最小")</f>
        <v>直径、最小</v>
      </c>
      <c r="J1381" s="1" t="str">
        <f>IFERROR(__xludf.DUMMYFUNCTION("GOOGLETRANSLATE(F1381,""EN"",""JA"")"),"オブジェクトの直径を表す値のグループ内の最小値。")</f>
        <v>オブジェクトの直径を表す値のグループ内の最小値。</v>
      </c>
      <c r="K1381" s="1" t="str">
        <f>IFERROR(__xludf.DUMMYFUNCTION("GOOGLETRANSLATE(G1381,""EN"",""JA"")"),"最小直径")</f>
        <v>最小直径</v>
      </c>
    </row>
    <row r="1382" ht="13.5" customHeight="1">
      <c r="A1382" s="1" t="s">
        <v>1997</v>
      </c>
      <c r="B1382" s="1" t="s">
        <v>6999</v>
      </c>
      <c r="C1382" s="1" t="s">
        <v>7000</v>
      </c>
      <c r="D1382" s="1" t="s">
        <v>7001</v>
      </c>
      <c r="E1382" s="1" t="s">
        <v>7001</v>
      </c>
      <c r="F1382" s="1" t="s">
        <v>7002</v>
      </c>
      <c r="G1382" s="1" t="s">
        <v>7003</v>
      </c>
      <c r="H1382" s="1" t="str">
        <f>IFERROR(__xludf.DUMMYFUNCTION("GOOGLETRANSLATE(D1382,""EN"",""JA"")"),"直径、平均")</f>
        <v>直径、平均</v>
      </c>
      <c r="I1382" s="1" t="str">
        <f>IFERROR(__xludf.DUMMYFUNCTION("GOOGLETRANSLATE(E1382,""EN"",""JA"")"),"直径、平均")</f>
        <v>直径、平均</v>
      </c>
      <c r="J1382" s="1" t="str">
        <f>IFERROR(__xludf.DUMMYFUNCTION("GOOGLETRANSLATE(F1382,""EN"",""JA"")"),"物体の直径を表す値のグループ内の平均数。")</f>
        <v>物体の直径を表す値のグループ内の平均数。</v>
      </c>
      <c r="K1382" s="1" t="str">
        <f>IFERROR(__xludf.DUMMYFUNCTION("GOOGLETRANSLATE(G1382,""EN"",""JA"")"),"平均直径")</f>
        <v>平均直径</v>
      </c>
    </row>
    <row r="1383" ht="13.5" customHeight="1">
      <c r="A1383" s="1" t="s">
        <v>1997</v>
      </c>
      <c r="B1383" s="1" t="s">
        <v>7004</v>
      </c>
      <c r="C1383" s="1" t="s">
        <v>7005</v>
      </c>
      <c r="D1383" s="1" t="s">
        <v>7006</v>
      </c>
      <c r="E1383" s="1" t="s">
        <v>7006</v>
      </c>
      <c r="F1383" s="1" t="s">
        <v>7007</v>
      </c>
      <c r="G1383" s="1" t="s">
        <v>7008</v>
      </c>
      <c r="H1383" s="1" t="str">
        <f>IFERROR(__xludf.DUMMYFUNCTION("GOOGLETRANSLATE(D1383,""EN"",""JA"")"),"直径、標準偏差")</f>
        <v>直径、標準偏差</v>
      </c>
      <c r="I1383" s="1" t="str">
        <f>IFERROR(__xludf.DUMMYFUNCTION("GOOGLETRANSLATE(E1383,""EN"",""JA"")"),"直径、標準偏差")</f>
        <v>直径、標準偏差</v>
      </c>
      <c r="J1383" s="1" t="str">
        <f>IFERROR(__xludf.DUMMYFUNCTION("GOOGLETRANSLATE(F1383,""EN"",""JA"")"),"物体の直径を表す値のグループ内の標準偏差。")</f>
        <v>物体の直径を表す値のグループ内の標準偏差。</v>
      </c>
      <c r="K1383" s="1" t="str">
        <f>IFERROR(__xludf.DUMMYFUNCTION("GOOGLETRANSLATE(G1383,""EN"",""JA"")"),"直径の標準偏差")</f>
        <v>直径の標準偏差</v>
      </c>
    </row>
    <row r="1384" ht="13.5" customHeight="1">
      <c r="A1384" s="1" t="s">
        <v>7009</v>
      </c>
      <c r="B1384" s="1" t="s">
        <v>7010</v>
      </c>
      <c r="C1384" s="1" t="s">
        <v>7011</v>
      </c>
      <c r="D1384" s="1" t="s">
        <v>7012</v>
      </c>
      <c r="E1384" s="1" t="s">
        <v>7013</v>
      </c>
      <c r="F1384" s="1" t="s">
        <v>7014</v>
      </c>
      <c r="G1384" s="1" t="s">
        <v>7015</v>
      </c>
      <c r="H1384" s="1" t="str">
        <f>IFERROR(__xludf.DUMMYFUNCTION("GOOGLETRANSLATE(D1384,""EN"",""JA"")"),"抑制領域の直径")</f>
        <v>抑制領域の直径</v>
      </c>
      <c r="I1384" s="1" t="str">
        <f>IFERROR(__xludf.DUMMYFUNCTION("GOOGLETRANSLATE(E1384,""EN"",""JA"")"),"キルゾーンの直径; 抑制ゾーンの直径")</f>
        <v>キルゾーンの直径; 抑制ゾーンの直径</v>
      </c>
      <c r="J1384" s="1" t="str">
        <f>IFERROR(__xludf.DUMMYFUNCTION("GOOGLETRANSLATE(F1384,""EN"",""JA"")"),"培養プレートの表面にある抗生物質源を囲む細菌の増殖を阻害する円形領域の直径の測定値。")</f>
        <v>培養プレートの表面にある抗生物質源を囲む細菌の増殖を阻害する円形領域の直径の測定値。</v>
      </c>
      <c r="K1384" s="1" t="str">
        <f>IFERROR(__xludf.DUMMYFUNCTION("GOOGLETRANSLATE(G1384,""EN"",""JA"")"),"抗生物質感受性帯直径")</f>
        <v>抗生物質感受性帯直径</v>
      </c>
    </row>
    <row r="1385" ht="13.5" customHeight="1">
      <c r="A1385" s="1" t="s">
        <v>11</v>
      </c>
      <c r="B1385" s="1" t="s">
        <v>7016</v>
      </c>
      <c r="C1385" s="1" t="s">
        <v>7017</v>
      </c>
      <c r="D1385" s="1" t="s">
        <v>7018</v>
      </c>
      <c r="E1385" s="1" t="s">
        <v>7018</v>
      </c>
      <c r="F1385" s="1" t="s">
        <v>7019</v>
      </c>
      <c r="G1385" s="1" t="s">
        <v>7020</v>
      </c>
      <c r="H1385" s="1" t="str">
        <f>IFERROR(__xludf.DUMMYFUNCTION("GOOGLETRANSLATE(D1385,""EN"",""JA"")"),"ジヒドロコデイン")</f>
        <v>ジヒドロコデイン</v>
      </c>
      <c r="I1385" s="1" t="str">
        <f>IFERROR(__xludf.DUMMYFUNCTION("GOOGLETRANSLATE(E1385,""EN"",""JA"")"),"ジヒドロコデイン")</f>
        <v>ジヒドロコデイン</v>
      </c>
      <c r="J1385" s="1" t="str">
        <f>IFERROR(__xludf.DUMMYFUNCTION("GOOGLETRANSLATE(F1385,""EN"",""JA"")"),"生物学的標本中に存在するジヒドロコデインの測定。")</f>
        <v>生物学的標本中に存在するジヒドロコデインの測定。</v>
      </c>
      <c r="K1385" s="1" t="str">
        <f>IFERROR(__xludf.DUMMYFUNCTION("GOOGLETRANSLATE(G1385,""EN"",""JA"")"),"ジヒドロコデイン測定")</f>
        <v>ジヒドロコデイン測定</v>
      </c>
    </row>
    <row r="1386" ht="13.5" customHeight="1">
      <c r="A1386" s="1" t="s">
        <v>90</v>
      </c>
      <c r="B1386" s="1" t="s">
        <v>7021</v>
      </c>
      <c r="C1386" s="1" t="s">
        <v>7022</v>
      </c>
      <c r="D1386" s="1" t="s">
        <v>7023</v>
      </c>
      <c r="E1386" s="1" t="s">
        <v>7024</v>
      </c>
      <c r="F1386" s="1" t="s">
        <v>7025</v>
      </c>
      <c r="G1386" s="1" t="s">
        <v>7023</v>
      </c>
      <c r="H1386" s="1" t="str">
        <f>IFERROR(__xludf.DUMMYFUNCTION("GOOGLETRANSLATE(D1386,""EN"",""JA"")"),"無次元指数")</f>
        <v>無次元指数</v>
      </c>
      <c r="I1386" s="1" t="str">
        <f>IFERROR(__xludf.DUMMYFUNCTION("GOOGLETRANSLATE(E1386,""EN"",""JA"")"),"無次元指数; 無次元速度指数")</f>
        <v>無次元指数; 無次元速度指数</v>
      </c>
      <c r="J1386" s="1" t="str">
        <f>IFERROR(__xludf.DUMMYFUNCTION("GOOGLETRANSLATE(F1386,""EN"",""JA"")"),"左室流出路 (LVOT) 内の血流速度と大動脈弁を横切る最大血流速度の比。")</f>
        <v>左室流出路 (LVOT) 内の血流速度と大動脈弁を横切る最大血流速度の比。</v>
      </c>
      <c r="K1386" s="1" t="str">
        <f>IFERROR(__xludf.DUMMYFUNCTION("GOOGLETRANSLATE(G1386,""EN"",""JA"")"),"無次元指数")</f>
        <v>無次元指数</v>
      </c>
    </row>
    <row r="1387" ht="13.5" customHeight="1">
      <c r="A1387" s="1" t="s">
        <v>90</v>
      </c>
      <c r="B1387" s="1" t="s">
        <v>7026</v>
      </c>
      <c r="C1387" s="1" t="s">
        <v>7027</v>
      </c>
      <c r="D1387" s="1" t="s">
        <v>7028</v>
      </c>
      <c r="E1387" s="1" t="s">
        <v>7028</v>
      </c>
      <c r="F1387" s="1" t="s">
        <v>7029</v>
      </c>
      <c r="G1387" s="1" t="s">
        <v>7028</v>
      </c>
      <c r="H1387" s="1" t="str">
        <f>IFERROR(__xludf.DUMMYFUNCTION("GOOGLETRANSLATE(D1387,""EN"",""JA"")"),"解剖インジケーター")</f>
        <v>解剖インジケーター</v>
      </c>
      <c r="I1387" s="1" t="str">
        <f>IFERROR(__xludf.DUMMYFUNCTION("GOOGLETRANSLATE(E1387,""EN"",""JA"")"),"解剖インジケーター")</f>
        <v>解剖インジケーター</v>
      </c>
      <c r="J1387" s="1" t="str">
        <f>IFERROR(__xludf.DUMMYFUNCTION("GOOGLETRANSLATE(F1387,""EN"",""JA"")"),"血管解離の有無を示します。")</f>
        <v>血管解離の有無を示します。</v>
      </c>
      <c r="K1387" s="1" t="str">
        <f>IFERROR(__xludf.DUMMYFUNCTION("GOOGLETRANSLATE(G1387,""EN"",""JA"")"),"解剖インジケーター")</f>
        <v>解剖インジケーター</v>
      </c>
    </row>
    <row r="1388" ht="13.5" customHeight="1">
      <c r="A1388" s="1" t="s">
        <v>7030</v>
      </c>
      <c r="B1388" s="1" t="s">
        <v>7031</v>
      </c>
      <c r="C1388" s="1" t="s">
        <v>7032</v>
      </c>
      <c r="D1388" s="1" t="s">
        <v>7033</v>
      </c>
      <c r="E1388" s="1" t="s">
        <v>7033</v>
      </c>
      <c r="F1388" s="1" t="s">
        <v>7034</v>
      </c>
      <c r="G1388" s="1" t="s">
        <v>7033</v>
      </c>
      <c r="H1388" s="1" t="str">
        <f>IFERROR(__xludf.DUMMYFUNCTION("GOOGLETRANSLATE(D1388,""EN"",""JA"")"),"分配量")</f>
        <v>分配量</v>
      </c>
      <c r="I1388" s="1" t="str">
        <f>IFERROR(__xludf.DUMMYFUNCTION("GOOGLETRANSLATE(E1388,""EN"",""JA"")"),"分配量")</f>
        <v>分配量</v>
      </c>
      <c r="J1388" s="1" t="str">
        <f>IFERROR(__xludf.DUMMYFUNCTION("GOOGLETRANSLATE(F1388,""EN"",""JA"")"),"調剤された製品の量。(NCI)")</f>
        <v>調剤された製品の量。(NCI)</v>
      </c>
      <c r="K1388" s="1" t="str">
        <f>IFERROR(__xludf.DUMMYFUNCTION("GOOGLETRANSLATE(G1388,""EN"",""JA"")"),"分配量")</f>
        <v>分配量</v>
      </c>
    </row>
    <row r="1389" ht="13.5" customHeight="1">
      <c r="A1389" s="1" t="s">
        <v>601</v>
      </c>
      <c r="B1389" s="1" t="s">
        <v>7035</v>
      </c>
      <c r="C1389" s="1" t="s">
        <v>7036</v>
      </c>
      <c r="D1389" s="1" t="s">
        <v>7037</v>
      </c>
      <c r="E1389" s="1" t="s">
        <v>7037</v>
      </c>
      <c r="F1389" s="1" t="s">
        <v>7038</v>
      </c>
      <c r="G1389" s="1" t="s">
        <v>7037</v>
      </c>
      <c r="H1389" s="1" t="str">
        <f>IFERROR(__xludf.DUMMYFUNCTION("GOOGLETRANSLATE(D1389,""EN"",""JA"")"),"疾病曝露の可能性のある地区")</f>
        <v>疾病曝露の可能性のある地区</v>
      </c>
      <c r="I1389" s="1" t="str">
        <f>IFERROR(__xludf.DUMMYFUNCTION("GOOGLETRANSLATE(E1389,""EN"",""JA"")"),"疾病曝露の可能性のある地区")</f>
        <v>疾病曝露の可能性のある地区</v>
      </c>
      <c r="J1389" s="1" t="str">
        <f>IFERROR(__xludf.DUMMYFUNCTION("GOOGLETRANSLATE(F1389,""EN"",""JA"")"),"個人が病気に感染した可能性がある地区。")</f>
        <v>個人が病気に感染した可能性がある地区。</v>
      </c>
      <c r="K1389" s="1" t="str">
        <f>IFERROR(__xludf.DUMMYFUNCTION("GOOGLETRANSLATE(G1389,""EN"",""JA"")"),"疾病曝露の可能性のある地区")</f>
        <v>疾病曝露の可能性のある地区</v>
      </c>
    </row>
    <row r="1390" ht="13.5" customHeight="1">
      <c r="A1390" s="1" t="s">
        <v>870</v>
      </c>
      <c r="B1390" s="1" t="s">
        <v>7039</v>
      </c>
      <c r="C1390" s="1" t="s">
        <v>7040</v>
      </c>
      <c r="D1390" s="1" t="s">
        <v>7041</v>
      </c>
      <c r="E1390" s="1" t="s">
        <v>7041</v>
      </c>
      <c r="F1390" s="1" t="s">
        <v>7042</v>
      </c>
      <c r="G1390" s="1" t="s">
        <v>7041</v>
      </c>
      <c r="H1390" s="1" t="str">
        <f>IFERROR(__xludf.DUMMYFUNCTION("GOOGLETRANSLATE(D1390,""EN"",""JA"")"),"半減期分布")</f>
        <v>半減期分布</v>
      </c>
      <c r="I1390" s="1" t="str">
        <f>IFERROR(__xludf.DUMMYFUNCTION("GOOGLETRANSLATE(E1390,""EN"",""JA"")"),"半減期分布")</f>
        <v>半減期分布</v>
      </c>
      <c r="J1390" s="1" t="str">
        <f>IFERROR(__xludf.DUMMYFUNCTION("GOOGLETRANSLATE(F1390,""EN"",""JA"")"),"分布相から計算された半減期。")</f>
        <v>分布相から計算された半減期。</v>
      </c>
      <c r="K1390" s="1" t="str">
        <f>IFERROR(__xludf.DUMMYFUNCTION("GOOGLETRANSLATE(G1390,""EN"",""JA"")"),"半減期分布")</f>
        <v>半減期分布</v>
      </c>
    </row>
    <row r="1391" ht="13.5" customHeight="1">
      <c r="A1391" s="1" t="s">
        <v>601</v>
      </c>
      <c r="B1391" s="1" t="s">
        <v>7043</v>
      </c>
      <c r="C1391" s="1" t="s">
        <v>7044</v>
      </c>
      <c r="D1391" s="1" t="s">
        <v>7045</v>
      </c>
      <c r="E1391" s="1" t="s">
        <v>7045</v>
      </c>
      <c r="F1391" s="1" t="s">
        <v>7046</v>
      </c>
      <c r="G1391" s="1" t="s">
        <v>7045</v>
      </c>
      <c r="H1391" s="1" t="str">
        <f>IFERROR(__xludf.DUMMYFUNCTION("GOOGLETRANSLATE(D1391,""EN"",""JA"")"),"永住住所地区")</f>
        <v>永住住所地区</v>
      </c>
      <c r="I1391" s="1" t="str">
        <f>IFERROR(__xludf.DUMMYFUNCTION("GOOGLETRANSLATE(E1391,""EN"",""JA"")"),"永住住所地区")</f>
        <v>永住住所地区</v>
      </c>
      <c r="J1391" s="1" t="str">
        <f>IFERROR(__xludf.DUMMYFUNCTION("GOOGLETRANSLATE(F1391,""EN"",""JA"")"),"個人の永住地として特定された地区。")</f>
        <v>個人の永住地として特定された地区。</v>
      </c>
      <c r="K1391" s="1" t="str">
        <f>IFERROR(__xludf.DUMMYFUNCTION("GOOGLETRANSLATE(G1391,""EN"",""JA"")"),"永住住所地区")</f>
        <v>永住住所地区</v>
      </c>
    </row>
    <row r="1392" ht="13.5" customHeight="1">
      <c r="A1392" s="1" t="s">
        <v>11</v>
      </c>
      <c r="B1392" s="1" t="s">
        <v>7047</v>
      </c>
      <c r="C1392" s="1" t="s">
        <v>7048</v>
      </c>
      <c r="D1392" s="1" t="s">
        <v>7049</v>
      </c>
      <c r="E1392" s="1" t="s">
        <v>7050</v>
      </c>
      <c r="F1392" s="1" t="s">
        <v>7051</v>
      </c>
      <c r="G1392" s="1" t="s">
        <v>7052</v>
      </c>
      <c r="H1392" s="1" t="str">
        <f>IFERROR(__xludf.DUMMYFUNCTION("GOOGLETRANSLATE(D1392,""EN"",""JA"")"),"ディックコップWNTシグナル伝達経路阻害剤1")</f>
        <v>ディックコップWNTシグナル伝達経路阻害剤1</v>
      </c>
      <c r="I1392" s="1" t="str">
        <f>IFERROR(__xludf.DUMMYFUNCTION("GOOGLETRANSLATE(E1392,""EN"",""JA"")"),"ディックコップWNTシグナル伝達経路阻害剤1; DKK-1; SK")</f>
        <v>ディックコップWNTシグナル伝達経路阻害剤1; DKK-1; SK</v>
      </c>
      <c r="J1392" s="1" t="str">
        <f>IFERROR(__xludf.DUMMYFUNCTION("GOOGLETRANSLATE(F1392,""EN"",""JA"")"),"生物標本中の dickkopf WNT シグナル伝達経路阻害剤 1 の測定。")</f>
        <v>生物標本中の dickkopf WNT シグナル伝達経路阻害剤 1 の測定。</v>
      </c>
      <c r="K1392" s="1" t="str">
        <f>IFERROR(__xludf.DUMMYFUNCTION("GOOGLETRANSLATE(G1392,""EN"",""JA"")"),"ディックコップWNTシグナル伝達経路阻害剤1の測定")</f>
        <v>ディックコップWNTシグナル伝達経路阻害剤1の測定</v>
      </c>
    </row>
    <row r="1393" ht="13.5" customHeight="1">
      <c r="A1393" s="1" t="s">
        <v>580</v>
      </c>
      <c r="B1393" s="1" t="s">
        <v>7053</v>
      </c>
      <c r="C1393" s="1" t="s">
        <v>7054</v>
      </c>
      <c r="D1393" s="1" t="s">
        <v>7055</v>
      </c>
      <c r="E1393" s="1" t="s">
        <v>7056</v>
      </c>
      <c r="F1393" s="1" t="s">
        <v>7057</v>
      </c>
      <c r="G1393" s="1" t="s">
        <v>7058</v>
      </c>
      <c r="H1393" s="1" t="str">
        <f>IFERROR(__xludf.DUMMYFUNCTION("GOOGLETRANSLATE(D1393,""EN"",""JA"")"),"肺のCO拡散能")</f>
        <v>肺のCO拡散能</v>
      </c>
      <c r="I1393" s="1" t="str">
        <f>IFERROR(__xludf.DUMMYFUNCTION("GOOGLETRANSLATE(E1393,""EN"",""JA"")"),"肺のCO拡散能; TLCO; 肺のCO伝達係数")</f>
        <v>肺のCO拡散能; TLCO; 肺のCO伝達係数</v>
      </c>
      <c r="J1393" s="1" t="str">
        <f>IFERROR(__xludf.DUMMYFUNCTION("GOOGLETRANSLATE(F1393,""EN"",""JA"")"),"吸入した空気から肺毛細血管の血液に移行する一酸化炭素の量。")</f>
        <v>吸入した空気から肺毛細血管の血液に移行する一酸化炭素の量。</v>
      </c>
      <c r="K1393" s="1" t="str">
        <f>IFERROR(__xludf.DUMMYFUNCTION("GOOGLETRANSLATE(G1393,""EN"",""JA"")"),"一酸化炭素拡散能力試験")</f>
        <v>一酸化炭素拡散能力試験</v>
      </c>
    </row>
    <row r="1394" ht="13.5" customHeight="1">
      <c r="A1394" s="1" t="s">
        <v>580</v>
      </c>
      <c r="B1394" s="1" t="s">
        <v>7059</v>
      </c>
      <c r="C1394" s="1" t="s">
        <v>7060</v>
      </c>
      <c r="D1394" s="1" t="s">
        <v>7061</v>
      </c>
      <c r="E1394" s="1" t="s">
        <v>7061</v>
      </c>
      <c r="F1394" s="1" t="s">
        <v>7062</v>
      </c>
      <c r="G1394" s="1" t="s">
        <v>7063</v>
      </c>
      <c r="H1394" s="1" t="str">
        <f>IFERROR(__xludf.DUMMYFUNCTION("GOOGLETRANSLATE(D1394,""EN"",""JA"")"),"HGB修正DLCO")</f>
        <v>HGB修正DLCO</v>
      </c>
      <c r="I1394" s="1" t="str">
        <f>IFERROR(__xludf.DUMMYFUNCTION("GOOGLETRANSLATE(E1394,""EN"",""JA"")"),"HGB修正DLCO")</f>
        <v>HGB修正DLCO</v>
      </c>
      <c r="J1394" s="1" t="str">
        <f>IFERROR(__xludf.DUMMYFUNCTION("GOOGLETRANSLATE(F1394,""EN"",""JA"")"),"ヘモグロビン濃度に合わせて調整された一酸化炭素に対する肺の拡散能力。")</f>
        <v>ヘモグロビン濃度に合わせて調整された一酸化炭素に対する肺の拡散能力。</v>
      </c>
      <c r="K1394" s="1" t="str">
        <f>IFERROR(__xludf.DUMMYFUNCTION("GOOGLETRANSLATE(G1394,""EN"",""JA"")"),"肺における一酸化炭素に対するヘモグロビン補正拡散能")</f>
        <v>肺における一酸化炭素に対するヘモグロビン補正拡散能</v>
      </c>
    </row>
    <row r="1395" ht="13.5" customHeight="1">
      <c r="A1395" s="1" t="s">
        <v>580</v>
      </c>
      <c r="B1395" s="1" t="s">
        <v>7064</v>
      </c>
      <c r="C1395" s="1" t="s">
        <v>7065</v>
      </c>
      <c r="D1395" s="1" t="s">
        <v>7066</v>
      </c>
      <c r="E1395" s="1" t="s">
        <v>7066</v>
      </c>
      <c r="F1395" s="1" t="s">
        <v>7067</v>
      </c>
      <c r="G1395" s="1" t="s">
        <v>7068</v>
      </c>
      <c r="H1395" s="1" t="str">
        <f>IFERROR(__xludf.DUMMYFUNCTION("GOOGLETRANSLATE(D1395,""EN"",""JA"")"),"予測HGB補正DLCOの割合")</f>
        <v>予測HGB補正DLCOの割合</v>
      </c>
      <c r="I1395" s="1" t="str">
        <f>IFERROR(__xludf.DUMMYFUNCTION("GOOGLETRANSLATE(E1395,""EN"",""JA"")"),"予測HGB補正DLCOの割合")</f>
        <v>予測HGB補正DLCOの割合</v>
      </c>
      <c r="J1395" s="1" t="str">
        <f>IFERROR(__xludf.DUMMYFUNCTION("GOOGLETRANSLATE(F1395,""EN"",""JA"")"),"ヘモグロビン濃度に合わせて調整された予測正常値の割合として表される、一酸化炭素に対する肺の拡散能力。")</f>
        <v>ヘモグロビン濃度に合わせて調整された予測正常値の割合として表される、一酸化炭素に対する肺の拡散能力。</v>
      </c>
      <c r="K1395" s="1" t="str">
        <f>IFERROR(__xludf.DUMMYFUNCTION("GOOGLETRANSLATE(G1395,""EN"",""JA"")"),"一酸化炭素に対する肺の補正拡散能の予測ヘモグロビンパーセント")</f>
        <v>一酸化炭素に対する肺の補正拡散能の予測ヘモグロビンパーセント</v>
      </c>
    </row>
    <row r="1396" ht="13.5" customHeight="1">
      <c r="A1396" s="1" t="s">
        <v>580</v>
      </c>
      <c r="B1396" s="1" t="s">
        <v>7069</v>
      </c>
      <c r="C1396" s="1" t="s">
        <v>7070</v>
      </c>
      <c r="D1396" s="1" t="s">
        <v>7071</v>
      </c>
      <c r="E1396" s="1" t="s">
        <v>7071</v>
      </c>
      <c r="F1396" s="1" t="s">
        <v>7072</v>
      </c>
      <c r="G1396" s="1" t="s">
        <v>7073</v>
      </c>
      <c r="H1396" s="1" t="str">
        <f>IFERROR(__xludf.DUMMYFUNCTION("GOOGLETRANSLATE(D1396,""EN"",""JA"")"),"HGB修正DLCO/VA")</f>
        <v>HGB修正DLCO/VA</v>
      </c>
      <c r="I1396" s="1" t="str">
        <f>IFERROR(__xludf.DUMMYFUNCTION("GOOGLETRANSLATE(E1396,""EN"",""JA"")"),"HGB修正DLCO/VA")</f>
        <v>HGB修正DLCO/VA</v>
      </c>
      <c r="J1396" s="1" t="str">
        <f>IFERROR(__xludf.DUMMYFUNCTION("GOOGLETRANSLATE(F1396,""EN"",""JA"")"),"ヘモグロビン濃度に合わせて調整された肺胞容積の割合として表される、一酸化炭素に対する肺の拡散能力。")</f>
        <v>ヘモグロビン濃度に合わせて調整された肺胞容積の割合として表される、一酸化炭素に対する肺の拡散能力。</v>
      </c>
      <c r="K1396" s="1" t="str">
        <f>IFERROR(__xludf.DUMMYFUNCTION("GOOGLETRANSLATE(G1396,""EN"",""JA"")"),"肺のヘモグロビン補正拡散能（一酸化炭素/肺胞容積比）")</f>
        <v>肺のヘモグロビン補正拡散能（一酸化炭素/肺胞容積比）</v>
      </c>
    </row>
    <row r="1397" ht="13.5" customHeight="1">
      <c r="A1397" s="1" t="s">
        <v>580</v>
      </c>
      <c r="B1397" s="1" t="s">
        <v>7074</v>
      </c>
      <c r="C1397" s="1" t="s">
        <v>7075</v>
      </c>
      <c r="D1397" s="1" t="s">
        <v>7076</v>
      </c>
      <c r="E1397" s="1" t="s">
        <v>7076</v>
      </c>
      <c r="F1397" s="1" t="s">
        <v>7077</v>
      </c>
      <c r="G1397" s="1" t="s">
        <v>7078</v>
      </c>
      <c r="H1397" s="1" t="str">
        <f>IFERROR(__xludf.DUMMYFUNCTION("GOOGLETRANSLATE(D1397,""EN"",""JA"")"),"予測HGBパーセント補正DLCO/VA")</f>
        <v>予測HGBパーセント補正DLCO/VA</v>
      </c>
      <c r="I1397" s="1" t="str">
        <f>IFERROR(__xludf.DUMMYFUNCTION("GOOGLETRANSLATE(E1397,""EN"",""JA"")"),"予測HGBパーセント補正DLCO/VA")</f>
        <v>予測HGBパーセント補正DLCO/VA</v>
      </c>
      <c r="J1397" s="1" t="str">
        <f>IFERROR(__xludf.DUMMYFUNCTION("GOOGLETRANSLATE(F1397,""EN"",""JA"")"),"ヘモグロビン濃度を調整した予測正常値の割合として表される、肺胞容積に対する一酸化炭素の拡散能力の割合。")</f>
        <v>ヘモグロビン濃度を調整した予測正常値の割合として表される、肺胞容積に対する一酸化炭素の拡散能力の割合。</v>
      </c>
      <c r="K1397" s="1" t="str">
        <f>IFERROR(__xludf.DUMMYFUNCTION("GOOGLETRANSLATE(G1397,""EN"",""JA"")"),"一酸化炭素に対する肺の補正拡散能（ヘモグロビン濃度予測値／肺胞容積比）")</f>
        <v>一酸化炭素に対する肺の補正拡散能（ヘモグロビン濃度予測値／肺胞容積比）</v>
      </c>
    </row>
    <row r="1398" ht="13.5" customHeight="1">
      <c r="A1398" s="1" t="s">
        <v>580</v>
      </c>
      <c r="B1398" s="1" t="s">
        <v>7079</v>
      </c>
      <c r="C1398" s="1" t="s">
        <v>7080</v>
      </c>
      <c r="D1398" s="1" t="s">
        <v>7081</v>
      </c>
      <c r="E1398" s="1" t="s">
        <v>7081</v>
      </c>
      <c r="F1398" s="1" t="s">
        <v>7082</v>
      </c>
      <c r="G1398" s="1" t="s">
        <v>7083</v>
      </c>
      <c r="H1398" s="1" t="str">
        <f>IFERROR(__xludf.DUMMYFUNCTION("GOOGLETRANSLATE(D1398,""EN"",""JA"")"),"肺のCOに対する平均拡散能")</f>
        <v>肺のCOに対する平均拡散能</v>
      </c>
      <c r="I1398" s="1" t="str">
        <f>IFERROR(__xludf.DUMMYFUNCTION("GOOGLETRANSLATE(E1398,""EN"",""JA"")"),"肺のCOに対する平均拡散能")</f>
        <v>肺のCOに対する平均拡散能</v>
      </c>
      <c r="J1398" s="1" t="str">
        <f>IFERROR(__xludf.DUMMYFUNCTION("GOOGLETRANSLATE(F1398,""EN"",""JA"")"),"吸入した空気から肺毛細血管の血液に移行する一酸化炭素の平均量。")</f>
        <v>吸入した空気から肺毛細血管の血液に移行する一酸化炭素の平均量。</v>
      </c>
      <c r="K1398" s="1" t="str">
        <f>IFERROR(__xludf.DUMMYFUNCTION("GOOGLETRANSLATE(G1398,""EN"",""JA"")"),"平均一酸化炭素拡散能力試験")</f>
        <v>平均一酸化炭素拡散能力試験</v>
      </c>
    </row>
    <row r="1399" ht="13.5" customHeight="1">
      <c r="A1399" s="1" t="s">
        <v>580</v>
      </c>
      <c r="B1399" s="1" t="s">
        <v>7084</v>
      </c>
      <c r="C1399" s="1" t="s">
        <v>7085</v>
      </c>
      <c r="D1399" s="1" t="s">
        <v>7086</v>
      </c>
      <c r="E1399" s="1" t="s">
        <v>7086</v>
      </c>
      <c r="F1399" s="1" t="s">
        <v>7087</v>
      </c>
      <c r="G1399" s="1" t="s">
        <v>7088</v>
      </c>
      <c r="H1399" s="1" t="str">
        <f>IFERROR(__xludf.DUMMYFUNCTION("GOOGLETRANSLATE(D1399,""EN"",""JA"")"),"予測DLCOの割合")</f>
        <v>予測DLCOの割合</v>
      </c>
      <c r="I1399" s="1" t="str">
        <f>IFERROR(__xludf.DUMMYFUNCTION("GOOGLETRANSLATE(E1399,""EN"",""JA"")"),"予測DLCOの割合")</f>
        <v>予測DLCOの割合</v>
      </c>
      <c r="J1399" s="1" t="str">
        <f>IFERROR(__xludf.DUMMYFUNCTION("GOOGLETRANSLATE(F1399,""EN"",""JA"")"),"予測される正常値の割合として表される、一酸化炭素に対する肺の拡散能力。")</f>
        <v>予測される正常値の割合として表される、一酸化炭素に対する肺の拡散能力。</v>
      </c>
      <c r="K1399" s="1" t="str">
        <f>IFERROR(__xludf.DUMMYFUNCTION("GOOGLETRANSLATE(G1399,""EN"",""JA"")"),"一酸化炭素の肺拡散能予測値（％）")</f>
        <v>一酸化炭素の肺拡散能予測値（％）</v>
      </c>
    </row>
    <row r="1400" ht="13.5" customHeight="1">
      <c r="A1400" s="1" t="s">
        <v>580</v>
      </c>
      <c r="B1400" s="1" t="s">
        <v>7089</v>
      </c>
      <c r="C1400" s="1" t="s">
        <v>7090</v>
      </c>
      <c r="D1400" s="1" t="s">
        <v>7091</v>
      </c>
      <c r="E1400" s="1" t="s">
        <v>7091</v>
      </c>
      <c r="F1400" s="1" t="s">
        <v>7092</v>
      </c>
      <c r="G1400" s="1" t="s">
        <v>7093</v>
      </c>
      <c r="H1400" s="1" t="str">
        <f>IFERROR(__xludf.DUMMYFUNCTION("GOOGLETRANSLATE(D1400,""EN"",""JA"")"),"DLCO/VA")</f>
        <v>DLCO/VA</v>
      </c>
      <c r="I1400" s="1" t="str">
        <f>IFERROR(__xludf.DUMMYFUNCTION("GOOGLETRANSLATE(E1400,""EN"",""JA"")"),"DLCO/VA")</f>
        <v>DLCO/VA</v>
      </c>
      <c r="J1400" s="1" t="str">
        <f>IFERROR(__xludf.DUMMYFUNCTION("GOOGLETRANSLATE(F1400,""EN"",""JA"")"),"肺胞容積の割合として表される、一酸化炭素に対する肺の拡散能力。")</f>
        <v>肺胞容積の割合として表される、一酸化炭素に対する肺の拡散能力。</v>
      </c>
      <c r="K1400" s="1" t="str">
        <f>IFERROR(__xludf.DUMMYFUNCTION("GOOGLETRANSLATE(G1400,""EN"",""JA"")"),"肺の一酸化炭素拡散能／肺胞容積比")</f>
        <v>肺の一酸化炭素拡散能／肺胞容積比</v>
      </c>
    </row>
    <row r="1401" ht="13.5" customHeight="1">
      <c r="A1401" s="1" t="s">
        <v>580</v>
      </c>
      <c r="B1401" s="1" t="s">
        <v>7094</v>
      </c>
      <c r="C1401" s="1" t="s">
        <v>7095</v>
      </c>
      <c r="D1401" s="1" t="s">
        <v>7096</v>
      </c>
      <c r="E1401" s="1" t="s">
        <v>7096</v>
      </c>
      <c r="F1401" s="1" t="s">
        <v>7097</v>
      </c>
      <c r="G1401" s="1" t="s">
        <v>7098</v>
      </c>
      <c r="H1401" s="1" t="str">
        <f>IFERROR(__xludf.DUMMYFUNCTION("GOOGLETRANSLATE(D1401,""EN"",""JA"")"),"予測DLCO/VA率")</f>
        <v>予測DLCO/VA率</v>
      </c>
      <c r="I1401" s="1" t="str">
        <f>IFERROR(__xludf.DUMMYFUNCTION("GOOGLETRANSLATE(E1401,""EN"",""JA"")"),"予測DLCO/VA率")</f>
        <v>予測DLCO/VA率</v>
      </c>
      <c r="J1401" s="1" t="str">
        <f>IFERROR(__xludf.DUMMYFUNCTION("GOOGLETRANSLATE(F1401,""EN"",""JA"")"),"肺胞容積に対する一酸化炭素の拡散能力の割合を、予測される正常値の割合として表します。")</f>
        <v>肺胞容積に対する一酸化炭素の拡散能力の割合を、予測される正常値の割合として表します。</v>
      </c>
      <c r="K1401" s="1" t="str">
        <f>IFERROR(__xludf.DUMMYFUNCTION("GOOGLETRANSLATE(G1401,""EN"",""JA"")"),"一酸化炭素の肺拡散能予測値/肺胞容積比")</f>
        <v>一酸化炭素の肺拡散能予測値/肺胞容積比</v>
      </c>
    </row>
    <row r="1402" ht="13.5" customHeight="1">
      <c r="A1402" s="1" t="s">
        <v>160</v>
      </c>
      <c r="B1402" s="1" t="s">
        <v>7099</v>
      </c>
      <c r="C1402" s="1" t="s">
        <v>7100</v>
      </c>
      <c r="D1402" s="1" t="s">
        <v>7101</v>
      </c>
      <c r="E1402" s="1" t="s">
        <v>7101</v>
      </c>
      <c r="F1402" s="1" t="s">
        <v>7102</v>
      </c>
      <c r="G1402" s="1" t="s">
        <v>7103</v>
      </c>
      <c r="H1402" s="1" t="str">
        <f>IFERROR(__xludf.DUMMYFUNCTION("GOOGLETRANSLATE(D1402,""EN"",""JA"")"),"配送方法")</f>
        <v>配送方法</v>
      </c>
      <c r="I1402" s="1" t="str">
        <f>IFERROR(__xludf.DUMMYFUNCTION("GOOGLETRANSLATE(E1402,""EN"",""JA"")"),"配送方法")</f>
        <v>配送方法</v>
      </c>
      <c r="J1402" s="1" t="str">
        <f>IFERROR(__xludf.DUMMYFUNCTION("GOOGLETRANSLATE(F1402,""EN"",""JA"")"),"胎児が娩出される方法の説明。")</f>
        <v>胎児が娩出される方法の説明。</v>
      </c>
      <c r="K1402" s="1" t="str">
        <f>IFERROR(__xludf.DUMMYFUNCTION("GOOGLETRANSLATE(G1402,""EN"",""JA"")"),"配送手順")</f>
        <v>配送手順</v>
      </c>
    </row>
    <row r="1403" ht="13.5" customHeight="1">
      <c r="A1403" s="1" t="s">
        <v>397</v>
      </c>
      <c r="B1403" s="1" t="s">
        <v>7104</v>
      </c>
      <c r="C1403" s="1" t="s">
        <v>7105</v>
      </c>
      <c r="D1403" s="1" t="s">
        <v>7106</v>
      </c>
      <c r="E1403" s="1" t="s">
        <v>7106</v>
      </c>
      <c r="F1403" s="1" t="s">
        <v>7107</v>
      </c>
      <c r="G1403" s="1" t="s">
        <v>7106</v>
      </c>
      <c r="H1403" s="1" t="str">
        <f>IFERROR(__xludf.DUMMYFUNCTION("GOOGLETRANSLATE(D1403,""EN"",""JA"")"),"データモニタリング委員会指標")</f>
        <v>データモニタリング委員会指標</v>
      </c>
      <c r="I1403" s="1" t="str">
        <f>IFERROR(__xludf.DUMMYFUNCTION("GOOGLETRANSLATE(E1403,""EN"",""JA"")"),"データモニタリング委員会指標")</f>
        <v>データモニタリング委員会指標</v>
      </c>
      <c r="J1403" s="1" t="str">
        <f>IFERROR(__xludf.DUMMYFUNCTION("GOOGLETRANSLATE(F1403,""EN"",""JA"")"),"臨床試験にデータモニタリング委員会が任命されているかどうかを示します。")</f>
        <v>臨床試験にデータモニタリング委員会が任命されているかどうかを示します。</v>
      </c>
      <c r="K1403" s="1" t="str">
        <f>IFERROR(__xludf.DUMMYFUNCTION("GOOGLETRANSLATE(G1403,""EN"",""JA"")"),"データモニタリング委員会指標")</f>
        <v>データモニタリング委員会指標</v>
      </c>
    </row>
    <row r="1404" ht="13.5" customHeight="1">
      <c r="A1404" s="1" t="s">
        <v>11</v>
      </c>
      <c r="B1404" s="1" t="s">
        <v>7108</v>
      </c>
      <c r="C1404" s="1" t="s">
        <v>7109</v>
      </c>
      <c r="D1404" s="1" t="s">
        <v>7110</v>
      </c>
      <c r="E1404" s="1" t="s">
        <v>7110</v>
      </c>
      <c r="F1404" s="1" t="s">
        <v>7111</v>
      </c>
      <c r="G1404" s="1" t="s">
        <v>7112</v>
      </c>
      <c r="H1404" s="1" t="str">
        <f>IFERROR(__xludf.DUMMYFUNCTION("GOOGLETRANSLATE(D1404,""EN"",""JA"")"),"ジメチルグリシン")</f>
        <v>ジメチルグリシン</v>
      </c>
      <c r="I1404" s="1" t="str">
        <f>IFERROR(__xludf.DUMMYFUNCTION("GOOGLETRANSLATE(E1404,""EN"",""JA"")"),"ジメチルグリシン")</f>
        <v>ジメチルグリシン</v>
      </c>
      <c r="J1404" s="1" t="str">
        <f>IFERROR(__xludf.DUMMYFUNCTION("GOOGLETRANSLATE(F1404,""EN"",""JA"")"),"生物標本中のジメチルグリシンの測定。")</f>
        <v>生物標本中のジメチルグリシンの測定。</v>
      </c>
      <c r="K1404" s="1" t="str">
        <f>IFERROR(__xludf.DUMMYFUNCTION("GOOGLETRANSLATE(G1404,""EN"",""JA"")"),"ジメチルグリシン測定")</f>
        <v>ジメチルグリシン測定</v>
      </c>
    </row>
    <row r="1405" ht="13.5" customHeight="1">
      <c r="A1405" s="1" t="s">
        <v>11</v>
      </c>
      <c r="B1405" s="1" t="s">
        <v>7113</v>
      </c>
      <c r="C1405" s="1" t="s">
        <v>7114</v>
      </c>
      <c r="D1405" s="1" t="s">
        <v>7115</v>
      </c>
      <c r="E1405" s="1" t="s">
        <v>7116</v>
      </c>
      <c r="F1405" s="1" t="s">
        <v>7117</v>
      </c>
      <c r="G1405" s="1" t="s">
        <v>7118</v>
      </c>
      <c r="H1405" s="1" t="str">
        <f>IFERROR(__xludf.DUMMYFUNCTION("GOOGLETRANSLATE(D1405,""EN"",""JA"")"),"N,N-ジメチルトリプタミン")</f>
        <v>N,N-ジメチルトリプタミン</v>
      </c>
      <c r="I1405" s="1" t="str">
        <f>IFERROR(__xludf.DUMMYFUNCTION("GOOGLETRANSLATE(E1405,""EN"",""JA"")"),"ジメチルトリプタミン; DMT; N,N-ジメチルトリプタミン")</f>
        <v>ジメチルトリプタミン; DMT; N,N-ジメチルトリプタミン</v>
      </c>
      <c r="J1405" s="1" t="str">
        <f>IFERROR(__xludf.DUMMYFUNCTION("GOOGLETRANSLATE(F1405,""EN"",""JA"")"),"生物標本中の N,N-ジメチルトリプタミンの測定。")</f>
        <v>生物標本中の N,N-ジメチルトリプタミンの測定。</v>
      </c>
      <c r="K1405" s="1" t="str">
        <f>IFERROR(__xludf.DUMMYFUNCTION("GOOGLETRANSLATE(G1405,""EN"",""JA"")"),"N,N-ジメチルトリプタミン測定")</f>
        <v>N,N-ジメチルトリプタミン測定</v>
      </c>
    </row>
    <row r="1406" ht="13.5" customHeight="1">
      <c r="A1406" s="1" t="s">
        <v>11</v>
      </c>
      <c r="B1406" s="1" t="s">
        <v>7119</v>
      </c>
      <c r="C1406" s="1" t="s">
        <v>7120</v>
      </c>
      <c r="D1406" s="1" t="s">
        <v>7121</v>
      </c>
      <c r="E1406" s="1" t="s">
        <v>7121</v>
      </c>
      <c r="F1406" s="1" t="s">
        <v>7122</v>
      </c>
      <c r="G1406" s="1" t="s">
        <v>7123</v>
      </c>
      <c r="H1406" s="1" t="str">
        <f>IFERROR(__xludf.DUMMYFUNCTION("GOOGLETRANSLATE(D1406,""EN"",""JA"")"),"デオキシリボ核酸")</f>
        <v>デオキシリボ核酸</v>
      </c>
      <c r="I1406" s="1" t="str">
        <f>IFERROR(__xludf.DUMMYFUNCTION("GOOGLETRANSLATE(E1406,""EN"",""JA"")"),"デオキシリボ核酸")</f>
        <v>デオキシリボ核酸</v>
      </c>
      <c r="J1406" s="1" t="str">
        <f>IFERROR(__xludf.DUMMYFUNCTION("GOOGLETRANSLATE(F1406,""EN"",""JA"")"),"生物標本内の標的のデオキシリボ核酸 (DNA) の測定。")</f>
        <v>生物標本内の標的のデオキシリボ核酸 (DNA) の測定。</v>
      </c>
      <c r="K1406" s="1" t="str">
        <f>IFERROR(__xludf.DUMMYFUNCTION("GOOGLETRANSLATE(G1406,""EN"",""JA"")"),"デオキシリボ核酸測定")</f>
        <v>デオキシリボ核酸測定</v>
      </c>
    </row>
    <row r="1407" ht="13.5" customHeight="1">
      <c r="A1407" s="1" t="s">
        <v>11</v>
      </c>
      <c r="B1407" s="1" t="s">
        <v>7124</v>
      </c>
      <c r="C1407" s="1" t="s">
        <v>7125</v>
      </c>
      <c r="D1407" s="1" t="s">
        <v>7126</v>
      </c>
      <c r="E1407" s="1" t="s">
        <v>7127</v>
      </c>
      <c r="F1407" s="1" t="s">
        <v>7128</v>
      </c>
      <c r="G1407" s="1" t="s">
        <v>7129</v>
      </c>
      <c r="H1407" s="1" t="str">
        <f>IFERROR(__xludf.DUMMYFUNCTION("GOOGLETRANSLATE(D1407,""EN"",""JA"")"),"D-ノルプソイドエフェドリン")</f>
        <v>D-ノルプソイドエフェドリン</v>
      </c>
      <c r="I1407" s="1" t="str">
        <f>IFERROR(__xludf.DUMMYFUNCTION("GOOGLETRANSLATE(E1407,""EN"",""JA"")"),"(+)-ノルプソイドエフェドリン; カチン; D-ノルプソイドエフェドリン")</f>
        <v>(+)-ノルプソイドエフェドリン; カチン; D-ノルプソイドエフェドリン</v>
      </c>
      <c r="J1407" s="1" t="str">
        <f>IFERROR(__xludf.DUMMYFUNCTION("GOOGLETRANSLATE(F1407,""EN"",""JA"")"),"生物標本中の D-ノルプソイドエフェドリンの測定。")</f>
        <v>生物標本中の D-ノルプソイドエフェドリンの測定。</v>
      </c>
      <c r="K1407" s="1" t="str">
        <f>IFERROR(__xludf.DUMMYFUNCTION("GOOGLETRANSLATE(G1407,""EN"",""JA"")"),"D-ノルプソイドエフェドリン測定")</f>
        <v>D-ノルプソイドエフェドリン測定</v>
      </c>
    </row>
    <row r="1408" ht="13.5" customHeight="1">
      <c r="A1408" s="1" t="s">
        <v>67</v>
      </c>
      <c r="B1408" s="1" t="s">
        <v>7130</v>
      </c>
      <c r="C1408" s="1" t="s">
        <v>7131</v>
      </c>
      <c r="D1408" s="1" t="s">
        <v>7132</v>
      </c>
      <c r="E1408" s="1" t="s">
        <v>7132</v>
      </c>
      <c r="F1408" s="1" t="s">
        <v>7133</v>
      </c>
      <c r="G1408" s="1" t="s">
        <v>7134</v>
      </c>
      <c r="H1408" s="1" t="str">
        <f>IFERROR(__xludf.DUMMYFUNCTION("GOOGLETRANSLATE(D1408,""EN"",""JA"")"),"デングウイルス1型RNA")</f>
        <v>デングウイルス1型RNA</v>
      </c>
      <c r="I1408" s="1" t="str">
        <f>IFERROR(__xludf.DUMMYFUNCTION("GOOGLETRANSLATE(E1408,""EN"",""JA"")"),"デングウイルス1型RNA")</f>
        <v>デングウイルス1型RNA</v>
      </c>
      <c r="J1408" s="1" t="str">
        <f>IFERROR(__xludf.DUMMYFUNCTION("GOOGLETRANSLATE(F1408,""EN"",""JA"")"),"生物標本中のデングウイルス 1 RNA の測定。")</f>
        <v>生物標本中のデングウイルス 1 RNA の測定。</v>
      </c>
      <c r="K1408" s="1" t="str">
        <f>IFERROR(__xludf.DUMMYFUNCTION("GOOGLETRANSLATE(G1408,""EN"",""JA"")"),"デングウイルス1型RNA測定")</f>
        <v>デングウイルス1型RNA測定</v>
      </c>
    </row>
    <row r="1409" ht="13.5" customHeight="1">
      <c r="A1409" s="1" t="s">
        <v>67</v>
      </c>
      <c r="B1409" s="1" t="s">
        <v>7135</v>
      </c>
      <c r="C1409" s="1" t="s">
        <v>7136</v>
      </c>
      <c r="D1409" s="1" t="s">
        <v>7137</v>
      </c>
      <c r="E1409" s="1" t="s">
        <v>7137</v>
      </c>
      <c r="F1409" s="1" t="s">
        <v>7138</v>
      </c>
      <c r="G1409" s="1" t="s">
        <v>7139</v>
      </c>
      <c r="H1409" s="1" t="str">
        <f>IFERROR(__xludf.DUMMYFUNCTION("GOOGLETRANSLATE(D1409,""EN"",""JA"")"),"デングウイルス2RNA")</f>
        <v>デングウイルス2RNA</v>
      </c>
      <c r="I1409" s="1" t="str">
        <f>IFERROR(__xludf.DUMMYFUNCTION("GOOGLETRANSLATE(E1409,""EN"",""JA"")"),"デングウイルス2RNA")</f>
        <v>デングウイルス2RNA</v>
      </c>
      <c r="J1409" s="1" t="str">
        <f>IFERROR(__xludf.DUMMYFUNCTION("GOOGLETRANSLATE(F1409,""EN"",""JA"")"),"生物標本中のデングウイルス 2 RNA の測定。")</f>
        <v>生物標本中のデングウイルス 2 RNA の測定。</v>
      </c>
      <c r="K1409" s="1" t="str">
        <f>IFERROR(__xludf.DUMMYFUNCTION("GOOGLETRANSLATE(G1409,""EN"",""JA"")"),"デングウイルス2のRNA測定")</f>
        <v>デングウイルス2のRNA測定</v>
      </c>
    </row>
    <row r="1410" ht="13.5" customHeight="1">
      <c r="A1410" s="1" t="s">
        <v>67</v>
      </c>
      <c r="B1410" s="1" t="s">
        <v>7140</v>
      </c>
      <c r="C1410" s="1" t="s">
        <v>7141</v>
      </c>
      <c r="D1410" s="1" t="s">
        <v>7142</v>
      </c>
      <c r="E1410" s="1" t="s">
        <v>7142</v>
      </c>
      <c r="F1410" s="1" t="s">
        <v>7143</v>
      </c>
      <c r="G1410" s="1" t="s">
        <v>7144</v>
      </c>
      <c r="H1410" s="1" t="str">
        <f>IFERROR(__xludf.DUMMYFUNCTION("GOOGLETRANSLATE(D1410,""EN"",""JA"")"),"デングウイルス3RNA")</f>
        <v>デングウイルス3RNA</v>
      </c>
      <c r="I1410" s="1" t="str">
        <f>IFERROR(__xludf.DUMMYFUNCTION("GOOGLETRANSLATE(E1410,""EN"",""JA"")"),"デングウイルス3RNA")</f>
        <v>デングウイルス3RNA</v>
      </c>
      <c r="J1410" s="1" t="str">
        <f>IFERROR(__xludf.DUMMYFUNCTION("GOOGLETRANSLATE(F1410,""EN"",""JA"")"),"生物標本中のデングウイルス 3 RNA の測定。")</f>
        <v>生物標本中のデングウイルス 3 RNA の測定。</v>
      </c>
      <c r="K1410" s="1" t="str">
        <f>IFERROR(__xludf.DUMMYFUNCTION("GOOGLETRANSLATE(G1410,""EN"",""JA"")"),"デングウイルス3のRNA測定")</f>
        <v>デングウイルス3のRNA測定</v>
      </c>
    </row>
    <row r="1411" ht="13.5" customHeight="1">
      <c r="A1411" s="1" t="s">
        <v>67</v>
      </c>
      <c r="B1411" s="1" t="s">
        <v>7145</v>
      </c>
      <c r="C1411" s="1" t="s">
        <v>7146</v>
      </c>
      <c r="D1411" s="1" t="s">
        <v>7147</v>
      </c>
      <c r="E1411" s="1" t="s">
        <v>7147</v>
      </c>
      <c r="F1411" s="1" t="s">
        <v>7148</v>
      </c>
      <c r="G1411" s="1" t="s">
        <v>7149</v>
      </c>
      <c r="H1411" s="1" t="str">
        <f>IFERROR(__xludf.DUMMYFUNCTION("GOOGLETRANSLATE(D1411,""EN"",""JA"")"),"デングウイルス4 RNA")</f>
        <v>デングウイルス4 RNA</v>
      </c>
      <c r="I1411" s="1" t="str">
        <f>IFERROR(__xludf.DUMMYFUNCTION("GOOGLETRANSLATE(E1411,""EN"",""JA"")"),"デングウイルス4 RNA")</f>
        <v>デングウイルス4 RNA</v>
      </c>
      <c r="J1411" s="1" t="str">
        <f>IFERROR(__xludf.DUMMYFUNCTION("GOOGLETRANSLATE(F1411,""EN"",""JA"")"),"生物標本中のデングウイルス 4 RNA の測定。")</f>
        <v>生物標本中のデングウイルス 4 RNA の測定。</v>
      </c>
      <c r="K1411" s="1" t="str">
        <f>IFERROR(__xludf.DUMMYFUNCTION("GOOGLETRANSLATE(G1411,""EN"",""JA"")"),"デングウイルス4のRNA測定")</f>
        <v>デングウイルス4のRNA測定</v>
      </c>
    </row>
    <row r="1412" ht="13.5" customHeight="1">
      <c r="A1412" s="1" t="s">
        <v>67</v>
      </c>
      <c r="B1412" s="1" t="s">
        <v>7150</v>
      </c>
      <c r="C1412" s="1" t="s">
        <v>7151</v>
      </c>
      <c r="D1412" s="1" t="s">
        <v>7152</v>
      </c>
      <c r="E1412" s="1" t="s">
        <v>7153</v>
      </c>
      <c r="F1412" s="1" t="s">
        <v>7154</v>
      </c>
      <c r="G1412" s="1" t="s">
        <v>7155</v>
      </c>
      <c r="H1412" s="1" t="str">
        <f>IFERROR(__xludf.DUMMYFUNCTION("GOOGLETRANSLATE(D1412,""EN"",""JA"")"),"デングウイルスNS1抗原")</f>
        <v>デングウイルスNS1抗原</v>
      </c>
      <c r="I1412" s="1" t="str">
        <f>IFERROR(__xludf.DUMMYFUNCTION("GOOGLETRANSLATE(E1412,""EN"",""JA"")"),"デングウイルス非構造タンパク質1; デングウイルスNS1抗原")</f>
        <v>デングウイルス非構造タンパク質1; デングウイルスNS1抗原</v>
      </c>
      <c r="J1412" s="1" t="str">
        <f>IFERROR(__xludf.DUMMYFUNCTION("GOOGLETRANSLATE(F1412,""EN"",""JA"")"),"生物標本中のデングウイルス NS1 抗原の測定。")</f>
        <v>生物標本中のデングウイルス NS1 抗原の測定。</v>
      </c>
      <c r="K1412" s="1" t="str">
        <f>IFERROR(__xludf.DUMMYFUNCTION("GOOGLETRANSLATE(G1412,""EN"",""JA"")"),"デングウイルスNS1抗原測定")</f>
        <v>デングウイルスNS1抗原測定</v>
      </c>
    </row>
    <row r="1413" ht="13.5" customHeight="1">
      <c r="A1413" s="1" t="s">
        <v>67</v>
      </c>
      <c r="B1413" s="1" t="s">
        <v>7156</v>
      </c>
      <c r="C1413" s="1" t="s">
        <v>7157</v>
      </c>
      <c r="D1413" s="1" t="s">
        <v>7158</v>
      </c>
      <c r="E1413" s="1" t="s">
        <v>7158</v>
      </c>
      <c r="F1413" s="1" t="s">
        <v>7159</v>
      </c>
      <c r="G1413" s="1" t="s">
        <v>7160</v>
      </c>
      <c r="H1413" s="1" t="str">
        <f>IFERROR(__xludf.DUMMYFUNCTION("GOOGLETRANSLATE(D1413,""EN"",""JA"")"),"デングウイルスRNA")</f>
        <v>デングウイルスRNA</v>
      </c>
      <c r="I1413" s="1" t="str">
        <f>IFERROR(__xludf.DUMMYFUNCTION("GOOGLETRANSLATE(E1413,""EN"",""JA"")"),"デングウイルスRNA")</f>
        <v>デングウイルスRNA</v>
      </c>
      <c r="J1413" s="1" t="str">
        <f>IFERROR(__xludf.DUMMYFUNCTION("GOOGLETRANSLATE(F1413,""EN"",""JA"")"),"生物標本中のデングウイルスRNAの測定。")</f>
        <v>生物標本中のデングウイルスRNAの測定。</v>
      </c>
      <c r="K1413" s="1" t="str">
        <f>IFERROR(__xludf.DUMMYFUNCTION("GOOGLETRANSLATE(G1413,""EN"",""JA"")"),"デングウイルスRNA測定")</f>
        <v>デングウイルスRNA測定</v>
      </c>
    </row>
    <row r="1414" ht="13.5" customHeight="1">
      <c r="A1414" s="1" t="s">
        <v>11</v>
      </c>
      <c r="B1414" s="1" t="s">
        <v>7161</v>
      </c>
      <c r="C1414" s="1" t="s">
        <v>7162</v>
      </c>
      <c r="D1414" s="1" t="s">
        <v>7163</v>
      </c>
      <c r="E1414" s="1" t="s">
        <v>7163</v>
      </c>
      <c r="F1414" s="1" t="s">
        <v>7164</v>
      </c>
      <c r="G1414" s="1" t="s">
        <v>7165</v>
      </c>
      <c r="H1414" s="1" t="str">
        <f>IFERROR(__xludf.DUMMYFUNCTION("GOOGLETRANSLATE(D1414,""EN"",""JA"")"),"ドールボディーズ")</f>
        <v>ドールボディーズ</v>
      </c>
      <c r="I1414" s="1" t="str">
        <f>IFERROR(__xludf.DUMMYFUNCTION("GOOGLETRANSLATE(E1414,""EN"",""JA"")"),"ドールボディーズ")</f>
        <v>ドールボディーズ</v>
      </c>
      <c r="J1414" s="1" t="str">
        <f>IFERROR(__xludf.DUMMYFUNCTION("GOOGLETRANSLATE(F1414,""EN"",""JA"")"),"生物標本中のドール小体（好中球の末梢細胞質に存在する青灰色の好塩基性の白血球封入体）の測定。")</f>
        <v>生物標本中のドール小体（好中球の末梢細胞質に存在する青灰色の好塩基性の白血球封入体）の測定。</v>
      </c>
      <c r="K1414" s="1" t="str">
        <f>IFERROR(__xludf.DUMMYFUNCTION("GOOGLETRANSLATE(G1414,""EN"",""JA"")"),"ドールボディ測定")</f>
        <v>ドールボディ測定</v>
      </c>
    </row>
    <row r="1415" ht="13.5" customHeight="1">
      <c r="A1415" s="1" t="s">
        <v>580</v>
      </c>
      <c r="B1415" s="1" t="s">
        <v>7166</v>
      </c>
      <c r="C1415" s="1" t="s">
        <v>7167</v>
      </c>
      <c r="D1415" s="1" t="s">
        <v>7168</v>
      </c>
      <c r="E1415" s="1" t="s">
        <v>7168</v>
      </c>
      <c r="F1415" s="1" t="s">
        <v>7169</v>
      </c>
      <c r="G1415" s="1" t="s">
        <v>7170</v>
      </c>
      <c r="H1415" s="1" t="str">
        <f>IFERROR(__xludf.DUMMYFUNCTION("GOOGLETRANSLATE(D1415,""EN"",""JA"")"),"優位肺パターン")</f>
        <v>優位肺パターン</v>
      </c>
      <c r="I1415" s="1" t="str">
        <f>IFERROR(__xludf.DUMMYFUNCTION("GOOGLETRANSLATE(E1415,""EN"",""JA"")"),"優位肺パターン")</f>
        <v>優位肺パターン</v>
      </c>
      <c r="J1415" s="1" t="str">
        <f>IFERROR(__xludf.DUMMYFUNCTION("GOOGLETRANSLATE(F1415,""EN"",""JA"")"),"一般的にサイズ、分布、量に基づいた、肺の主要な異常パターンの主観的評価。")</f>
        <v>一般的にサイズ、分布、量に基づいた、肺の主要な異常パターンの主観的評価。</v>
      </c>
      <c r="K1415" s="1" t="str">
        <f>IFERROR(__xludf.DUMMYFUNCTION("GOOGLETRANSLATE(G1415,""EN"",""JA"")"),"優位肺パターン評価")</f>
        <v>優位肺パターン評価</v>
      </c>
    </row>
    <row r="1416" ht="13.5" customHeight="1">
      <c r="A1416" s="1" t="s">
        <v>580</v>
      </c>
      <c r="B1416" s="1" t="s">
        <v>7171</v>
      </c>
      <c r="C1416" s="1" t="s">
        <v>7172</v>
      </c>
      <c r="D1416" s="1" t="s">
        <v>7173</v>
      </c>
      <c r="E1416" s="1" t="s">
        <v>7173</v>
      </c>
      <c r="F1416" s="1" t="s">
        <v>7174</v>
      </c>
      <c r="G1416" s="1" t="s">
        <v>7175</v>
      </c>
      <c r="H1416" s="1" t="str">
        <f>IFERROR(__xludf.DUMMYFUNCTION("GOOGLETRANSLATE(D1416,""EN"",""JA"")"),"優勢肺パターン分布")</f>
        <v>優勢肺パターン分布</v>
      </c>
      <c r="I1416" s="1" t="str">
        <f>IFERROR(__xludf.DUMMYFUNCTION("GOOGLETRANSLATE(E1416,""EN"",""JA"")"),"優勢肺パターン分布")</f>
        <v>優勢肺パターン分布</v>
      </c>
      <c r="J1416" s="1" t="str">
        <f>IFERROR(__xludf.DUMMYFUNCTION("GOOGLETRANSLATE(F1416,""EN"",""JA"")"),"主要な肺の異常パターンの分布の主観的評価。")</f>
        <v>主要な肺の異常パターンの分布の主観的評価。</v>
      </c>
      <c r="K1416" s="1" t="str">
        <f>IFERROR(__xludf.DUMMYFUNCTION("GOOGLETRANSLATE(G1416,""EN"",""JA"")"),"優位肺パターン分布評価")</f>
        <v>優位肺パターン分布評価</v>
      </c>
    </row>
    <row r="1417" ht="13.5" customHeight="1">
      <c r="A1417" s="1" t="s">
        <v>11</v>
      </c>
      <c r="B1417" s="1" t="s">
        <v>7176</v>
      </c>
      <c r="C1417" s="1" t="s">
        <v>7177</v>
      </c>
      <c r="D1417" s="1" t="s">
        <v>7178</v>
      </c>
      <c r="E1417" s="1" t="s">
        <v>7178</v>
      </c>
      <c r="F1417" s="1" t="s">
        <v>7179</v>
      </c>
      <c r="G1417" s="1" t="s">
        <v>7180</v>
      </c>
      <c r="H1417" s="1" t="str">
        <f>IFERROR(__xludf.DUMMYFUNCTION("GOOGLETRANSLATE(D1417,""EN"",""JA"")"),"3,4-ジヒドロキシフェニル酢酸")</f>
        <v>3,4-ジヒドロキシフェニル酢酸</v>
      </c>
      <c r="I1417" s="1" t="str">
        <f>IFERROR(__xludf.DUMMYFUNCTION("GOOGLETRANSLATE(E1417,""EN"",""JA"")"),"3,4-ジヒドロキシフェニル酢酸")</f>
        <v>3,4-ジヒドロキシフェニル酢酸</v>
      </c>
      <c r="J1417" s="1" t="str">
        <f>IFERROR(__xludf.DUMMYFUNCTION("GOOGLETRANSLATE(F1417,""EN"",""JA"")"),"生物標本中の 3,4-ジヒドロキシフェニル酢酸の測定。")</f>
        <v>生物標本中の 3,4-ジヒドロキシフェニル酢酸の測定。</v>
      </c>
      <c r="K1417" s="1" t="str">
        <f>IFERROR(__xludf.DUMMYFUNCTION("GOOGLETRANSLATE(G1417,""EN"",""JA"")"),"3,4-ジヒドロキシフェニル酢酸の測定")</f>
        <v>3,4-ジヒドロキシフェニル酢酸の測定</v>
      </c>
    </row>
    <row r="1418" ht="13.5" customHeight="1">
      <c r="A1418" s="1" t="s">
        <v>11</v>
      </c>
      <c r="B1418" s="1" t="s">
        <v>7181</v>
      </c>
      <c r="C1418" s="1" t="s">
        <v>7182</v>
      </c>
      <c r="D1418" s="1" t="s">
        <v>7183</v>
      </c>
      <c r="E1418" s="1" t="s">
        <v>7183</v>
      </c>
      <c r="F1418" s="1" t="s">
        <v>7184</v>
      </c>
      <c r="G1418" s="1" t="s">
        <v>7183</v>
      </c>
      <c r="H1418" s="1" t="str">
        <f>IFERROR(__xludf.DUMMYFUNCTION("GOOGLETRANSLATE(D1418,""EN"",""JA"")"),"ドーパミン排泄率")</f>
        <v>ドーパミン排泄率</v>
      </c>
      <c r="I1418" s="1" t="str">
        <f>IFERROR(__xludf.DUMMYFUNCTION("GOOGLETRANSLATE(E1418,""EN"",""JA"")"),"ドーパミン排泄率")</f>
        <v>ドーパミン排泄率</v>
      </c>
      <c r="J1418" s="1" t="str">
        <f>IFERROR(__xludf.DUMMYFUNCTION("GOOGLETRANSLATE(F1418,""EN"",""JA"")"),"定義された時間（例：1 時間）にわたって生物学的標本から排出されるドーパミンの量を測定します。")</f>
        <v>定義された時間（例：1 時間）にわたって生物学的標本から排出されるドーパミンの量を測定します。</v>
      </c>
      <c r="K1418" s="1" t="str">
        <f>IFERROR(__xludf.DUMMYFUNCTION("GOOGLETRANSLATE(G1418,""EN"",""JA"")"),"ドーパミン排泄率")</f>
        <v>ドーパミン排泄率</v>
      </c>
    </row>
    <row r="1419" ht="13.5" customHeight="1">
      <c r="A1419" s="1" t="s">
        <v>11</v>
      </c>
      <c r="B1419" s="1" t="s">
        <v>7185</v>
      </c>
      <c r="C1419" s="1" t="s">
        <v>7186</v>
      </c>
      <c r="D1419" s="1" t="s">
        <v>7187</v>
      </c>
      <c r="E1419" s="1" t="s">
        <v>7187</v>
      </c>
      <c r="F1419" s="1" t="s">
        <v>7188</v>
      </c>
      <c r="G1419" s="1" t="s">
        <v>7189</v>
      </c>
      <c r="H1419" s="1" t="str">
        <f>IFERROR(__xludf.DUMMYFUNCTION("GOOGLETRANSLATE(D1419,""EN"",""JA"")"),"ドーパミン")</f>
        <v>ドーパミン</v>
      </c>
      <c r="I1419" s="1" t="str">
        <f>IFERROR(__xludf.DUMMYFUNCTION("GOOGLETRANSLATE(E1419,""EN"",""JA"")"),"ドーパミン")</f>
        <v>ドーパミン</v>
      </c>
      <c r="J1419" s="1" t="str">
        <f>IFERROR(__xludf.DUMMYFUNCTION("GOOGLETRANSLATE(F1419,""EN"",""JA"")"),"生物標本中のドーパミンホルモンの測定。")</f>
        <v>生物標本中のドーパミンホルモンの測定。</v>
      </c>
      <c r="K1419" s="1" t="str">
        <f>IFERROR(__xludf.DUMMYFUNCTION("GOOGLETRANSLATE(G1419,""EN"",""JA"")"),"ドーパミン測定")</f>
        <v>ドーパミン測定</v>
      </c>
    </row>
    <row r="1420" ht="13.5" customHeight="1">
      <c r="A1420" s="1" t="s">
        <v>397</v>
      </c>
      <c r="B1420" s="1" t="s">
        <v>7190</v>
      </c>
      <c r="C1420" s="1" t="s">
        <v>7191</v>
      </c>
      <c r="D1420" s="1" t="s">
        <v>7192</v>
      </c>
      <c r="E1420" s="1" t="s">
        <v>7193</v>
      </c>
      <c r="F1420" s="1" t="s">
        <v>7194</v>
      </c>
      <c r="G1420" s="1" t="s">
        <v>7195</v>
      </c>
      <c r="H1420" s="1" t="str">
        <f>IFERROR(__xludf.DUMMYFUNCTION("GOOGLETRANSLATE(D1420,""EN"",""JA"")"),"投与量")</f>
        <v>投与量</v>
      </c>
      <c r="I1420" s="1" t="str">
        <f>IFERROR(__xludf.DUMMYFUNCTION("GOOGLETRANSLATE(E1420,""EN"",""JA"")"),"投与量レベル; 投与量あたり")</f>
        <v>投与量レベル; 投与量あたり</v>
      </c>
      <c r="J1420" s="1" t="str">
        <f>IFERROR(__xludf.DUMMYFUNCTION("GOOGLETRANSLATE(F1420,""EN"",""JA"")"),"患者または被験者に一度にまたは指定された間隔で投与される研究薬（またはプラセボ）の量。")</f>
        <v>患者または被験者に一度にまたは指定された間隔で投与される研究薬（またはプラセボ）の量。</v>
      </c>
      <c r="K1420" s="1" t="str">
        <f>IFERROR(__xludf.DUMMYFUNCTION("GOOGLETRANSLATE(G1420,""EN"",""JA"")"),"用量")</f>
        <v>用量</v>
      </c>
    </row>
    <row r="1421" ht="13.5" customHeight="1">
      <c r="A1421" s="1" t="s">
        <v>397</v>
      </c>
      <c r="B1421" s="1" t="s">
        <v>7196</v>
      </c>
      <c r="C1421" s="1" t="s">
        <v>7197</v>
      </c>
      <c r="D1421" s="1" t="s">
        <v>7198</v>
      </c>
      <c r="E1421" s="1" t="s">
        <v>7198</v>
      </c>
      <c r="F1421" s="1" t="s">
        <v>7199</v>
      </c>
      <c r="G1421" s="1" t="s">
        <v>7200</v>
      </c>
      <c r="H1421" s="1" t="str">
        <f>IFERROR(__xludf.DUMMYFUNCTION("GOOGLETRANSLATE(D1421,""EN"",""JA"")"),"投与形態")</f>
        <v>投与形態</v>
      </c>
      <c r="I1421" s="1" t="str">
        <f>IFERROR(__xludf.DUMMYFUNCTION("GOOGLETRANSLATE(E1421,""EN"",""JA"")"),"投与形態")</f>
        <v>投与形態</v>
      </c>
      <c r="J1421" s="1" t="str">
        <f>IFERROR(__xludf.DUMMYFUNCTION("GOOGLETRANSLATE(F1421,""EN"",""JA"")"),"医薬品（錠剤、カプセル剤、溶液など）の物理的特性。通常は 1 つ以上の他の成分と関連しているが、必ずしもそうである必要はない。（CDISC 用語集）")</f>
        <v>医薬品（錠剤、カプセル剤、溶液など）の物理的特性。通常は 1 つ以上の他の成分と関連しているが、必ずしもそうである必要はない。（CDISC 用語集）</v>
      </c>
      <c r="K1421" s="1" t="str">
        <f>IFERROR(__xludf.DUMMYFUNCTION("GOOGLETRANSLATE(G1421,""EN"",""JA"")"),"医薬品剤形")</f>
        <v>医薬品剤形</v>
      </c>
    </row>
    <row r="1422" ht="13.5" customHeight="1">
      <c r="A1422" s="1" t="s">
        <v>397</v>
      </c>
      <c r="B1422" s="1" t="s">
        <v>7201</v>
      </c>
      <c r="C1422" s="1" t="s">
        <v>7202</v>
      </c>
      <c r="D1422" s="1" t="s">
        <v>7203</v>
      </c>
      <c r="E1422" s="1" t="s">
        <v>7203</v>
      </c>
      <c r="F1422" s="1" t="s">
        <v>7204</v>
      </c>
      <c r="G1422" s="1" t="s">
        <v>7205</v>
      </c>
      <c r="H1422" s="1" t="str">
        <f>IFERROR(__xludf.DUMMYFUNCTION("GOOGLETRANSLATE(D1422,""EN"",""JA"")"),"投与頻度")</f>
        <v>投与頻度</v>
      </c>
      <c r="I1422" s="1" t="str">
        <f>IFERROR(__xludf.DUMMYFUNCTION("GOOGLETRANSLATE(E1422,""EN"",""JA"")"),"投与頻度")</f>
        <v>投与頻度</v>
      </c>
      <c r="J1422" s="1" t="str">
        <f>IFERROR(__xludf.DUMMYFUNCTION("GOOGLETRANSLATE(F1422,""EN"",""JA"")"),"特定の間隔ごとに投与される投与量の数。")</f>
        <v>特定の間隔ごとに投与される投与量の数。</v>
      </c>
      <c r="K1422" s="1" t="str">
        <f>IFERROR(__xludf.DUMMYFUNCTION("GOOGLETRANSLATE(G1422,""EN"",""JA"")"),"投与頻度")</f>
        <v>投与頻度</v>
      </c>
    </row>
    <row r="1423" ht="13.5" customHeight="1">
      <c r="A1423" s="1" t="s">
        <v>397</v>
      </c>
      <c r="B1423" s="1" t="s">
        <v>7206</v>
      </c>
      <c r="C1423" s="1" t="s">
        <v>7207</v>
      </c>
      <c r="D1423" s="1" t="s">
        <v>7208</v>
      </c>
      <c r="E1423" s="1" t="s">
        <v>7208</v>
      </c>
      <c r="F1423" s="1" t="s">
        <v>7209</v>
      </c>
      <c r="G1423" s="1" t="s">
        <v>7208</v>
      </c>
      <c r="H1423" s="1" t="str">
        <f>IFERROR(__xludf.DUMMYFUNCTION("GOOGLETRANSLATE(D1423,""EN"",""JA"")"),"投与レジメン")</f>
        <v>投与レジメン</v>
      </c>
      <c r="I1423" s="1" t="str">
        <f>IFERROR(__xludf.DUMMYFUNCTION("GOOGLETRANSLATE(E1423,""EN"",""JA"")"),"投与レジメン")</f>
        <v>投与レジメン</v>
      </c>
      <c r="J1423" s="1" t="str">
        <f>IFERROR(__xludf.DUMMYFUNCTION("GOOGLETRANSLATE(F1423,""EN"",""JA"")"),"薬剤（薬物、物質、放射線など）の投与の計画されたスケジュール。")</f>
        <v>薬剤（薬物、物質、放射線など）の投与の計画されたスケジュール。</v>
      </c>
      <c r="K1423" s="1" t="str">
        <f>IFERROR(__xludf.DUMMYFUNCTION("GOOGLETRANSLATE(G1423,""EN"",""JA"")"),"投与レジメン")</f>
        <v>投与レジメン</v>
      </c>
    </row>
    <row r="1424" ht="13.5" customHeight="1">
      <c r="A1424" s="1" t="s">
        <v>397</v>
      </c>
      <c r="B1424" s="1" t="s">
        <v>7210</v>
      </c>
      <c r="C1424" s="1" t="s">
        <v>7211</v>
      </c>
      <c r="D1424" s="1" t="s">
        <v>7212</v>
      </c>
      <c r="E1424" s="1" t="s">
        <v>7212</v>
      </c>
      <c r="F1424" s="1" t="s">
        <v>7213</v>
      </c>
      <c r="G1424" s="1" t="s">
        <v>7214</v>
      </c>
      <c r="H1424" s="1" t="str">
        <f>IFERROR(__xludf.DUMMYFUNCTION("GOOGLETRANSLATE(D1424,""EN"",""JA"")"),"線量単位")</f>
        <v>線量単位</v>
      </c>
      <c r="I1424" s="1" t="str">
        <f>IFERROR(__xludf.DUMMYFUNCTION("GOOGLETRANSLATE(E1424,""EN"",""JA"")"),"線量単位")</f>
        <v>線量単位</v>
      </c>
      <c r="J1424" s="1" t="str">
        <f>IFERROR(__xludf.DUMMYFUNCTION("GOOGLETRANSLATE(F1424,""EN"",""JA"")"),"剤形の測定単位。")</f>
        <v>剤形の測定単位。</v>
      </c>
      <c r="K1424" s="1" t="str">
        <f>IFERROR(__xludf.DUMMYFUNCTION("GOOGLETRANSLATE(G1424,""EN"",""JA"")"),"剤形単位")</f>
        <v>剤形単位</v>
      </c>
    </row>
    <row r="1425" ht="13.5" customHeight="1">
      <c r="A1425" s="1" t="s">
        <v>11</v>
      </c>
      <c r="B1425" s="1" t="s">
        <v>7215</v>
      </c>
      <c r="C1425" s="1" t="s">
        <v>7216</v>
      </c>
      <c r="D1425" s="1" t="s">
        <v>7217</v>
      </c>
      <c r="E1425" s="1" t="s">
        <v>7217</v>
      </c>
      <c r="F1425" s="1" t="s">
        <v>7218</v>
      </c>
      <c r="G1425" s="1" t="s">
        <v>7219</v>
      </c>
      <c r="H1425" s="1" t="str">
        <f>IFERROR(__xludf.DUMMYFUNCTION("GOOGLETRANSLATE(D1425,""EN"",""JA"")"),"デソキシメチルテストステロン")</f>
        <v>デソキシメチルテストステロン</v>
      </c>
      <c r="I1425" s="1" t="str">
        <f>IFERROR(__xludf.DUMMYFUNCTION("GOOGLETRANSLATE(E1425,""EN"",""JA"")"),"デソキシメチルテストステロン")</f>
        <v>デソキシメチルテストステロン</v>
      </c>
      <c r="J1425" s="1" t="str">
        <f>IFERROR(__xludf.DUMMYFUNCTION("GOOGLETRANSLATE(F1425,""EN"",""JA"")"),"生物標本中のデソキシメチルテストステロンの測定。")</f>
        <v>生物標本中のデソキシメチルテストステロンの測定。</v>
      </c>
      <c r="K1425" s="1" t="str">
        <f>IFERROR(__xludf.DUMMYFUNCTION("GOOGLETRANSLATE(G1425,""EN"",""JA"")"),"デオキシメチルテストステロン測定")</f>
        <v>デオキシメチルテストステロン測定</v>
      </c>
    </row>
    <row r="1426" ht="13.5" customHeight="1">
      <c r="A1426" s="1" t="s">
        <v>11</v>
      </c>
      <c r="B1426" s="1" t="s">
        <v>7220</v>
      </c>
      <c r="C1426" s="1" t="s">
        <v>7221</v>
      </c>
      <c r="D1426" s="1" t="s">
        <v>7222</v>
      </c>
      <c r="E1426" s="1" t="s">
        <v>7222</v>
      </c>
      <c r="F1426" s="1" t="s">
        <v>7223</v>
      </c>
      <c r="G1426" s="1" t="s">
        <v>7224</v>
      </c>
      <c r="H1426" s="1" t="str">
        <f>IFERROR(__xludf.DUMMYFUNCTION("GOOGLETRANSLATE(D1426,""EN"",""JA"")"),"ドキセピン")</f>
        <v>ドキセピン</v>
      </c>
      <c r="I1426" s="1" t="str">
        <f>IFERROR(__xludf.DUMMYFUNCTION("GOOGLETRANSLATE(E1426,""EN"",""JA"")"),"ドキセピン")</f>
        <v>ドキセピン</v>
      </c>
      <c r="J1426" s="1" t="str">
        <f>IFERROR(__xludf.DUMMYFUNCTION("GOOGLETRANSLATE(F1426,""EN"",""JA"")"),"生物学的標本中に存在するドキセピンの測定。")</f>
        <v>生物学的標本中に存在するドキセピンの測定。</v>
      </c>
      <c r="K1426" s="1" t="str">
        <f>IFERROR(__xludf.DUMMYFUNCTION("GOOGLETRANSLATE(G1426,""EN"",""JA"")"),"ドキセピン測定")</f>
        <v>ドキセピン測定</v>
      </c>
    </row>
    <row r="1427" ht="13.5" customHeight="1">
      <c r="A1427" s="1" t="s">
        <v>11</v>
      </c>
      <c r="B1427" s="1" t="s">
        <v>7225</v>
      </c>
      <c r="C1427" s="1" t="s">
        <v>7226</v>
      </c>
      <c r="D1427" s="1" t="s">
        <v>7227</v>
      </c>
      <c r="E1427" s="1" t="s">
        <v>7227</v>
      </c>
      <c r="F1427" s="1" t="s">
        <v>7228</v>
      </c>
      <c r="G1427" s="1" t="s">
        <v>7229</v>
      </c>
      <c r="H1427" s="1" t="str">
        <f>IFERROR(__xludf.DUMMYFUNCTION("GOOGLETRANSLATE(D1427,""EN"",""JA"")"),"ドキセピンおよび/または代謝物")</f>
        <v>ドキセピンおよび/または代謝物</v>
      </c>
      <c r="I1427" s="1" t="str">
        <f>IFERROR(__xludf.DUMMYFUNCTION("GOOGLETRANSLATE(E1427,""EN"",""JA"")"),"ドキセピンおよび/または代謝物")</f>
        <v>ドキセピンおよび/または代謝物</v>
      </c>
      <c r="J1427" s="1" t="str">
        <f>IFERROR(__xludf.DUMMYFUNCTION("GOOGLETRANSLATE(F1427,""EN"",""JA"")"),"ドキセピンとその代謝物の両方を測定できるアッセイのために、生物学的標本中に存在するドキセピンおよび/またはその代謝物の測定。")</f>
        <v>ドキセピンとその代謝物の両方を測定できるアッセイのために、生物学的標本中に存在するドキセピンおよび/またはその代謝物の測定。</v>
      </c>
      <c r="K1427" s="1" t="str">
        <f>IFERROR(__xludf.DUMMYFUNCTION("GOOGLETRANSLATE(G1427,""EN"",""JA"")"),"ドキセピンおよび/または代謝物の測定")</f>
        <v>ドキセピンおよび/または代謝物の測定</v>
      </c>
    </row>
    <row r="1428" ht="13.5" customHeight="1">
      <c r="A1428" s="1" t="s">
        <v>11</v>
      </c>
      <c r="B1428" s="1" t="s">
        <v>7230</v>
      </c>
      <c r="C1428" s="1" t="s">
        <v>7231</v>
      </c>
      <c r="D1428" s="1" t="s">
        <v>7232</v>
      </c>
      <c r="E1428" s="1" t="s">
        <v>7232</v>
      </c>
      <c r="F1428" s="1" t="s">
        <v>7233</v>
      </c>
      <c r="G1428" s="1" t="s">
        <v>7234</v>
      </c>
      <c r="H1428" s="1" t="str">
        <f>IFERROR(__xludf.DUMMYFUNCTION("GOOGLETRANSLATE(D1428,""EN"",""JA"")"),"デオキシピリジノリン")</f>
        <v>デオキシピリジノリン</v>
      </c>
      <c r="I1428" s="1" t="str">
        <f>IFERROR(__xludf.DUMMYFUNCTION("GOOGLETRANSLATE(E1428,""EN"",""JA"")"),"デオキシピリジノリン")</f>
        <v>デオキシピリジノリン</v>
      </c>
      <c r="J1428" s="1" t="str">
        <f>IFERROR(__xludf.DUMMYFUNCTION("GOOGLETRANSLATE(F1428,""EN"",""JA"")"),"生物標本中のデオキシピリジノリンの測定。")</f>
        <v>生物標本中のデオキシピリジノリンの測定。</v>
      </c>
      <c r="K1428" s="1" t="str">
        <f>IFERROR(__xludf.DUMMYFUNCTION("GOOGLETRANSLATE(G1428,""EN"",""JA"")"),"デオキシピリジノリン測定")</f>
        <v>デオキシピリジノリン測定</v>
      </c>
    </row>
    <row r="1429" ht="13.5" customHeight="1">
      <c r="A1429" s="1" t="s">
        <v>11</v>
      </c>
      <c r="B1429" s="1" t="s">
        <v>7235</v>
      </c>
      <c r="C1429" s="1" t="s">
        <v>7236</v>
      </c>
      <c r="D1429" s="1" t="s">
        <v>7237</v>
      </c>
      <c r="E1429" s="1" t="s">
        <v>7237</v>
      </c>
      <c r="F1429" s="1" t="s">
        <v>7238</v>
      </c>
      <c r="G1429" s="1" t="s">
        <v>7239</v>
      </c>
      <c r="H1429" s="1" t="str">
        <f>IFERROR(__xludf.DUMMYFUNCTION("GOOGLETRANSLATE(D1429,""EN"",""JA"")"),"デオキシピリジノリン/クレアチニン")</f>
        <v>デオキシピリジノリン/クレアチニン</v>
      </c>
      <c r="I1429" s="1" t="str">
        <f>IFERROR(__xludf.DUMMYFUNCTION("GOOGLETRANSLATE(E1429,""EN"",""JA"")"),"デオキシピリジノリン/クレアチニン")</f>
        <v>デオキシピリジノリン/クレアチニン</v>
      </c>
      <c r="J1429" s="1" t="str">
        <f>IFERROR(__xludf.DUMMYFUNCTION("GOOGLETRANSLATE(F1429,""EN"",""JA"")"),"生物標本中のデオキシピリジノリンとクレアチニンの相対的な測定値（比率またはパーセンテージ）。")</f>
        <v>生物標本中のデオキシピリジノリンとクレアチニンの相対的な測定値（比率またはパーセンテージ）。</v>
      </c>
      <c r="K1429" s="1" t="str">
        <f>IFERROR(__xludf.DUMMYFUNCTION("GOOGLETRANSLATE(G1429,""EN"",""JA"")"),"デオキシピリジノリンとクレアチニンの比率測定")</f>
        <v>デオキシピリジノリンとクレアチニンの比率測定</v>
      </c>
    </row>
    <row r="1430" ht="13.5" customHeight="1">
      <c r="A1430" s="1" t="s">
        <v>11</v>
      </c>
      <c r="B1430" s="1" t="s">
        <v>7240</v>
      </c>
      <c r="C1430" s="1" t="s">
        <v>7241</v>
      </c>
      <c r="D1430" s="1" t="s">
        <v>7242</v>
      </c>
      <c r="E1430" s="1" t="s">
        <v>7242</v>
      </c>
      <c r="F1430" s="1" t="s">
        <v>7243</v>
      </c>
      <c r="G1430" s="1" t="s">
        <v>7244</v>
      </c>
      <c r="H1430" s="1" t="str">
        <f>IFERROR(__xludf.DUMMYFUNCTION("GOOGLETRANSLATE(D1430,""EN"",""JA"")"),"ジフェノキシレート")</f>
        <v>ジフェノキシレート</v>
      </c>
      <c r="I1430" s="1" t="str">
        <f>IFERROR(__xludf.DUMMYFUNCTION("GOOGLETRANSLATE(E1430,""EN"",""JA"")"),"ジフェノキシレート")</f>
        <v>ジフェノキシレート</v>
      </c>
      <c r="J1430" s="1" t="str">
        <f>IFERROR(__xludf.DUMMYFUNCTION("GOOGLETRANSLATE(F1430,""EN"",""JA"")"),"生物標本中のジフェノキシレートの測定。")</f>
        <v>生物標本中のジフェノキシレートの測定。</v>
      </c>
      <c r="K1430" s="1" t="str">
        <f>IFERROR(__xludf.DUMMYFUNCTION("GOOGLETRANSLATE(G1430,""EN"",""JA"")"),"ジフェノキシレート測定")</f>
        <v>ジフェノキシレート測定</v>
      </c>
    </row>
    <row r="1431" ht="13.5" customHeight="1">
      <c r="A1431" s="1" t="s">
        <v>11</v>
      </c>
      <c r="B1431" s="1" t="s">
        <v>7245</v>
      </c>
      <c r="C1431" s="1" t="s">
        <v>7246</v>
      </c>
      <c r="D1431" s="1" t="s">
        <v>7247</v>
      </c>
      <c r="E1431" s="1" t="s">
        <v>7247</v>
      </c>
      <c r="F1431" s="1" t="s">
        <v>7248</v>
      </c>
      <c r="G1431" s="1" t="s">
        <v>7249</v>
      </c>
      <c r="H1431" s="1" t="str">
        <f>IFERROR(__xludf.DUMMYFUNCTION("GOOGLETRANSLATE(D1431,""EN"",""JA"")"),"ジピパノン")</f>
        <v>ジピパノン</v>
      </c>
      <c r="I1431" s="1" t="str">
        <f>IFERROR(__xludf.DUMMYFUNCTION("GOOGLETRANSLATE(E1431,""EN"",""JA"")"),"ジピパノン")</f>
        <v>ジピパノン</v>
      </c>
      <c r="J1431" s="1" t="str">
        <f>IFERROR(__xludf.DUMMYFUNCTION("GOOGLETRANSLATE(F1431,""EN"",""JA"")"),"生物標本中のジピパノンの測定。")</f>
        <v>生物標本中のジピパノンの測定。</v>
      </c>
      <c r="K1431" s="1" t="str">
        <f>IFERROR(__xludf.DUMMYFUNCTION("GOOGLETRANSLATE(G1431,""EN"",""JA"")"),"ジピパノン測定")</f>
        <v>ジピパノン測定</v>
      </c>
    </row>
    <row r="1432" ht="13.5" customHeight="1">
      <c r="A1432" s="1" t="s">
        <v>11</v>
      </c>
      <c r="B1432" s="1" t="s">
        <v>7250</v>
      </c>
      <c r="C1432" s="1" t="s">
        <v>7251</v>
      </c>
      <c r="D1432" s="1" t="s">
        <v>7252</v>
      </c>
      <c r="E1432" s="1" t="s">
        <v>7252</v>
      </c>
      <c r="F1432" s="1" t="s">
        <v>7253</v>
      </c>
      <c r="G1432" s="1" t="s">
        <v>7254</v>
      </c>
      <c r="H1432" s="1" t="str">
        <f>IFERROR(__xludf.DUMMYFUNCTION("GOOGLETRANSLATE(D1432,""EN"",""JA"")"),"ジペプチジルペプチダーゼ-4")</f>
        <v>ジペプチジルペプチダーゼ-4</v>
      </c>
      <c r="I1432" s="1" t="str">
        <f>IFERROR(__xludf.DUMMYFUNCTION("GOOGLETRANSLATE(E1432,""EN"",""JA"")"),"ジペプチジルペプチダーゼ-4")</f>
        <v>ジペプチジルペプチダーゼ-4</v>
      </c>
      <c r="J1432" s="1" t="str">
        <f>IFERROR(__xludf.DUMMYFUNCTION("GOOGLETRANSLATE(F1432,""EN"",""JA"")"),"生物標本中のジペプチジルペプチダーゼ-4 の測定。")</f>
        <v>生物標本中のジペプチジルペプチダーゼ-4 の測定。</v>
      </c>
      <c r="K1432" s="1" t="str">
        <f>IFERROR(__xludf.DUMMYFUNCTION("GOOGLETRANSLATE(G1432,""EN"",""JA"")"),"ジペプチジルペプチダーゼ-4測定")</f>
        <v>ジペプチジルペプチダーゼ-4測定</v>
      </c>
    </row>
    <row r="1433" ht="13.5" customHeight="1">
      <c r="A1433" s="1" t="s">
        <v>134</v>
      </c>
      <c r="B1433" s="1" t="s">
        <v>7255</v>
      </c>
      <c r="C1433" s="1" t="s">
        <v>7256</v>
      </c>
      <c r="D1433" s="1" t="s">
        <v>7257</v>
      </c>
      <c r="E1433" s="1" t="s">
        <v>7258</v>
      </c>
      <c r="F1433" s="1" t="s">
        <v>7259</v>
      </c>
      <c r="G1433" s="1" t="s">
        <v>7257</v>
      </c>
      <c r="H1433" s="1" t="str">
        <f>IFERROR(__xludf.DUMMYFUNCTION("GOOGLETRANSLATE(D1433,""EN"",""JA"")"),"腫瘍浸潤の深さ")</f>
        <v>腫瘍浸潤の深さ</v>
      </c>
      <c r="I1433" s="1" t="str">
        <f>IFERROR(__xludf.DUMMYFUNCTION("GOOGLETRANSLATE(E1433,""EN"",""JA"")"),"腫瘍細胞浸潤の深さ; 腫瘍浸潤の深さ")</f>
        <v>腫瘍細胞浸潤の深さ; 腫瘍浸潤の深さ</v>
      </c>
      <c r="J1433" s="1" t="str">
        <f>IFERROR(__xludf.DUMMYFUNCTION("GOOGLETRANSLATE(F1433,""EN"",""JA"")"),"腫瘍が組織に浸潤する下方向または内方向の程度を評価すること。")</f>
        <v>腫瘍が組織に浸潤する下方向または内方向の程度を評価すること。</v>
      </c>
      <c r="K1433" s="1" t="str">
        <f>IFERROR(__xludf.DUMMYFUNCTION("GOOGLETRANSLATE(G1433,""EN"",""JA"")"),"腫瘍浸潤の深さ")</f>
        <v>腫瘍浸潤の深さ</v>
      </c>
    </row>
    <row r="1434" ht="13.5" customHeight="1">
      <c r="A1434" s="1" t="s">
        <v>1342</v>
      </c>
      <c r="B1434" s="1" t="s">
        <v>7260</v>
      </c>
      <c r="C1434" s="1" t="s">
        <v>7261</v>
      </c>
      <c r="D1434" s="1" t="s">
        <v>7262</v>
      </c>
      <c r="E1434" s="1" t="s">
        <v>7262</v>
      </c>
      <c r="F1434" s="1" t="s">
        <v>7263</v>
      </c>
      <c r="G1434" s="1" t="s">
        <v>7262</v>
      </c>
      <c r="H1434" s="1" t="str">
        <f>IFERROR(__xludf.DUMMYFUNCTION("GOOGLETRANSLATE(D1434,""EN"",""JA"")"),"病気の再発指標")</f>
        <v>病気の再発指標</v>
      </c>
      <c r="I1434" s="1" t="str">
        <f>IFERROR(__xludf.DUMMYFUNCTION("GOOGLETRANSLATE(E1434,""EN"",""JA"")"),"病気の再発指標")</f>
        <v>病気の再発指標</v>
      </c>
      <c r="J1434" s="1" t="str">
        <f>IFERROR(__xludf.DUMMYFUNCTION("GOOGLETRANSLATE(F1434,""EN"",""JA"")"),"病気の再発が起こったかどうかを示すもの。")</f>
        <v>病気の再発が起こったかどうかを示すもの。</v>
      </c>
      <c r="K1434" s="1" t="str">
        <f>IFERROR(__xludf.DUMMYFUNCTION("GOOGLETRANSLATE(G1434,""EN"",""JA"")"),"病気の再発指標")</f>
        <v>病気の再発指標</v>
      </c>
    </row>
    <row r="1435" ht="13.5" customHeight="1">
      <c r="A1435" s="1" t="s">
        <v>6439</v>
      </c>
      <c r="B1435" s="1" t="s">
        <v>7264</v>
      </c>
      <c r="C1435" s="1" t="s">
        <v>7265</v>
      </c>
      <c r="D1435" s="1" t="s">
        <v>7266</v>
      </c>
      <c r="E1435" s="1" t="s">
        <v>7266</v>
      </c>
      <c r="F1435" s="1" t="s">
        <v>7267</v>
      </c>
      <c r="G1435" s="1" t="s">
        <v>7266</v>
      </c>
      <c r="H1435" s="1" t="str">
        <f>IFERROR(__xludf.DUMMYFUNCTION("GOOGLETRANSLATE(D1435,""EN"",""JA"")"),"病気の再発の相対的位置")</f>
        <v>病気の再発の相対的位置</v>
      </c>
      <c r="I1435" s="1" t="str">
        <f>IFERROR(__xludf.DUMMYFUNCTION("GOOGLETRANSLATE(E1435,""EN"",""JA"")"),"病気の再発の相対的位置")</f>
        <v>病気の再発の相対的位置</v>
      </c>
      <c r="J1435" s="1" t="str">
        <f>IFERROR(__xludf.DUMMYFUNCTION("GOOGLETRANSLATE(F1435,""EN"",""JA"")"),"病気の再発の領域または相対的な位置の説明。")</f>
        <v>病気の再発の領域または相対的な位置の説明。</v>
      </c>
      <c r="K1435" s="1" t="str">
        <f>IFERROR(__xludf.DUMMYFUNCTION("GOOGLETRANSLATE(G1435,""EN"",""JA"")"),"病気の再発の相対的位置")</f>
        <v>病気の再発の相対的位置</v>
      </c>
    </row>
    <row r="1436" ht="13.5" customHeight="1">
      <c r="A1436" s="1" t="s">
        <v>11</v>
      </c>
      <c r="B1436" s="1" t="s">
        <v>7268</v>
      </c>
      <c r="C1436" s="1" t="s">
        <v>7269</v>
      </c>
      <c r="D1436" s="1" t="s">
        <v>7270</v>
      </c>
      <c r="E1436" s="1" t="s">
        <v>7271</v>
      </c>
      <c r="F1436" s="1" t="s">
        <v>7272</v>
      </c>
      <c r="G1436" s="1" t="s">
        <v>7273</v>
      </c>
      <c r="H1436" s="1" t="str">
        <f>IFERROR(__xludf.DUMMYFUNCTION("GOOGLETRANSLATE(D1436,""EN"",""JA"")"),"ドロスタノロン")</f>
        <v>ドロスタノロン</v>
      </c>
      <c r="I1436" s="1" t="str">
        <f>IFERROR(__xludf.DUMMYFUNCTION("GOOGLETRANSLATE(E1436,""EN"",""JA"")"),"ドロモスタノロン; ドロスタノロン; メドロステロン; メドロテストロン; メトロン")</f>
        <v>ドロモスタノロン; ドロスタノロン; メドロステロン; メドロテストロン; メトロン</v>
      </c>
      <c r="J1436" s="1" t="str">
        <f>IFERROR(__xludf.DUMMYFUNCTION("GOOGLETRANSLATE(F1436,""EN"",""JA"")"),"生物標本中のドロスタノロンの測定。")</f>
        <v>生物標本中のドロスタノロンの測定。</v>
      </c>
      <c r="K1436" s="1" t="str">
        <f>IFERROR(__xludf.DUMMYFUNCTION("GOOGLETRANSLATE(G1436,""EN"",""JA"")"),"ドロスタノロン測定")</f>
        <v>ドロスタノロン測定</v>
      </c>
    </row>
    <row r="1437" ht="13.5" customHeight="1">
      <c r="A1437" s="1" t="s">
        <v>11</v>
      </c>
      <c r="B1437" s="1" t="s">
        <v>7274</v>
      </c>
      <c r="C1437" s="1" t="s">
        <v>7275</v>
      </c>
      <c r="D1437" s="1" t="s">
        <v>7276</v>
      </c>
      <c r="E1437" s="1" t="s">
        <v>7276</v>
      </c>
      <c r="F1437" s="1" t="s">
        <v>7277</v>
      </c>
      <c r="G1437" s="1" t="s">
        <v>7278</v>
      </c>
      <c r="H1437" s="1" t="str">
        <f>IFERROR(__xludf.DUMMYFUNCTION("GOOGLETRANSLATE(D1437,""EN"",""JA"")"),"薬物検査")</f>
        <v>薬物検査</v>
      </c>
      <c r="I1437" s="1" t="str">
        <f>IFERROR(__xludf.DUMMYFUNCTION("GOOGLETRANSLATE(E1437,""EN"",""JA"")"),"薬物検査")</f>
        <v>薬物検査</v>
      </c>
      <c r="J1437" s="1" t="str">
        <f>IFERROR(__xludf.DUMMYFUNCTION("GOOGLETRANSLATE(F1437,""EN"",""JA"")"),"生物学的標本中に娯楽用薬物または乱用薬物が存在するかどうかを示すもの。")</f>
        <v>生物学的標本中に娯楽用薬物または乱用薬物が存在するかどうかを示すもの。</v>
      </c>
      <c r="K1437" s="1" t="str">
        <f>IFERROR(__xludf.DUMMYFUNCTION("GOOGLETRANSLATE(G1437,""EN"",""JA"")"),"薬物検査")</f>
        <v>薬物検査</v>
      </c>
    </row>
    <row r="1438" ht="13.5" customHeight="1">
      <c r="A1438" s="1" t="s">
        <v>11</v>
      </c>
      <c r="B1438" s="1" t="s">
        <v>7279</v>
      </c>
      <c r="C1438" s="1" t="s">
        <v>7280</v>
      </c>
      <c r="D1438" s="1" t="s">
        <v>7281</v>
      </c>
      <c r="E1438" s="1" t="s">
        <v>7282</v>
      </c>
      <c r="F1438" s="1" t="s">
        <v>7283</v>
      </c>
      <c r="G1438" s="1" t="s">
        <v>7284</v>
      </c>
      <c r="H1438" s="1" t="str">
        <f>IFERROR(__xludf.DUMMYFUNCTION("GOOGLETRANSLATE(D1438,""EN"",""JA"")"),"dRVVTスクリーンでパーセント差を確認する")</f>
        <v>dRVVTスクリーンでパーセント差を確認する</v>
      </c>
      <c r="I1438" s="1" t="str">
        <f>IFERROR(__xludf.DUMMYFUNCTION("GOOGLETRANSLATE(E1438,""EN"",""JA"")"),"dRVVT スクリーンでパーセント差を確認する; dRVVT スクリーンでパーセント差を確認する")</f>
        <v>dRVVT スクリーンでパーセント差を確認する; dRVVT スクリーンでパーセント差を確認する</v>
      </c>
      <c r="J1438" s="1" t="str">
        <f>IFERROR(__xludf.DUMMYFUNCTION("GOOGLETRANSLATE(F1438,""EN"",""JA"")"),"ループス抗凝固因子の存在を確認するための測定値で、[(スクリーニング dRVVT - 確認 dRVVT)/スクリーニング dRVVT]x100 として計算されます。")</f>
        <v>ループス抗凝固因子の存在を確認するための測定値で、[(スクリーニング dRVVT - 確認 dRVVT)/スクリーニング dRVVT]x100 として計算されます。</v>
      </c>
      <c r="K1438" s="1" t="str">
        <f>IFERROR(__xludf.DUMMYFUNCTION("GOOGLETRANSLATE(G1438,""EN"",""JA"")"),"dRVVTスクリーンでパーセント差を確認する")</f>
        <v>dRVVTスクリーンでパーセント差を確認する</v>
      </c>
    </row>
    <row r="1439" ht="13.5" customHeight="1">
      <c r="A1439" s="1" t="s">
        <v>11</v>
      </c>
      <c r="B1439" s="1" t="s">
        <v>7285</v>
      </c>
      <c r="C1439" s="1" t="s">
        <v>7286</v>
      </c>
      <c r="D1439" s="1" t="s">
        <v>7287</v>
      </c>
      <c r="E1439" s="1" t="s">
        <v>7288</v>
      </c>
      <c r="F1439" s="1" t="s">
        <v>7289</v>
      </c>
      <c r="G1439" s="1" t="s">
        <v>7290</v>
      </c>
      <c r="H1439" s="1" t="str">
        <f>IFERROR(__xludf.DUMMYFUNCTION("GOOGLETRANSLATE(D1439,""EN"",""JA"")"),"ラッセルの毒蛇の毒を薄める時間")</f>
        <v>ラッセルの毒蛇の毒を薄める時間</v>
      </c>
      <c r="I1439" s="1" t="str">
        <f>IFERROR(__xludf.DUMMYFUNCTION("GOOGLETRANSLATE(E1439,""EN"",""JA"")"),"ラッセル毒希釈時間；ループス抗凝固試験")</f>
        <v>ラッセル毒希釈時間；ループス抗凝固試験</v>
      </c>
      <c r="J1439" s="1" t="str">
        <f>IFERROR(__xludf.DUMMYFUNCTION("GOOGLETRANSLATE(F1439,""EN"",""JA"")"),"希釈したラッセルクサリヘビ毒を加えた後、血漿サンプルが凝固するまでにかかる時間を測定します。")</f>
        <v>希釈したラッセルクサリヘビ毒を加えた後、血漿サンプルが凝固するまでにかかる時間を測定します。</v>
      </c>
      <c r="K1439" s="1" t="str">
        <f>IFERROR(__xludf.DUMMYFUNCTION("GOOGLETRANSLATE(G1439,""EN"",""JA"")"),"ラッセルの毒蛇の毒を希釈して時間測定")</f>
        <v>ラッセルの毒蛇の毒を希釈して時間測定</v>
      </c>
    </row>
    <row r="1440" ht="13.5" customHeight="1">
      <c r="A1440" s="1" t="s">
        <v>11</v>
      </c>
      <c r="B1440" s="1" t="s">
        <v>7291</v>
      </c>
      <c r="C1440" s="1" t="s">
        <v>7292</v>
      </c>
      <c r="D1440" s="1" t="s">
        <v>7293</v>
      </c>
      <c r="E1440" s="1" t="s">
        <v>7294</v>
      </c>
      <c r="F1440" s="1" t="s">
        <v>7295</v>
      </c>
      <c r="G1440" s="1" t="s">
        <v>7296</v>
      </c>
      <c r="H1440" s="1" t="str">
        <f>IFERROR(__xludf.DUMMYFUNCTION("GOOGLETRANSLATE(D1440,""EN"",""JA"")"),"ラッセルの毒蛇の毒の希釈時間比")</f>
        <v>ラッセルの毒蛇の毒の希釈時間比</v>
      </c>
      <c r="I1440" s="1" t="str">
        <f>IFERROR(__xludf.DUMMYFUNCTION("GOOGLETRANSLATE(E1440,""EN"",""JA"")"),"ラッセル毒希釈液時間比；ループス抗凝固薬比")</f>
        <v>ラッセル毒希釈液時間比；ループス抗凝固薬比</v>
      </c>
      <c r="J1440" s="1" t="str">
        <f>IFERROR(__xludf.DUMMYFUNCTION("GOOGLETRANSLATE(F1440,""EN"",""JA"")"),"対象サンプルと対照サンプルの希釈ラッセルクサリヘビ毒時間の相対測定。")</f>
        <v>対象サンプルと対照サンプルの希釈ラッセルクサリヘビ毒時間の相対測定。</v>
      </c>
      <c r="K1440" s="1" t="str">
        <f>IFERROR(__xludf.DUMMYFUNCTION("GOOGLETRANSLATE(G1440,""EN"",""JA"")"),"ラッセルバイパー毒の希釈時間制御比測定")</f>
        <v>ラッセルバイパー毒の希釈時間制御比測定</v>
      </c>
    </row>
    <row r="1441" ht="13.5" customHeight="1">
      <c r="A1441" s="1" t="s">
        <v>11</v>
      </c>
      <c r="B1441" s="1" t="s">
        <v>7297</v>
      </c>
      <c r="C1441" s="1" t="s">
        <v>7298</v>
      </c>
      <c r="D1441" s="1" t="s">
        <v>7299</v>
      </c>
      <c r="E1441" s="1" t="s">
        <v>7299</v>
      </c>
      <c r="F1441" s="1" t="s">
        <v>7300</v>
      </c>
      <c r="G1441" s="1" t="s">
        <v>7301</v>
      </c>
      <c r="H1441" s="1" t="str">
        <f>IFERROR(__xludf.DUMMYFUNCTION("GOOGLETRANSLATE(D1441,""EN"",""JA"")"),"DRVVT 比率を確認する画面")</f>
        <v>DRVVT 比率を確認する画面</v>
      </c>
      <c r="I1441" s="1" t="str">
        <f>IFERROR(__xludf.DUMMYFUNCTION("GOOGLETRANSLATE(E1441,""EN"",""JA"")"),"DRVVT 比率を確認する画面")</f>
        <v>DRVVT 比率を確認する画面</v>
      </c>
      <c r="J1441" s="1" t="str">
        <f>IFERROR(__xludf.DUMMYFUNCTION("GOOGLETRANSLATE(F1441,""EN"",""JA"")"),"過剰リン脂質が存在しない状態での希釈ラッセルクサリヘビ毒時間と過剰リン脂質が存在する状態での dRVVT の相対測定値 (比率)。")</f>
        <v>過剰リン脂質が存在しない状態での希釈ラッセルクサリヘビ毒時間と過剰リン脂質が存在する状態での dRVVT の相対測定値 (比率)。</v>
      </c>
      <c r="K1441" s="1" t="str">
        <f>IFERROR(__xludf.DUMMYFUNCTION("GOOGLETRANSLATE(G1441,""EN"",""JA"")"),"ラッセルバイパー毒の希釈率測定の確認時間")</f>
        <v>ラッセルバイパー毒の希釈率測定の確認時間</v>
      </c>
    </row>
    <row r="1442" ht="13.5" customHeight="1">
      <c r="A1442" s="1" t="s">
        <v>160</v>
      </c>
      <c r="B1442" s="1" t="s">
        <v>7302</v>
      </c>
      <c r="C1442" s="1" t="s">
        <v>7303</v>
      </c>
      <c r="D1442" s="1" t="s">
        <v>7304</v>
      </c>
      <c r="E1442" s="1" t="s">
        <v>7304</v>
      </c>
      <c r="F1442" s="1" t="s">
        <v>7305</v>
      </c>
      <c r="G1442" s="1" t="s">
        <v>7304</v>
      </c>
      <c r="H1442" s="1" t="str">
        <f>IFERROR(__xludf.DUMMYFUNCTION("GOOGLETRANSLATE(D1442,""EN"",""JA"")"),"放電インジケーター")</f>
        <v>放電インジケーター</v>
      </c>
      <c r="I1442" s="1" t="str">
        <f>IFERROR(__xludf.DUMMYFUNCTION("GOOGLETRANSLATE(E1442,""EN"",""JA"")"),"放電インジケーター")</f>
        <v>放電インジケーター</v>
      </c>
      <c r="J1442" s="1" t="str">
        <f>IFERROR(__xludf.DUMMYFUNCTION("GOOGLETRANSLATE(F1442,""EN"",""JA"")"),"分泌物が存在するかどうかを示します。")</f>
        <v>分泌物が存在するかどうかを示します。</v>
      </c>
      <c r="K1442" s="1" t="str">
        <f>IFERROR(__xludf.DUMMYFUNCTION("GOOGLETRANSLATE(G1442,""EN"",""JA"")"),"放電インジケーター")</f>
        <v>放電インジケーター</v>
      </c>
    </row>
    <row r="1443" ht="13.5" customHeight="1">
      <c r="A1443" s="1" t="s">
        <v>601</v>
      </c>
      <c r="B1443" s="1" t="s">
        <v>7306</v>
      </c>
      <c r="C1443" s="1" t="s">
        <v>7307</v>
      </c>
      <c r="D1443" s="1" t="s">
        <v>7308</v>
      </c>
      <c r="E1443" s="1" t="s">
        <v>7308</v>
      </c>
      <c r="F1443" s="1" t="s">
        <v>7309</v>
      </c>
      <c r="G1443" s="1" t="s">
        <v>7308</v>
      </c>
      <c r="H1443" s="1" t="str">
        <f>IFERROR(__xludf.DUMMYFUNCTION("GOOGLETRANSLATE(D1443,""EN"",""JA"")"),"臓器提供時のドナーのステータス")</f>
        <v>臓器提供時のドナーのステータス</v>
      </c>
      <c r="I1443" s="1" t="str">
        <f>IFERROR(__xludf.DUMMYFUNCTION("GOOGLETRANSLATE(E1443,""EN"",""JA"")"),"臓器提供時のドナーのステータス")</f>
        <v>臓器提供時のドナーのステータス</v>
      </c>
      <c r="J1443" s="1" t="str">
        <f>IFERROR(__xludf.DUMMYFUNCTION("GOOGLETRANSLATE(F1443,""EN"",""JA"")"),"臓器摘出時のドナーの状態（生存または脳死）のこと。")</f>
        <v>臓器摘出時のドナーの状態（生存または脳死）のこと。</v>
      </c>
      <c r="K1443" s="1" t="str">
        <f>IFERROR(__xludf.DUMMYFUNCTION("GOOGLETRANSLATE(G1443,""EN"",""JA"")"),"臓器提供時のドナーのステータス")</f>
        <v>臓器提供時のドナーのステータス</v>
      </c>
    </row>
    <row r="1444" ht="13.5" customHeight="1">
      <c r="A1444" s="1" t="s">
        <v>11</v>
      </c>
      <c r="B1444" s="1" t="s">
        <v>7310</v>
      </c>
      <c r="C1444" s="1" t="s">
        <v>7311</v>
      </c>
      <c r="D1444" s="1" t="s">
        <v>7312</v>
      </c>
      <c r="E1444" s="1" t="s">
        <v>7313</v>
      </c>
      <c r="F1444" s="1" t="s">
        <v>7314</v>
      </c>
      <c r="G1444" s="1" t="s">
        <v>7315</v>
      </c>
      <c r="H1444" s="1" t="str">
        <f>IFERROR(__xludf.DUMMYFUNCTION("GOOGLETRANSLATE(D1444,""EN"",""JA"")"),"デスベンラファキシン")</f>
        <v>デスベンラファキシン</v>
      </c>
      <c r="I1444" s="1" t="str">
        <f>IFERROR(__xludf.DUMMYFUNCTION("GOOGLETRANSLATE(E1444,""EN"",""JA"")"),"デスベンラファクシン; O-デスメチルベンラファキシン")</f>
        <v>デスベンラファクシン; O-デスメチルベンラファキシン</v>
      </c>
      <c r="J1444" s="1" t="str">
        <f>IFERROR(__xludf.DUMMYFUNCTION("GOOGLETRANSLATE(F1444,""EN"",""JA"")"),"生物標本中に存在するデスベンラファキシンの測定。")</f>
        <v>生物標本中に存在するデスベンラファキシンの測定。</v>
      </c>
      <c r="K1444" s="1" t="str">
        <f>IFERROR(__xludf.DUMMYFUNCTION("GOOGLETRANSLATE(G1444,""EN"",""JA"")"),"デスベンラファキシンの測定")</f>
        <v>デスベンラファキシンの測定</v>
      </c>
    </row>
    <row r="1445" ht="13.5" customHeight="1">
      <c r="A1445" s="1" t="s">
        <v>842</v>
      </c>
      <c r="B1445" s="1" t="s">
        <v>7316</v>
      </c>
      <c r="C1445" s="1" t="s">
        <v>7317</v>
      </c>
      <c r="D1445" s="1" t="s">
        <v>7318</v>
      </c>
      <c r="E1445" s="1" t="s">
        <v>7318</v>
      </c>
      <c r="F1445" s="1" t="s">
        <v>7319</v>
      </c>
      <c r="G1445" s="1" t="s">
        <v>7320</v>
      </c>
      <c r="H1445" s="1" t="str">
        <f>IFERROR(__xludf.DUMMYFUNCTION("GOOGLETRANSLATE(D1445,""EN"",""JA"")"),"死亡証明書取得済みインジケーター")</f>
        <v>死亡証明書取得済みインジケーター</v>
      </c>
      <c r="I1445" s="1" t="str">
        <f>IFERROR(__xludf.DUMMYFUNCTION("GOOGLETRANSLATE(E1445,""EN"",""JA"")"),"死亡証明書取得済みインジケーター")</f>
        <v>死亡証明書取得済みインジケーター</v>
      </c>
      <c r="J1445" s="1" t="str">
        <f>IFERROR(__xludf.DUMMYFUNCTION("GOOGLETRANSLATE(F1445,""EN"",""JA"")"),"死亡証明書が取得されたかどうかを示します。(NCI)")</f>
        <v>死亡証明書が取得されたかどうかを示します。(NCI)</v>
      </c>
      <c r="K1445" s="1" t="str">
        <f>IFERROR(__xludf.DUMMYFUNCTION("GOOGLETRANSLATE(G1445,""EN"",""JA"")"),"死亡証明書インジケーター")</f>
        <v>死亡証明書インジケーター</v>
      </c>
    </row>
    <row r="1446" ht="13.5" customHeight="1">
      <c r="A1446" s="1" t="s">
        <v>842</v>
      </c>
      <c r="B1446" s="1" t="s">
        <v>7321</v>
      </c>
      <c r="C1446" s="1" t="s">
        <v>7322</v>
      </c>
      <c r="D1446" s="1" t="s">
        <v>7323</v>
      </c>
      <c r="E1446" s="1" t="s">
        <v>7323</v>
      </c>
      <c r="F1446" s="1" t="s">
        <v>7324</v>
      </c>
      <c r="G1446" s="1" t="s">
        <v>7323</v>
      </c>
      <c r="H1446" s="1" t="str">
        <f>IFERROR(__xludf.DUMMYFUNCTION("GOOGLETRANSLATE(D1446,""EN"",""JA"")"),"死亡予想指標")</f>
        <v>死亡予想指標</v>
      </c>
      <c r="I1446" s="1" t="str">
        <f>IFERROR(__xludf.DUMMYFUNCTION("GOOGLETRANSLATE(E1446,""EN"",""JA"")"),"死亡予想指標")</f>
        <v>死亡予想指標</v>
      </c>
      <c r="J1446" s="1" t="str">
        <f>IFERROR(__xludf.DUMMYFUNCTION("GOOGLETRANSLATE(F1446,""EN"",""JA"")"),"死亡が予想されていたかどうかの指標。")</f>
        <v>死亡が予想されていたかどうかの指標。</v>
      </c>
      <c r="K1446" s="1" t="str">
        <f>IFERROR(__xludf.DUMMYFUNCTION("GOOGLETRANSLATE(G1446,""EN"",""JA"")"),"死亡予想指標")</f>
        <v>死亡予想指標</v>
      </c>
    </row>
    <row r="1447" ht="13.5" customHeight="1">
      <c r="A1447" s="1" t="s">
        <v>842</v>
      </c>
      <c r="B1447" s="1" t="s">
        <v>7325</v>
      </c>
      <c r="C1447" s="1" t="s">
        <v>7326</v>
      </c>
      <c r="D1447" s="1" t="s">
        <v>7327</v>
      </c>
      <c r="E1447" s="1" t="s">
        <v>7327</v>
      </c>
      <c r="F1447" s="1" t="s">
        <v>7328</v>
      </c>
      <c r="G1447" s="1" t="s">
        <v>7327</v>
      </c>
      <c r="H1447" s="1" t="str">
        <f>IFERROR(__xludf.DUMMYFUNCTION("GOOGLETRANSLATE(D1447,""EN"",""JA"")"),"死亡目撃インジケーター")</f>
        <v>死亡目撃インジケーター</v>
      </c>
      <c r="I1447" s="1" t="str">
        <f>IFERROR(__xludf.DUMMYFUNCTION("GOOGLETRANSLATE(E1447,""EN"",""JA"")"),"死亡目撃インジケーター")</f>
        <v>死亡目撃インジケーター</v>
      </c>
      <c r="J1447" s="1" t="str">
        <f>IFERROR(__xludf.DUMMYFUNCTION("GOOGLETRANSLATE(F1447,""EN"",""JA"")"),"死亡事件が別の人物によって目撃されたかどうかを示します。")</f>
        <v>死亡事件が別の人物によって目撃されたかどうかを示します。</v>
      </c>
      <c r="K1447" s="1" t="str">
        <f>IFERROR(__xludf.DUMMYFUNCTION("GOOGLETRANSLATE(G1447,""EN"",""JA"")"),"死亡目撃インジケーター")</f>
        <v>死亡目撃インジケーター</v>
      </c>
    </row>
    <row r="1448" ht="13.5" customHeight="1">
      <c r="A1448" s="1" t="s">
        <v>11</v>
      </c>
      <c r="B1448" s="1" t="s">
        <v>7329</v>
      </c>
      <c r="C1448" s="1" t="s">
        <v>7330</v>
      </c>
      <c r="D1448" s="1" t="s">
        <v>7331</v>
      </c>
      <c r="E1448" s="1" t="s">
        <v>7331</v>
      </c>
      <c r="F1448" s="1" t="s">
        <v>7332</v>
      </c>
      <c r="G1448" s="1" t="s">
        <v>7333</v>
      </c>
      <c r="H1448" s="1" t="str">
        <f>IFERROR(__xludf.DUMMYFUNCTION("GOOGLETRANSLATE(D1448,""EN"",""JA"")"),"DTPAクリアランス")</f>
        <v>DTPAクリアランス</v>
      </c>
      <c r="I1448" s="1" t="str">
        <f>IFERROR(__xludf.DUMMYFUNCTION("GOOGLETRANSLATE(E1448,""EN"",""JA"")"),"DTPAクリアランス")</f>
        <v>DTPAクリアランス</v>
      </c>
      <c r="J1448" s="1" t="str">
        <f>IFERROR(__xludf.DUMMYFUNCTION("GOOGLETRANSLATE(F1448,""EN"",""JA"")"),"指定された時間単位（例：1 分）に尿として排出され、ジエチレントリアミン五酢酸（DTPA）が除去される血清または血漿の量の測定値。")</f>
        <v>指定された時間単位（例：1 分）に尿として排出され、ジエチレントリアミン五酢酸（DTPA）が除去される血清または血漿の量の測定値。</v>
      </c>
      <c r="K1448" s="1" t="str">
        <f>IFERROR(__xludf.DUMMYFUNCTION("GOOGLETRANSLATE(G1448,""EN"",""JA"")"),"ジエチレントリアミン五酢酸クリアランス")</f>
        <v>ジエチレントリアミン五酢酸クリアランス</v>
      </c>
    </row>
    <row r="1449" ht="13.5" customHeight="1">
      <c r="A1449" s="1" t="s">
        <v>11</v>
      </c>
      <c r="B1449" s="1" t="s">
        <v>7334</v>
      </c>
      <c r="C1449" s="1" t="s">
        <v>7335</v>
      </c>
      <c r="D1449" s="1" t="s">
        <v>7336</v>
      </c>
      <c r="E1449" s="1" t="s">
        <v>7336</v>
      </c>
      <c r="F1449" s="1" t="s">
        <v>7337</v>
      </c>
      <c r="G1449" s="1" t="s">
        <v>7338</v>
      </c>
      <c r="H1449" s="1" t="str">
        <f>IFERROR(__xludf.DUMMYFUNCTION("GOOGLETRANSLATE(D1449,""EN"",""JA"")"),"デュロキセチン")</f>
        <v>デュロキセチン</v>
      </c>
      <c r="I1449" s="1" t="str">
        <f>IFERROR(__xludf.DUMMYFUNCTION("GOOGLETRANSLATE(E1449,""EN"",""JA"")"),"デュロキセチン")</f>
        <v>デュロキセチン</v>
      </c>
      <c r="J1449" s="1" t="str">
        <f>IFERROR(__xludf.DUMMYFUNCTION("GOOGLETRANSLATE(F1449,""EN"",""JA"")"),"生物標本中のデュロキセチンの測定。")</f>
        <v>生物標本中のデュロキセチンの測定。</v>
      </c>
      <c r="K1449" s="1" t="str">
        <f>IFERROR(__xludf.DUMMYFUNCTION("GOOGLETRANSLATE(G1449,""EN"",""JA"")"),"デュロキセチン測定")</f>
        <v>デュロキセチン測定</v>
      </c>
    </row>
    <row r="1450" ht="13.5" customHeight="1">
      <c r="A1450" s="1" t="s">
        <v>11</v>
      </c>
      <c r="B1450" s="1" t="s">
        <v>7339</v>
      </c>
      <c r="C1450" s="1" t="s">
        <v>7340</v>
      </c>
      <c r="D1450" s="1" t="s">
        <v>7341</v>
      </c>
      <c r="E1450" s="1" t="s">
        <v>7342</v>
      </c>
      <c r="F1450" s="1" t="s">
        <v>7343</v>
      </c>
      <c r="G1450" s="1" t="s">
        <v>7344</v>
      </c>
      <c r="H1450" s="1" t="str">
        <f>IFERROR(__xludf.DUMMYFUNCTION("GOOGLETRANSLATE(D1450,""EN"",""JA"")"),"DU-PAN-2")</f>
        <v>DU-PAN-2</v>
      </c>
      <c r="I1450" s="1" t="str">
        <f>IFERROR(__xludf.DUMMYFUNCTION("GOOGLETRANSLATE(E1450,""EN"",""JA"")"),"DU-PAN-2; デューク膵臓モノクローナル抗原2型; DUPAN-2")</f>
        <v>DU-PAN-2; デューク膵臓モノクローナル抗原2型; DUPAN-2</v>
      </c>
      <c r="J1450" s="1" t="str">
        <f>IFERROR(__xludf.DUMMYFUNCTION("GOOGLETRANSLATE(F1450,""EN"",""JA"")"),"生物学的標本中の DU-PAN-2 抗原の測定。")</f>
        <v>生物学的標本中の DU-PAN-2 抗原の測定。</v>
      </c>
      <c r="K1450" s="1" t="str">
        <f>IFERROR(__xludf.DUMMYFUNCTION("GOOGLETRANSLATE(G1450,""EN"",""JA"")"),"デューク膵臓モノクローナル抗原2型測定")</f>
        <v>デューク膵臓モノクローナル抗原2型測定</v>
      </c>
    </row>
    <row r="1451" ht="13.5" customHeight="1">
      <c r="A1451" s="1" t="s">
        <v>67</v>
      </c>
      <c r="B1451" s="1" t="s">
        <v>7345</v>
      </c>
      <c r="C1451" s="1" t="s">
        <v>7346</v>
      </c>
      <c r="D1451" s="1" t="s">
        <v>7347</v>
      </c>
      <c r="E1451" s="1" t="s">
        <v>7347</v>
      </c>
      <c r="F1451" s="1" t="s">
        <v>7348</v>
      </c>
      <c r="G1451" s="1" t="s">
        <v>7349</v>
      </c>
      <c r="H1451" s="1" t="str">
        <f>IFERROR(__xludf.DUMMYFUNCTION("GOOGLETRANSLATE(D1451,""EN"",""JA"")"),"デングウイルス1/2/3/4 RNA")</f>
        <v>デングウイルス1/2/3/4 RNA</v>
      </c>
      <c r="I1451" s="1" t="str">
        <f>IFERROR(__xludf.DUMMYFUNCTION("GOOGLETRANSLATE(E1451,""EN"",""JA"")"),"デングウイルス1/2/3/4 RNA")</f>
        <v>デングウイルス1/2/3/4 RNA</v>
      </c>
      <c r="J1451" s="1" t="str">
        <f>IFERROR(__xludf.DUMMYFUNCTION("GOOGLETRANSLATE(F1451,""EN"",""JA"")"),"生物標本中のデングウイルス血清型 1、2、3、および/または 4 の RNA の測定。")</f>
        <v>生物標本中のデングウイルス血清型 1、2、3、および/または 4 の RNA の測定。</v>
      </c>
      <c r="K1451" s="1" t="str">
        <f>IFERROR(__xludf.DUMMYFUNCTION("GOOGLETRANSLATE(G1451,""EN"",""JA"")"),"デングウイルス1、2、3、および/または4のRNA測定")</f>
        <v>デングウイルス1、2、3、および/または4のRNA測定</v>
      </c>
    </row>
    <row r="1452" ht="13.5" customHeight="1">
      <c r="A1452" s="1" t="s">
        <v>601</v>
      </c>
      <c r="B1452" s="1" t="s">
        <v>7350</v>
      </c>
      <c r="C1452" s="1" t="s">
        <v>7351</v>
      </c>
      <c r="D1452" s="1" t="s">
        <v>7352</v>
      </c>
      <c r="E1452" s="1" t="s">
        <v>7352</v>
      </c>
      <c r="F1452" s="1" t="s">
        <v>7353</v>
      </c>
      <c r="G1452" s="1" t="s">
        <v>7354</v>
      </c>
      <c r="H1452" s="1" t="str">
        <f>IFERROR(__xludf.DUMMYFUNCTION("GOOGLETRANSLATE(D1452,""EN"",""JA"")"),"住居タイプ")</f>
        <v>住居タイプ</v>
      </c>
      <c r="I1452" s="1" t="str">
        <f>IFERROR(__xludf.DUMMYFUNCTION("GOOGLETRANSLATE(E1452,""EN"",""JA"")"),"住居タイプ")</f>
        <v>住居タイプ</v>
      </c>
      <c r="J1452" s="1" t="str">
        <f>IFERROR(__xludf.DUMMYFUNCTION("GOOGLETRANSLATE(F1452,""EN"",""JA"")"),"個人が居住する物理的な場所の特徴または分類。")</f>
        <v>個人が居住する物理的な場所の特徴または分類。</v>
      </c>
      <c r="K1452" s="1" t="str">
        <f>IFERROR(__xludf.DUMMYFUNCTION("GOOGLETRANSLATE(G1452,""EN"",""JA"")"),"居住区")</f>
        <v>居住区</v>
      </c>
    </row>
    <row r="1453" ht="13.5" customHeight="1">
      <c r="A1453" s="1" t="s">
        <v>397</v>
      </c>
      <c r="B1453" s="1" t="s">
        <v>7355</v>
      </c>
      <c r="C1453" s="1" t="s">
        <v>7356</v>
      </c>
      <c r="D1453" s="1" t="s">
        <v>7357</v>
      </c>
      <c r="E1453" s="1" t="s">
        <v>7357</v>
      </c>
      <c r="F1453" s="1" t="s">
        <v>7358</v>
      </c>
      <c r="G1453" s="1" t="s">
        <v>7357</v>
      </c>
      <c r="H1453" s="1" t="str">
        <f>IFERROR(__xludf.DUMMYFUNCTION("GOOGLETRANSLATE(D1453,""EN"",""JA"")"),"診断基準")</f>
        <v>診断基準</v>
      </c>
      <c r="I1453" s="1" t="str">
        <f>IFERROR(__xludf.DUMMYFUNCTION("GOOGLETRANSLATE(E1453,""EN"",""JA"")"),"診断基準")</f>
        <v>診断基準</v>
      </c>
      <c r="J1453" s="1" t="str">
        <f>IFERROR(__xludf.DUMMYFUNCTION("GOOGLETRANSLATE(F1453,""EN"",""JA"")"),"医学的診断に関する判断を確定できる基準。")</f>
        <v>医学的診断に関する判断を確定できる基準。</v>
      </c>
      <c r="K1453" s="1" t="str">
        <f>IFERROR(__xludf.DUMMYFUNCTION("GOOGLETRANSLATE(G1453,""EN"",""JA"")"),"診断基準")</f>
        <v>診断基準</v>
      </c>
    </row>
    <row r="1454" ht="13.5" customHeight="1">
      <c r="A1454" s="1" t="s">
        <v>11</v>
      </c>
      <c r="B1454" s="1" t="s">
        <v>7359</v>
      </c>
      <c r="C1454" s="1" t="s">
        <v>7360</v>
      </c>
      <c r="D1454" s="1" t="s">
        <v>7361</v>
      </c>
      <c r="E1454" s="1" t="s">
        <v>7362</v>
      </c>
      <c r="F1454" s="1" t="s">
        <v>7363</v>
      </c>
      <c r="G1454" s="1" t="s">
        <v>7364</v>
      </c>
      <c r="H1454" s="1" t="str">
        <f>IFERROR(__xludf.DUMMYFUNCTION("GOOGLETRANSLATE(D1454,""EN"",""JA"")"),"11-デオキシコルチコステロイド")</f>
        <v>11-デオキシコルチコステロイド</v>
      </c>
      <c r="I1454" s="1" t="str">
        <f>IFERROR(__xludf.DUMMYFUNCTION("GOOGLETRANSLATE(E1454,""EN"",""JA"")"),"11-デオキシコルチコイド; 11-デオキシコルチコステロイド; 11-デオキシコルチコステロイド")</f>
        <v>11-デオキシコルチコイド; 11-デオキシコルチコステロイド; 11-デオキシコルチコステロイド</v>
      </c>
      <c r="J1454" s="1" t="str">
        <f>IFERROR(__xludf.DUMMYFUNCTION("GOOGLETRANSLATE(F1454,""EN"",""JA"")"),"生物学的標本中の総 11-デオキシコルチコステロイドの測定。")</f>
        <v>生物学的標本中の総 11-デオキシコルチコステロイドの測定。</v>
      </c>
      <c r="K1454" s="1" t="str">
        <f>IFERROR(__xludf.DUMMYFUNCTION("GOOGLETRANSLATE(G1454,""EN"",""JA"")"),"11-デオキシコルチコステロイド測定")</f>
        <v>11-デオキシコルチコステロイド測定</v>
      </c>
    </row>
    <row r="1455" ht="13.5" customHeight="1">
      <c r="A1455" s="1" t="s">
        <v>11</v>
      </c>
      <c r="B1455" s="1" t="s">
        <v>7365</v>
      </c>
      <c r="C1455" s="1" t="s">
        <v>7366</v>
      </c>
      <c r="D1455" s="1" t="s">
        <v>7367</v>
      </c>
      <c r="E1455" s="1" t="s">
        <v>7367</v>
      </c>
      <c r="F1455" s="1" t="s">
        <v>7368</v>
      </c>
      <c r="G1455" s="1" t="s">
        <v>7369</v>
      </c>
      <c r="H1455" s="1" t="str">
        <f>IFERROR(__xludf.DUMMYFUNCTION("GOOGLETRANSLATE(D1455,""EN"",""JA"")"),"11-デオキシコルチゾール")</f>
        <v>11-デオキシコルチゾール</v>
      </c>
      <c r="I1455" s="1" t="str">
        <f>IFERROR(__xludf.DUMMYFUNCTION("GOOGLETRANSLATE(E1455,""EN"",""JA"")"),"11-デオキシコルチゾール")</f>
        <v>11-デオキシコルチゾール</v>
      </c>
      <c r="J1455" s="1" t="str">
        <f>IFERROR(__xludf.DUMMYFUNCTION("GOOGLETRANSLATE(F1455,""EN"",""JA"")"),"生物標本中の 11-デオキシコルチゾールの測定。")</f>
        <v>生物標本中の 11-デオキシコルチゾールの測定。</v>
      </c>
      <c r="K1455" s="1" t="str">
        <f>IFERROR(__xludf.DUMMYFUNCTION("GOOGLETRANSLATE(G1455,""EN"",""JA"")"),"11-デオキシコルチゾール測定")</f>
        <v>11-デオキシコルチゾール測定</v>
      </c>
    </row>
    <row r="1456" ht="13.5" customHeight="1">
      <c r="A1456" s="1" t="s">
        <v>11</v>
      </c>
      <c r="B1456" s="1" t="s">
        <v>7370</v>
      </c>
      <c r="C1456" s="1" t="s">
        <v>7371</v>
      </c>
      <c r="D1456" s="1" t="s">
        <v>7372</v>
      </c>
      <c r="E1456" s="1" t="s">
        <v>7372</v>
      </c>
      <c r="F1456" s="1" t="s">
        <v>7373</v>
      </c>
      <c r="G1456" s="1" t="s">
        <v>7374</v>
      </c>
      <c r="H1456" s="1" t="str">
        <f>IFERROR(__xludf.DUMMYFUNCTION("GOOGLETRANSLATE(D1456,""EN"",""JA"")"),"21-デオキシコルチゾール")</f>
        <v>21-デオキシコルチゾール</v>
      </c>
      <c r="I1456" s="1" t="str">
        <f>IFERROR(__xludf.DUMMYFUNCTION("GOOGLETRANSLATE(E1456,""EN"",""JA"")"),"21-デオキシコルチゾール")</f>
        <v>21-デオキシコルチゾール</v>
      </c>
      <c r="J1456" s="1" t="str">
        <f>IFERROR(__xludf.DUMMYFUNCTION("GOOGLETRANSLATE(F1456,""EN"",""JA"")"),"生物標本中の 21-デオキシコルチゾールの測定。")</f>
        <v>生物標本中の 21-デオキシコルチゾールの測定。</v>
      </c>
      <c r="K1456" s="1" t="str">
        <f>IFERROR(__xludf.DUMMYFUNCTION("GOOGLETRANSLATE(G1456,""EN"",""JA"")"),"21-デオキシコルチゾール測定")</f>
        <v>21-デオキシコルチゾール測定</v>
      </c>
    </row>
    <row r="1457" ht="13.5" customHeight="1">
      <c r="A1457" s="1" t="s">
        <v>11</v>
      </c>
      <c r="B1457" s="1" t="s">
        <v>7375</v>
      </c>
      <c r="C1457" s="1" t="s">
        <v>7376</v>
      </c>
      <c r="D1457" s="1" t="s">
        <v>7377</v>
      </c>
      <c r="E1457" s="1" t="s">
        <v>7378</v>
      </c>
      <c r="F1457" s="1" t="s">
        <v>7379</v>
      </c>
      <c r="G1457" s="1" t="s">
        <v>7380</v>
      </c>
      <c r="H1457" s="1" t="str">
        <f>IFERROR(__xludf.DUMMYFUNCTION("GOOGLETRANSLATE(D1457,""EN"",""JA"")"),"11-デオキシコルチコステロン")</f>
        <v>11-デオキシコルチコステロン</v>
      </c>
      <c r="I1457" s="1" t="str">
        <f>IFERROR(__xludf.DUMMYFUNCTION("GOOGLETRANSLATE(E1457,""EN"",""JA"")"),"11-デオキシコルチコステロン; 21-ヒドロキシプロゲステロン; コルテキソン; デオキシコルトン; デオキシコルトン")</f>
        <v>11-デオキシコルチコステロン; 21-ヒドロキシプロゲステロン; コルテキソン; デオキシコルトン; デオキシコルトン</v>
      </c>
      <c r="J1457" s="1" t="str">
        <f>IFERROR(__xludf.DUMMYFUNCTION("GOOGLETRANSLATE(F1457,""EN"",""JA"")"),"生物標本中の 11-デオキシコルチコステロンの測定。")</f>
        <v>生物標本中の 11-デオキシコルチコステロンの測定。</v>
      </c>
      <c r="K1457" s="1" t="str">
        <f>IFERROR(__xludf.DUMMYFUNCTION("GOOGLETRANSLATE(G1457,""EN"",""JA"")"),"11-デオキシコルチコステロン測定")</f>
        <v>11-デオキシコルチコステロン測定</v>
      </c>
    </row>
    <row r="1458" ht="13.5" customHeight="1">
      <c r="A1458" s="1" t="s">
        <v>11</v>
      </c>
      <c r="B1458" s="1" t="s">
        <v>7381</v>
      </c>
      <c r="C1458" s="1" t="s">
        <v>7382</v>
      </c>
      <c r="D1458" s="1" t="s">
        <v>7383</v>
      </c>
      <c r="E1458" s="1" t="s">
        <v>7383</v>
      </c>
      <c r="F1458" s="1" t="s">
        <v>7384</v>
      </c>
      <c r="G1458" s="1" t="s">
        <v>7385</v>
      </c>
      <c r="H1458" s="1" t="str">
        <f>IFERROR(__xludf.DUMMYFUNCTION("GOOGLETRANSLATE(D1458,""EN"",""JA"")"),"21-デオキシコルチコステロン")</f>
        <v>21-デオキシコルチコステロン</v>
      </c>
      <c r="I1458" s="1" t="str">
        <f>IFERROR(__xludf.DUMMYFUNCTION("GOOGLETRANSLATE(E1458,""EN"",""JA"")"),"21-デオキシコルチコステロン")</f>
        <v>21-デオキシコルチコステロン</v>
      </c>
      <c r="J1458" s="1" t="str">
        <f>IFERROR(__xludf.DUMMYFUNCTION("GOOGLETRANSLATE(F1458,""EN"",""JA"")"),"生物標本中の 21-デオキシコルチコステロンの測定。")</f>
        <v>生物標本中の 21-デオキシコルチコステロンの測定。</v>
      </c>
      <c r="K1458" s="1" t="str">
        <f>IFERROR(__xludf.DUMMYFUNCTION("GOOGLETRANSLATE(G1458,""EN"",""JA"")"),"21-デオキシコルチコステロン測定")</f>
        <v>21-デオキシコルチコステロン測定</v>
      </c>
    </row>
    <row r="1459" ht="13.5" customHeight="1">
      <c r="A1459" s="1" t="s">
        <v>176</v>
      </c>
      <c r="B1459" s="1" t="s">
        <v>7386</v>
      </c>
      <c r="C1459" s="1" t="s">
        <v>7387</v>
      </c>
      <c r="D1459" s="1" t="s">
        <v>7388</v>
      </c>
      <c r="E1459" s="1" t="s">
        <v>7388</v>
      </c>
      <c r="F1459" s="1" t="s">
        <v>7389</v>
      </c>
      <c r="G1459" s="1" t="s">
        <v>7390</v>
      </c>
      <c r="H1459" s="1" t="str">
        <f>IFERROR(__xludf.DUMMYFUNCTION("GOOGLETRANSLATE(D1459,""EN"",""JA"")"),"感覚異常")</f>
        <v>感覚異常</v>
      </c>
      <c r="I1459" s="1" t="str">
        <f>IFERROR(__xludf.DUMMYFUNCTION("GOOGLETRANSLATE(E1459,""EN"",""JA"")"),"感覚異常")</f>
        <v>感覚異常</v>
      </c>
      <c r="J1459" s="1" t="str">
        <f>IFERROR(__xludf.DUMMYFUNCTION("GOOGLETRANSLATE(F1459,""EN"",""JA"")"),"感覚異常（感覚の歪みにより、通常は灼熱感、チクチク感、または麻痺として表現される異常で不快な感覚が生じる）の評価。")</f>
        <v>感覚異常（感覚の歪みにより、通常は灼熱感、チクチク感、または麻痺として表現される異常で不快な感覚が生じる）の評価。</v>
      </c>
      <c r="K1459" s="1" t="str">
        <f>IFERROR(__xludf.DUMMYFUNCTION("GOOGLETRANSLATE(G1459,""EN"",""JA"")"),"感覚異常の評価")</f>
        <v>感覚異常の評価</v>
      </c>
    </row>
    <row r="1460" ht="13.5" customHeight="1">
      <c r="A1460" s="1" t="s">
        <v>134</v>
      </c>
      <c r="B1460" s="1" t="s">
        <v>7391</v>
      </c>
      <c r="C1460" s="1" t="s">
        <v>7392</v>
      </c>
      <c r="D1460" s="1" t="s">
        <v>7393</v>
      </c>
      <c r="E1460" s="1" t="s">
        <v>7393</v>
      </c>
      <c r="F1460" s="1" t="s">
        <v>7394</v>
      </c>
      <c r="G1460" s="1" t="s">
        <v>7395</v>
      </c>
      <c r="H1460" s="1" t="str">
        <f>IFERROR(__xludf.DUMMYFUNCTION("GOOGLETRANSLATE(D1460,""EN"",""JA"")"),"異形成")</f>
        <v>異形成</v>
      </c>
      <c r="I1460" s="1" t="str">
        <f>IFERROR(__xludf.DUMMYFUNCTION("GOOGLETRANSLATE(E1460,""EN"",""JA"")"),"異形成")</f>
        <v>異形成</v>
      </c>
      <c r="J1460" s="1" t="str">
        <f>IFERROR(__xludf.DUMMYFUNCTION("GOOGLETRANSLATE(F1460,""EN"",""JA"")"),"生物標本における異形成の評価。")</f>
        <v>生物標本における異形成の評価。</v>
      </c>
      <c r="K1460" s="1" t="str">
        <f>IFERROR(__xludf.DUMMYFUNCTION("GOOGLETRANSLATE(G1460,""EN"",""JA"")"),"異形成の評価")</f>
        <v>異形成の評価</v>
      </c>
    </row>
    <row r="1461" ht="13.5" customHeight="1">
      <c r="A1461" s="1" t="s">
        <v>176</v>
      </c>
      <c r="B1461" s="1" t="s">
        <v>7396</v>
      </c>
      <c r="C1461" s="1" t="s">
        <v>7397</v>
      </c>
      <c r="D1461" s="1" t="s">
        <v>7398</v>
      </c>
      <c r="E1461" s="1" t="s">
        <v>7398</v>
      </c>
      <c r="F1461" s="1" t="s">
        <v>7399</v>
      </c>
      <c r="G1461" s="1" t="s">
        <v>7400</v>
      </c>
      <c r="H1461" s="1" t="str">
        <f>IFERROR(__xludf.DUMMYFUNCTION("GOOGLETRANSLATE(D1461,""EN"",""JA"")"),"ジストニア")</f>
        <v>ジストニア</v>
      </c>
      <c r="I1461" s="1" t="str">
        <f>IFERROR(__xludf.DUMMYFUNCTION("GOOGLETRANSLATE(E1461,""EN"",""JA"")"),"ジストニア")</f>
        <v>ジストニア</v>
      </c>
      <c r="J1461" s="1" t="str">
        <f>IFERROR(__xludf.DUMMYFUNCTION("GOOGLETRANSLATE(F1461,""EN"",""JA"")"),"ジストニア（持続的または断続的な筋肉の収縮を特徴とし、異常な動作や姿勢を引き起こす運動障害）の評価。")</f>
        <v>ジストニア（持続的または断続的な筋肉の収縮を特徴とし、異常な動作や姿勢を引き起こす運動障害）の評価。</v>
      </c>
      <c r="K1461" s="1" t="str">
        <f>IFERROR(__xludf.DUMMYFUNCTION("GOOGLETRANSLATE(G1461,""EN"",""JA"")"),"ジストニアの評価")</f>
        <v>ジストニアの評価</v>
      </c>
    </row>
    <row r="1462" ht="13.5" customHeight="1">
      <c r="A1462" s="1" t="s">
        <v>11</v>
      </c>
      <c r="B1462" s="1" t="s">
        <v>7401</v>
      </c>
      <c r="C1462" s="1" t="s">
        <v>7402</v>
      </c>
      <c r="D1462" s="1" t="s">
        <v>7403</v>
      </c>
      <c r="E1462" s="1" t="s">
        <v>7403</v>
      </c>
      <c r="F1462" s="1" t="s">
        <v>7404</v>
      </c>
      <c r="G1462" s="1" t="s">
        <v>7405</v>
      </c>
      <c r="H1462" s="1" t="str">
        <f>IFERROR(__xludf.DUMMYFUNCTION("GOOGLETRANSLATE(D1462,""EN"",""JA"")"),"ジストロフィン")</f>
        <v>ジストロフィン</v>
      </c>
      <c r="I1462" s="1" t="str">
        <f>IFERROR(__xludf.DUMMYFUNCTION("GOOGLETRANSLATE(E1462,""EN"",""JA"")"),"ジストロフィン")</f>
        <v>ジストロフィン</v>
      </c>
      <c r="J1462" s="1" t="str">
        <f>IFERROR(__xludf.DUMMYFUNCTION("GOOGLETRANSLATE(F1462,""EN"",""JA"")"),"生物標本中の総ジストロフィン量の測定。")</f>
        <v>生物標本中の総ジストロフィン量の測定。</v>
      </c>
      <c r="K1462" s="1" t="str">
        <f>IFERROR(__xludf.DUMMYFUNCTION("GOOGLETRANSLATE(G1462,""EN"",""JA"")"),"ジストロフィン測定")</f>
        <v>ジストロフィン測定</v>
      </c>
    </row>
    <row r="1463" ht="13.5" customHeight="1">
      <c r="A1463" s="1" t="s">
        <v>11</v>
      </c>
      <c r="B1463" s="1" t="s">
        <v>7406</v>
      </c>
      <c r="C1463" s="1" t="s">
        <v>7407</v>
      </c>
      <c r="D1463" s="1" t="s">
        <v>7408</v>
      </c>
      <c r="E1463" s="1" t="s">
        <v>7409</v>
      </c>
      <c r="F1463" s="1" t="s">
        <v>7410</v>
      </c>
      <c r="G1463" s="1" t="s">
        <v>7411</v>
      </c>
      <c r="H1463" s="1" t="str">
        <f>IFERROR(__xludf.DUMMYFUNCTION("GOOGLETRANSLATE(D1463,""EN"",""JA"")"),"ジストロフィン実測値/対照値")</f>
        <v>ジストロフィン実測値/対照値</v>
      </c>
      <c r="I1463" s="1" t="str">
        <f>IFERROR(__xludf.DUMMYFUNCTION("GOOGLETRANSLATE(E1463,""EN"",""JA"")"),"ジストロフィン実測値/対照値; ジストロフィン実測値/正常値")</f>
        <v>ジストロフィン実測値/対照値; ジストロフィン実測値/正常値</v>
      </c>
      <c r="J1463" s="1" t="str">
        <f>IFERROR(__xludf.DUMMYFUNCTION("GOOGLETRANSLATE(F1463,""EN"",""JA"")"),"被験者の標本中のジストロフィンを対照標本と比較した相対的な測定値 (比率またはパーセンテージ)。")</f>
        <v>被験者の標本中のジストロフィンを対照標本と比較した相対的な測定値 (比率またはパーセンテージ)。</v>
      </c>
      <c r="K1463" s="1" t="str">
        <f>IFERROR(__xludf.DUMMYFUNCTION("GOOGLETRANSLATE(G1463,""EN"",""JA"")"),"ジストロフィン実測値と対照値比の測定")</f>
        <v>ジストロフィン実測値と対照値比の測定</v>
      </c>
    </row>
    <row r="1464" ht="13.5" customHeight="1">
      <c r="A1464" s="1" t="s">
        <v>11</v>
      </c>
      <c r="B1464" s="1" t="s">
        <v>7412</v>
      </c>
      <c r="C1464" s="1" t="s">
        <v>7413</v>
      </c>
      <c r="D1464" s="1" t="s">
        <v>7414</v>
      </c>
      <c r="E1464" s="1" t="s">
        <v>7414</v>
      </c>
      <c r="F1464" s="1" t="s">
        <v>7415</v>
      </c>
      <c r="G1464" s="1" t="s">
        <v>7416</v>
      </c>
      <c r="H1464" s="1" t="str">
        <f>IFERROR(__xludf.DUMMYFUNCTION("GOOGLETRANSLATE(D1464,""EN"",""JA"")"),"ジアゼパム")</f>
        <v>ジアゼパム</v>
      </c>
      <c r="I1464" s="1" t="str">
        <f>IFERROR(__xludf.DUMMYFUNCTION("GOOGLETRANSLATE(E1464,""EN"",""JA"")"),"ジアゼパム")</f>
        <v>ジアゼパム</v>
      </c>
      <c r="J1464" s="1" t="str">
        <f>IFERROR(__xludf.DUMMYFUNCTION("GOOGLETRANSLATE(F1464,""EN"",""JA"")"),"生物学的標本中に存在するジアゼパムの測定。")</f>
        <v>生物学的標本中に存在するジアゼパムの測定。</v>
      </c>
      <c r="K1464" s="1" t="str">
        <f>IFERROR(__xludf.DUMMYFUNCTION("GOOGLETRANSLATE(G1464,""EN"",""JA"")"),"ジアゼパム測定")</f>
        <v>ジアゼパム測定</v>
      </c>
    </row>
    <row r="1465" ht="13.5" customHeight="1">
      <c r="A1465" s="1" t="s">
        <v>11</v>
      </c>
      <c r="B1465" s="1" t="s">
        <v>7417</v>
      </c>
      <c r="C1465" s="1" t="s">
        <v>7418</v>
      </c>
      <c r="D1465" s="1" t="s">
        <v>7419</v>
      </c>
      <c r="E1465" s="1" t="s">
        <v>7420</v>
      </c>
      <c r="F1465" s="1" t="s">
        <v>7421</v>
      </c>
      <c r="G1465" s="1" t="s">
        <v>7422</v>
      </c>
      <c r="H1465" s="1" t="str">
        <f>IFERROR(__xludf.DUMMYFUNCTION("GOOGLETRANSLATE(D1465,""EN"",""JA"")"),"エストロン硫酸塩")</f>
        <v>エストロン硫酸塩</v>
      </c>
      <c r="I1465" s="1" t="str">
        <f>IFERROR(__xludf.DUMMYFUNCTION("GOOGLETRANSLATE(E1465,""EN"",""JA"")"),"E1S; エストロン3-硫酸; エストロン硫酸")</f>
        <v>E1S; エストロン3-硫酸; エストロン硫酸</v>
      </c>
      <c r="J1465" s="1" t="str">
        <f>IFERROR(__xludf.DUMMYFUNCTION("GOOGLETRANSLATE(F1465,""EN"",""JA"")"),"生物標本中のエストロン硫酸の測定。")</f>
        <v>生物標本中のエストロン硫酸の測定。</v>
      </c>
      <c r="K1465" s="1" t="str">
        <f>IFERROR(__xludf.DUMMYFUNCTION("GOOGLETRANSLATE(G1465,""EN"",""JA"")"),"エストロン硫酸測定")</f>
        <v>エストロン硫酸測定</v>
      </c>
    </row>
    <row r="1466" ht="13.5" customHeight="1">
      <c r="A1466" s="1" t="s">
        <v>11</v>
      </c>
      <c r="B1466" s="1" t="s">
        <v>7423</v>
      </c>
      <c r="C1466" s="1" t="s">
        <v>7424</v>
      </c>
      <c r="D1466" s="1" t="s">
        <v>7425</v>
      </c>
      <c r="E1466" s="1" t="s">
        <v>7426</v>
      </c>
      <c r="F1466" s="1" t="s">
        <v>7427</v>
      </c>
      <c r="G1466" s="1" t="s">
        <v>7428</v>
      </c>
      <c r="H1466" s="1" t="str">
        <f>IFERROR(__xludf.DUMMYFUNCTION("GOOGLETRANSLATE(D1466,""EN"",""JA"")"),"グルコース、推定平均")</f>
        <v>グルコース、推定平均</v>
      </c>
      <c r="I1466" s="1" t="str">
        <f>IFERROR(__xludf.DUMMYFUNCTION("GOOGLETRANSLATE(E1466,""EN"",""JA"")"),"EAG; 推定平均血糖値; 推定血糖値; 推定平均血糖値")</f>
        <v>EAG; 推定平均血糖値; 推定血糖値; 推定平均血糖値</v>
      </c>
      <c r="J1466" s="1" t="str">
        <f>IFERROR(__xludf.DUMMYFUNCTION("GOOGLETRANSLATE(F1466,""EN"",""JA"")"),"グリコヘモグロビンの値に基づいて計算された血糖値の推定値。")</f>
        <v>グリコヘモグロビンの値に基づいて計算された血糖値の推定値。</v>
      </c>
      <c r="K1466" s="1" t="str">
        <f>IFERROR(__xludf.DUMMYFUNCTION("GOOGLETRANSLATE(G1466,""EN"",""JA"")"),"推定平均血糖値測定値")</f>
        <v>推定平均血糖値測定値</v>
      </c>
    </row>
    <row r="1467" ht="13.5" customHeight="1">
      <c r="A1467" s="1" t="s">
        <v>67</v>
      </c>
      <c r="B1467" s="1" t="s">
        <v>7429</v>
      </c>
      <c r="C1467" s="1" t="s">
        <v>7430</v>
      </c>
      <c r="D1467" s="1" t="s">
        <v>7431</v>
      </c>
      <c r="E1467" s="1" t="s">
        <v>7431</v>
      </c>
      <c r="F1467" s="1" t="s">
        <v>7432</v>
      </c>
      <c r="G1467" s="1" t="s">
        <v>7433</v>
      </c>
      <c r="H1467" s="1" t="str">
        <f>IFERROR(__xludf.DUMMYFUNCTION("GOOGLETRANSLATE(D1467,""EN"",""JA"")"),"エンテロコッカス・アビウム")</f>
        <v>エンテロコッカス・アビウム</v>
      </c>
      <c r="I1467" s="1" t="str">
        <f>IFERROR(__xludf.DUMMYFUNCTION("GOOGLETRANSLATE(E1467,""EN"",""JA"")"),"エンテロコッカス・アビウム")</f>
        <v>エンテロコッカス・アビウム</v>
      </c>
      <c r="J1467" s="1" t="str">
        <f>IFERROR(__xludf.DUMMYFUNCTION("GOOGLETRANSLATE(F1467,""EN"",""JA"")"),"生物標本中のエンテロコッカス・アビウムの測定。")</f>
        <v>生物標本中のエンテロコッカス・アビウムの測定。</v>
      </c>
      <c r="K1467" s="1" t="str">
        <f>IFERROR(__xludf.DUMMYFUNCTION("GOOGLETRANSLATE(G1467,""EN"",""JA"")"),"エンテロコッカス・アビウム測定")</f>
        <v>エンテロコッカス・アビウム測定</v>
      </c>
    </row>
    <row r="1468" ht="13.5" customHeight="1">
      <c r="A1468" s="1" t="s">
        <v>67</v>
      </c>
      <c r="B1468" s="1" t="s">
        <v>7434</v>
      </c>
      <c r="C1468" s="1" t="s">
        <v>7435</v>
      </c>
      <c r="D1468" s="1" t="s">
        <v>7436</v>
      </c>
      <c r="E1468" s="1" t="s">
        <v>7437</v>
      </c>
      <c r="F1468" s="1" t="s">
        <v>7438</v>
      </c>
      <c r="G1468" s="1" t="s">
        <v>7439</v>
      </c>
      <c r="H1468" s="1" t="str">
        <f>IFERROR(__xludf.DUMMYFUNCTION("GOOGLETRANSLATE(D1468,""EN"",""JA"")"),"エプスタイン・バーDNA")</f>
        <v>エプスタイン・バーDNA</v>
      </c>
      <c r="I1468" s="1" t="str">
        <f>IFERROR(__xludf.DUMMYFUNCTION("GOOGLETRANSLATE(E1468,""EN"",""JA"")"),"エプスタイン・バーのDNA。ヒトヘルペスウイルス 4 DNA")</f>
        <v>エプスタイン・バーのDNA。ヒトヘルペスウイルス 4 DNA</v>
      </c>
      <c r="J1468" s="1" t="str">
        <f>IFERROR(__xludf.DUMMYFUNCTION("GOOGLETRANSLATE(F1468,""EN"",""JA"")"),"生物標本中のエプスタイン・バーウイルス DNA の測定。")</f>
        <v>生物標本中のエプスタイン・バーウイルス DNA の測定。</v>
      </c>
      <c r="K1468" s="1" t="str">
        <f>IFERROR(__xludf.DUMMYFUNCTION("GOOGLETRANSLATE(G1468,""EN"",""JA"")"),"エプスタイン・バーウイルスDNA測定")</f>
        <v>エプスタイン・バーウイルスDNA測定</v>
      </c>
    </row>
    <row r="1469" ht="13.5" customHeight="1">
      <c r="A1469" s="1" t="s">
        <v>67</v>
      </c>
      <c r="B1469" s="1" t="s">
        <v>7440</v>
      </c>
      <c r="C1469" s="1" t="s">
        <v>7441</v>
      </c>
      <c r="D1469" s="1" t="s">
        <v>7442</v>
      </c>
      <c r="E1469" s="1" t="s">
        <v>7442</v>
      </c>
      <c r="F1469" s="1" t="s">
        <v>7443</v>
      </c>
      <c r="G1469" s="1" t="s">
        <v>7444</v>
      </c>
      <c r="H1469" s="1" t="str">
        <f>IFERROR(__xludf.DUMMYFUNCTION("GOOGLETRANSLATE(D1469,""EN"",""JA"")"),"エプスタイン・バー早期抗原")</f>
        <v>エプスタイン・バー早期抗原</v>
      </c>
      <c r="I1469" s="1" t="str">
        <f>IFERROR(__xludf.DUMMYFUNCTION("GOOGLETRANSLATE(E1469,""EN"",""JA"")"),"エプスタイン・バー早期抗原")</f>
        <v>エプスタイン・バー早期抗原</v>
      </c>
      <c r="J1469" s="1" t="str">
        <f>IFERROR(__xludf.DUMMYFUNCTION("GOOGLETRANSLATE(F1469,""EN"",""JA"")"),"生物学的標本中のエプスタイン・バー早期抗原の測定。")</f>
        <v>生物学的標本中のエプスタイン・バー早期抗原の測定。</v>
      </c>
      <c r="K1469" s="1" t="str">
        <f>IFERROR(__xludf.DUMMYFUNCTION("GOOGLETRANSLATE(G1469,""EN"",""JA"")"),"エプスタイン・バーウイルス早期抗原測定")</f>
        <v>エプスタイン・バーウイルス早期抗原測定</v>
      </c>
    </row>
    <row r="1470" ht="13.5" customHeight="1">
      <c r="A1470" s="1" t="s">
        <v>67</v>
      </c>
      <c r="B1470" s="1" t="s">
        <v>7445</v>
      </c>
      <c r="C1470" s="1" t="s">
        <v>7446</v>
      </c>
      <c r="D1470" s="1" t="s">
        <v>7447</v>
      </c>
      <c r="E1470" s="1" t="s">
        <v>7447</v>
      </c>
      <c r="F1470" s="1" t="s">
        <v>7448</v>
      </c>
      <c r="G1470" s="1" t="s">
        <v>7449</v>
      </c>
      <c r="H1470" s="1" t="str">
        <f>IFERROR(__xludf.DUMMYFUNCTION("GOOGLETRANSLATE(D1470,""EN"",""JA"")"),"エプスタイン・バー核抗原")</f>
        <v>エプスタイン・バー核抗原</v>
      </c>
      <c r="I1470" s="1" t="str">
        <f>IFERROR(__xludf.DUMMYFUNCTION("GOOGLETRANSLATE(E1470,""EN"",""JA"")"),"エプスタイン・バー核抗原")</f>
        <v>エプスタイン・バー核抗原</v>
      </c>
      <c r="J1470" s="1" t="str">
        <f>IFERROR(__xludf.DUMMYFUNCTION("GOOGLETRANSLATE(F1470,""EN"",""JA"")"),"生物学的標本中のエプスタイン・バー核抗原の測定。")</f>
        <v>生物学的標本中のエプスタイン・バー核抗原の測定。</v>
      </c>
      <c r="K1470" s="1" t="str">
        <f>IFERROR(__xludf.DUMMYFUNCTION("GOOGLETRANSLATE(G1470,""EN"",""JA"")"),"エプスタイン・バー核抗原測定")</f>
        <v>エプスタイン・バー核抗原測定</v>
      </c>
    </row>
    <row r="1471" ht="13.5" customHeight="1">
      <c r="A1471" s="1" t="s">
        <v>67</v>
      </c>
      <c r="B1471" s="1" t="s">
        <v>7450</v>
      </c>
      <c r="C1471" s="1" t="s">
        <v>7451</v>
      </c>
      <c r="D1471" s="1" t="s">
        <v>7452</v>
      </c>
      <c r="E1471" s="1" t="s">
        <v>7452</v>
      </c>
      <c r="F1471" s="1" t="s">
        <v>7453</v>
      </c>
      <c r="G1471" s="1" t="s">
        <v>7454</v>
      </c>
      <c r="H1471" s="1" t="str">
        <f>IFERROR(__xludf.DUMMYFUNCTION("GOOGLETRANSLATE(D1471,""EN"",""JA"")"),"エボラウイルス")</f>
        <v>エボラウイルス</v>
      </c>
      <c r="I1471" s="1" t="str">
        <f>IFERROR(__xludf.DUMMYFUNCTION("GOOGLETRANSLATE(E1471,""EN"",""JA"")"),"エボラウイルス")</f>
        <v>エボラウイルス</v>
      </c>
      <c r="J1471" s="1" t="str">
        <f>IFERROR(__xludf.DUMMYFUNCTION("GOOGLETRANSLATE(F1471,""EN"",""JA"")"),"生物標本中のエボラウイルスの測定。")</f>
        <v>生物標本中のエボラウイルスの測定。</v>
      </c>
      <c r="K1471" s="1" t="str">
        <f>IFERROR(__xludf.DUMMYFUNCTION("GOOGLETRANSLATE(G1471,""EN"",""JA"")"),"エボラウイルス測定")</f>
        <v>エボラウイルス測定</v>
      </c>
    </row>
    <row r="1472" ht="13.5" customHeight="1">
      <c r="A1472" s="1" t="s">
        <v>67</v>
      </c>
      <c r="B1472" s="1" t="s">
        <v>7455</v>
      </c>
      <c r="C1472" s="1" t="s">
        <v>7456</v>
      </c>
      <c r="D1472" s="1" t="s">
        <v>7457</v>
      </c>
      <c r="E1472" s="1" t="s">
        <v>7457</v>
      </c>
      <c r="F1472" s="1" t="s">
        <v>7458</v>
      </c>
      <c r="G1472" s="1" t="s">
        <v>7459</v>
      </c>
      <c r="H1472" s="1" t="str">
        <f>IFERROR(__xludf.DUMMYFUNCTION("GOOGLETRANSLATE(D1472,""EN"",""JA"")"),"エプスタイン・バーウイルス")</f>
        <v>エプスタイン・バーウイルス</v>
      </c>
      <c r="I1472" s="1" t="str">
        <f>IFERROR(__xludf.DUMMYFUNCTION("GOOGLETRANSLATE(E1472,""EN"",""JA"")"),"エプスタイン・バーウイルス")</f>
        <v>エプスタイン・バーウイルス</v>
      </c>
      <c r="J1472" s="1" t="str">
        <f>IFERROR(__xludf.DUMMYFUNCTION("GOOGLETRANSLATE(F1472,""EN"",""JA"")"),"生物標本中のエプスタイン・バーウイルスの測定。")</f>
        <v>生物標本中のエプスタイン・バーウイルスの測定。</v>
      </c>
      <c r="K1472" s="1" t="str">
        <f>IFERROR(__xludf.DUMMYFUNCTION("GOOGLETRANSLATE(G1472,""EN"",""JA"")"),"エプスタイン・バーウイルス測定")</f>
        <v>エプスタイン・バーウイルス測定</v>
      </c>
    </row>
    <row r="1473" ht="13.5" customHeight="1">
      <c r="A1473" s="1" t="s">
        <v>201</v>
      </c>
      <c r="B1473" s="1" t="s">
        <v>7460</v>
      </c>
      <c r="C1473" s="1" t="s">
        <v>7461</v>
      </c>
      <c r="D1473" s="1" t="s">
        <v>7462</v>
      </c>
      <c r="E1473" s="1" t="s">
        <v>7463</v>
      </c>
      <c r="F1473" s="1" t="s">
        <v>7464</v>
      </c>
      <c r="G1473" s="1" t="s">
        <v>7465</v>
      </c>
      <c r="H1473" s="1" t="str">
        <f>IFERROR(__xludf.DUMMYFUNCTION("GOOGLETRANSLATE(D1473,""EN"",""JA"")"),"EBVプロファイルの解釈")</f>
        <v>EBVプロファイルの解釈</v>
      </c>
      <c r="I1473" s="1" t="str">
        <f>IFERROR(__xludf.DUMMYFUNCTION("GOOGLETRANSLATE(E1473,""EN"",""JA"")"),"エプスタイン・バーウイルス抗体プロファイル；エプスタイン・バーウイルス感染状態；エプスタイン・バーウイルスパネル")</f>
        <v>エプスタイン・バーウイルス抗体プロファイル；エプスタイン・バーウイルス感染状態；エプスタイン・バーウイルスパネル</v>
      </c>
      <c r="J1473" s="1" t="str">
        <f>IFERROR(__xludf.DUMMYFUNCTION("GOOGLETRANSLATE(F1473,""EN"",""JA"")"),"EBV抗原抗体検査パネルに基づくエプスタイン・バーウイルス感染の評価。")</f>
        <v>EBV抗原抗体検査パネルに基づくエプスタイン・バーウイルス感染の評価。</v>
      </c>
      <c r="K1473" s="1" t="str">
        <f>IFERROR(__xludf.DUMMYFUNCTION("GOOGLETRANSLATE(G1473,""EN"",""JA"")"),"エプスタイン・バーウイルス感染状態")</f>
        <v>エプスタイン・バーウイルス感染状態</v>
      </c>
    </row>
    <row r="1474" ht="13.5" customHeight="1">
      <c r="A1474" s="1" t="s">
        <v>67</v>
      </c>
      <c r="B1474" s="1" t="s">
        <v>7466</v>
      </c>
      <c r="C1474" s="1" t="s">
        <v>7467</v>
      </c>
      <c r="D1474" s="1" t="s">
        <v>7468</v>
      </c>
      <c r="E1474" s="1" t="s">
        <v>7469</v>
      </c>
      <c r="F1474" s="1" t="s">
        <v>7470</v>
      </c>
      <c r="G1474" s="1" t="s">
        <v>7471</v>
      </c>
      <c r="H1474" s="1" t="str">
        <f>IFERROR(__xludf.DUMMYFUNCTION("GOOGLETRANSLATE(D1474,""EN"",""JA"")"),"エプスタイン・バーウイルスLMP1")</f>
        <v>エプスタイン・バーウイルスLMP1</v>
      </c>
      <c r="I1474" s="1" t="str">
        <f>IFERROR(__xludf.DUMMYFUNCTION("GOOGLETRANSLATE(E1474,""EN"",""JA"")"),"エプスタイン・バーウイルス潜伏膜タンパク質1; エプスタイン・バーウイルスLMP1")</f>
        <v>エプスタイン・バーウイルス潜伏膜タンパク質1; エプスタイン・バーウイルスLMP1</v>
      </c>
      <c r="J1474" s="1" t="str">
        <f>IFERROR(__xludf.DUMMYFUNCTION("GOOGLETRANSLATE(F1474,""EN"",""JA"")"),"生物標本中のエプスタイン・バーウイルス潜伏膜タンパク質 1 の測定。")</f>
        <v>生物標本中のエプスタイン・バーウイルス潜伏膜タンパク質 1 の測定。</v>
      </c>
      <c r="K1474" s="1" t="str">
        <f>IFERROR(__xludf.DUMMYFUNCTION("GOOGLETRANSLATE(G1474,""EN"",""JA"")"),"エプスタイン・バーウイルス潜伏膜タンパク質1の測定")</f>
        <v>エプスタイン・バーウイルス潜伏膜タンパク質1の測定</v>
      </c>
    </row>
    <row r="1475" ht="13.5" customHeight="1">
      <c r="A1475" s="1" t="s">
        <v>11</v>
      </c>
      <c r="B1475" s="1" t="s">
        <v>7472</v>
      </c>
      <c r="C1475" s="1" t="s">
        <v>7473</v>
      </c>
      <c r="D1475" s="1" t="s">
        <v>7474</v>
      </c>
      <c r="E1475" s="1" t="s">
        <v>7474</v>
      </c>
      <c r="F1475" s="1" t="s">
        <v>7475</v>
      </c>
      <c r="G1475" s="1" t="s">
        <v>7476</v>
      </c>
      <c r="H1475" s="1" t="str">
        <f>IFERROR(__xludf.DUMMYFUNCTION("GOOGLETRANSLATE(D1475,""EN"",""JA"")"),"偏心細胞")</f>
        <v>偏心細胞</v>
      </c>
      <c r="I1475" s="1" t="str">
        <f>IFERROR(__xludf.DUMMYFUNCTION("GOOGLETRANSLATE(E1475,""EN"",""JA"")"),"偏心細胞")</f>
        <v>偏心細胞</v>
      </c>
      <c r="J1475" s="1" t="str">
        <f>IFERROR(__xludf.DUMMYFUNCTION("GOOGLETRANSLATE(F1475,""EN"",""JA"")"),"生物標本中の偏心赤血球（ヘモグロビンが細胞の特定の部分に局在し、局所的な染色として目立つ赤血球）の測定。")</f>
        <v>生物標本中の偏心赤血球（ヘモグロビンが細胞の特定の部分に局在し、局所的な染色として目立つ赤血球）の測定。</v>
      </c>
      <c r="K1475" s="1" t="str">
        <f>IFERROR(__xludf.DUMMYFUNCTION("GOOGLETRANSLATE(G1475,""EN"",""JA"")"),"偏心細胞数")</f>
        <v>偏心細胞数</v>
      </c>
    </row>
    <row r="1476" ht="13.5" customHeight="1">
      <c r="A1476" s="1" t="s">
        <v>160</v>
      </c>
      <c r="B1476" s="1" t="s">
        <v>7477</v>
      </c>
      <c r="C1476" s="1" t="s">
        <v>7478</v>
      </c>
      <c r="D1476" s="1" t="s">
        <v>7479</v>
      </c>
      <c r="E1476" s="1" t="s">
        <v>7479</v>
      </c>
      <c r="F1476" s="1" t="s">
        <v>7480</v>
      </c>
      <c r="G1476" s="1" t="s">
        <v>7479</v>
      </c>
      <c r="H1476" s="1" t="str">
        <f>IFERROR(__xludf.DUMMYFUNCTION("GOOGLETRANSLATE(D1476,""EN"",""JA"")"),"出血斑指標")</f>
        <v>出血斑指標</v>
      </c>
      <c r="I1476" s="1" t="str">
        <f>IFERROR(__xludf.DUMMYFUNCTION("GOOGLETRANSLATE(E1476,""EN"",""JA"")"),"出血斑指標")</f>
        <v>出血斑指標</v>
      </c>
      <c r="J1476" s="1" t="str">
        <f>IFERROR(__xludf.DUMMYFUNCTION("GOOGLETRANSLATE(F1476,""EN"",""JA"")"),"斑状出血が存在するかどうかを示します。")</f>
        <v>斑状出血が存在するかどうかを示します。</v>
      </c>
      <c r="K1476" s="1" t="str">
        <f>IFERROR(__xludf.DUMMYFUNCTION("GOOGLETRANSLATE(G1476,""EN"",""JA"")"),"出血斑指標")</f>
        <v>出血斑指標</v>
      </c>
    </row>
    <row r="1477" ht="13.5" customHeight="1">
      <c r="A1477" s="1" t="s">
        <v>67</v>
      </c>
      <c r="B1477" s="1" t="s">
        <v>7481</v>
      </c>
      <c r="C1477" s="1" t="s">
        <v>7482</v>
      </c>
      <c r="D1477" s="1" t="s">
        <v>7483</v>
      </c>
      <c r="E1477" s="1" t="s">
        <v>7483</v>
      </c>
      <c r="F1477" s="1" t="s">
        <v>7484</v>
      </c>
      <c r="G1477" s="1" t="s">
        <v>7485</v>
      </c>
      <c r="H1477" s="1" t="str">
        <f>IFERROR(__xludf.DUMMYFUNCTION("GOOGLETRANSLATE(D1477,""EN"",""JA"")"),"エンテロバクター・クロアカエ")</f>
        <v>エンテロバクター・クロアカエ</v>
      </c>
      <c r="I1477" s="1" t="str">
        <f>IFERROR(__xludf.DUMMYFUNCTION("GOOGLETRANSLATE(E1477,""EN"",""JA"")"),"エンテロバクター・クロアカエ")</f>
        <v>エンテロバクター・クロアカエ</v>
      </c>
      <c r="J1477" s="1" t="str">
        <f>IFERROR(__xludf.DUMMYFUNCTION("GOOGLETRANSLATE(F1477,""EN"",""JA"")"),"生物標本中のエンテロバクター クロアカエの測定。")</f>
        <v>生物標本中のエンテロバクター クロアカエの測定。</v>
      </c>
      <c r="K1477" s="1" t="str">
        <f>IFERROR(__xludf.DUMMYFUNCTION("GOOGLETRANSLATE(G1477,""EN"",""JA"")"),"エンテロバクタークロアカエ測定")</f>
        <v>エンテロバクタークロアカエ測定</v>
      </c>
    </row>
    <row r="1478" ht="13.5" customHeight="1">
      <c r="A1478" s="1" t="s">
        <v>67</v>
      </c>
      <c r="B1478" s="1" t="s">
        <v>7486</v>
      </c>
      <c r="C1478" s="1" t="s">
        <v>7487</v>
      </c>
      <c r="D1478" s="1" t="s">
        <v>7488</v>
      </c>
      <c r="E1478" s="1" t="s">
        <v>7488</v>
      </c>
      <c r="F1478" s="1" t="s">
        <v>7489</v>
      </c>
      <c r="G1478" s="1" t="s">
        <v>7490</v>
      </c>
      <c r="H1478" s="1" t="str">
        <f>IFERROR(__xludf.DUMMYFUNCTION("GOOGLETRANSLATE(D1478,""EN"",""JA"")"),"エンテロバクタークロアカエ複合体")</f>
        <v>エンテロバクタークロアカエ複合体</v>
      </c>
      <c r="I1478" s="1" t="str">
        <f>IFERROR(__xludf.DUMMYFUNCTION("GOOGLETRANSLATE(E1478,""EN"",""JA"")"),"エンテロバクタークロアカエ複合体")</f>
        <v>エンテロバクタークロアカエ複合体</v>
      </c>
      <c r="J1478" s="1" t="str">
        <f>IFERROR(__xludf.DUMMYFUNCTION("GOOGLETRANSLATE(F1478,""EN"",""JA"")"),"生物標本中の Enterobacter cloacae 複合体の測定。")</f>
        <v>生物標本中の Enterobacter cloacae 複合体の測定。</v>
      </c>
      <c r="K1478" s="1" t="str">
        <f>IFERROR(__xludf.DUMMYFUNCTION("GOOGLETRANSLATE(G1478,""EN"",""JA"")"),"エンテロバクタークロアカエ複合体測定")</f>
        <v>エンテロバクタークロアカエ複合体測定</v>
      </c>
    </row>
    <row r="1479" ht="13.5" customHeight="1">
      <c r="A1479" s="1" t="s">
        <v>67</v>
      </c>
      <c r="B1479" s="1" t="s">
        <v>7491</v>
      </c>
      <c r="C1479" s="1" t="s">
        <v>7492</v>
      </c>
      <c r="D1479" s="1" t="s">
        <v>7493</v>
      </c>
      <c r="E1479" s="1" t="s">
        <v>7493</v>
      </c>
      <c r="F1479" s="1" t="s">
        <v>7494</v>
      </c>
      <c r="G1479" s="1" t="s">
        <v>7495</v>
      </c>
      <c r="H1479" s="1" t="str">
        <f>IFERROR(__xludf.DUMMYFUNCTION("GOOGLETRANSLATE(D1479,""EN"",""JA"")"),"エンテロバクタークロアカエ複合体DNA")</f>
        <v>エンテロバクタークロアカエ複合体DNA</v>
      </c>
      <c r="I1479" s="1" t="str">
        <f>IFERROR(__xludf.DUMMYFUNCTION("GOOGLETRANSLATE(E1479,""EN"",""JA"")"),"エンテロバクタークロアカエ複合体DNA")</f>
        <v>エンテロバクタークロアカエ複合体DNA</v>
      </c>
      <c r="J1479" s="1" t="str">
        <f>IFERROR(__xludf.DUMMYFUNCTION("GOOGLETRANSLATE(F1479,""EN"",""JA"")"),"生物標本中のエンテロバクタークロアカエ複合体 DNA の測定。")</f>
        <v>生物標本中のエンテロバクタークロアカエ複合体 DNA の測定。</v>
      </c>
      <c r="K1479" s="1" t="str">
        <f>IFERROR(__xludf.DUMMYFUNCTION("GOOGLETRANSLATE(G1479,""EN"",""JA"")"),"エンテロバクタークロアカエ複合体DNA測定")</f>
        <v>エンテロバクタークロアカエ複合体DNA測定</v>
      </c>
    </row>
    <row r="1480" ht="13.5" customHeight="1">
      <c r="A1480" s="1" t="s">
        <v>67</v>
      </c>
      <c r="B1480" s="1" t="s">
        <v>7496</v>
      </c>
      <c r="C1480" s="1" t="s">
        <v>7497</v>
      </c>
      <c r="D1480" s="1" t="s">
        <v>7498</v>
      </c>
      <c r="E1480" s="1" t="s">
        <v>7498</v>
      </c>
      <c r="F1480" s="1" t="s">
        <v>7499</v>
      </c>
      <c r="G1480" s="1" t="s">
        <v>7500</v>
      </c>
      <c r="H1480" s="1" t="str">
        <f>IFERROR(__xludf.DUMMYFUNCTION("GOOGLETRANSLATE(D1480,""EN"",""JA"")"),"大腸菌志賀毒素様毒素")</f>
        <v>大腸菌志賀毒素様毒素</v>
      </c>
      <c r="I1480" s="1" t="str">
        <f>IFERROR(__xludf.DUMMYFUNCTION("GOOGLETRANSLATE(E1480,""EN"",""JA"")"),"大腸菌志賀毒素様毒素")</f>
        <v>大腸菌志賀毒素様毒素</v>
      </c>
      <c r="J1480" s="1" t="str">
        <f>IFERROR(__xludf.DUMMYFUNCTION("GOOGLETRANSLATE(F1480,""EN"",""JA"")"),"生物標本中の大腸菌シガ様毒素の総量の測定。")</f>
        <v>生物標本中の大腸菌シガ様毒素の総量の測定。</v>
      </c>
      <c r="K1480" s="1" t="str">
        <f>IFERROR(__xludf.DUMMYFUNCTION("GOOGLETRANSLATE(G1480,""EN"",""JA"")"),"大腸菌志賀毒素様毒素測定")</f>
        <v>大腸菌志賀毒素様毒素測定</v>
      </c>
    </row>
    <row r="1481" ht="13.5" customHeight="1">
      <c r="A1481" s="1" t="s">
        <v>67</v>
      </c>
      <c r="B1481" s="1" t="s">
        <v>7501</v>
      </c>
      <c r="C1481" s="1" t="s">
        <v>7502</v>
      </c>
      <c r="D1481" s="1" t="s">
        <v>7503</v>
      </c>
      <c r="E1481" s="1" t="s">
        <v>7503</v>
      </c>
      <c r="F1481" s="1" t="s">
        <v>7504</v>
      </c>
      <c r="G1481" s="1" t="s">
        <v>7505</v>
      </c>
      <c r="H1481" s="1" t="str">
        <f>IFERROR(__xludf.DUMMYFUNCTION("GOOGLETRANSLATE(D1481,""EN"",""JA"")"),"大腸菌")</f>
        <v>大腸菌</v>
      </c>
      <c r="I1481" s="1" t="str">
        <f>IFERROR(__xludf.DUMMYFUNCTION("GOOGLETRANSLATE(E1481,""EN"",""JA"")"),"大腸菌")</f>
        <v>大腸菌</v>
      </c>
      <c r="J1481" s="1" t="str">
        <f>IFERROR(__xludf.DUMMYFUNCTION("GOOGLETRANSLATE(F1481,""EN"",""JA"")"),"生物標本中の大腸菌の測定。")</f>
        <v>生物標本中の大腸菌の測定。</v>
      </c>
      <c r="K1481" s="1" t="str">
        <f>IFERROR(__xludf.DUMMYFUNCTION("GOOGLETRANSLATE(G1481,""EN"",""JA"")"),"大腸菌測定")</f>
        <v>大腸菌測定</v>
      </c>
    </row>
    <row r="1482" ht="13.5" customHeight="1">
      <c r="A1482" s="1" t="s">
        <v>67</v>
      </c>
      <c r="B1482" s="1" t="s">
        <v>7506</v>
      </c>
      <c r="C1482" s="1" t="s">
        <v>7507</v>
      </c>
      <c r="D1482" s="1" t="s">
        <v>7508</v>
      </c>
      <c r="E1482" s="1" t="s">
        <v>7508</v>
      </c>
      <c r="F1482" s="1" t="s">
        <v>7509</v>
      </c>
      <c r="G1482" s="1" t="s">
        <v>7510</v>
      </c>
      <c r="H1482" s="1" t="str">
        <f>IFERROR(__xludf.DUMMYFUNCTION("GOOGLETRANSLATE(D1482,""EN"",""JA"")"),"大腸菌DNA")</f>
        <v>大腸菌DNA</v>
      </c>
      <c r="I1482" s="1" t="str">
        <f>IFERROR(__xludf.DUMMYFUNCTION("GOOGLETRANSLATE(E1482,""EN"",""JA"")"),"大腸菌DNA")</f>
        <v>大腸菌DNA</v>
      </c>
      <c r="J1482" s="1" t="str">
        <f>IFERROR(__xludf.DUMMYFUNCTION("GOOGLETRANSLATE(F1482,""EN"",""JA"")"),"生物標本中の大腸菌 DNA の測定。")</f>
        <v>生物標本中の大腸菌 DNA の測定。</v>
      </c>
      <c r="K1482" s="1" t="str">
        <f>IFERROR(__xludf.DUMMYFUNCTION("GOOGLETRANSLATE(G1482,""EN"",""JA"")"),"大腸菌DNA測定")</f>
        <v>大腸菌DNA測定</v>
      </c>
    </row>
    <row r="1483" ht="13.5" customHeight="1">
      <c r="A1483" s="1" t="s">
        <v>67</v>
      </c>
      <c r="B1483" s="1" t="s">
        <v>7511</v>
      </c>
      <c r="C1483" s="1" t="s">
        <v>7512</v>
      </c>
      <c r="D1483" s="1" t="s">
        <v>7513</v>
      </c>
      <c r="E1483" s="1" t="s">
        <v>7513</v>
      </c>
      <c r="F1483" s="1" t="s">
        <v>7514</v>
      </c>
      <c r="G1483" s="1" t="s">
        <v>7515</v>
      </c>
      <c r="H1483" s="1" t="str">
        <f>IFERROR(__xludf.DUMMYFUNCTION("GOOGLETRANSLATE(D1483,""EN"",""JA"")"),"大腸菌K1 DNA")</f>
        <v>大腸菌K1 DNA</v>
      </c>
      <c r="I1483" s="1" t="str">
        <f>IFERROR(__xludf.DUMMYFUNCTION("GOOGLETRANSLATE(E1483,""EN"",""JA"")"),"大腸菌K1 DNA")</f>
        <v>大腸菌K1 DNA</v>
      </c>
      <c r="J1483" s="1" t="str">
        <f>IFERROR(__xludf.DUMMYFUNCTION("GOOGLETRANSLATE(F1483,""EN"",""JA"")"),"生物標本中の大腸菌 K1 DNA の測定。")</f>
        <v>生物標本中の大腸菌 K1 DNA の測定。</v>
      </c>
      <c r="K1483" s="1" t="str">
        <f>IFERROR(__xludf.DUMMYFUNCTION("GOOGLETRANSLATE(G1483,""EN"",""JA"")"),"大腸菌K1 DNA測定")</f>
        <v>大腸菌K1 DNA測定</v>
      </c>
    </row>
    <row r="1484" ht="13.5" customHeight="1">
      <c r="A1484" s="1" t="s">
        <v>67</v>
      </c>
      <c r="B1484" s="1" t="s">
        <v>7516</v>
      </c>
      <c r="C1484" s="1" t="s">
        <v>7517</v>
      </c>
      <c r="D1484" s="1" t="s">
        <v>7518</v>
      </c>
      <c r="E1484" s="1" t="s">
        <v>7518</v>
      </c>
      <c r="F1484" s="1" t="s">
        <v>7519</v>
      </c>
      <c r="G1484" s="1" t="s">
        <v>7520</v>
      </c>
      <c r="H1484" s="1" t="str">
        <f>IFERROR(__xludf.DUMMYFUNCTION("GOOGLETRANSLATE(D1484,""EN"",""JA"")"),"大腸菌O抗原")</f>
        <v>大腸菌O抗原</v>
      </c>
      <c r="I1484" s="1" t="str">
        <f>IFERROR(__xludf.DUMMYFUNCTION("GOOGLETRANSLATE(E1484,""EN"",""JA"")"),"大腸菌O抗原")</f>
        <v>大腸菌O抗原</v>
      </c>
      <c r="J1484" s="1" t="str">
        <f>IFERROR(__xludf.DUMMYFUNCTION("GOOGLETRANSLATE(F1484,""EN"",""JA"")"),"生物標本中の大腸菌O抗原の測定。")</f>
        <v>生物標本中の大腸菌O抗原の測定。</v>
      </c>
      <c r="K1484" s="1" t="str">
        <f>IFERROR(__xludf.DUMMYFUNCTION("GOOGLETRANSLATE(G1484,""EN"",""JA"")"),"大腸菌O抗原測定")</f>
        <v>大腸菌O抗原測定</v>
      </c>
    </row>
    <row r="1485" ht="13.5" customHeight="1">
      <c r="A1485" s="1" t="s">
        <v>11</v>
      </c>
      <c r="B1485" s="1" t="s">
        <v>7521</v>
      </c>
      <c r="C1485" s="1" t="s">
        <v>7522</v>
      </c>
      <c r="D1485" s="1" t="s">
        <v>7523</v>
      </c>
      <c r="E1485" s="1" t="s">
        <v>7524</v>
      </c>
      <c r="F1485" s="1" t="s">
        <v>7525</v>
      </c>
      <c r="G1485" s="1" t="s">
        <v>7526</v>
      </c>
      <c r="H1485" s="1" t="str">
        <f>IFERROR(__xludf.DUMMYFUNCTION("GOOGLETRANSLATE(D1485,""EN"",""JA"")"),"好酸球カチオンタンパク質")</f>
        <v>好酸球カチオンタンパク質</v>
      </c>
      <c r="I1485" s="1" t="str">
        <f>IFERROR(__xludf.DUMMYFUNCTION("GOOGLETRANSLATE(E1485,""EN"",""JA"")"),"好酸球カチオン性タンパク質; リボヌクレアーゼAファミリーメンバー3; RNase 3")</f>
        <v>好酸球カチオン性タンパク質; リボヌクレアーゼAファミリーメンバー3; RNase 3</v>
      </c>
      <c r="J1485" s="1" t="str">
        <f>IFERROR(__xludf.DUMMYFUNCTION("GOOGLETRANSLATE(F1485,""EN"",""JA"")"),"生物標本中の好酸球カチオンタンパク質の測定。")</f>
        <v>生物標本中の好酸球カチオンタンパク質の測定。</v>
      </c>
      <c r="K1485" s="1" t="str">
        <f>IFERROR(__xludf.DUMMYFUNCTION("GOOGLETRANSLATE(G1485,""EN"",""JA"")"),"好酸球カチオンタンパク質測定")</f>
        <v>好酸球カチオンタンパク質測定</v>
      </c>
    </row>
    <row r="1486" ht="13.5" customHeight="1">
      <c r="A1486" s="1" t="s">
        <v>11</v>
      </c>
      <c r="B1486" s="1" t="s">
        <v>7527</v>
      </c>
      <c r="C1486" s="1" t="s">
        <v>7528</v>
      </c>
      <c r="D1486" s="1" t="s">
        <v>7529</v>
      </c>
      <c r="E1486" s="1" t="s">
        <v>7529</v>
      </c>
      <c r="F1486" s="1" t="s">
        <v>7530</v>
      </c>
      <c r="G1486" s="1" t="s">
        <v>7531</v>
      </c>
      <c r="H1486" s="1" t="str">
        <f>IFERROR(__xludf.DUMMYFUNCTION("GOOGLETRANSLATE(D1486,""EN"",""JA"")"),"エカリン凝固時間")</f>
        <v>エカリン凝固時間</v>
      </c>
      <c r="I1486" s="1" t="str">
        <f>IFERROR(__xludf.DUMMYFUNCTION("GOOGLETRANSLATE(E1486,""EN"",""JA"")"),"エカリン凝固時間")</f>
        <v>エカリン凝固時間</v>
      </c>
      <c r="J1486" s="1" t="str">
        <f>IFERROR(__xludf.DUMMYFUNCTION("GOOGLETRANSLATE(F1486,""EN"",""JA"")"),"メイゾトロンビンの生成に基づいて、生物学的標本中のトロンビン阻害剤の活性を測定します。")</f>
        <v>メイゾトロンビンの生成に基づいて、生物学的標本中のトロンビン阻害剤の活性を測定します。</v>
      </c>
      <c r="K1486" s="1" t="str">
        <f>IFERROR(__xludf.DUMMYFUNCTION("GOOGLETRANSLATE(G1486,""EN"",""JA"")"),"エカリン凝固時間測定")</f>
        <v>エカリン凝固時間測定</v>
      </c>
    </row>
    <row r="1487" ht="13.5" customHeight="1">
      <c r="A1487" s="1" t="s">
        <v>160</v>
      </c>
      <c r="B1487" s="1" t="s">
        <v>7532</v>
      </c>
      <c r="C1487" s="1" t="s">
        <v>7533</v>
      </c>
      <c r="D1487" s="1" t="s">
        <v>7534</v>
      </c>
      <c r="E1487" s="1" t="s">
        <v>7534</v>
      </c>
      <c r="F1487" s="1" t="s">
        <v>7535</v>
      </c>
      <c r="G1487" s="1" t="s">
        <v>7534</v>
      </c>
      <c r="H1487" s="1" t="str">
        <f>IFERROR(__xludf.DUMMYFUNCTION("GOOGLETRANSLATE(D1487,""EN"",""JA"")"),"子宮外妊娠の指標")</f>
        <v>子宮外妊娠の指標</v>
      </c>
      <c r="I1487" s="1" t="str">
        <f>IFERROR(__xludf.DUMMYFUNCTION("GOOGLETRANSLATE(E1487,""EN"",""JA"")"),"子宮外妊娠の指標")</f>
        <v>子宮外妊娠の指標</v>
      </c>
      <c r="J1487" s="1" t="str">
        <f>IFERROR(__xludf.DUMMYFUNCTION("GOOGLETRANSLATE(F1487,""EN"",""JA"")"),"子宮外妊娠が起こったかどうかを示すもの。")</f>
        <v>子宮外妊娠が起こったかどうかを示すもの。</v>
      </c>
      <c r="K1487" s="1" t="str">
        <f>IFERROR(__xludf.DUMMYFUNCTION("GOOGLETRANSLATE(G1487,""EN"",""JA"")"),"子宮外妊娠の指標")</f>
        <v>子宮外妊娠の指標</v>
      </c>
    </row>
    <row r="1488" ht="13.5" customHeight="1">
      <c r="A1488" s="1" t="s">
        <v>160</v>
      </c>
      <c r="B1488" s="1" t="s">
        <v>7536</v>
      </c>
      <c r="C1488" s="1" t="s">
        <v>7537</v>
      </c>
      <c r="D1488" s="1" t="s">
        <v>7538</v>
      </c>
      <c r="E1488" s="1" t="s">
        <v>7538</v>
      </c>
      <c r="F1488" s="1" t="s">
        <v>7539</v>
      </c>
      <c r="G1488" s="1" t="s">
        <v>7538</v>
      </c>
      <c r="H1488" s="1" t="str">
        <f>IFERROR(__xludf.DUMMYFUNCTION("GOOGLETRANSLATE(D1488,""EN"",""JA"")"),"子宮外妊娠の数")</f>
        <v>子宮外妊娠の数</v>
      </c>
      <c r="I1488" s="1" t="str">
        <f>IFERROR(__xludf.DUMMYFUNCTION("GOOGLETRANSLATE(E1488,""EN"",""JA"")"),"子宮外妊娠の数")</f>
        <v>子宮外妊娠の数</v>
      </c>
      <c r="J1488" s="1" t="str">
        <f>IFERROR(__xludf.DUMMYFUNCTION("GOOGLETRANSLATE(F1488,""EN"",""JA"")"),"女性被験者が経験した子宮外妊娠の総数の測定値。")</f>
        <v>女性被験者が経験した子宮外妊娠の総数の測定値。</v>
      </c>
      <c r="K1488" s="1" t="str">
        <f>IFERROR(__xludf.DUMMYFUNCTION("GOOGLETRANSLATE(G1488,""EN"",""JA"")"),"子宮外妊娠の数")</f>
        <v>子宮外妊娠の数</v>
      </c>
    </row>
    <row r="1489" ht="13.5" customHeight="1">
      <c r="A1489" s="1" t="s">
        <v>67</v>
      </c>
      <c r="B1489" s="1" t="s">
        <v>7540</v>
      </c>
      <c r="C1489" s="1" t="s">
        <v>7541</v>
      </c>
      <c r="D1489" s="1" t="s">
        <v>7542</v>
      </c>
      <c r="E1489" s="1" t="s">
        <v>7542</v>
      </c>
      <c r="F1489" s="1" t="s">
        <v>7543</v>
      </c>
      <c r="G1489" s="1" t="s">
        <v>7544</v>
      </c>
      <c r="H1489" s="1" t="str">
        <f>IFERROR(__xludf.DUMMYFUNCTION("GOOGLETRANSLATE(D1489,""EN"",""JA"")"),"大腸菌ベロ毒素")</f>
        <v>大腸菌ベロ毒素</v>
      </c>
      <c r="I1489" s="1" t="str">
        <f>IFERROR(__xludf.DUMMYFUNCTION("GOOGLETRANSLATE(E1489,""EN"",""JA"")"),"大腸菌ベロ毒素")</f>
        <v>大腸菌ベロ毒素</v>
      </c>
      <c r="J1489" s="1" t="str">
        <f>IFERROR(__xludf.DUMMYFUNCTION("GOOGLETRANSLATE(F1489,""EN"",""JA"")"),"生物標本中の大腸菌ベロ毒素の総量の測定。")</f>
        <v>生物標本中の大腸菌ベロ毒素の総量の測定。</v>
      </c>
      <c r="K1489" s="1" t="str">
        <f>IFERROR(__xludf.DUMMYFUNCTION("GOOGLETRANSLATE(G1489,""EN"",""JA"")"),"大腸菌ベロ毒素測定")</f>
        <v>大腸菌ベロ毒素測定</v>
      </c>
    </row>
    <row r="1490" ht="13.5" customHeight="1">
      <c r="A1490" s="1" t="s">
        <v>129</v>
      </c>
      <c r="B1490" s="1" t="s">
        <v>7545</v>
      </c>
      <c r="C1490" s="1" t="s">
        <v>7546</v>
      </c>
      <c r="D1490" s="1" t="s">
        <v>7547</v>
      </c>
      <c r="E1490" s="1" t="s">
        <v>7548</v>
      </c>
      <c r="F1490" s="1" t="s">
        <v>7549</v>
      </c>
      <c r="G1490" s="1" t="s">
        <v>7550</v>
      </c>
      <c r="H1490" s="1" t="str">
        <f>IFERROR(__xludf.DUMMYFUNCTION("GOOGLETRANSLATE(D1490,""EN"",""JA"")"),"細胞外水")</f>
        <v>細胞外水</v>
      </c>
      <c r="I1490" s="1" t="str">
        <f>IFERROR(__xludf.DUMMYFUNCTION("GOOGLETRANSLATE(E1490,""EN"",""JA"")"),"細胞外体水; 細胞外水")</f>
        <v>細胞外体水; 細胞外水</v>
      </c>
      <c r="J1490" s="1" t="str">
        <f>IFERROR(__xludf.DUMMYFUNCTION("GOOGLETRANSLATE(F1490,""EN"",""JA"")"),"体内の細胞外区画に含まれる水分量の測定値。")</f>
        <v>体内の細胞外区画に含まれる水分量の測定値。</v>
      </c>
      <c r="K1490" s="1" t="str">
        <f>IFERROR(__xludf.DUMMYFUNCTION("GOOGLETRANSLATE(G1490,""EN"",""JA"")"),"細胞外水分測定")</f>
        <v>細胞外水分測定</v>
      </c>
    </row>
    <row r="1491" ht="13.5" customHeight="1">
      <c r="A1491" s="1" t="s">
        <v>129</v>
      </c>
      <c r="B1491" s="1" t="s">
        <v>7551</v>
      </c>
      <c r="C1491" s="1" t="s">
        <v>7552</v>
      </c>
      <c r="D1491" s="1" t="s">
        <v>7553</v>
      </c>
      <c r="E1491" s="1" t="s">
        <v>7554</v>
      </c>
      <c r="F1491" s="1" t="s">
        <v>7555</v>
      </c>
      <c r="G1491" s="1" t="s">
        <v>7556</v>
      </c>
      <c r="H1491" s="1" t="str">
        <f>IFERROR(__xludf.DUMMYFUNCTION("GOOGLETRANSLATE(D1491,""EN"",""JA"")"),"細胞外水/全身水分")</f>
        <v>細胞外水/全身水分</v>
      </c>
      <c r="I1491" s="1" t="str">
        <f>IFERROR(__xludf.DUMMYFUNCTION("GOOGLETRANSLATE(E1491,""EN"",""JA"")"),"ECW/TBW; 細胞外水/全身水分量")</f>
        <v>ECW/TBW; 細胞外水/全身水分量</v>
      </c>
      <c r="J1491" s="1" t="str">
        <f>IFERROR(__xludf.DUMMYFUNCTION("GOOGLETRANSLATE(F1491,""EN"",""JA"")"),"体内の総水量に対する細胞外区画の水分量の相対的な測定値（比率またはパーセンテージ）。")</f>
        <v>体内の総水量に対する細胞外区画の水分量の相対的な測定値（比率またはパーセンテージ）。</v>
      </c>
      <c r="K1491" s="1" t="str">
        <f>IFERROR(__xludf.DUMMYFUNCTION("GOOGLETRANSLATE(G1491,""EN"",""JA"")"),"細胞外水と体水分の比率測定")</f>
        <v>細胞外水と体水分の比率測定</v>
      </c>
    </row>
    <row r="1492" ht="13.5" customHeight="1">
      <c r="A1492" s="1" t="s">
        <v>160</v>
      </c>
      <c r="B1492" s="1" t="s">
        <v>7557</v>
      </c>
      <c r="C1492" s="1" t="s">
        <v>7558</v>
      </c>
      <c r="D1492" s="1" t="s">
        <v>7559</v>
      </c>
      <c r="E1492" s="1" t="s">
        <v>7559</v>
      </c>
      <c r="F1492" s="1" t="s">
        <v>7560</v>
      </c>
      <c r="G1492" s="1" t="s">
        <v>7559</v>
      </c>
      <c r="H1492" s="1" t="str">
        <f>IFERROR(__xludf.DUMMYFUNCTION("GOOGLETRANSLATE(D1492,""EN"",""JA"")"),"受胎推定日")</f>
        <v>受胎推定日</v>
      </c>
      <c r="I1492" s="1" t="str">
        <f>IFERROR(__xludf.DUMMYFUNCTION("GOOGLETRANSLATE(E1492,""EN"",""JA"")"),"受胎推定日")</f>
        <v>受胎推定日</v>
      </c>
      <c r="J1492" s="1" t="str">
        <f>IFERROR(__xludf.DUMMYFUNCTION("GOOGLETRANSLATE(F1492,""EN"",""JA"")"),"受胎イベントが発生したと計算されたおおよその日付。")</f>
        <v>受胎イベントが発生したと計算されたおおよその日付。</v>
      </c>
      <c r="K1492" s="1" t="str">
        <f>IFERROR(__xludf.DUMMYFUNCTION("GOOGLETRANSLATE(G1492,""EN"",""JA"")"),"受胎推定日")</f>
        <v>受胎推定日</v>
      </c>
    </row>
    <row r="1493" ht="13.5" customHeight="1">
      <c r="A1493" s="1" t="s">
        <v>11</v>
      </c>
      <c r="B1493" s="1" t="s">
        <v>7561</v>
      </c>
      <c r="C1493" s="1" t="s">
        <v>7562</v>
      </c>
      <c r="D1493" s="1" t="s">
        <v>7562</v>
      </c>
      <c r="E1493" s="1" t="s">
        <v>7563</v>
      </c>
      <c r="F1493" s="1" t="s">
        <v>7564</v>
      </c>
      <c r="G1493" s="1" t="s">
        <v>7565</v>
      </c>
      <c r="H1493" s="1" t="str">
        <f>IFERROR(__xludf.DUMMYFUNCTION("GOOGLETRANSLATE(D1493,""EN"",""JA"")"),"EDDP")</f>
        <v>EDDP</v>
      </c>
      <c r="I1493" s="1" t="str">
        <f>IFERROR(__xludf.DUMMYFUNCTION("GOOGLETRANSLATE(E1493,""EN"",""JA"")"),"2-エチリデン-1,5-ジメチル-3,3-ジフェニルピロリジン; EDDP")</f>
        <v>2-エチリデン-1,5-ジメチル-3,3-ジフェニルピロリジン; EDDP</v>
      </c>
      <c r="J1493" s="1" t="str">
        <f>IFERROR(__xludf.DUMMYFUNCTION("GOOGLETRANSLATE(F1493,""EN"",""JA"")"),"生物標本中に存在するメサドン代謝物 2-エチリデン-1,5-ジメチル-3,3-ジフェニルピロリジンの測定。")</f>
        <v>生物標本中に存在するメサドン代謝物 2-エチリデン-1,5-ジメチル-3,3-ジフェニルピロリジンの測定。</v>
      </c>
      <c r="K1493" s="1" t="str">
        <f>IFERROR(__xludf.DUMMYFUNCTION("GOOGLETRANSLATE(G1493,""EN"",""JA"")"),"EDDP測定")</f>
        <v>EDDP測定</v>
      </c>
    </row>
    <row r="1494" ht="13.5" customHeight="1">
      <c r="A1494" s="1" t="s">
        <v>1997</v>
      </c>
      <c r="B1494" s="1" t="s">
        <v>7566</v>
      </c>
      <c r="C1494" s="1" t="s">
        <v>7567</v>
      </c>
      <c r="D1494" s="1" t="s">
        <v>7568</v>
      </c>
      <c r="E1494" s="1" t="s">
        <v>7568</v>
      </c>
      <c r="F1494" s="1" t="s">
        <v>7569</v>
      </c>
      <c r="G1494" s="1" t="s">
        <v>7570</v>
      </c>
      <c r="H1494" s="1" t="str">
        <f>IFERROR(__xludf.DUMMYFUNCTION("GOOGLETRANSLATE(D1494,""EN"",""JA"")"),"浮腫")</f>
        <v>浮腫</v>
      </c>
      <c r="I1494" s="1" t="str">
        <f>IFERROR(__xludf.DUMMYFUNCTION("GOOGLETRANSLATE(E1494,""EN"",""JA"")"),"浮腫")</f>
        <v>浮腫</v>
      </c>
      <c r="J1494" s="1" t="str">
        <f>IFERROR(__xludf.DUMMYFUNCTION("GOOGLETRANSLATE(F1494,""EN"",""JA"")"),"生物学的標本または部位における浮腫（過剰な量の水様体液）の評価。")</f>
        <v>生物学的標本または部位における浮腫（過剰な量の水様体液）の評価。</v>
      </c>
      <c r="K1494" s="1" t="str">
        <f>IFERROR(__xludf.DUMMYFUNCTION("GOOGLETRANSLATE(G1494,""EN"",""JA"")"),"浮腫の評価")</f>
        <v>浮腫の評価</v>
      </c>
    </row>
    <row r="1495" ht="13.5" customHeight="1">
      <c r="A1495" s="1" t="s">
        <v>160</v>
      </c>
      <c r="B1495" s="1" t="s">
        <v>7571</v>
      </c>
      <c r="C1495" s="1" t="s">
        <v>7572</v>
      </c>
      <c r="D1495" s="1" t="s">
        <v>7573</v>
      </c>
      <c r="E1495" s="1" t="s">
        <v>7573</v>
      </c>
      <c r="F1495" s="1" t="s">
        <v>7574</v>
      </c>
      <c r="G1495" s="1" t="s">
        <v>7573</v>
      </c>
      <c r="H1495" s="1" t="str">
        <f>IFERROR(__xludf.DUMMYFUNCTION("GOOGLETRANSLATE(D1495,""EN"",""JA"")"),"浮腫指標")</f>
        <v>浮腫指標</v>
      </c>
      <c r="I1495" s="1" t="str">
        <f>IFERROR(__xludf.DUMMYFUNCTION("GOOGLETRANSLATE(E1495,""EN"",""JA"")"),"浮腫指標")</f>
        <v>浮腫指標</v>
      </c>
      <c r="J1495" s="1" t="str">
        <f>IFERROR(__xludf.DUMMYFUNCTION("GOOGLETRANSLATE(F1495,""EN"",""JA"")"),"浮腫が存在するかどうかを示します。")</f>
        <v>浮腫が存在するかどうかを示します。</v>
      </c>
      <c r="K1495" s="1" t="str">
        <f>IFERROR(__xludf.DUMMYFUNCTION("GOOGLETRANSLATE(G1495,""EN"",""JA"")"),"浮腫指標")</f>
        <v>浮腫指標</v>
      </c>
    </row>
    <row r="1496" ht="13.5" customHeight="1">
      <c r="A1496" s="1" t="s">
        <v>67</v>
      </c>
      <c r="B1496" s="1" t="s">
        <v>7575</v>
      </c>
      <c r="C1496" s="1" t="s">
        <v>7576</v>
      </c>
      <c r="D1496" s="1" t="s">
        <v>7577</v>
      </c>
      <c r="E1496" s="1" t="s">
        <v>7577</v>
      </c>
      <c r="F1496" s="1" t="s">
        <v>7578</v>
      </c>
      <c r="G1496" s="1" t="s">
        <v>7579</v>
      </c>
      <c r="H1496" s="1" t="str">
        <f>IFERROR(__xludf.DUMMYFUNCTION("GOOGLETRANSLATE(D1496,""EN"",""JA"")"),"エントアメーバ・ディスパー")</f>
        <v>エントアメーバ・ディスパー</v>
      </c>
      <c r="I1496" s="1" t="str">
        <f>IFERROR(__xludf.DUMMYFUNCTION("GOOGLETRANSLATE(E1496,""EN"",""JA"")"),"エントアメーバ・ディスパー")</f>
        <v>エントアメーバ・ディスパー</v>
      </c>
      <c r="J1496" s="1" t="str">
        <f>IFERROR(__xludf.DUMMYFUNCTION("GOOGLETRANSLATE(F1496,""EN"",""JA"")"),"生物標本中の Entamoeba dispar の測定。")</f>
        <v>生物標本中の Entamoeba dispar の測定。</v>
      </c>
      <c r="K1496" s="1" t="str">
        <f>IFERROR(__xludf.DUMMYFUNCTION("GOOGLETRANSLATE(G1496,""EN"",""JA"")"),"エントアメーバ・ディスパー測定")</f>
        <v>エントアメーバ・ディスパー測定</v>
      </c>
    </row>
    <row r="1497" ht="13.5" customHeight="1">
      <c r="A1497" s="1" t="s">
        <v>67</v>
      </c>
      <c r="B1497" s="1" t="s">
        <v>7580</v>
      </c>
      <c r="C1497" s="1" t="s">
        <v>7581</v>
      </c>
      <c r="D1497" s="1" t="s">
        <v>7582</v>
      </c>
      <c r="E1497" s="1" t="s">
        <v>7582</v>
      </c>
      <c r="F1497" s="1" t="s">
        <v>7583</v>
      </c>
      <c r="G1497" s="1" t="s">
        <v>7584</v>
      </c>
      <c r="H1497" s="1" t="str">
        <f>IFERROR(__xludf.DUMMYFUNCTION("GOOGLETRANSLATE(D1497,""EN"",""JA"")"),"エントアメーバ・ディスパーDNA")</f>
        <v>エントアメーバ・ディスパーDNA</v>
      </c>
      <c r="I1497" s="1" t="str">
        <f>IFERROR(__xludf.DUMMYFUNCTION("GOOGLETRANSLATE(E1497,""EN"",""JA"")"),"エントアメーバ・ディスパーDNA")</f>
        <v>エントアメーバ・ディスパーDNA</v>
      </c>
      <c r="J1497" s="1" t="str">
        <f>IFERROR(__xludf.DUMMYFUNCTION("GOOGLETRANSLATE(F1497,""EN"",""JA"")"),"生物標本中の Entamoeba dispar DNA の測定。")</f>
        <v>生物標本中の Entamoeba dispar DNA の測定。</v>
      </c>
      <c r="K1497" s="1" t="str">
        <f>IFERROR(__xludf.DUMMYFUNCTION("GOOGLETRANSLATE(G1497,""EN"",""JA"")"),"赤ん坊ディスパー DNA 測定")</f>
        <v>赤ん坊ディスパー DNA 測定</v>
      </c>
    </row>
    <row r="1498" ht="13.5" customHeight="1">
      <c r="A1498" s="1" t="s">
        <v>601</v>
      </c>
      <c r="B1498" s="1" t="s">
        <v>7585</v>
      </c>
      <c r="C1498" s="1" t="s">
        <v>7586</v>
      </c>
      <c r="D1498" s="1" t="s">
        <v>7587</v>
      </c>
      <c r="E1498" s="1" t="s">
        <v>7587</v>
      </c>
      <c r="F1498" s="1" t="s">
        <v>7588</v>
      </c>
      <c r="G1498" s="1" t="s">
        <v>7589</v>
      </c>
      <c r="H1498" s="1" t="str">
        <f>IFERROR(__xludf.DUMMYFUNCTION("GOOGLETRANSLATE(D1498,""EN"",""JA"")"),"配達予定日")</f>
        <v>配達予定日</v>
      </c>
      <c r="I1498" s="1" t="str">
        <f>IFERROR(__xludf.DUMMYFUNCTION("GOOGLETRANSLATE(E1498,""EN"",""JA"")"),"配達予定日")</f>
        <v>配達予定日</v>
      </c>
      <c r="J1498" s="1" t="str">
        <f>IFERROR(__xludf.DUMMYFUNCTION("GOOGLETRANSLATE(F1498,""EN"",""JA"")"),"配達予定日の概算計算です。")</f>
        <v>配達予定日の概算計算です。</v>
      </c>
      <c r="K1498" s="1" t="str">
        <f>IFERROR(__xludf.DUMMYFUNCTION("GOOGLETRANSLATE(G1498,""EN"",""JA"")"),"出産予定日")</f>
        <v>出産予定日</v>
      </c>
    </row>
    <row r="1499" ht="13.5" customHeight="1">
      <c r="A1499" s="1" t="s">
        <v>160</v>
      </c>
      <c r="B1499" s="1" t="s">
        <v>7585</v>
      </c>
      <c r="C1499" s="1" t="s">
        <v>7586</v>
      </c>
      <c r="D1499" s="1" t="s">
        <v>7587</v>
      </c>
      <c r="E1499" s="1" t="s">
        <v>7587</v>
      </c>
      <c r="F1499" s="1" t="s">
        <v>7588</v>
      </c>
      <c r="G1499" s="1" t="s">
        <v>7589</v>
      </c>
      <c r="H1499" s="1" t="str">
        <f>IFERROR(__xludf.DUMMYFUNCTION("GOOGLETRANSLATE(D1499,""EN"",""JA"")"),"配達予定日")</f>
        <v>配達予定日</v>
      </c>
      <c r="I1499" s="1" t="str">
        <f>IFERROR(__xludf.DUMMYFUNCTION("GOOGLETRANSLATE(E1499,""EN"",""JA"")"),"配達予定日")</f>
        <v>配達予定日</v>
      </c>
      <c r="J1499" s="1" t="str">
        <f>IFERROR(__xludf.DUMMYFUNCTION("GOOGLETRANSLATE(F1499,""EN"",""JA"")"),"配達予定日の概算計算です。")</f>
        <v>配達予定日の概算計算です。</v>
      </c>
      <c r="K1499" s="1" t="str">
        <f>IFERROR(__xludf.DUMMYFUNCTION("GOOGLETRANSLATE(G1499,""EN"",""JA"")"),"出産予定日")</f>
        <v>出産予定日</v>
      </c>
    </row>
    <row r="1500" ht="13.5" customHeight="1">
      <c r="A1500" s="1" t="s">
        <v>11</v>
      </c>
      <c r="B1500" s="1" t="s">
        <v>7590</v>
      </c>
      <c r="C1500" s="1" t="s">
        <v>7591</v>
      </c>
      <c r="D1500" s="1" t="s">
        <v>7592</v>
      </c>
      <c r="E1500" s="1" t="s">
        <v>7593</v>
      </c>
      <c r="F1500" s="1" t="s">
        <v>7594</v>
      </c>
      <c r="G1500" s="1" t="s">
        <v>7595</v>
      </c>
      <c r="H1500" s="1" t="str">
        <f>IFERROR(__xludf.DUMMYFUNCTION("GOOGLETRANSLATE(D1500,""EN"",""JA"")"),"好酸球由来神経毒素")</f>
        <v>好酸球由来神経毒素</v>
      </c>
      <c r="I1500" s="1" t="str">
        <f>IFERROR(__xludf.DUMMYFUNCTION("GOOGLETRANSLATE(E1500,""EN"",""JA"")"),"好酸球タンパク質X; 好酸球由来神経毒素; RAF3; リボヌクレアーゼAファミリーメンバー2")</f>
        <v>好酸球タンパク質X; 好酸球由来神経毒素; RAF3; リボヌクレアーゼAファミリーメンバー2</v>
      </c>
      <c r="J1500" s="1" t="str">
        <f>IFERROR(__xludf.DUMMYFUNCTION("GOOGLETRANSLATE(F1500,""EN"",""JA"")"),"生物標本中の好酸球由来神経毒素の測定。")</f>
        <v>生物標本中の好酸球由来神経毒素の測定。</v>
      </c>
      <c r="K1500" s="1" t="str">
        <f>IFERROR(__xludf.DUMMYFUNCTION("GOOGLETRANSLATE(G1500,""EN"",""JA"")"),"好酸球由来神経毒素測定")</f>
        <v>好酸球由来神経毒素測定</v>
      </c>
    </row>
    <row r="1501" ht="13.5" customHeight="1">
      <c r="A1501" s="1" t="s">
        <v>11</v>
      </c>
      <c r="B1501" s="1" t="s">
        <v>7596</v>
      </c>
      <c r="C1501" s="1" t="s">
        <v>7597</v>
      </c>
      <c r="D1501" s="1" t="s">
        <v>7598</v>
      </c>
      <c r="E1501" s="1" t="s">
        <v>7598</v>
      </c>
      <c r="F1501" s="1" t="s">
        <v>7599</v>
      </c>
      <c r="G1501" s="1" t="s">
        <v>7598</v>
      </c>
      <c r="H1501" s="1" t="str">
        <f>IFERROR(__xludf.DUMMYFUNCTION("GOOGLETRANSLATE(D1501,""EN"",""JA"")"),"EDTAクリアランス")</f>
        <v>EDTAクリアランス</v>
      </c>
      <c r="I1501" s="1" t="str">
        <f>IFERROR(__xludf.DUMMYFUNCTION("GOOGLETRANSLATE(E1501,""EN"",""JA"")"),"EDTAクリアランス")</f>
        <v>EDTAクリアランス</v>
      </c>
      <c r="J1501" s="1" t="str">
        <f>IFERROR(__xludf.DUMMYFUNCTION("GOOGLETRANSLATE(F1501,""EN"",""JA"")"),"指定された時間単位（例：1 分）に尿として排出され、エチレンジアミン四酢酸（EDTA）が除去される血清または血漿の量の測定値。")</f>
        <v>指定された時間単位（例：1 分）に尿として排出され、エチレンジアミン四酢酸（EDTA）が除去される血清または血漿の量の測定値。</v>
      </c>
      <c r="K1501" s="1" t="str">
        <f>IFERROR(__xludf.DUMMYFUNCTION("GOOGLETRANSLATE(G1501,""EN"",""JA"")"),"EDTAクリアランス")</f>
        <v>EDTAクリアランス</v>
      </c>
    </row>
    <row r="1502" ht="13.5" customHeight="1">
      <c r="A1502" s="1" t="s">
        <v>601</v>
      </c>
      <c r="B1502" s="1" t="s">
        <v>7600</v>
      </c>
      <c r="C1502" s="1" t="s">
        <v>7601</v>
      </c>
      <c r="D1502" s="1" t="s">
        <v>7602</v>
      </c>
      <c r="E1502" s="1" t="s">
        <v>7602</v>
      </c>
      <c r="F1502" s="1" t="s">
        <v>7603</v>
      </c>
      <c r="G1502" s="1" t="s">
        <v>7604</v>
      </c>
      <c r="H1502" s="1" t="str">
        <f>IFERROR(__xludf.DUMMYFUNCTION("GOOGLETRANSLATE(D1502,""EN"",""JA"")"),"取得した教育レベル")</f>
        <v>取得した教育レベル</v>
      </c>
      <c r="I1502" s="1" t="str">
        <f>IFERROR(__xludf.DUMMYFUNCTION("GOOGLETRANSLATE(E1502,""EN"",""JA"")"),"取得した教育レベル")</f>
        <v>取得した教育レベル</v>
      </c>
      <c r="J1502" s="1" t="str">
        <f>IFERROR(__xludf.DUMMYFUNCTION("GOOGLETRANSLATE(F1502,""EN"",""JA"")"),"個人が達成した最高レベルの教育。")</f>
        <v>個人が達成した最高レベルの教育。</v>
      </c>
      <c r="K1502" s="1" t="str">
        <f>IFERROR(__xludf.DUMMYFUNCTION("GOOGLETRANSLATE(G1502,""EN"",""JA"")"),"教育レベル")</f>
        <v>教育レベル</v>
      </c>
    </row>
    <row r="1503" ht="13.5" customHeight="1">
      <c r="A1503" s="1" t="s">
        <v>601</v>
      </c>
      <c r="B1503" s="1" t="s">
        <v>7605</v>
      </c>
      <c r="C1503" s="1" t="s">
        <v>7606</v>
      </c>
      <c r="D1503" s="1" t="s">
        <v>7607</v>
      </c>
      <c r="E1503" s="1" t="s">
        <v>7607</v>
      </c>
      <c r="F1503" s="1" t="s">
        <v>7608</v>
      </c>
      <c r="G1503" s="1" t="s">
        <v>7607</v>
      </c>
      <c r="H1503" s="1" t="str">
        <f>IFERROR(__xludf.DUMMYFUNCTION("GOOGLETRANSLATE(D1503,""EN"",""JA"")"),"教育年数")</f>
        <v>教育年数</v>
      </c>
      <c r="I1503" s="1" t="str">
        <f>IFERROR(__xludf.DUMMYFUNCTION("GOOGLETRANSLATE(E1503,""EN"",""JA"")"),"教育年数")</f>
        <v>教育年数</v>
      </c>
      <c r="J1503" s="1" t="str">
        <f>IFERROR(__xludf.DUMMYFUNCTION("GOOGLETRANSLATE(F1503,""EN"",""JA"")"),"個人が完了した教育の年数。")</f>
        <v>個人が完了した教育の年数。</v>
      </c>
      <c r="K1503" s="1" t="str">
        <f>IFERROR(__xludf.DUMMYFUNCTION("GOOGLETRANSLATE(G1503,""EN"",""JA"")"),"教育年数")</f>
        <v>教育年数</v>
      </c>
    </row>
    <row r="1504" ht="13.5" customHeight="1">
      <c r="A1504" s="1" t="s">
        <v>90</v>
      </c>
      <c r="B1504" s="1" t="s">
        <v>7609</v>
      </c>
      <c r="C1504" s="1" t="s">
        <v>7610</v>
      </c>
      <c r="D1504" s="1" t="s">
        <v>7611</v>
      </c>
      <c r="E1504" s="1" t="s">
        <v>7612</v>
      </c>
      <c r="F1504" s="1" t="s">
        <v>7613</v>
      </c>
      <c r="G1504" s="1" t="s">
        <v>7611</v>
      </c>
      <c r="H1504" s="1" t="str">
        <f>IFERROR(__xludf.DUMMYFUNCTION("GOOGLETRANSLATE(D1504,""EN"",""JA"")"),"拡張期末容積")</f>
        <v>拡張期末容積</v>
      </c>
      <c r="I1504" s="1" t="str">
        <f>IFERROR(__xludf.DUMMYFUNCTION("GOOGLETRANSLATE(E1504,""EN"",""JA"")"),"拡張期末血液量; 拡張期末血液量")</f>
        <v>拡張期末血液量; 拡張期末血液量</v>
      </c>
      <c r="J1504" s="1" t="str">
        <f>IFERROR(__xludf.DUMMYFUNCTION("GOOGLETRANSLATE(F1504,""EN"",""JA"")"),"拡張期末に心室または心房に残っている血液の量。")</f>
        <v>拡張期末に心室または心房に残っている血液の量。</v>
      </c>
      <c r="K1504" s="1" t="str">
        <f>IFERROR(__xludf.DUMMYFUNCTION("GOOGLETRANSLATE(G1504,""EN"",""JA"")"),"拡張期末容積")</f>
        <v>拡張期末容積</v>
      </c>
    </row>
    <row r="1505" ht="13.5" customHeight="1">
      <c r="A1505" s="1" t="s">
        <v>67</v>
      </c>
      <c r="B1505" s="1" t="s">
        <v>7614</v>
      </c>
      <c r="C1505" s="1" t="s">
        <v>7615</v>
      </c>
      <c r="D1505" s="1" t="s">
        <v>7616</v>
      </c>
      <c r="E1505" s="1" t="s">
        <v>7617</v>
      </c>
      <c r="F1505" s="1" t="s">
        <v>7618</v>
      </c>
      <c r="G1505" s="1" t="s">
        <v>7619</v>
      </c>
      <c r="H1505" s="1" t="str">
        <f>IFERROR(__xludf.DUMMYFUNCTION("GOOGLETRANSLATE(D1505,""EN"",""JA"")"),"エンテロコッカス・フェカリス")</f>
        <v>エンテロコッカス・フェカリス</v>
      </c>
      <c r="I1505" s="1" t="str">
        <f>IFERROR(__xludf.DUMMYFUNCTION("GOOGLETRANSLATE(E1505,""EN"",""JA"")"),"連鎖球菌フェカリス")</f>
        <v>連鎖球菌フェカリス</v>
      </c>
      <c r="J1505" s="1" t="str">
        <f>IFERROR(__xludf.DUMMYFUNCTION("GOOGLETRANSLATE(F1505,""EN"",""JA"")"),"生物標本中のエンテロコッカス・フェカリスの測定。")</f>
        <v>生物標本中のエンテロコッカス・フェカリスの測定。</v>
      </c>
      <c r="K1505" s="1" t="str">
        <f>IFERROR(__xludf.DUMMYFUNCTION("GOOGLETRANSLATE(G1505,""EN"",""JA"")"),"エンテロコッカス・フェカリス測定")</f>
        <v>エンテロコッカス・フェカリス測定</v>
      </c>
    </row>
    <row r="1506" ht="13.5" customHeight="1">
      <c r="A1506" s="1" t="s">
        <v>67</v>
      </c>
      <c r="B1506" s="1" t="s">
        <v>7620</v>
      </c>
      <c r="C1506" s="1" t="s">
        <v>7621</v>
      </c>
      <c r="D1506" s="1" t="s">
        <v>7622</v>
      </c>
      <c r="E1506" s="1" t="s">
        <v>7622</v>
      </c>
      <c r="F1506" s="1" t="s">
        <v>7623</v>
      </c>
      <c r="G1506" s="1" t="s">
        <v>7624</v>
      </c>
      <c r="H1506" s="1" t="str">
        <f>IFERROR(__xludf.DUMMYFUNCTION("GOOGLETRANSLATE(D1506,""EN"",""JA"")"),"エンテロコッカス・フェカリスDNA")</f>
        <v>エンテロコッカス・フェカリスDNA</v>
      </c>
      <c r="I1506" s="1" t="str">
        <f>IFERROR(__xludf.DUMMYFUNCTION("GOOGLETRANSLATE(E1506,""EN"",""JA"")"),"エンテロコッカス・フェカリスDNA")</f>
        <v>エンテロコッカス・フェカリスDNA</v>
      </c>
      <c r="J1506" s="1" t="str">
        <f>IFERROR(__xludf.DUMMYFUNCTION("GOOGLETRANSLATE(F1506,""EN"",""JA"")"),"生物標本中の Enterococcus faecalis DNA の測定。")</f>
        <v>生物標本中の Enterococcus faecalis DNA の測定。</v>
      </c>
      <c r="K1506" s="1" t="str">
        <f>IFERROR(__xludf.DUMMYFUNCTION("GOOGLETRANSLATE(G1506,""EN"",""JA"")"),"エンテロコッカス・フェカリスのDNA測定")</f>
        <v>エンテロコッカス・フェカリスのDNA測定</v>
      </c>
    </row>
    <row r="1507" ht="13.5" customHeight="1">
      <c r="A1507" s="1" t="s">
        <v>67</v>
      </c>
      <c r="B1507" s="1" t="s">
        <v>7625</v>
      </c>
      <c r="C1507" s="1" t="s">
        <v>7626</v>
      </c>
      <c r="D1507" s="1" t="s">
        <v>7627</v>
      </c>
      <c r="E1507" s="1" t="s">
        <v>7627</v>
      </c>
      <c r="F1507" s="1" t="s">
        <v>7628</v>
      </c>
      <c r="G1507" s="1" t="s">
        <v>7629</v>
      </c>
      <c r="H1507" s="1" t="str">
        <f>IFERROR(__xludf.DUMMYFUNCTION("GOOGLETRANSLATE(D1507,""EN"",""JA"")"),"エンテロコッカス・フェシウム")</f>
        <v>エンテロコッカス・フェシウム</v>
      </c>
      <c r="I1507" s="1" t="str">
        <f>IFERROR(__xludf.DUMMYFUNCTION("GOOGLETRANSLATE(E1507,""EN"",""JA"")"),"エンテロコッカス・フェシウム")</f>
        <v>エンテロコッカス・フェシウム</v>
      </c>
      <c r="J1507" s="1" t="str">
        <f>IFERROR(__xludf.DUMMYFUNCTION("GOOGLETRANSLATE(F1507,""EN"",""JA"")"),"生物標本中の Enterococcus faecium の測定。")</f>
        <v>生物標本中の Enterococcus faecium の測定。</v>
      </c>
      <c r="K1507" s="1" t="str">
        <f>IFERROR(__xludf.DUMMYFUNCTION("GOOGLETRANSLATE(G1507,""EN"",""JA"")"),"エンテロコッカス・フェシウム測定")</f>
        <v>エンテロコッカス・フェシウム測定</v>
      </c>
    </row>
    <row r="1508" ht="13.5" customHeight="1">
      <c r="A1508" s="1" t="s">
        <v>67</v>
      </c>
      <c r="B1508" s="1" t="s">
        <v>7630</v>
      </c>
      <c r="C1508" s="1" t="s">
        <v>7631</v>
      </c>
      <c r="D1508" s="1" t="s">
        <v>7632</v>
      </c>
      <c r="E1508" s="1" t="s">
        <v>7632</v>
      </c>
      <c r="F1508" s="1" t="s">
        <v>7633</v>
      </c>
      <c r="G1508" s="1" t="s">
        <v>7634</v>
      </c>
      <c r="H1508" s="1" t="str">
        <f>IFERROR(__xludf.DUMMYFUNCTION("GOOGLETRANSLATE(D1508,""EN"",""JA"")"),"エシェリヒア・ファーガソニイ")</f>
        <v>エシェリヒア・ファーガソニイ</v>
      </c>
      <c r="I1508" s="1" t="str">
        <f>IFERROR(__xludf.DUMMYFUNCTION("GOOGLETRANSLATE(E1508,""EN"",""JA"")"),"エシェリヒア・ファーガソニイ")</f>
        <v>エシェリヒア・ファーガソニイ</v>
      </c>
      <c r="J1508" s="1" t="str">
        <f>IFERROR(__xludf.DUMMYFUNCTION("GOOGLETRANSLATE(F1508,""EN"",""JA"")"),"生物標本中の Escherichia fergusonii の測定。")</f>
        <v>生物標本中の Escherichia fergusonii の測定。</v>
      </c>
      <c r="K1508" s="1" t="str">
        <f>IFERROR(__xludf.DUMMYFUNCTION("GOOGLETRANSLATE(G1508,""EN"",""JA"")"),"Escherichia fergusonii 測定")</f>
        <v>Escherichia fergusonii 測定</v>
      </c>
    </row>
    <row r="1509" ht="13.5" customHeight="1">
      <c r="A1509" s="1" t="s">
        <v>870</v>
      </c>
      <c r="B1509" s="1" t="s">
        <v>7635</v>
      </c>
      <c r="C1509" s="1" t="s">
        <v>7636</v>
      </c>
      <c r="D1509" s="1" t="s">
        <v>7637</v>
      </c>
      <c r="E1509" s="1" t="s">
        <v>7637</v>
      </c>
      <c r="F1509" s="1" t="s">
        <v>7638</v>
      </c>
      <c r="G1509" s="1" t="s">
        <v>7639</v>
      </c>
      <c r="H1509" s="1" t="str">
        <f>IFERROR(__xludf.DUMMYFUNCTION("GOOGLETRANSLATE(D1509,""EN"",""JA"")"),"有効半減期")</f>
        <v>有効半減期</v>
      </c>
      <c r="I1509" s="1" t="str">
        <f>IFERROR(__xludf.DUMMYFUNCTION("GOOGLETRANSLATE(E1509,""EN"",""JA"")"),"有効半減期")</f>
        <v>有効半減期</v>
      </c>
      <c r="J1509" s="1" t="str">
        <f>IFERROR(__xludf.DUMMYFUNCTION("GOOGLETRANSLATE(F1509,""EN"",""JA"")"),"薬物を複数回投与した後の蓄積率を定量化した薬物半減期。")</f>
        <v>薬物を複数回投与した後の蓄積率を定量化した薬物半減期。</v>
      </c>
      <c r="K1509" s="1" t="str">
        <f>IFERROR(__xludf.DUMMYFUNCTION("GOOGLETRANSLATE(G1509,""EN"",""JA"")"),"有効半減期")</f>
        <v>有効半減期</v>
      </c>
    </row>
    <row r="1510" ht="13.5" customHeight="1">
      <c r="A1510" s="1" t="s">
        <v>580</v>
      </c>
      <c r="B1510" s="1" t="s">
        <v>7640</v>
      </c>
      <c r="C1510" s="1" t="s">
        <v>7641</v>
      </c>
      <c r="D1510" s="1" t="s">
        <v>7642</v>
      </c>
      <c r="E1510" s="1" t="s">
        <v>7642</v>
      </c>
      <c r="F1510" s="1" t="s">
        <v>7643</v>
      </c>
      <c r="G1510" s="1" t="s">
        <v>7642</v>
      </c>
      <c r="H1510" s="1" t="str">
        <f>IFERROR(__xludf.DUMMYFUNCTION("GOOGLETRANSLATE(D1510,""EN"",""JA"")"),"滲出液インジケーター")</f>
        <v>滲出液インジケーター</v>
      </c>
      <c r="I1510" s="1" t="str">
        <f>IFERROR(__xludf.DUMMYFUNCTION("GOOGLETRANSLATE(E1510,""EN"",""JA"")"),"滲出液インジケーター")</f>
        <v>滲出液インジケーター</v>
      </c>
      <c r="J1510" s="1" t="str">
        <f>IFERROR(__xludf.DUMMYFUNCTION("GOOGLETRANSLATE(F1510,""EN"",""JA"")"),"滲出液が存在するかどうかを示します。")</f>
        <v>滲出液が存在するかどうかを示します。</v>
      </c>
      <c r="K1510" s="1" t="str">
        <f>IFERROR(__xludf.DUMMYFUNCTION("GOOGLETRANSLATE(G1510,""EN"",""JA"")"),"滲出液インジケーター")</f>
        <v>滲出液インジケーター</v>
      </c>
    </row>
    <row r="1511" ht="13.5" customHeight="1">
      <c r="A1511" s="1" t="s">
        <v>90</v>
      </c>
      <c r="B1511" s="1" t="s">
        <v>7644</v>
      </c>
      <c r="C1511" s="1" t="s">
        <v>7645</v>
      </c>
      <c r="D1511" s="1" t="s">
        <v>7646</v>
      </c>
      <c r="E1511" s="1" t="s">
        <v>7646</v>
      </c>
      <c r="F1511" s="1" t="s">
        <v>7647</v>
      </c>
      <c r="G1511" s="1" t="s">
        <v>7646</v>
      </c>
      <c r="H1511" s="1" t="str">
        <f>IFERROR(__xludf.DUMMYFUNCTION("GOOGLETRANSLATE(D1511,""EN"",""JA"")"),"有効逆流口面積")</f>
        <v>有効逆流口面積</v>
      </c>
      <c r="I1511" s="1" t="str">
        <f>IFERROR(__xludf.DUMMYFUNCTION("GOOGLETRANSLATE(E1511,""EN"",""JA"")"),"有効逆流口面積")</f>
        <v>有効逆流口面積</v>
      </c>
      <c r="J1511" s="1" t="str">
        <f>IFERROR(__xludf.DUMMYFUNCTION("GOOGLETRANSLATE(F1511,""EN"",""JA"")"),"バルブの有効逆流オリフィス面積の測定。")</f>
        <v>バルブの有効逆流オリフィス面積の測定。</v>
      </c>
      <c r="K1511" s="1" t="str">
        <f>IFERROR(__xludf.DUMMYFUNCTION("GOOGLETRANSLATE(G1511,""EN"",""JA"")"),"有効逆流口面積")</f>
        <v>有効逆流口面積</v>
      </c>
    </row>
    <row r="1512" ht="13.5" customHeight="1">
      <c r="A1512" s="1" t="s">
        <v>580</v>
      </c>
      <c r="B1512" s="1" t="s">
        <v>7648</v>
      </c>
      <c r="C1512" s="1" t="s">
        <v>7649</v>
      </c>
      <c r="D1512" s="1" t="s">
        <v>7650</v>
      </c>
      <c r="E1512" s="1" t="s">
        <v>7650</v>
      </c>
      <c r="F1512" s="1" t="s">
        <v>7651</v>
      </c>
      <c r="G1512" s="1" t="s">
        <v>7652</v>
      </c>
      <c r="H1512" s="1" t="str">
        <f>IFERROR(__xludf.DUMMYFUNCTION("GOOGLETRANSLATE(D1512,""EN"",""JA"")"),"滲出液量")</f>
        <v>滲出液量</v>
      </c>
      <c r="I1512" s="1" t="str">
        <f>IFERROR(__xludf.DUMMYFUNCTION("GOOGLETRANSLATE(E1512,""EN"",""JA"")"),"滲出液量")</f>
        <v>滲出液量</v>
      </c>
      <c r="J1512" s="1" t="str">
        <f>IFERROR(__xludf.DUMMYFUNCTION("GOOGLETRANSLATE(F1512,""EN"",""JA"")"),"滲出液が占める三次元空間の量。")</f>
        <v>滲出液が占める三次元空間の量。</v>
      </c>
      <c r="K1512" s="1" t="str">
        <f>IFERROR(__xludf.DUMMYFUNCTION("GOOGLETRANSLATE(G1512,""EN"",""JA"")"),"滲出液量測定")</f>
        <v>滲出液量測定</v>
      </c>
    </row>
    <row r="1513" ht="13.5" customHeight="1">
      <c r="A1513" s="1" t="s">
        <v>67</v>
      </c>
      <c r="B1513" s="1" t="s">
        <v>7653</v>
      </c>
      <c r="C1513" s="1" t="s">
        <v>7654</v>
      </c>
      <c r="D1513" s="1" t="s">
        <v>7655</v>
      </c>
      <c r="E1513" s="1" t="s">
        <v>7655</v>
      </c>
      <c r="F1513" s="1" t="s">
        <v>7656</v>
      </c>
      <c r="G1513" s="1" t="s">
        <v>7657</v>
      </c>
      <c r="H1513" s="1" t="str">
        <f>IFERROR(__xludf.DUMMYFUNCTION("GOOGLETRANSLATE(D1513,""EN"",""JA"")"),"エンテロコッカス・ガリナラム")</f>
        <v>エンテロコッカス・ガリナラム</v>
      </c>
      <c r="I1513" s="1" t="str">
        <f>IFERROR(__xludf.DUMMYFUNCTION("GOOGLETRANSLATE(E1513,""EN"",""JA"")"),"エンテロコッカス・ガリナラム")</f>
        <v>エンテロコッカス・ガリナラム</v>
      </c>
      <c r="J1513" s="1" t="str">
        <f>IFERROR(__xludf.DUMMYFUNCTION("GOOGLETRANSLATE(F1513,""EN"",""JA"")"),"生物学的標本中の Enterococcus gallinarum の測定。")</f>
        <v>生物学的標本中の Enterococcus gallinarum の測定。</v>
      </c>
      <c r="K1513" s="1" t="str">
        <f>IFERROR(__xludf.DUMMYFUNCTION("GOOGLETRANSLATE(G1513,""EN"",""JA"")"),"エンテロコッカス・ガリナルムの測定")</f>
        <v>エンテロコッカス・ガリナルムの測定</v>
      </c>
    </row>
    <row r="1514" ht="13.5" customHeight="1">
      <c r="A1514" s="1" t="s">
        <v>1168</v>
      </c>
      <c r="B1514" s="1" t="s">
        <v>7658</v>
      </c>
      <c r="C1514" s="1" t="s">
        <v>7659</v>
      </c>
      <c r="D1514" s="1" t="s">
        <v>7660</v>
      </c>
      <c r="E1514" s="1" t="s">
        <v>7660</v>
      </c>
      <c r="F1514" s="1" t="s">
        <v>7661</v>
      </c>
      <c r="G1514" s="1" t="s">
        <v>7662</v>
      </c>
      <c r="H1514" s="1" t="str">
        <f>IFERROR(__xludf.DUMMYFUNCTION("GOOGLETRANSLATE(D1514,""EN"",""JA"")"),"心電図最大心房拍数")</f>
        <v>心電図最大心房拍数</v>
      </c>
      <c r="I1514" s="1" t="str">
        <f>IFERROR(__xludf.DUMMYFUNCTION("GOOGLETRANSLATE(E1514,""EN"",""JA"")"),"心電図最大心房拍数")</f>
        <v>心電図最大心房拍数</v>
      </c>
      <c r="J1514" s="1" t="str">
        <f>IFERROR(__xludf.DUMMYFUNCTION("GOOGLETRANSLATE(F1514,""EN"",""JA"")"),"一定時間内に記録された心房の脱分極 (P 波) の最大レートの心電図測定値。通常は 1 分あたりの拍動数で表されます。")</f>
        <v>一定時間内に記録された心房の脱分極 (P 波) の最大レートの心電図測定値。通常は 1 分あたりの拍動数で表されます。</v>
      </c>
      <c r="K1514" s="1" t="str">
        <f>IFERROR(__xludf.DUMMYFUNCTION("GOOGLETRANSLATE(G1514,""EN"",""JA"")"),"心電図による最大心房拍動数")</f>
        <v>心電図による最大心房拍動数</v>
      </c>
    </row>
    <row r="1515" ht="13.5" customHeight="1">
      <c r="A1515" s="1" t="s">
        <v>1168</v>
      </c>
      <c r="B1515" s="1" t="s">
        <v>7663</v>
      </c>
      <c r="C1515" s="1" t="s">
        <v>7664</v>
      </c>
      <c r="D1515" s="1" t="s">
        <v>7665</v>
      </c>
      <c r="E1515" s="1" t="s">
        <v>7665</v>
      </c>
      <c r="F1515" s="1" t="s">
        <v>7666</v>
      </c>
      <c r="G1515" s="1" t="s">
        <v>7667</v>
      </c>
      <c r="H1515" s="1" t="str">
        <f>IFERROR(__xludf.DUMMYFUNCTION("GOOGLETRANSLATE(D1515,""EN"",""JA"")"),"心電図中央心房拍数")</f>
        <v>心電図中央心房拍数</v>
      </c>
      <c r="I1515" s="1" t="str">
        <f>IFERROR(__xludf.DUMMYFUNCTION("GOOGLETRANSLATE(E1515,""EN"",""JA"")"),"心電図中央心房拍数")</f>
        <v>心電図中央心房拍数</v>
      </c>
      <c r="J1515" s="1" t="str">
        <f>IFERROR(__xludf.DUMMYFUNCTION("GOOGLETRANSLATE(F1515,""EN"",""JA"")"),"一定時間内に記録された心房の脱分極 (P 波) の中央値を示す心電図測定値。通常は 1 分あたりの拍動数で表されます。")</f>
        <v>一定時間内に記録された心房の脱分極 (P 波) の中央値を示す心電図測定値。通常は 1 分あたりの拍動数で表されます。</v>
      </c>
      <c r="K1515" s="1" t="str">
        <f>IFERROR(__xludf.DUMMYFUNCTION("GOOGLETRANSLATE(G1515,""EN"",""JA"")"),"心電図による心房拍動数の中央値")</f>
        <v>心電図による心房拍動数の中央値</v>
      </c>
    </row>
    <row r="1516" ht="13.5" customHeight="1">
      <c r="A1516" s="1" t="s">
        <v>1168</v>
      </c>
      <c r="B1516" s="1" t="s">
        <v>7668</v>
      </c>
      <c r="C1516" s="1" t="s">
        <v>7669</v>
      </c>
      <c r="D1516" s="1" t="s">
        <v>7670</v>
      </c>
      <c r="E1516" s="1" t="s">
        <v>7670</v>
      </c>
      <c r="F1516" s="1" t="s">
        <v>7671</v>
      </c>
      <c r="G1516" s="1" t="s">
        <v>7672</v>
      </c>
      <c r="H1516" s="1" t="str">
        <f>IFERROR(__xludf.DUMMYFUNCTION("GOOGLETRANSLATE(D1516,""EN"",""JA"")"),"心電図最小心房拍数")</f>
        <v>心電図最小心房拍数</v>
      </c>
      <c r="I1516" s="1" t="str">
        <f>IFERROR(__xludf.DUMMYFUNCTION("GOOGLETRANSLATE(E1516,""EN"",""JA"")"),"心電図最小心房拍数")</f>
        <v>心電図最小心房拍数</v>
      </c>
      <c r="J1516" s="1" t="str">
        <f>IFERROR(__xludf.DUMMYFUNCTION("GOOGLETRANSLATE(F1516,""EN"",""JA"")"),"一定時間内に記録された心房の脱分極 (P 波) の最小レートの心電図測定値。通常は 1 分あたりの拍動数で表されます。")</f>
        <v>一定時間内に記録された心房の脱分極 (P 波) の最小レートの心電図測定値。通常は 1 分あたりの拍動数で表されます。</v>
      </c>
      <c r="K1516" s="1" t="str">
        <f>IFERROR(__xludf.DUMMYFUNCTION("GOOGLETRANSLATE(G1516,""EN"",""JA"")"),"心電図による最小心房拍動数")</f>
        <v>心電図による最小心房拍動数</v>
      </c>
    </row>
    <row r="1517" ht="13.5" customHeight="1">
      <c r="A1517" s="1" t="s">
        <v>1168</v>
      </c>
      <c r="B1517" s="1" t="s">
        <v>7673</v>
      </c>
      <c r="C1517" s="1" t="s">
        <v>7674</v>
      </c>
      <c r="D1517" s="1" t="s">
        <v>7675</v>
      </c>
      <c r="E1517" s="1" t="s">
        <v>7675</v>
      </c>
      <c r="F1517" s="1" t="s">
        <v>7676</v>
      </c>
      <c r="G1517" s="1" t="s">
        <v>7677</v>
      </c>
      <c r="H1517" s="1" t="str">
        <f>IFERROR(__xludf.DUMMYFUNCTION("GOOGLETRANSLATE(D1517,""EN"",""JA"")"),"心電図平均心房拍数")</f>
        <v>心電図平均心房拍数</v>
      </c>
      <c r="I1517" s="1" t="str">
        <f>IFERROR(__xludf.DUMMYFUNCTION("GOOGLETRANSLATE(E1517,""EN"",""JA"")"),"心電図平均心房拍数")</f>
        <v>心電図平均心房拍数</v>
      </c>
      <c r="J1517" s="1" t="str">
        <f>IFERROR(__xludf.DUMMYFUNCTION("GOOGLETRANSLATE(F1517,""EN"",""JA"")"),"一定時間内に記録された心房の脱分極 (P 波) の平均速度を心電図で測定したもので、通常は 1 分あたりの拍動数で表されます。")</f>
        <v>一定時間内に記録された心房の脱分極 (P 波) の平均速度を心電図で測定したもので、通常は 1 分あたりの拍動数で表されます。</v>
      </c>
      <c r="K1517" s="1" t="str">
        <f>IFERROR(__xludf.DUMMYFUNCTION("GOOGLETRANSLATE(G1517,""EN"",""JA"")"),"心電図による平均心房拍動数")</f>
        <v>心電図による平均心房拍動数</v>
      </c>
    </row>
    <row r="1518" ht="13.5" customHeight="1">
      <c r="A1518" s="1" t="s">
        <v>397</v>
      </c>
      <c r="B1518" s="1" t="s">
        <v>7678</v>
      </c>
      <c r="C1518" s="1" t="s">
        <v>7679</v>
      </c>
      <c r="D1518" s="1" t="s">
        <v>7680</v>
      </c>
      <c r="E1518" s="1" t="s">
        <v>7680</v>
      </c>
      <c r="F1518" s="1" t="s">
        <v>7681</v>
      </c>
      <c r="G1518" s="1" t="s">
        <v>7682</v>
      </c>
      <c r="H1518" s="1" t="str">
        <f>IFERROR(__xludf.DUMMYFUNCTION("GOOGLETRANSLATE(D1518,""EN"",""JA"")"),"心電図の読み取りを盲検化する")</f>
        <v>心電図の読み取りを盲検化する</v>
      </c>
      <c r="I1518" s="1" t="str">
        <f>IFERROR(__xludf.DUMMYFUNCTION("GOOGLETRANSLATE(E1518,""EN"",""JA"")"),"心電図の読み取りを盲検化する")</f>
        <v>心電図の読み取りを盲検化する</v>
      </c>
      <c r="J1518" s="1" t="str">
        <f>IFERROR(__xludf.DUMMYFUNCTION("GOOGLETRANSLATE(F1518,""EN"",""JA"")"),"この研究の ECG の評価者が被験者の身元、時期、および治療について知らされていなかったかどうかを示します。")</f>
        <v>この研究の ECG の評価者が被験者の身元、時期、および治療について知らされていなかったかどうかを示します。</v>
      </c>
      <c r="K1518" s="1" t="str">
        <f>IFERROR(__xludf.DUMMYFUNCTION("GOOGLETRANSLATE(G1518,""EN"",""JA"")"),"ECG評価者の盲検化パラメータ")</f>
        <v>ECG評価者の盲検化パラメータ</v>
      </c>
    </row>
    <row r="1519" ht="13.5" customHeight="1">
      <c r="A1519" s="1" t="s">
        <v>1168</v>
      </c>
      <c r="B1519" s="1" t="s">
        <v>7683</v>
      </c>
      <c r="C1519" s="1" t="s">
        <v>7684</v>
      </c>
      <c r="D1519" s="1" t="s">
        <v>7685</v>
      </c>
      <c r="E1519" s="1" t="s">
        <v>7685</v>
      </c>
      <c r="F1519" s="1" t="s">
        <v>7686</v>
      </c>
      <c r="G1519" s="1" t="s">
        <v>7685</v>
      </c>
      <c r="H1519" s="1" t="str">
        <f>IFERROR(__xludf.DUMMYFUNCTION("GOOGLETRANSLATE(D1519,""EN"",""JA"")"),"以前の心電図との比較")</f>
        <v>以前の心電図との比較</v>
      </c>
      <c r="I1519" s="1" t="str">
        <f>IFERROR(__xludf.DUMMYFUNCTION("GOOGLETRANSLATE(E1519,""EN"",""JA"")"),"以前の心電図との比較")</f>
        <v>以前の心電図との比較</v>
      </c>
      <c r="J1519" s="1" t="str">
        <f>IFERROR(__xludf.DUMMYFUNCTION("GOOGLETRANSLATE(F1519,""EN"",""JA"")"),"心電図を前回の（比較対象）心電図と比較解釈する。比較対象心電図の定義は別途規定される場合がある。一般的な比較結果の値は、「改善」、「変化なし」、「悪化」のいずれかである。")</f>
        <v>心電図を前回の（比較対象）心電図と比較解釈する。比較対象心電図の定義は別途規定される場合がある。一般的な比較結果の値は、「改善」、「変化なし」、「悪化」のいずれかである。</v>
      </c>
      <c r="K1519" s="1" t="str">
        <f>IFERROR(__xludf.DUMMYFUNCTION("GOOGLETRANSLATE(G1519,""EN"",""JA"")"),"以前の心電図との比較")</f>
        <v>以前の心電図との比較</v>
      </c>
    </row>
    <row r="1520" ht="13.5" customHeight="1">
      <c r="A1520" s="1" t="s">
        <v>1168</v>
      </c>
      <c r="B1520" s="1" t="s">
        <v>7683</v>
      </c>
      <c r="C1520" s="1" t="s">
        <v>7684</v>
      </c>
      <c r="D1520" s="1" t="s">
        <v>7685</v>
      </c>
      <c r="E1520" s="1" t="s">
        <v>7685</v>
      </c>
      <c r="F1520" s="1" t="s">
        <v>7686</v>
      </c>
      <c r="G1520" s="1" t="s">
        <v>7685</v>
      </c>
      <c r="H1520" s="1" t="str">
        <f>IFERROR(__xludf.DUMMYFUNCTION("GOOGLETRANSLATE(D1520,""EN"",""JA"")"),"以前の心電図との比較")</f>
        <v>以前の心電図との比較</v>
      </c>
      <c r="I1520" s="1" t="str">
        <f>IFERROR(__xludf.DUMMYFUNCTION("GOOGLETRANSLATE(E1520,""EN"",""JA"")"),"以前の心電図との比較")</f>
        <v>以前の心電図との比較</v>
      </c>
      <c r="J1520" s="1" t="str">
        <f>IFERROR(__xludf.DUMMYFUNCTION("GOOGLETRANSLATE(F1520,""EN"",""JA"")"),"心電図を前回の（比較対象）心電図と比較解釈する。比較対象心電図の定義は別途規定される場合がある。一般的な比較結果の値は、「改善」、「変化なし」、「悪化」のいずれかである。")</f>
        <v>心電図を前回の（比較対象）心電図と比較解釈する。比較対象心電図の定義は別途規定される場合がある。一般的な比較結果の値は、「改善」、「変化なし」、「悪化」のいずれかである。</v>
      </c>
      <c r="K1520" s="1" t="str">
        <f>IFERROR(__xludf.DUMMYFUNCTION("GOOGLETRANSLATE(G1520,""EN"",""JA"")"),"以前の心電図との比較")</f>
        <v>以前の心電図との比較</v>
      </c>
    </row>
    <row r="1521" ht="13.5" customHeight="1">
      <c r="A1521" s="1" t="s">
        <v>1168</v>
      </c>
      <c r="B1521" s="1" t="s">
        <v>7683</v>
      </c>
      <c r="C1521" s="1" t="s">
        <v>7684</v>
      </c>
      <c r="D1521" s="1" t="s">
        <v>7685</v>
      </c>
      <c r="E1521" s="1" t="s">
        <v>7685</v>
      </c>
      <c r="F1521" s="1" t="s">
        <v>7686</v>
      </c>
      <c r="G1521" s="1" t="s">
        <v>7685</v>
      </c>
      <c r="H1521" s="1" t="str">
        <f>IFERROR(__xludf.DUMMYFUNCTION("GOOGLETRANSLATE(D1521,""EN"",""JA"")"),"以前の心電図との比較")</f>
        <v>以前の心電図との比較</v>
      </c>
      <c r="I1521" s="1" t="str">
        <f>IFERROR(__xludf.DUMMYFUNCTION("GOOGLETRANSLATE(E1521,""EN"",""JA"")"),"以前の心電図との比較")</f>
        <v>以前の心電図との比較</v>
      </c>
      <c r="J1521" s="1" t="str">
        <f>IFERROR(__xludf.DUMMYFUNCTION("GOOGLETRANSLATE(F1521,""EN"",""JA"")"),"心電図を前回の（比較対象）心電図と比較解釈する。比較対象心電図の定義は別途規定される場合がある。一般的な比較結果の値は、「改善」、「変化なし」、「悪化」のいずれかである。")</f>
        <v>心電図を前回の（比較対象）心電図と比較解釈する。比較対象心電図の定義は別途規定される場合がある。一般的な比較結果の値は、「改善」、「変化なし」、「悪化」のいずれかである。</v>
      </c>
      <c r="K1521" s="1" t="str">
        <f>IFERROR(__xludf.DUMMYFUNCTION("GOOGLETRANSLATE(G1521,""EN"",""JA"")"),"以前の心電図との比較")</f>
        <v>以前の心電図との比較</v>
      </c>
    </row>
    <row r="1522" ht="13.5" customHeight="1">
      <c r="A1522" s="1" t="s">
        <v>1168</v>
      </c>
      <c r="B1522" s="1" t="s">
        <v>7683</v>
      </c>
      <c r="C1522" s="1" t="s">
        <v>7684</v>
      </c>
      <c r="D1522" s="1" t="s">
        <v>7685</v>
      </c>
      <c r="E1522" s="1" t="s">
        <v>7685</v>
      </c>
      <c r="F1522" s="1" t="s">
        <v>7686</v>
      </c>
      <c r="G1522" s="1" t="s">
        <v>7685</v>
      </c>
      <c r="H1522" s="1" t="str">
        <f>IFERROR(__xludf.DUMMYFUNCTION("GOOGLETRANSLATE(D1522,""EN"",""JA"")"),"以前の心電図との比較")</f>
        <v>以前の心電図との比較</v>
      </c>
      <c r="I1522" s="1" t="str">
        <f>IFERROR(__xludf.DUMMYFUNCTION("GOOGLETRANSLATE(E1522,""EN"",""JA"")"),"以前の心電図との比較")</f>
        <v>以前の心電図との比較</v>
      </c>
      <c r="J1522" s="1" t="str">
        <f>IFERROR(__xludf.DUMMYFUNCTION("GOOGLETRANSLATE(F1522,""EN"",""JA"")"),"心電図を前回の（比較対象）心電図と比較解釈する。比較対象心電図の定義は別途規定される場合がある。一般的な比較結果の値は、「改善」、「変化なし」、「悪化」のいずれかである。")</f>
        <v>心電図を前回の（比較対象）心電図と比較解釈する。比較対象心電図の定義は別途規定される場合がある。一般的な比較結果の値は、「改善」、「変化なし」、「悪化」のいずれかである。</v>
      </c>
      <c r="K1522" s="1" t="str">
        <f>IFERROR(__xludf.DUMMYFUNCTION("GOOGLETRANSLATE(G1522,""EN"",""JA"")"),"以前の心電図との比較")</f>
        <v>以前の心電図との比較</v>
      </c>
    </row>
    <row r="1523" ht="13.5" customHeight="1">
      <c r="A1523" s="1" t="s">
        <v>397</v>
      </c>
      <c r="B1523" s="1" t="s">
        <v>7687</v>
      </c>
      <c r="C1523" s="1" t="s">
        <v>7688</v>
      </c>
      <c r="D1523" s="1" t="s">
        <v>7689</v>
      </c>
      <c r="E1523" s="1" t="s">
        <v>7689</v>
      </c>
      <c r="F1523" s="1" t="s">
        <v>7690</v>
      </c>
      <c r="G1523" s="1" t="s">
        <v>7691</v>
      </c>
      <c r="H1523" s="1" t="str">
        <f>IFERROR(__xludf.DUMMYFUNCTION("GOOGLETRANSLATE(D1523,""EN"",""JA"")"),"心電図持続モニタリング")</f>
        <v>心電図持続モニタリング</v>
      </c>
      <c r="I1523" s="1" t="str">
        <f>IFERROR(__xludf.DUMMYFUNCTION("GOOGLETRANSLATE(E1523,""EN"",""JA"")"),"心電図持続モニタリング")</f>
        <v>心電図持続モニタリング</v>
      </c>
      <c r="J1523" s="1" t="str">
        <f>IFERROR(__xludf.DUMMYFUNCTION("GOOGLETRANSLATE(F1523,""EN"",""JA"")"),"この研究の 10 秒間の ECG が連続記録から抽出されたかどうかを示します。")</f>
        <v>この研究の 10 秒間の ECG が連続記録から抽出されたかどうかを示します。</v>
      </c>
      <c r="K1523" s="1" t="str">
        <f>IFERROR(__xludf.DUMMYFUNCTION("GOOGLETRANSLATE(G1523,""EN"",""JA"")"),"ECG連続モニタリングインジケーター")</f>
        <v>ECG連続モニタリングインジケーター</v>
      </c>
    </row>
    <row r="1524" ht="13.5" customHeight="1">
      <c r="A1524" s="1" t="s">
        <v>601</v>
      </c>
      <c r="B1524" s="1" t="s">
        <v>7692</v>
      </c>
      <c r="C1524" s="1" t="s">
        <v>7693</v>
      </c>
      <c r="D1524" s="1" t="s">
        <v>7694</v>
      </c>
      <c r="E1524" s="1" t="s">
        <v>7694</v>
      </c>
      <c r="F1524" s="1" t="s">
        <v>7695</v>
      </c>
      <c r="G1524" s="1" t="s">
        <v>7694</v>
      </c>
      <c r="H1524" s="1" t="str">
        <f>IFERROR(__xludf.DUMMYFUNCTION("GOOGLETRANSLATE(D1524,""EN"",""JA"")"),"推定妊娠週数")</f>
        <v>推定妊娠週数</v>
      </c>
      <c r="I1524" s="1" t="str">
        <f>IFERROR(__xludf.DUMMYFUNCTION("GOOGLETRANSLATE(E1524,""EN"",""JA"")"),"推定妊娠週数")</f>
        <v>推定妊娠週数</v>
      </c>
      <c r="J1524" s="1" t="str">
        <f>IFERROR(__xludf.DUMMYFUNCTION("GOOGLETRANSLATE(F1524,""EN"",""JA"")"),"胎児、新生児、または乳児の在胎週数の概算。")</f>
        <v>胎児、新生児、または乳児の在胎週数の概算。</v>
      </c>
      <c r="K1524" s="1" t="str">
        <f>IFERROR(__xludf.DUMMYFUNCTION("GOOGLETRANSLATE(G1524,""EN"",""JA"")"),"推定妊娠週数")</f>
        <v>推定妊娠週数</v>
      </c>
    </row>
    <row r="1525" ht="13.5" customHeight="1">
      <c r="A1525" s="1" t="s">
        <v>160</v>
      </c>
      <c r="B1525" s="1" t="s">
        <v>7692</v>
      </c>
      <c r="C1525" s="1" t="s">
        <v>7693</v>
      </c>
      <c r="D1525" s="1" t="s">
        <v>7694</v>
      </c>
      <c r="E1525" s="1" t="s">
        <v>7694</v>
      </c>
      <c r="F1525" s="1" t="s">
        <v>7695</v>
      </c>
      <c r="G1525" s="1" t="s">
        <v>7694</v>
      </c>
      <c r="H1525" s="1" t="str">
        <f>IFERROR(__xludf.DUMMYFUNCTION("GOOGLETRANSLATE(D1525,""EN"",""JA"")"),"推定妊娠週数")</f>
        <v>推定妊娠週数</v>
      </c>
      <c r="I1525" s="1" t="str">
        <f>IFERROR(__xludf.DUMMYFUNCTION("GOOGLETRANSLATE(E1525,""EN"",""JA"")"),"推定妊娠週数")</f>
        <v>推定妊娠週数</v>
      </c>
      <c r="J1525" s="1" t="str">
        <f>IFERROR(__xludf.DUMMYFUNCTION("GOOGLETRANSLATE(F1525,""EN"",""JA"")"),"胎児、新生児、または乳児の在胎週数の概算。")</f>
        <v>胎児、新生児、または乳児の在胎週数の概算。</v>
      </c>
      <c r="K1525" s="1" t="str">
        <f>IFERROR(__xludf.DUMMYFUNCTION("GOOGLETRANSLATE(G1525,""EN"",""JA"")"),"推定妊娠週数")</f>
        <v>推定妊娠週数</v>
      </c>
    </row>
    <row r="1526" ht="13.5" customHeight="1">
      <c r="A1526" s="1" t="s">
        <v>11</v>
      </c>
      <c r="B1526" s="1" t="s">
        <v>7696</v>
      </c>
      <c r="C1526" s="1" t="s">
        <v>7697</v>
      </c>
      <c r="D1526" s="1" t="s">
        <v>7698</v>
      </c>
      <c r="E1526" s="1" t="s">
        <v>7698</v>
      </c>
      <c r="F1526" s="1" t="s">
        <v>7699</v>
      </c>
      <c r="G1526" s="1" t="s">
        <v>7700</v>
      </c>
      <c r="H1526" s="1" t="str">
        <f>IFERROR(__xludf.DUMMYFUNCTION("GOOGLETRANSLATE(D1526,""EN"",""JA"")"),"上皮成長因子")</f>
        <v>上皮成長因子</v>
      </c>
      <c r="I1526" s="1" t="str">
        <f>IFERROR(__xludf.DUMMYFUNCTION("GOOGLETRANSLATE(E1526,""EN"",""JA"")"),"上皮成長因子")</f>
        <v>上皮成長因子</v>
      </c>
      <c r="J1526" s="1" t="str">
        <f>IFERROR(__xludf.DUMMYFUNCTION("GOOGLETRANSLATE(F1526,""EN"",""JA"")"),"生物標本中の表皮成長因子の測定。")</f>
        <v>生物標本中の表皮成長因子の測定。</v>
      </c>
      <c r="K1526" s="1" t="str">
        <f>IFERROR(__xludf.DUMMYFUNCTION("GOOGLETRANSLATE(G1526,""EN"",""JA"")"),"上皮成長因子測定")</f>
        <v>上皮成長因子測定</v>
      </c>
    </row>
    <row r="1527" ht="13.5" customHeight="1">
      <c r="A1527" s="1" t="s">
        <v>134</v>
      </c>
      <c r="B1527" s="1" t="s">
        <v>7701</v>
      </c>
      <c r="C1527" s="1" t="s">
        <v>7702</v>
      </c>
      <c r="D1527" s="1" t="s">
        <v>7703</v>
      </c>
      <c r="E1527" s="1" t="s">
        <v>7704</v>
      </c>
      <c r="F1527" s="1" t="s">
        <v>7705</v>
      </c>
      <c r="G1527" s="1" t="s">
        <v>7706</v>
      </c>
      <c r="H1527" s="1" t="str">
        <f>IFERROR(__xludf.DUMMYFUNCTION("GOOGLETRANSLATE(D1527,""EN"",""JA"")"),"上皮成長因子受容体")</f>
        <v>上皮成長因子受容体</v>
      </c>
      <c r="I1527" s="1" t="str">
        <f>IFERROR(__xludf.DUMMYFUNCTION("GOOGLETRANSLATE(E1527,""EN"",""JA"")"),"上皮成長因子受容体; ERBB1; HER1")</f>
        <v>上皮成長因子受容体; ERBB1; HER1</v>
      </c>
      <c r="J1527" s="1" t="str">
        <f>IFERROR(__xludf.DUMMYFUNCTION("GOOGLETRANSLATE(F1527,""EN"",""JA"")"),"生物標本中の上皮成長因子受容体の測定。")</f>
        <v>生物標本中の上皮成長因子受容体の測定。</v>
      </c>
      <c r="K1527" s="1" t="str">
        <f>IFERROR(__xludf.DUMMYFUNCTION("GOOGLETRANSLATE(G1527,""EN"",""JA"")"),"上皮成長因子受容体測定")</f>
        <v>上皮成長因子受容体測定</v>
      </c>
    </row>
    <row r="1528" ht="13.5" customHeight="1">
      <c r="A1528" s="1" t="s">
        <v>11</v>
      </c>
      <c r="B1528" s="1" t="s">
        <v>7701</v>
      </c>
      <c r="C1528" s="1" t="s">
        <v>7702</v>
      </c>
      <c r="D1528" s="1" t="s">
        <v>7703</v>
      </c>
      <c r="E1528" s="1" t="s">
        <v>7704</v>
      </c>
      <c r="F1528" s="1" t="s">
        <v>7705</v>
      </c>
      <c r="G1528" s="1" t="s">
        <v>7706</v>
      </c>
      <c r="H1528" s="1" t="str">
        <f>IFERROR(__xludf.DUMMYFUNCTION("GOOGLETRANSLATE(D1528,""EN"",""JA"")"),"上皮成長因子受容体")</f>
        <v>上皮成長因子受容体</v>
      </c>
      <c r="I1528" s="1" t="str">
        <f>IFERROR(__xludf.DUMMYFUNCTION("GOOGLETRANSLATE(E1528,""EN"",""JA"")"),"上皮成長因子受容体; ERBB1; HER1")</f>
        <v>上皮成長因子受容体; ERBB1; HER1</v>
      </c>
      <c r="J1528" s="1" t="str">
        <f>IFERROR(__xludf.DUMMYFUNCTION("GOOGLETRANSLATE(F1528,""EN"",""JA"")"),"生物標本中の上皮成長因子受容体の測定。")</f>
        <v>生物標本中の上皮成長因子受容体の測定。</v>
      </c>
      <c r="K1528" s="1" t="str">
        <f>IFERROR(__xludf.DUMMYFUNCTION("GOOGLETRANSLATE(G1528,""EN"",""JA"")"),"上皮成長因子受容体測定")</f>
        <v>上皮成長因子受容体測定</v>
      </c>
    </row>
    <row r="1529" ht="13.5" customHeight="1">
      <c r="A1529" s="1" t="s">
        <v>11</v>
      </c>
      <c r="B1529" s="1" t="s">
        <v>7707</v>
      </c>
      <c r="C1529" s="1" t="s">
        <v>7708</v>
      </c>
      <c r="D1529" s="1" t="s">
        <v>7709</v>
      </c>
      <c r="E1529" s="1" t="s">
        <v>7709</v>
      </c>
      <c r="F1529" s="1" t="s">
        <v>7710</v>
      </c>
      <c r="G1529" s="1" t="s">
        <v>7711</v>
      </c>
      <c r="H1529" s="1" t="str">
        <f>IFERROR(__xludf.DUMMYFUNCTION("GOOGLETRANSLATE(D1529,""EN"",""JA"")"),"上皮成長因子受容体、遊離")</f>
        <v>上皮成長因子受容体、遊離</v>
      </c>
      <c r="I1529" s="1" t="str">
        <f>IFERROR(__xludf.DUMMYFUNCTION("GOOGLETRANSLATE(E1529,""EN"",""JA"")"),"上皮成長因子受容体、遊離")</f>
        <v>上皮成長因子受容体、遊離</v>
      </c>
      <c r="J1529" s="1" t="str">
        <f>IFERROR(__xludf.DUMMYFUNCTION("GOOGLETRANSLATE(F1529,""EN"",""JA"")"),"生物標本中の遊離（非結合）上皮成長因子受容体の測定。")</f>
        <v>生物標本中の遊離（非結合）上皮成長因子受容体の測定。</v>
      </c>
      <c r="K1529" s="1" t="str">
        <f>IFERROR(__xludf.DUMMYFUNCTION("GOOGLETRANSLATE(G1529,""EN"",""JA"")"),"遊離上皮成長因子受容体測定")</f>
        <v>遊離上皮成長因子受容体測定</v>
      </c>
    </row>
    <row r="1530" ht="13.5" customHeight="1">
      <c r="A1530" s="1" t="s">
        <v>134</v>
      </c>
      <c r="B1530" s="1" t="s">
        <v>7712</v>
      </c>
      <c r="C1530" s="1" t="s">
        <v>7713</v>
      </c>
      <c r="D1530" s="1" t="s">
        <v>7714</v>
      </c>
      <c r="E1530" s="1" t="s">
        <v>7714</v>
      </c>
      <c r="F1530" s="1" t="s">
        <v>7715</v>
      </c>
      <c r="G1530" s="1" t="s">
        <v>7716</v>
      </c>
      <c r="H1530" s="1" t="str">
        <f>IFERROR(__xludf.DUMMYFUNCTION("GOOGLETRANSLATE(D1530,""EN"",""JA"")"),"EGFR変異タンパク質")</f>
        <v>EGFR変異タンパク質</v>
      </c>
      <c r="I1530" s="1" t="str">
        <f>IFERROR(__xludf.DUMMYFUNCTION("GOOGLETRANSLATE(E1530,""EN"",""JA"")"),"EGFR変異タンパク質")</f>
        <v>EGFR変異タンパク質</v>
      </c>
      <c r="J1530" s="1" t="str">
        <f>IFERROR(__xludf.DUMMYFUNCTION("GOOGLETRANSLATE(F1530,""EN"",""JA"")"),"生物学的標本中の特定の変異（突然変異、欠失、挿入など）を持つ EGFR タンパク質の測定。")</f>
        <v>生物学的標本中の特定の変異（突然変異、欠失、挿入など）を持つ EGFR タンパク質の測定。</v>
      </c>
      <c r="K1530" s="1" t="str">
        <f>IFERROR(__xludf.DUMMYFUNCTION("GOOGLETRANSLATE(G1530,""EN"",""JA"")"),"EGFR変異タンパク質測定")</f>
        <v>EGFR変異タンパク質測定</v>
      </c>
    </row>
    <row r="1531" ht="13.5" customHeight="1">
      <c r="A1531" s="1" t="s">
        <v>1168</v>
      </c>
      <c r="B1531" s="1" t="s">
        <v>7717</v>
      </c>
      <c r="C1531" s="1" t="s">
        <v>7718</v>
      </c>
      <c r="D1531" s="1" t="s">
        <v>7719</v>
      </c>
      <c r="E1531" s="1" t="s">
        <v>7719</v>
      </c>
      <c r="F1531" s="1" t="s">
        <v>7720</v>
      </c>
      <c r="G1531" s="1" t="s">
        <v>7721</v>
      </c>
      <c r="H1531" s="1" t="str">
        <f>IFERROR(__xludf.DUMMYFUNCTION("GOOGLETRANSLATE(D1531,""EN"",""JA"")"),"心電図最大心拍数")</f>
        <v>心電図最大心拍数</v>
      </c>
      <c r="I1531" s="1" t="str">
        <f>IFERROR(__xludf.DUMMYFUNCTION("GOOGLETRANSLATE(E1531,""EN"",""JA"")"),"心電図最大心拍数")</f>
        <v>心電図最大心拍数</v>
      </c>
      <c r="J1531" s="1" t="str">
        <f>IFERROR(__xludf.DUMMYFUNCTION("GOOGLETRANSLATE(F1531,""EN"",""JA"")"),"一定時間内における心臓の特定部位の最大脱分極率を心電図で測定した値。通常は1分間の拍動数で表されます。特に指定がない限り、通常は最大心室拍動数を指します。")</f>
        <v>一定時間内における心臓の特定部位の最大脱分極率を心電図で測定した値。通常は1分間の拍動数で表されます。特に指定がない限り、通常は最大心室拍動数を指します。</v>
      </c>
      <c r="K1531" s="1" t="str">
        <f>IFERROR(__xludf.DUMMYFUNCTION("GOOGLETRANSLATE(G1531,""EN"",""JA"")"),"心電図による最大心拍数")</f>
        <v>心電図による最大心拍数</v>
      </c>
    </row>
    <row r="1532" ht="13.5" customHeight="1">
      <c r="A1532" s="1" t="s">
        <v>1168</v>
      </c>
      <c r="B1532" s="1" t="s">
        <v>7722</v>
      </c>
      <c r="C1532" s="1" t="s">
        <v>7723</v>
      </c>
      <c r="D1532" s="1" t="s">
        <v>7724</v>
      </c>
      <c r="E1532" s="1" t="s">
        <v>7724</v>
      </c>
      <c r="F1532" s="1" t="s">
        <v>7725</v>
      </c>
      <c r="G1532" s="1" t="s">
        <v>7724</v>
      </c>
      <c r="H1532" s="1" t="str">
        <f>IFERROR(__xludf.DUMMYFUNCTION("GOOGLETRANSLATE(D1532,""EN"",""JA"")"),"ECG平均心拍数")</f>
        <v>ECG平均心拍数</v>
      </c>
      <c r="I1532" s="1" t="str">
        <f>IFERROR(__xludf.DUMMYFUNCTION("GOOGLETRANSLATE(E1532,""EN"",""JA"")"),"ECG平均心拍数")</f>
        <v>ECG平均心拍数</v>
      </c>
      <c r="J1532" s="1" t="str">
        <f>IFERROR(__xludf.DUMMYFUNCTION("GOOGLETRANSLATE(F1532,""EN"",""JA"")"),"一定時間間隔における心臓の特定部位の脱分極速度の中央値を心電図で測定したもので、通常は1分間の拍動数で表されます。特に指定がない限り、通常は心室拍動数の中央値を指します。")</f>
        <v>一定時間間隔における心臓の特定部位の脱分極速度の中央値を心電図で測定したもので、通常は1分間の拍動数で表されます。特に指定がない限り、通常は心室拍動数の中央値を指します。</v>
      </c>
      <c r="K1532" s="1" t="str">
        <f>IFERROR(__xludf.DUMMYFUNCTION("GOOGLETRANSLATE(G1532,""EN"",""JA"")"),"ECG平均心拍数")</f>
        <v>ECG平均心拍数</v>
      </c>
    </row>
    <row r="1533" ht="13.5" customHeight="1">
      <c r="A1533" s="1" t="s">
        <v>1168</v>
      </c>
      <c r="B1533" s="1" t="s">
        <v>7726</v>
      </c>
      <c r="C1533" s="1" t="s">
        <v>7727</v>
      </c>
      <c r="D1533" s="1" t="s">
        <v>7728</v>
      </c>
      <c r="E1533" s="1" t="s">
        <v>7728</v>
      </c>
      <c r="F1533" s="1" t="s">
        <v>7729</v>
      </c>
      <c r="G1533" s="1" t="s">
        <v>7730</v>
      </c>
      <c r="H1533" s="1" t="str">
        <f>IFERROR(__xludf.DUMMYFUNCTION("GOOGLETRANSLATE(D1533,""EN"",""JA"")"),"心電図最小心拍数")</f>
        <v>心電図最小心拍数</v>
      </c>
      <c r="I1533" s="1" t="str">
        <f>IFERROR(__xludf.DUMMYFUNCTION("GOOGLETRANSLATE(E1533,""EN"",""JA"")"),"心電図最小心拍数")</f>
        <v>心電図最小心拍数</v>
      </c>
      <c r="J1533" s="1" t="str">
        <f>IFERROR(__xludf.DUMMYFUNCTION("GOOGLETRANSLATE(F1533,""EN"",""JA"")"),"一定時間間隔における心臓の特定部位の最小脱分極速度を心電図で測定した値。通常は1分間の拍動数で表されます。特に指定がない限り、通常は最小心室拍動数を指します。")</f>
        <v>一定時間間隔における心臓の特定部位の最小脱分極速度を心電図で測定した値。通常は1分間の拍動数で表されます。特に指定がない限り、通常は最小心室拍動数を指します。</v>
      </c>
      <c r="K1533" s="1" t="str">
        <f>IFERROR(__xludf.DUMMYFUNCTION("GOOGLETRANSLATE(G1533,""EN"",""JA"")"),"心電図による最小心拍数")</f>
        <v>心電図による最小心拍数</v>
      </c>
    </row>
    <row r="1534" ht="13.5" customHeight="1">
      <c r="A1534" s="1" t="s">
        <v>1168</v>
      </c>
      <c r="B1534" s="1" t="s">
        <v>7731</v>
      </c>
      <c r="C1534" s="1" t="s">
        <v>7732</v>
      </c>
      <c r="D1534" s="1" t="s">
        <v>7733</v>
      </c>
      <c r="E1534" s="1" t="s">
        <v>7733</v>
      </c>
      <c r="F1534" s="1" t="s">
        <v>7734</v>
      </c>
      <c r="G1534" s="1" t="s">
        <v>7735</v>
      </c>
      <c r="H1534" s="1" t="str">
        <f>IFERROR(__xludf.DUMMYFUNCTION("GOOGLETRANSLATE(D1534,""EN"",""JA"")"),"ECG平均心拍数")</f>
        <v>ECG平均心拍数</v>
      </c>
      <c r="I1534" s="1" t="str">
        <f>IFERROR(__xludf.DUMMYFUNCTION("GOOGLETRANSLATE(E1534,""EN"",""JA"")"),"ECG平均心拍数")</f>
        <v>ECG平均心拍数</v>
      </c>
      <c r="J1534" s="1" t="str">
        <f>IFERROR(__xludf.DUMMYFUNCTION("GOOGLETRANSLATE(F1534,""EN"",""JA"")"),"一定時間間隔における心臓の特定部位の脱分極の平均速度を心電図で測定した値。通常は1分間の拍動数で表されます。特に指定がない限り、通常は平均心室拍動数を指します。")</f>
        <v>一定時間間隔における心臓の特定部位の脱分極の平均速度を心電図で測定した値。通常は1分間の拍動数で表されます。特に指定がない限り、通常は平均心室拍動数を指します。</v>
      </c>
      <c r="K1534" s="1" t="str">
        <f>IFERROR(__xludf.DUMMYFUNCTION("GOOGLETRANSLATE(G1534,""EN"",""JA"")"),"心電図による平均心拍数")</f>
        <v>心電図による平均心拍数</v>
      </c>
    </row>
    <row r="1535" ht="13.5" customHeight="1">
      <c r="A1535" s="1" t="s">
        <v>1168</v>
      </c>
      <c r="B1535" s="1" t="s">
        <v>7736</v>
      </c>
      <c r="C1535" s="1" t="s">
        <v>7737</v>
      </c>
      <c r="D1535" s="1" t="s">
        <v>7738</v>
      </c>
      <c r="E1535" s="1" t="s">
        <v>7738</v>
      </c>
      <c r="F1535" s="1" t="s">
        <v>7739</v>
      </c>
      <c r="G1535" s="1" t="s">
        <v>7740</v>
      </c>
      <c r="H1535" s="1" t="str">
        <f>IFERROR(__xludf.DUMMYFUNCTION("GOOGLETRANSLATE(D1535,""EN"",""JA"")"),"単一RR心拍数")</f>
        <v>単一RR心拍数</v>
      </c>
      <c r="I1535" s="1" t="str">
        <f>IFERROR(__xludf.DUMMYFUNCTION("GOOGLETRANSLATE(E1535,""EN"",""JA"")"),"単一RR心拍数")</f>
        <v>単一RR心拍数</v>
      </c>
      <c r="J1535" s="1" t="str">
        <f>IFERROR(__xludf.DUMMYFUNCTION("GOOGLETRANSLATE(F1535,""EN"",""JA"")"),"単一の RR 間隔 (2 つの連続する QRS 複合体間の間隔) から得られる心拍数の心電図測定値。")</f>
        <v>単一の RR 間隔 (2 つの連続する QRS 複合体間の間隔) から得られる心拍数の心電図測定値。</v>
      </c>
      <c r="K1535" s="1" t="str">
        <f>IFERROR(__xludf.DUMMYFUNCTION("GOOGLETRANSLATE(G1535,""EN"",""JA"")"),"ECG評価による単拍RR外挿心拍数")</f>
        <v>ECG評価による単拍RR外挿心拍数</v>
      </c>
    </row>
    <row r="1536" ht="13.5" customHeight="1">
      <c r="A1536" s="1" t="s">
        <v>397</v>
      </c>
      <c r="B1536" s="1" t="s">
        <v>7741</v>
      </c>
      <c r="C1536" s="1" t="s">
        <v>7742</v>
      </c>
      <c r="D1536" s="1" t="s">
        <v>7743</v>
      </c>
      <c r="E1536" s="1" t="s">
        <v>7743</v>
      </c>
      <c r="F1536" s="1" t="s">
        <v>7744</v>
      </c>
      <c r="G1536" s="1" t="s">
        <v>7745</v>
      </c>
      <c r="H1536" s="1" t="str">
        <f>IFERROR(__xludf.DUMMYFUNCTION("GOOGLETRANSLATE(D1536,""EN"",""JA"")"),"ECG計画プライマリリード")</f>
        <v>ECG計画プライマリリード</v>
      </c>
      <c r="I1536" s="1" t="str">
        <f>IFERROR(__xludf.DUMMYFUNCTION("GOOGLETRANSLATE(E1536,""EN"",""JA"")"),"ECG計画プライマリリード")</f>
        <v>ECG計画プライマリリード</v>
      </c>
      <c r="J1536" s="1" t="str">
        <f>IFERROR(__xludf.DUMMYFUNCTION("GOOGLETRANSLATE(F1536,""EN"",""JA"")"),"この研究の ECG 間隔測定に使用する予定の ECG リード。")</f>
        <v>この研究の ECG 間隔測定に使用する予定の ECG リード。</v>
      </c>
      <c r="K1536" s="1" t="str">
        <f>IFERROR(__xludf.DUMMYFUNCTION("GOOGLETRANSLATE(G1536,""EN"",""JA"")"),"ECGが研究の主任研究員となる予定")</f>
        <v>ECGが研究の主任研究員となる予定</v>
      </c>
    </row>
    <row r="1537" ht="13.5" customHeight="1">
      <c r="A1537" s="1" t="s">
        <v>397</v>
      </c>
      <c r="B1537" s="1" t="s">
        <v>7746</v>
      </c>
      <c r="C1537" s="1" t="s">
        <v>7747</v>
      </c>
      <c r="D1537" s="1" t="s">
        <v>7748</v>
      </c>
      <c r="E1537" s="1" t="s">
        <v>7748</v>
      </c>
      <c r="F1537" s="1" t="s">
        <v>7749</v>
      </c>
      <c r="G1537" s="1" t="s">
        <v>7750</v>
      </c>
      <c r="H1537" s="1" t="str">
        <f>IFERROR(__xludf.DUMMYFUNCTION("GOOGLETRANSLATE(D1537,""EN"",""JA"")"),"同じ誘導を使用した心電図")</f>
        <v>同じ誘導を使用した心電図</v>
      </c>
      <c r="I1537" s="1" t="str">
        <f>IFERROR(__xludf.DUMMYFUNCTION("GOOGLETRANSLATE(E1537,""EN"",""JA"")"),"同じ誘導を使用した心電図")</f>
        <v>同じ誘導を使用した心電図</v>
      </c>
      <c r="J1537" s="1" t="str">
        <f>IFERROR(__xludf.DUMMYFUNCTION("GOOGLETRANSLATE(F1537,""EN"",""JA"")"),"研究のすべての ECG 間隔測定が同じ誘導に基づいているかどうかを示します。")</f>
        <v>研究のすべての ECG 間隔測定が同じ誘導に基づいているかどうかを示します。</v>
      </c>
      <c r="K1537" s="1" t="str">
        <f>IFERROR(__xludf.DUMMYFUNCTION("GOOGLETRANSLATE(G1537,""EN"",""JA"")"),"同じリード指標を使用した心電図")</f>
        <v>同じリード指標を使用した心電図</v>
      </c>
    </row>
    <row r="1538" ht="13.5" customHeight="1">
      <c r="A1538" s="1" t="s">
        <v>397</v>
      </c>
      <c r="B1538" s="1" t="s">
        <v>7751</v>
      </c>
      <c r="C1538" s="1" t="s">
        <v>7752</v>
      </c>
      <c r="D1538" s="1" t="s">
        <v>7753</v>
      </c>
      <c r="E1538" s="1" t="s">
        <v>7753</v>
      </c>
      <c r="F1538" s="1" t="s">
        <v>7754</v>
      </c>
      <c r="G1538" s="1" t="s">
        <v>7755</v>
      </c>
      <c r="H1538" s="1" t="str">
        <f>IFERROR(__xludf.DUMMYFUNCTION("GOOGLETRANSLATE(D1538,""EN"",""JA"")"),"心電図読み取り方法")</f>
        <v>心電図読み取り方法</v>
      </c>
      <c r="I1538" s="1" t="str">
        <f>IFERROR(__xludf.DUMMYFUNCTION("GOOGLETRANSLATE(E1538,""EN"",""JA"")"),"心電図読み取り方法")</f>
        <v>心電図読み取り方法</v>
      </c>
      <c r="J1538" s="1" t="str">
        <f>IFERROR(__xludf.DUMMYFUNCTION("GOOGLETRANSLATE(F1538,""EN"",""JA"")"),"この研究における ECG の評価に含まれる自動化の程度。")</f>
        <v>この研究における ECG の評価に含まれる自動化の程度。</v>
      </c>
      <c r="K1538" s="1" t="str">
        <f>IFERROR(__xludf.DUMMYFUNCTION("GOOGLETRANSLATE(G1538,""EN"",""JA"")"),"心電図読み取り方法の自動化度")</f>
        <v>心電図読み取り方法の自動化度</v>
      </c>
    </row>
    <row r="1539" ht="13.5" customHeight="1">
      <c r="A1539" s="1" t="s">
        <v>397</v>
      </c>
      <c r="B1539" s="1" t="s">
        <v>7756</v>
      </c>
      <c r="C1539" s="1" t="s">
        <v>7757</v>
      </c>
      <c r="D1539" s="1" t="s">
        <v>7758</v>
      </c>
      <c r="E1539" s="1" t="s">
        <v>7758</v>
      </c>
      <c r="F1539" s="1" t="s">
        <v>7759</v>
      </c>
      <c r="G1539" s="1" t="s">
        <v>7760</v>
      </c>
      <c r="H1539" s="1" t="str">
        <f>IFERROR(__xludf.DUMMYFUNCTION("GOOGLETRANSLATE(D1539,""EN"",""JA"")"),"ベースラインでの心電図の再現")</f>
        <v>ベースラインでの心電図の再現</v>
      </c>
      <c r="I1539" s="1" t="str">
        <f>IFERROR(__xludf.DUMMYFUNCTION("GOOGLETRANSLATE(E1539,""EN"",""JA"")"),"ベースラインでの心電図の再現")</f>
        <v>ベースラインでの心電図の再現</v>
      </c>
      <c r="J1539" s="1" t="str">
        <f>IFERROR(__xludf.DUMMYFUNCTION("GOOGLETRANSLATE(F1539,""EN"",""JA"")"),"この研究に、研究のベースライン部分の時点における複製 ECG が含まれているかどうかを示します。")</f>
        <v>この研究に、研究のベースライン部分の時点における複製 ECG が含まれているかどうかを示します。</v>
      </c>
      <c r="K1539" s="1" t="str">
        <f>IFERROR(__xludf.DUMMYFUNCTION("GOOGLETRANSLATE(G1539,""EN"",""JA"")"),"ECGはベースライン指標で再現する")</f>
        <v>ECGはベースライン指標で再現する</v>
      </c>
    </row>
    <row r="1540" ht="13.5" customHeight="1">
      <c r="A1540" s="1" t="s">
        <v>397</v>
      </c>
      <c r="B1540" s="1" t="s">
        <v>7761</v>
      </c>
      <c r="C1540" s="1" t="s">
        <v>7762</v>
      </c>
      <c r="D1540" s="1" t="s">
        <v>7763</v>
      </c>
      <c r="E1540" s="1" t="s">
        <v>7763</v>
      </c>
      <c r="F1540" s="1" t="s">
        <v>7764</v>
      </c>
      <c r="G1540" s="1" t="s">
        <v>7765</v>
      </c>
      <c r="H1540" s="1" t="str">
        <f>IFERROR(__xludf.DUMMYFUNCTION("GOOGLETRANSLATE(D1540,""EN"",""JA"")"),"心電図は治療中の状態を再現する")</f>
        <v>心電図は治療中の状態を再現する</v>
      </c>
      <c r="I1540" s="1" t="str">
        <f>IFERROR(__xludf.DUMMYFUNCTION("GOOGLETRANSLATE(E1540,""EN"",""JA"")"),"心電図は治療中の状態を再現する")</f>
        <v>心電図は治療中の状態を再現する</v>
      </c>
      <c r="J1540" s="1" t="str">
        <f>IFERROR(__xludf.DUMMYFUNCTION("GOOGLETRANSLATE(F1540,""EN"",""JA"")"),"この研究に、研究の治療期間中の時点における複製 ECG が含まれているかどうかを示します。")</f>
        <v>この研究に、研究の治療期間中の時点における複製 ECG が含まれているかどうかを示します。</v>
      </c>
      <c r="K1540" s="1" t="str">
        <f>IFERROR(__xludf.DUMMYFUNCTION("GOOGLETRANSLATE(G1540,""EN"",""JA"")"),"ECGは治療中の指標を再現する")</f>
        <v>ECGは治療中の指標を再現する</v>
      </c>
    </row>
    <row r="1541" ht="13.5" customHeight="1">
      <c r="A1541" s="1" t="s">
        <v>397</v>
      </c>
      <c r="B1541" s="1" t="s">
        <v>7766</v>
      </c>
      <c r="C1541" s="1" t="s">
        <v>7767</v>
      </c>
      <c r="D1541" s="1" t="s">
        <v>7768</v>
      </c>
      <c r="E1541" s="1" t="s">
        <v>7768</v>
      </c>
      <c r="F1541" s="1" t="s">
        <v>7769</v>
      </c>
      <c r="G1541" s="1" t="s">
        <v>7770</v>
      </c>
      <c r="H1541" s="1" t="str">
        <f>IFERROR(__xludf.DUMMYFUNCTION("GOOGLETRANSLATE(D1541,""EN"",""JA"")"),"ECG T波アルゴリズム")</f>
        <v>ECG T波アルゴリズム</v>
      </c>
      <c r="I1541" s="1" t="str">
        <f>IFERROR(__xludf.DUMMYFUNCTION("GOOGLETRANSLATE(E1541,""EN"",""JA"")"),"ECG T波アルゴリズム")</f>
        <v>ECG T波アルゴリズム</v>
      </c>
      <c r="J1541" s="1" t="str">
        <f>IFERROR(__xludf.DUMMYFUNCTION("GOOGLETRANSLATE(F1541,""EN"",""JA"")"),"この研究の ECG の T 波の終了を識別するために使用されたアルゴリズム。")</f>
        <v>この研究の ECG の T 波の終了を識別するために使用されたアルゴリズム。</v>
      </c>
      <c r="K1541" s="1" t="str">
        <f>IFERROR(__xludf.DUMMYFUNCTION("GOOGLETRANSLATE(G1541,""EN"",""JA"")"),"ECG T波アルゴリズム")</f>
        <v>ECG T波アルゴリズム</v>
      </c>
    </row>
    <row r="1542" ht="13.5" customHeight="1">
      <c r="A1542" s="1" t="s">
        <v>1168</v>
      </c>
      <c r="B1542" s="1" t="s">
        <v>7771</v>
      </c>
      <c r="C1542" s="1" t="s">
        <v>7772</v>
      </c>
      <c r="D1542" s="1" t="s">
        <v>7773</v>
      </c>
      <c r="E1542" s="1" t="s">
        <v>7773</v>
      </c>
      <c r="F1542" s="1" t="s">
        <v>7774</v>
      </c>
      <c r="G1542" s="1" t="s">
        <v>7775</v>
      </c>
      <c r="H1542" s="1" t="str">
        <f>IFERROR(__xludf.DUMMYFUNCTION("GOOGLETRANSLATE(D1542,""EN"",""JA"")"),"心電図最大心室拍動数")</f>
        <v>心電図最大心室拍動数</v>
      </c>
      <c r="I1542" s="1" t="str">
        <f>IFERROR(__xludf.DUMMYFUNCTION("GOOGLETRANSLATE(E1542,""EN"",""JA"")"),"心電図最大心室拍動数")</f>
        <v>心電図最大心室拍動数</v>
      </c>
      <c r="J1542" s="1" t="str">
        <f>IFERROR(__xludf.DUMMYFUNCTION("GOOGLETRANSLATE(F1542,""EN"",""JA"")"),"一定時間内に記録された心室脱分極 (QRS 複合体) の最大レートの心電図測定値。通常は 1 分あたりの拍動数で表されます。")</f>
        <v>一定時間内に記録された心室脱分極 (QRS 複合体) の最大レートの心電図測定値。通常は 1 分あたりの拍動数で表されます。</v>
      </c>
      <c r="K1542" s="1" t="str">
        <f>IFERROR(__xludf.DUMMYFUNCTION("GOOGLETRANSLATE(G1542,""EN"",""JA"")"),"心電図による最大心室拍動数")</f>
        <v>心電図による最大心室拍動数</v>
      </c>
    </row>
    <row r="1543" ht="13.5" customHeight="1">
      <c r="A1543" s="1" t="s">
        <v>1168</v>
      </c>
      <c r="B1543" s="1" t="s">
        <v>7776</v>
      </c>
      <c r="C1543" s="1" t="s">
        <v>7777</v>
      </c>
      <c r="D1543" s="1" t="s">
        <v>7778</v>
      </c>
      <c r="E1543" s="1" t="s">
        <v>7778</v>
      </c>
      <c r="F1543" s="1" t="s">
        <v>7779</v>
      </c>
      <c r="G1543" s="1" t="s">
        <v>7780</v>
      </c>
      <c r="H1543" s="1" t="str">
        <f>IFERROR(__xludf.DUMMYFUNCTION("GOOGLETRANSLATE(D1543,""EN"",""JA"")"),"心電図中央心室拍数")</f>
        <v>心電図中央心室拍数</v>
      </c>
      <c r="I1543" s="1" t="str">
        <f>IFERROR(__xludf.DUMMYFUNCTION("GOOGLETRANSLATE(E1543,""EN"",""JA"")"),"心電図中央心室拍数")</f>
        <v>心電図中央心室拍数</v>
      </c>
      <c r="J1543" s="1" t="str">
        <f>IFERROR(__xludf.DUMMYFUNCTION("GOOGLETRANSLATE(F1543,""EN"",""JA"")"),"一定時間内に記録された心室脱分極 (QRS 複合体) の平均レートの心電図測定値。通常は 1 分あたりの拍動数で表されます。")</f>
        <v>一定時間内に記録された心室脱分極 (QRS 複合体) の平均レートの心電図測定値。通常は 1 分あたりの拍動数で表されます。</v>
      </c>
      <c r="K1543" s="1" t="str">
        <f>IFERROR(__xludf.DUMMYFUNCTION("GOOGLETRANSLATE(G1543,""EN"",""JA"")"),"心電図による心室拍動数の中央値")</f>
        <v>心電図による心室拍動数の中央値</v>
      </c>
    </row>
    <row r="1544" ht="13.5" customHeight="1">
      <c r="A1544" s="1" t="s">
        <v>1168</v>
      </c>
      <c r="B1544" s="1" t="s">
        <v>7781</v>
      </c>
      <c r="C1544" s="1" t="s">
        <v>7782</v>
      </c>
      <c r="D1544" s="1" t="s">
        <v>7783</v>
      </c>
      <c r="E1544" s="1" t="s">
        <v>7783</v>
      </c>
      <c r="F1544" s="1" t="s">
        <v>7784</v>
      </c>
      <c r="G1544" s="1" t="s">
        <v>7785</v>
      </c>
      <c r="H1544" s="1" t="str">
        <f>IFERROR(__xludf.DUMMYFUNCTION("GOOGLETRANSLATE(D1544,""EN"",""JA"")"),"心電図最小心室拍数")</f>
        <v>心電図最小心室拍数</v>
      </c>
      <c r="I1544" s="1" t="str">
        <f>IFERROR(__xludf.DUMMYFUNCTION("GOOGLETRANSLATE(E1544,""EN"",""JA"")"),"心電図最小心室拍数")</f>
        <v>心電図最小心室拍数</v>
      </c>
      <c r="J1544" s="1" t="str">
        <f>IFERROR(__xludf.DUMMYFUNCTION("GOOGLETRANSLATE(F1544,""EN"",""JA"")"),"一定時間内に記録された心室脱分極 (QRS 複合体) の最小レートの心電図測定値。通常は 1 分あたりの拍動数で表されます。")</f>
        <v>一定時間内に記録された心室脱分極 (QRS 複合体) の最小レートの心電図測定値。通常は 1 分あたりの拍動数で表されます。</v>
      </c>
      <c r="K1544" s="1" t="str">
        <f>IFERROR(__xludf.DUMMYFUNCTION("GOOGLETRANSLATE(G1544,""EN"",""JA"")"),"心電図による最小心室拍動数")</f>
        <v>心電図による最小心室拍動数</v>
      </c>
    </row>
    <row r="1545" ht="13.5" customHeight="1">
      <c r="A1545" s="1" t="s">
        <v>1168</v>
      </c>
      <c r="B1545" s="1" t="s">
        <v>7786</v>
      </c>
      <c r="C1545" s="1" t="s">
        <v>7787</v>
      </c>
      <c r="D1545" s="1" t="s">
        <v>7788</v>
      </c>
      <c r="E1545" s="1" t="s">
        <v>7788</v>
      </c>
      <c r="F1545" s="1" t="s">
        <v>7789</v>
      </c>
      <c r="G1545" s="1" t="s">
        <v>7790</v>
      </c>
      <c r="H1545" s="1" t="str">
        <f>IFERROR(__xludf.DUMMYFUNCTION("GOOGLETRANSLATE(D1545,""EN"",""JA"")"),"心電図平均心室拍動数")</f>
        <v>心電図平均心室拍動数</v>
      </c>
      <c r="I1545" s="1" t="str">
        <f>IFERROR(__xludf.DUMMYFUNCTION("GOOGLETRANSLATE(E1545,""EN"",""JA"")"),"心電図平均心室拍動数")</f>
        <v>心電図平均心室拍動数</v>
      </c>
      <c r="J1545" s="1" t="str">
        <f>IFERROR(__xludf.DUMMYFUNCTION("GOOGLETRANSLATE(F1545,""EN"",""JA"")"),"一定時間内に記録された心室脱分極 (QRS 複合体) の平均レートの心電図測定値。通常は 1 分あたりの拍動数で表されます。")</f>
        <v>一定時間内に記録された心室脱分極 (QRS 複合体) の平均レートの心電図測定値。通常は 1 分あたりの拍動数で表されます。</v>
      </c>
      <c r="K1545" s="1" t="str">
        <f>IFERROR(__xludf.DUMMYFUNCTION("GOOGLETRANSLATE(G1545,""EN"",""JA"")"),"心電図による平均心室拍動数")</f>
        <v>心電図による平均心室拍動数</v>
      </c>
    </row>
    <row r="1546" ht="13.5" customHeight="1">
      <c r="A1546" s="1" t="s">
        <v>67</v>
      </c>
      <c r="B1546" s="1" t="s">
        <v>7791</v>
      </c>
      <c r="C1546" s="1" t="s">
        <v>7792</v>
      </c>
      <c r="D1546" s="1" t="s">
        <v>7793</v>
      </c>
      <c r="E1546" s="1" t="s">
        <v>7793</v>
      </c>
      <c r="F1546" s="1" t="s">
        <v>7794</v>
      </c>
      <c r="G1546" s="1" t="s">
        <v>7795</v>
      </c>
      <c r="H1546" s="1" t="str">
        <f>IFERROR(__xludf.DUMMYFUNCTION("GOOGLETRANSLATE(D1546,""EN"",""JA"")"),"腸管出血性大腸菌")</f>
        <v>腸管出血性大腸菌</v>
      </c>
      <c r="I1546" s="1" t="str">
        <f>IFERROR(__xludf.DUMMYFUNCTION("GOOGLETRANSLATE(E1546,""EN"",""JA"")"),"腸管出血性大腸菌")</f>
        <v>腸管出血性大腸菌</v>
      </c>
      <c r="J1546" s="1" t="str">
        <f>IFERROR(__xludf.DUMMYFUNCTION("GOOGLETRANSLATE(F1546,""EN"",""JA"")"),"生物標本中の腸管出血性大腸菌の測定。")</f>
        <v>生物標本中の腸管出血性大腸菌の測定。</v>
      </c>
      <c r="K1546" s="1" t="str">
        <f>IFERROR(__xludf.DUMMYFUNCTION("GOOGLETRANSLATE(G1546,""EN"",""JA"")"),"腸管出血性大腸菌測定")</f>
        <v>腸管出血性大腸菌測定</v>
      </c>
    </row>
    <row r="1547" ht="13.5" customHeight="1">
      <c r="A1547" s="1" t="s">
        <v>67</v>
      </c>
      <c r="B1547" s="1" t="s">
        <v>7796</v>
      </c>
      <c r="C1547" s="1" t="s">
        <v>7797</v>
      </c>
      <c r="D1547" s="1" t="s">
        <v>7798</v>
      </c>
      <c r="E1547" s="1" t="s">
        <v>7798</v>
      </c>
      <c r="F1547" s="1" t="s">
        <v>7799</v>
      </c>
      <c r="G1547" s="1" t="s">
        <v>7800</v>
      </c>
      <c r="H1547" s="1" t="str">
        <f>IFERROR(__xludf.DUMMYFUNCTION("GOOGLETRANSLATE(D1547,""EN"",""JA"")"),"赤痢アメーバDNA")</f>
        <v>赤痢アメーバDNA</v>
      </c>
      <c r="I1547" s="1" t="str">
        <f>IFERROR(__xludf.DUMMYFUNCTION("GOOGLETRANSLATE(E1547,""EN"",""JA"")"),"赤痢アメーバDNA")</f>
        <v>赤痢アメーバDNA</v>
      </c>
      <c r="J1547" s="1" t="str">
        <f>IFERROR(__xludf.DUMMYFUNCTION("GOOGLETRANSLATE(F1547,""EN"",""JA"")"),"生物標本中の赤痢アメーバ DNA の測定。")</f>
        <v>生物標本中の赤痢アメーバ DNA の測定。</v>
      </c>
      <c r="K1547" s="1" t="str">
        <f>IFERROR(__xludf.DUMMYFUNCTION("GOOGLETRANSLATE(G1547,""EN"",""JA"")"),"赤痢アメーバDNA測定")</f>
        <v>赤痢アメーバDNA測定</v>
      </c>
    </row>
    <row r="1548" ht="13.5" customHeight="1">
      <c r="A1548" s="1" t="s">
        <v>67</v>
      </c>
      <c r="B1548" s="1" t="s">
        <v>7801</v>
      </c>
      <c r="C1548" s="1" t="s">
        <v>7802</v>
      </c>
      <c r="D1548" s="1" t="s">
        <v>7803</v>
      </c>
      <c r="E1548" s="1" t="s">
        <v>7803</v>
      </c>
      <c r="F1548" s="1" t="s">
        <v>7804</v>
      </c>
      <c r="G1548" s="1" t="s">
        <v>7805</v>
      </c>
      <c r="H1548" s="1" t="str">
        <f>IFERROR(__xludf.DUMMYFUNCTION("GOOGLETRANSLATE(D1548,""EN"",""JA"")"),"エンテロバクター・ホルマエケイ")</f>
        <v>エンテロバクター・ホルマエケイ</v>
      </c>
      <c r="I1548" s="1" t="str">
        <f>IFERROR(__xludf.DUMMYFUNCTION("GOOGLETRANSLATE(E1548,""EN"",""JA"")"),"エンテロバクター・ホルマエケイ")</f>
        <v>エンテロバクター・ホルマエケイ</v>
      </c>
      <c r="J1548" s="1" t="str">
        <f>IFERROR(__xludf.DUMMYFUNCTION("GOOGLETRANSLATE(F1548,""EN"",""JA"")"),"生物標本中の Enterobacter hormaechei の測定。")</f>
        <v>生物標本中の Enterobacter hormaechei の測定。</v>
      </c>
      <c r="K1548" s="1" t="str">
        <f>IFERROR(__xludf.DUMMYFUNCTION("GOOGLETRANSLATE(G1548,""EN"",""JA"")"),"エンテロバクター・ホルマチェイの測定")</f>
        <v>エンテロバクター・ホルマチェイの測定</v>
      </c>
    </row>
    <row r="1549" ht="13.5" customHeight="1">
      <c r="A1549" s="1" t="s">
        <v>67</v>
      </c>
      <c r="B1549" s="1" t="s">
        <v>7806</v>
      </c>
      <c r="C1549" s="1" t="s">
        <v>7807</v>
      </c>
      <c r="D1549" s="1" t="s">
        <v>7808</v>
      </c>
      <c r="E1549" s="1" t="s">
        <v>7808</v>
      </c>
      <c r="F1549" s="1" t="s">
        <v>7809</v>
      </c>
      <c r="G1549" s="1" t="s">
        <v>7810</v>
      </c>
      <c r="H1549" s="1" t="str">
        <f>IFERROR(__xludf.DUMMYFUNCTION("GOOGLETRANSLATE(D1549,""EN"",""JA"")"),"エーリキアDNA")</f>
        <v>エーリキアDNA</v>
      </c>
      <c r="I1549" s="1" t="str">
        <f>IFERROR(__xludf.DUMMYFUNCTION("GOOGLETRANSLATE(E1549,""EN"",""JA"")"),"エーリキアDNA")</f>
        <v>エーリキアDNA</v>
      </c>
      <c r="J1549" s="1" t="str">
        <f>IFERROR(__xludf.DUMMYFUNCTION("GOOGLETRANSLATE(F1549,""EN"",""JA"")"),"生物標本中の Ehrlichia 属の任意のメンバーの DNA の測定。")</f>
        <v>生物標本中の Ehrlichia 属の任意のメンバーの DNA の測定。</v>
      </c>
      <c r="K1549" s="1" t="str">
        <f>IFERROR(__xludf.DUMMYFUNCTION("GOOGLETRANSLATE(G1549,""EN"",""JA"")"),"エーリキアDNA測定")</f>
        <v>エーリキアDNA測定</v>
      </c>
    </row>
    <row r="1550" ht="13.5" customHeight="1">
      <c r="A1550" s="1" t="s">
        <v>90</v>
      </c>
      <c r="B1550" s="1" t="s">
        <v>7811</v>
      </c>
      <c r="C1550" s="1" t="s">
        <v>7812</v>
      </c>
      <c r="D1550" s="1" t="s">
        <v>7813</v>
      </c>
      <c r="E1550" s="1" t="s">
        <v>7813</v>
      </c>
      <c r="F1550" s="1" t="s">
        <v>7814</v>
      </c>
      <c r="G1550" s="1" t="s">
        <v>7813</v>
      </c>
      <c r="H1550" s="1" t="str">
        <f>IFERROR(__xludf.DUMMYFUNCTION("GOOGLETRANSLATE(D1550,""EN"",""JA"")"),"駆出波振幅")</f>
        <v>駆出波振幅</v>
      </c>
      <c r="I1550" s="1" t="str">
        <f>IFERROR(__xludf.DUMMYFUNCTION("GOOGLETRANSLATE(E1550,""EN"",""JA"")"),"駆出波振幅")</f>
        <v>駆出波振幅</v>
      </c>
      <c r="J1550" s="1" t="str">
        <f>IFERROR(__xludf.DUMMYFUNCTION("GOOGLETRANSLATE(F1550,""EN"",""JA"")"),"左心室から大動脈に血液が送り出されるときに発生する駆出波の大きさ。")</f>
        <v>左心室から大動脈に血液が送り出されるときに発生する駆出波の大きさ。</v>
      </c>
      <c r="K1550" s="1" t="str">
        <f>IFERROR(__xludf.DUMMYFUNCTION("GOOGLETRANSLATE(G1550,""EN"",""JA"")"),"駆出波振幅")</f>
        <v>駆出波振幅</v>
      </c>
    </row>
    <row r="1551" ht="13.5" customHeight="1">
      <c r="A1551" s="1" t="s">
        <v>67</v>
      </c>
      <c r="B1551" s="1" t="s">
        <v>7815</v>
      </c>
      <c r="C1551" s="1" t="s">
        <v>7816</v>
      </c>
      <c r="D1551" s="1" t="s">
        <v>7817</v>
      </c>
      <c r="E1551" s="1" t="s">
        <v>7818</v>
      </c>
      <c r="F1551" s="1" t="s">
        <v>7819</v>
      </c>
      <c r="G1551" s="1" t="s">
        <v>7820</v>
      </c>
      <c r="H1551" s="1" t="str">
        <f>IFERROR(__xludf.DUMMYFUNCTION("GOOGLETRANSLATE(D1551,""EN"",""JA"")"),"大腸菌K1/髄膜炎菌血清群B Ag")</f>
        <v>大腸菌K1/髄膜炎菌血清群B Ag</v>
      </c>
      <c r="I1551" s="1" t="str">
        <f>IFERROR(__xludf.DUMMYFUNCTION("GOOGLETRANSLATE(E1551,""EN"",""JA"")"),"大腸菌K1/髄膜炎菌血清群B抗原; 大腸菌K1/髄膜炎菌血清群B抗原; 大腸菌K1/髄膜炎菌血清群B抗原")</f>
        <v>大腸菌K1/髄膜炎菌血清群B抗原; 大腸菌K1/髄膜炎菌血清群B抗原; 大腸菌K1/髄膜炎菌血清群B抗原</v>
      </c>
      <c r="J1551" s="1" t="str">
        <f>IFERROR(__xludf.DUMMYFUNCTION("GOOGLETRANSLATE(F1551,""EN"",""JA"")"),"生物標本中の大腸菌K1および/または髄膜炎菌血清群Bの抗原の測定。")</f>
        <v>生物標本中の大腸菌K1および/または髄膜炎菌血清群Bの抗原の測定。</v>
      </c>
      <c r="K1551" s="1" t="str">
        <f>IFERROR(__xludf.DUMMYFUNCTION("GOOGLETRANSLATE(G1551,""EN"",""JA"")"),"大腸菌K1および/または髄膜炎菌B群抗原測定")</f>
        <v>大腸菌K1および/または髄膜炎菌B群抗原測定</v>
      </c>
    </row>
    <row r="1552" ht="13.5" customHeight="1">
      <c r="A1552" s="1" t="s">
        <v>11</v>
      </c>
      <c r="B1552" s="1" t="s">
        <v>7821</v>
      </c>
      <c r="C1552" s="1" t="s">
        <v>7822</v>
      </c>
      <c r="D1552" s="1" t="s">
        <v>7823</v>
      </c>
      <c r="E1552" s="1" t="s">
        <v>7823</v>
      </c>
      <c r="F1552" s="1" t="s">
        <v>7824</v>
      </c>
      <c r="G1552" s="1" t="s">
        <v>7825</v>
      </c>
      <c r="H1552" s="1" t="str">
        <f>IFERROR(__xludf.DUMMYFUNCTION("GOOGLETRANSLATE(D1552,""EN"",""JA"")"),"膵エラスターゼ1")</f>
        <v>膵エラスターゼ1</v>
      </c>
      <c r="I1552" s="1" t="str">
        <f>IFERROR(__xludf.DUMMYFUNCTION("GOOGLETRANSLATE(E1552,""EN"",""JA"")"),"膵エラスターゼ1")</f>
        <v>膵エラスターゼ1</v>
      </c>
      <c r="J1552" s="1" t="str">
        <f>IFERROR(__xludf.DUMMYFUNCTION("GOOGLETRANSLATE(F1552,""EN"",""JA"")"),"生物標本中の膵臓エラスターゼ 1 の測定。")</f>
        <v>生物標本中の膵臓エラスターゼ 1 の測定。</v>
      </c>
      <c r="K1552" s="1" t="str">
        <f>IFERROR(__xludf.DUMMYFUNCTION("GOOGLETRANSLATE(G1552,""EN"",""JA"")"),"膵臓エラスターゼ測定")</f>
        <v>膵臓エラスターゼ測定</v>
      </c>
    </row>
    <row r="1553" ht="13.5" customHeight="1">
      <c r="A1553" s="1" t="s">
        <v>11</v>
      </c>
      <c r="B1553" s="1" t="s">
        <v>7826</v>
      </c>
      <c r="C1553" s="1" t="s">
        <v>7827</v>
      </c>
      <c r="D1553" s="1" t="s">
        <v>7828</v>
      </c>
      <c r="E1553" s="1" t="s">
        <v>7828</v>
      </c>
      <c r="F1553" s="1" t="s">
        <v>7829</v>
      </c>
      <c r="G1553" s="1" t="s">
        <v>7830</v>
      </c>
      <c r="H1553" s="1" t="str">
        <f>IFERROR(__xludf.DUMMYFUNCTION("GOOGLETRANSLATE(D1553,""EN"",""JA"")"),"膵エラスターゼ1、多形核")</f>
        <v>膵エラスターゼ1、多形核</v>
      </c>
      <c r="I1553" s="1" t="str">
        <f>IFERROR(__xludf.DUMMYFUNCTION("GOOGLETRANSLATE(E1553,""EN"",""JA"")"),"膵エラスターゼ1、多形核")</f>
        <v>膵エラスターゼ1、多形核</v>
      </c>
      <c r="J1553" s="1" t="str">
        <f>IFERROR(__xludf.DUMMYFUNCTION("GOOGLETRANSLATE(F1553,""EN"",""JA"")"),"生物標本中の多形核膵エラスターゼ 1 の測定。")</f>
        <v>生物標本中の多形核膵エラスターゼ 1 の測定。</v>
      </c>
      <c r="K1553" s="1" t="str">
        <f>IFERROR(__xludf.DUMMYFUNCTION("GOOGLETRANSLATE(G1553,""EN"",""JA"")"),"多形核膵エラスターゼ測定")</f>
        <v>多形核膵エラスターゼ測定</v>
      </c>
    </row>
    <row r="1554" ht="13.5" customHeight="1">
      <c r="A1554" s="1" t="s">
        <v>11</v>
      </c>
      <c r="B1554" s="1" t="s">
        <v>7831</v>
      </c>
      <c r="C1554" s="1" t="s">
        <v>7832</v>
      </c>
      <c r="D1554" s="1" t="s">
        <v>7833</v>
      </c>
      <c r="E1554" s="1" t="s">
        <v>7833</v>
      </c>
      <c r="F1554" s="1" t="s">
        <v>7834</v>
      </c>
      <c r="G1554" s="1" t="s">
        <v>7835</v>
      </c>
      <c r="H1554" s="1" t="str">
        <f>IFERROR(__xludf.DUMMYFUNCTION("GOOGLETRANSLATE(D1554,""EN"",""JA"")"),"好中球エラスターゼ")</f>
        <v>好中球エラスターゼ</v>
      </c>
      <c r="I1554" s="1" t="str">
        <f>IFERROR(__xludf.DUMMYFUNCTION("GOOGLETRANSLATE(E1554,""EN"",""JA"")"),"好中球エラスターゼ")</f>
        <v>好中球エラスターゼ</v>
      </c>
      <c r="J1554" s="1" t="str">
        <f>IFERROR(__xludf.DUMMYFUNCTION("GOOGLETRANSLATE(F1554,""EN"",""JA"")"),"生物標本中の好中球エラスターゼの測定。")</f>
        <v>生物標本中の好中球エラスターゼの測定。</v>
      </c>
      <c r="K1554" s="1" t="str">
        <f>IFERROR(__xludf.DUMMYFUNCTION("GOOGLETRANSLATE(G1554,""EN"",""JA"")"),"好中球エラスターゼ測定")</f>
        <v>好中球エラスターゼ測定</v>
      </c>
    </row>
    <row r="1555" ht="13.5" customHeight="1">
      <c r="A1555" s="1" t="s">
        <v>11</v>
      </c>
      <c r="B1555" s="1" t="s">
        <v>7836</v>
      </c>
      <c r="C1555" s="1" t="s">
        <v>7837</v>
      </c>
      <c r="D1555" s="1" t="s">
        <v>7838</v>
      </c>
      <c r="E1555" s="1" t="s">
        <v>7838</v>
      </c>
      <c r="F1555" s="1" t="s">
        <v>7839</v>
      </c>
      <c r="G1555" s="1" t="s">
        <v>7840</v>
      </c>
      <c r="H1555" s="1" t="str">
        <f>IFERROR(__xludf.DUMMYFUNCTION("GOOGLETRANSLATE(D1555,""EN"",""JA"")"),"好中球エラスターゼ、多形核")</f>
        <v>好中球エラスターゼ、多形核</v>
      </c>
      <c r="I1555" s="1" t="str">
        <f>IFERROR(__xludf.DUMMYFUNCTION("GOOGLETRANSLATE(E1555,""EN"",""JA"")"),"好中球エラスターゼ、多形核")</f>
        <v>好中球エラスターゼ、多形核</v>
      </c>
      <c r="J1555" s="1" t="str">
        <f>IFERROR(__xludf.DUMMYFUNCTION("GOOGLETRANSLATE(F1555,""EN"",""JA"")"),"生物標本中の多形核好中球エラスターゼの測定。")</f>
        <v>生物標本中の多形核好中球エラスターゼの測定。</v>
      </c>
      <c r="K1555" s="1" t="str">
        <f>IFERROR(__xludf.DUMMYFUNCTION("GOOGLETRANSLATE(G1555,""EN"",""JA"")"),"多形核好中球エラスターゼ測定")</f>
        <v>多形核好中球エラスターゼ測定</v>
      </c>
    </row>
    <row r="1556" ht="13.5" customHeight="1">
      <c r="A1556" s="1" t="s">
        <v>11</v>
      </c>
      <c r="B1556" s="1" t="s">
        <v>7841</v>
      </c>
      <c r="C1556" s="1" t="s">
        <v>7842</v>
      </c>
      <c r="D1556" s="1" t="s">
        <v>7843</v>
      </c>
      <c r="E1556" s="1" t="s">
        <v>7843</v>
      </c>
      <c r="F1556" s="1" t="s">
        <v>7844</v>
      </c>
      <c r="G1556" s="1" t="s">
        <v>7845</v>
      </c>
      <c r="H1556" s="1" t="str">
        <f>IFERROR(__xludf.DUMMYFUNCTION("GOOGLETRANSLATE(D1556,""EN"",""JA"")"),"エラスチン")</f>
        <v>エラスチン</v>
      </c>
      <c r="I1556" s="1" t="str">
        <f>IFERROR(__xludf.DUMMYFUNCTION("GOOGLETRANSLATE(E1556,""EN"",""JA"")"),"エラスチン")</f>
        <v>エラスチン</v>
      </c>
      <c r="J1556" s="1" t="str">
        <f>IFERROR(__xludf.DUMMYFUNCTION("GOOGLETRANSLATE(F1556,""EN"",""JA"")"),"生物標本中のエラスチンの測定。")</f>
        <v>生物標本中のエラスチンの測定。</v>
      </c>
      <c r="K1556" s="1" t="str">
        <f>IFERROR(__xludf.DUMMYFUNCTION("GOOGLETRANSLATE(G1556,""EN"",""JA"")"),"エラスチン測定")</f>
        <v>エラスチン測定</v>
      </c>
    </row>
    <row r="1557" ht="13.5" customHeight="1">
      <c r="A1557" s="1" t="s">
        <v>11</v>
      </c>
      <c r="B1557" s="1" t="s">
        <v>7846</v>
      </c>
      <c r="C1557" s="1" t="s">
        <v>7847</v>
      </c>
      <c r="D1557" s="1" t="s">
        <v>7848</v>
      </c>
      <c r="E1557" s="1" t="s">
        <v>7848</v>
      </c>
      <c r="F1557" s="1" t="s">
        <v>7849</v>
      </c>
      <c r="G1557" s="1" t="s">
        <v>7850</v>
      </c>
      <c r="H1557" s="1" t="str">
        <f>IFERROR(__xludf.DUMMYFUNCTION("GOOGLETRANSLATE(D1557,""EN"",""JA"")"),"楕円赤血球")</f>
        <v>楕円赤血球</v>
      </c>
      <c r="I1557" s="1" t="str">
        <f>IFERROR(__xludf.DUMMYFUNCTION("GOOGLETRANSLATE(E1557,""EN"",""JA"")"),"楕円赤血球")</f>
        <v>楕円赤血球</v>
      </c>
      <c r="J1557" s="1" t="str">
        <f>IFERROR(__xludf.DUMMYFUNCTION("GOOGLETRANSLATE(F1557,""EN"",""JA"")"),"生物標本中の楕円赤血球（鈍端を持ち、長軸が短軸の 2 倍の長さである楕円形の細胞）の測定。")</f>
        <v>生物標本中の楕円赤血球（鈍端を持ち、長軸が短軸の 2 倍の長さである楕円形の細胞）の測定。</v>
      </c>
      <c r="K1557" s="1" t="str">
        <f>IFERROR(__xludf.DUMMYFUNCTION("GOOGLETRANSLATE(G1557,""EN"",""JA"")"),"楕円赤血球数")</f>
        <v>楕円赤血球数</v>
      </c>
    </row>
    <row r="1558" ht="13.5" customHeight="1">
      <c r="A1558" s="1" t="s">
        <v>11</v>
      </c>
      <c r="B1558" s="1" t="s">
        <v>7851</v>
      </c>
      <c r="C1558" s="1" t="s">
        <v>7852</v>
      </c>
      <c r="D1558" s="1" t="s">
        <v>7853</v>
      </c>
      <c r="E1558" s="1" t="s">
        <v>7854</v>
      </c>
      <c r="F1558" s="1" t="s">
        <v>7855</v>
      </c>
      <c r="G1558" s="1" t="s">
        <v>7856</v>
      </c>
      <c r="H1558" s="1" t="str">
        <f>IFERROR(__xludf.DUMMYFUNCTION("GOOGLETRANSLATE(D1558,""EN"",""JA"")"),"エロンゲーターアセチルトランスフェラーゼ複合体サブ3")</f>
        <v>エロンゲーターアセチルトランスフェラーゼ複合体サブ3</v>
      </c>
      <c r="I1558" s="1" t="str">
        <f>IFERROR(__xludf.DUMMYFUNCTION("GOOGLETRANSLATE(E1558,""EN"",""JA"")"),"伸長酵素アセチルトランスフェラーゼ複合体サブ3; 伸長酵素アセチルトランスフェラーゼ複合体サブユニット3; ELP-3; タンパク質リジンアセチルトランスフェラーゼELP3; プロテイナーゼ3分解エラスチン; TRNAウリジン(34)アセチルトランスフェラーゼ")</f>
        <v>伸長酵素アセチルトランスフェラーゼ複合体サブ3; 伸長酵素アセチルトランスフェラーゼ複合体サブユニット3; ELP-3; タンパク質リジンアセチルトランスフェラーゼELP3; プロテイナーゼ3分解エラスチン; TRNAウリジン(34)アセチルトランスフェラーゼ</v>
      </c>
      <c r="J1558" s="1" t="str">
        <f>IFERROR(__xludf.DUMMYFUNCTION("GOOGLETRANSLATE(F1558,""EN"",""JA"")"),"生物標本中の伸長アセチルトランスフェラーゼ複合体サブユニット 3 の測定。")</f>
        <v>生物標本中の伸長アセチルトランスフェラーゼ複合体サブユニット 3 の測定。</v>
      </c>
      <c r="K1558" s="1" t="str">
        <f>IFERROR(__xludf.DUMMYFUNCTION("GOOGLETRANSLATE(G1558,""EN"",""JA"")"),"伸長酵素アセチルトランスフェラーゼ複合体サブユニット3の測定")</f>
        <v>伸長酵素アセチルトランスフェラーゼ複合体サブユニット3の測定</v>
      </c>
    </row>
    <row r="1559" ht="13.5" customHeight="1">
      <c r="A1559" s="1" t="s">
        <v>580</v>
      </c>
      <c r="B1559" s="1" t="s">
        <v>7857</v>
      </c>
      <c r="C1559" s="1" t="s">
        <v>7858</v>
      </c>
      <c r="D1559" s="1" t="s">
        <v>7859</v>
      </c>
      <c r="E1559" s="1" t="s">
        <v>7859</v>
      </c>
      <c r="F1559" s="1" t="s">
        <v>7860</v>
      </c>
      <c r="G1559" s="1" t="s">
        <v>7859</v>
      </c>
      <c r="H1559" s="1" t="str">
        <f>IFERROR(__xludf.DUMMYFUNCTION("GOOGLETRANSLATE(D1559,""EN"",""JA"")"),"弾力性")</f>
        <v>弾力性</v>
      </c>
      <c r="I1559" s="1" t="str">
        <f>IFERROR(__xludf.DUMMYFUNCTION("GOOGLETRANSLATE(E1559,""EN"",""JA"")"),"弾力性")</f>
        <v>弾力性</v>
      </c>
      <c r="J1559" s="1" t="str">
        <f>IFERROR(__xludf.DUMMYFUNCTION("GOOGLETRANSLATE(F1559,""EN"",""JA"")"),"システムの拡張抵抗、すなわち肺の単位容積変化を引き起こすために必要な圧力変化の尺度。エラスタンスはコンプライアンスの逆数である。")</f>
        <v>システムの拡張抵抗、すなわち肺の単位容積変化を引き起こすために必要な圧力変化の尺度。エラスタンスはコンプライアンスの逆数である。</v>
      </c>
      <c r="K1559" s="1" t="str">
        <f>IFERROR(__xludf.DUMMYFUNCTION("GOOGLETRANSLATE(G1559,""EN"",""JA"")"),"弾力性")</f>
        <v>弾力性</v>
      </c>
    </row>
    <row r="1560" ht="13.5" customHeight="1">
      <c r="A1560" s="1" t="s">
        <v>11</v>
      </c>
      <c r="B1560" s="1" t="s">
        <v>7861</v>
      </c>
      <c r="C1560" s="1" t="s">
        <v>7862</v>
      </c>
      <c r="D1560" s="1" t="s">
        <v>7863</v>
      </c>
      <c r="E1560" s="1" t="s">
        <v>7864</v>
      </c>
      <c r="F1560" s="1" t="s">
        <v>7865</v>
      </c>
      <c r="G1560" s="1" t="s">
        <v>7866</v>
      </c>
      <c r="H1560" s="1" t="str">
        <f>IFERROR(__xludf.DUMMYFUNCTION("GOOGLETRANSLATE(D1560,""EN"",""JA"")"),"エチルアンフェタミン")</f>
        <v>エチルアンフェタミン</v>
      </c>
      <c r="I1560" s="1" t="str">
        <f>IFERROR(__xludf.DUMMYFUNCTION("GOOGLETRANSLATE(E1560,""EN"",""JA"")"),"エチルランフェタミン;エチラムフェタミン; N-エチルアンフェタミン")</f>
        <v>エチルランフェタミン;エチラムフェタミン; N-エチルアンフェタミン</v>
      </c>
      <c r="J1560" s="1" t="str">
        <f>IFERROR(__xludf.DUMMYFUNCTION("GOOGLETRANSLATE(F1560,""EN"",""JA"")"),"生物標本中のエチルアンフェタミンの測定。")</f>
        <v>生物標本中のエチルアンフェタミンの測定。</v>
      </c>
      <c r="K1560" s="1" t="str">
        <f>IFERROR(__xludf.DUMMYFUNCTION("GOOGLETRANSLATE(G1560,""EN"",""JA"")"),"エチルアンフェタミン測定")</f>
        <v>エチルアンフェタミン測定</v>
      </c>
    </row>
    <row r="1561" ht="13.5" customHeight="1">
      <c r="A1561" s="1" t="s">
        <v>397</v>
      </c>
      <c r="B1561" s="1" t="s">
        <v>7867</v>
      </c>
      <c r="C1561" s="1" t="s">
        <v>7868</v>
      </c>
      <c r="D1561" s="1" t="s">
        <v>7869</v>
      </c>
      <c r="E1561" s="1" t="s">
        <v>7869</v>
      </c>
      <c r="F1561" s="1" t="s">
        <v>7870</v>
      </c>
      <c r="G1561" s="1" t="s">
        <v>7871</v>
      </c>
      <c r="H1561" s="1" t="str">
        <f>IFERROR(__xludf.DUMMYFUNCTION("GOOGLETRANSLATE(D1561,""EN"",""JA"")"),"XMLファイルのメールアドレス")</f>
        <v>XMLファイルのメールアドレス</v>
      </c>
      <c r="I1561" s="1" t="str">
        <f>IFERROR(__xludf.DUMMYFUNCTION("GOOGLETRANSLATE(E1561,""EN"",""JA"")"),"XMLファイルのメールアドレス")</f>
        <v>XMLファイルのメールアドレス</v>
      </c>
      <c r="J1561" s="1" t="str">
        <f>IFERROR(__xludf.DUMMYFUNCTION("GOOGLETRANSLATE(F1561,""EN"",""JA"")"),"EudraCT アプリケーションの XML 形式のコピーを送信する電子メール アドレス。")</f>
        <v>EudraCT アプリケーションの XML 形式のコピーを送信する電子メール アドレス。</v>
      </c>
      <c r="K1561" s="1" t="str">
        <f>IFERROR(__xludf.DUMMYFUNCTION("GOOGLETRANSLATE(G1561,""EN"",""JA"")"),"XMLファイルのフィードバック用のメールアドレス")</f>
        <v>XMLファイルのフィードバック用のメールアドレス</v>
      </c>
    </row>
    <row r="1562" ht="13.5" customHeight="1">
      <c r="A1562" s="1" t="s">
        <v>1034</v>
      </c>
      <c r="B1562" s="1" t="s">
        <v>7872</v>
      </c>
      <c r="C1562" s="1" t="s">
        <v>7873</v>
      </c>
      <c r="D1562" s="1" t="s">
        <v>7874</v>
      </c>
      <c r="E1562" s="1" t="s">
        <v>7875</v>
      </c>
      <c r="F1562" s="1" t="s">
        <v>7876</v>
      </c>
      <c r="G1562" s="1" t="s">
        <v>7877</v>
      </c>
      <c r="H1562" s="1" t="str">
        <f>IFERROR(__xludf.DUMMYFUNCTION("GOOGLETRANSLATE(D1562,""EN"",""JA"")"),"ファントムボリュームのEMCL基準")</f>
        <v>ファントムボリュームのEMCL基準</v>
      </c>
      <c r="I1562" s="1" t="str">
        <f>IFERROR(__xludf.DUMMYFUNCTION("GOOGLETRANSLATE(E1562,""EN"",""JA"")"),"ファントムボリュームのEMCL正規化; ファントムボリュームのEMCL正規化")</f>
        <v>ファントムボリュームのEMCL正規化; ファントムボリュームのEMCL正規化</v>
      </c>
      <c r="J1562" s="1" t="str">
        <f>IFERROR(__xludf.DUMMYFUNCTION("GOOGLETRANSLATE(F1562,""EN"",""JA"")"),"生物標本における、ファントムボリュームをイメージングするために正規化された筋細胞外脂質の測定値。")</f>
        <v>生物標本における、ファントムボリュームをイメージングするために正規化された筋細胞外脂質の測定値。</v>
      </c>
      <c r="K1562" s="1" t="str">
        <f>IFERROR(__xludf.DUMMYFUNCTION("GOOGLETRANSLATE(G1562,""EN"",""JA"")"),"ファントムボリューム測定用に標準化された筋細胞外脂質")</f>
        <v>ファントムボリューム測定用に標準化された筋細胞外脂質</v>
      </c>
    </row>
    <row r="1563" ht="13.5" customHeight="1">
      <c r="A1563" s="1" t="s">
        <v>1034</v>
      </c>
      <c r="B1563" s="1" t="s">
        <v>7878</v>
      </c>
      <c r="C1563" s="1" t="s">
        <v>7879</v>
      </c>
      <c r="D1563" s="1" t="s">
        <v>7880</v>
      </c>
      <c r="E1563" s="1" t="s">
        <v>7881</v>
      </c>
      <c r="F1563" s="1" t="s">
        <v>7882</v>
      </c>
      <c r="G1563" s="1" t="s">
        <v>7883</v>
      </c>
      <c r="H1563" s="1" t="str">
        <f>IFERROR(__xludf.DUMMYFUNCTION("GOOGLETRANSLATE(D1563,""EN"",""JA"")"),"組織重量のEMCL基準")</f>
        <v>組織重量のEMCL基準</v>
      </c>
      <c r="I1563" s="1" t="str">
        <f>IFERROR(__xludf.DUMMYFUNCTION("GOOGLETRANSLATE(E1563,""EN"",""JA"")"),"組織重量に対するEMCL標準値；組織重量に対するEMCL標準化値；組織重量に対する筋細胞外脂質標準化値")</f>
        <v>組織重量に対するEMCL標準値；組織重量に対するEMCL標準化値；組織重量に対する筋細胞外脂質標準化値</v>
      </c>
      <c r="J1563" s="1" t="str">
        <f>IFERROR(__xludf.DUMMYFUNCTION("GOOGLETRANSLATE(F1563,""EN"",""JA"")"),"生物標本中の組織重量に対して正規化された筋細胞外脂質の測定値。")</f>
        <v>生物標本中の組織重量に対して正規化された筋細胞外脂質の測定値。</v>
      </c>
      <c r="K1563" s="1" t="str">
        <f>IFERROR(__xludf.DUMMYFUNCTION("GOOGLETRANSLATE(G1563,""EN"",""JA"")"),"組織重量測定用に標準化された筋細胞外脂質")</f>
        <v>組織重量測定用に標準化された筋細胞外脂質</v>
      </c>
    </row>
    <row r="1564" ht="13.5" customHeight="1">
      <c r="A1564" s="1" t="s">
        <v>1034</v>
      </c>
      <c r="B1564" s="1" t="s">
        <v>7884</v>
      </c>
      <c r="C1564" s="1" t="s">
        <v>7885</v>
      </c>
      <c r="D1564" s="1" t="s">
        <v>7886</v>
      </c>
      <c r="E1564" s="1" t="s">
        <v>7887</v>
      </c>
      <c r="F1564" s="1" t="s">
        <v>7888</v>
      </c>
      <c r="G1564" s="1" t="s">
        <v>7889</v>
      </c>
      <c r="H1564" s="1" t="str">
        <f>IFERROR(__xludf.DUMMYFUNCTION("GOOGLETRANSLATE(D1564,""EN"",""JA"")"),"組織水分量のEMCL基準")</f>
        <v>組織水分量のEMCL基準</v>
      </c>
      <c r="I1564" s="1" t="str">
        <f>IFERROR(__xludf.DUMMYFUNCTION("GOOGLETRANSLATE(E1564,""EN"",""JA"")"),"組織水分量のEMCL標準値；組織水分量に対して標準化されたEMCL；組織水分量に対して標準化された筋細胞外脂質")</f>
        <v>組織水分量のEMCL標準値；組織水分量に対して標準化されたEMCL；組織水分量に対して標準化された筋細胞外脂質</v>
      </c>
      <c r="J1564" s="1" t="str">
        <f>IFERROR(__xludf.DUMMYFUNCTION("GOOGLETRANSLATE(F1564,""EN"",""JA"")"),"生物標本中の組織水分量に対して正規化された筋細胞外脂質の測定値。")</f>
        <v>生物標本中の組織水分量に対して正規化された筋細胞外脂質の測定値。</v>
      </c>
      <c r="K1564" s="1" t="str">
        <f>IFERROR(__xludf.DUMMYFUNCTION("GOOGLETRANSLATE(G1564,""EN"",""JA"")"),"組織水分量測定のための筋細胞外脂質の標準化")</f>
        <v>組織水分量測定のための筋細胞外脂質の標準化</v>
      </c>
    </row>
    <row r="1565" ht="13.5" customHeight="1">
      <c r="A1565" s="1" t="s">
        <v>1342</v>
      </c>
      <c r="B1565" s="1" t="s">
        <v>7890</v>
      </c>
      <c r="C1565" s="1" t="s">
        <v>7891</v>
      </c>
      <c r="D1565" s="1" t="s">
        <v>7892</v>
      </c>
      <c r="E1565" s="1" t="s">
        <v>7892</v>
      </c>
      <c r="F1565" s="1" t="s">
        <v>7893</v>
      </c>
      <c r="G1565" s="1" t="s">
        <v>7894</v>
      </c>
      <c r="H1565" s="1" t="str">
        <f>IFERROR(__xludf.DUMMYFUNCTION("GOOGLETRANSLATE(D1565,""EN"",""JA"")"),"髄外疾患への対応")</f>
        <v>髄外疾患への対応</v>
      </c>
      <c r="I1565" s="1" t="str">
        <f>IFERROR(__xludf.DUMMYFUNCTION("GOOGLETRANSLATE(E1565,""EN"",""JA"")"),"髄外疾患への対応")</f>
        <v>髄外疾患への対応</v>
      </c>
      <c r="J1565" s="1" t="str">
        <f>IFERROR(__xludf.DUMMYFUNCTION("GOOGLETRANSLATE(F1565,""EN"",""JA"")"),"髄外領域内での治療に対する疾患反応の評価。")</f>
        <v>髄外領域内での治療に対する疾患反応の評価。</v>
      </c>
      <c r="K1565" s="1" t="str">
        <f>IFERROR(__xludf.DUMMYFUNCTION("GOOGLETRANSLATE(G1565,""EN"",""JA"")"),"髄外疾患反応評価")</f>
        <v>髄外疾患反応評価</v>
      </c>
    </row>
    <row r="1566" ht="13.5" customHeight="1">
      <c r="A1566" s="1" t="s">
        <v>397</v>
      </c>
      <c r="B1566" s="1" t="s">
        <v>7895</v>
      </c>
      <c r="C1566" s="1" t="s">
        <v>7896</v>
      </c>
      <c r="D1566" s="1" t="s">
        <v>7897</v>
      </c>
      <c r="E1566" s="1" t="s">
        <v>7897</v>
      </c>
      <c r="F1566" s="1" t="s">
        <v>7898</v>
      </c>
      <c r="G1566" s="1" t="s">
        <v>7899</v>
      </c>
      <c r="H1566" s="1" t="str">
        <f>IFERROR(__xludf.DUMMYFUNCTION("GOOGLETRANSLATE(D1566,""EN"",""JA"")"),"PIP の EMA 決定番号")</f>
        <v>PIP の EMA 決定番号</v>
      </c>
      <c r="I1566" s="1" t="str">
        <f>IFERROR(__xludf.DUMMYFUNCTION("GOOGLETRANSLATE(E1566,""EN"",""JA"")"),"PIP の EMA 決定番号")</f>
        <v>PIP の EMA 決定番号</v>
      </c>
      <c r="J1566" s="1" t="str">
        <f>IFERROR(__xludf.DUMMYFUNCTION("GOOGLETRANSLATE(F1566,""EN"",""JA"")"),"小児研究計画 (PIP) に関する EMA 規制決定に対して欧州医薬品庁 (EMA) によって割り当てられた英数字コード。")</f>
        <v>小児研究計画 (PIP) に関する EMA 規制決定に対して欧州医薬品庁 (EMA) によって割り当てられた英数字コード。</v>
      </c>
      <c r="K1566" s="1" t="str">
        <f>IFERROR(__xludf.DUMMYFUNCTION("GOOGLETRANSLATE(G1566,""EN"",""JA"")"),"小児研究計画に関するEMA決定番号")</f>
        <v>小児研究計画に関するEMA決定番号</v>
      </c>
    </row>
    <row r="1567" ht="13.5" customHeight="1">
      <c r="A1567" s="1" t="s">
        <v>601</v>
      </c>
      <c r="B1567" s="1" t="s">
        <v>7900</v>
      </c>
      <c r="C1567" s="1" t="s">
        <v>7901</v>
      </c>
      <c r="D1567" s="1" t="s">
        <v>7902</v>
      </c>
      <c r="E1567" s="1" t="s">
        <v>7903</v>
      </c>
      <c r="F1567" s="1" t="s">
        <v>7904</v>
      </c>
      <c r="G1567" s="1" t="s">
        <v>7905</v>
      </c>
      <c r="H1567" s="1" t="str">
        <f>IFERROR(__xludf.DUMMYFUNCTION("GOOGLETRANSLATE(D1567,""EN"",""JA"")"),"従業員の仕事")</f>
        <v>従業員の仕事</v>
      </c>
      <c r="I1567" s="1" t="str">
        <f>IFERROR(__xludf.DUMMYFUNCTION("GOOGLETRANSLATE(E1567,""EN"",""JA"")"),"従業員の職種、職業、仕事の種類")</f>
        <v>従業員の職種、職業、仕事の種類</v>
      </c>
      <c r="J1567" s="1" t="str">
        <f>IFERROR(__xludf.DUMMYFUNCTION("GOOGLETRANSLATE(F1567,""EN"",""JA"")"),"従業員が雇用主のために遂行する職務を示すコード。例：会計士、プログラマーアナリスト、患者ケア担当者、看護師など。")</f>
        <v>従業員が雇用主のために遂行する職務を示すコード。例：会計士、プログラマーアナリスト、患者ケア担当者、看護師など。</v>
      </c>
      <c r="K1567" s="1" t="str">
        <f>IFERROR(__xludf.DUMMYFUNCTION("GOOGLETRANSLATE(G1567,""EN"",""JA"")"),"職業")</f>
        <v>職業</v>
      </c>
    </row>
    <row r="1568" ht="13.5" customHeight="1">
      <c r="A1568" s="1" t="s">
        <v>601</v>
      </c>
      <c r="B1568" s="1" t="s">
        <v>7906</v>
      </c>
      <c r="C1568" s="1" t="s">
        <v>7907</v>
      </c>
      <c r="D1568" s="1" t="s">
        <v>7908</v>
      </c>
      <c r="E1568" s="1" t="s">
        <v>7908</v>
      </c>
      <c r="F1568" s="1" t="s">
        <v>7909</v>
      </c>
      <c r="G1568" s="1" t="s">
        <v>7908</v>
      </c>
      <c r="H1568" s="1" t="str">
        <f>IFERROR(__xludf.DUMMYFUNCTION("GOOGLETRANSLATE(D1568,""EN"",""JA"")"),"雇用状況")</f>
        <v>雇用状況</v>
      </c>
      <c r="I1568" s="1" t="str">
        <f>IFERROR(__xludf.DUMMYFUNCTION("GOOGLETRANSLATE(E1568,""EN"",""JA"")"),"雇用状況")</f>
        <v>雇用状況</v>
      </c>
      <c r="J1568" s="1" t="str">
        <f>IFERROR(__xludf.DUMMYFUNCTION("GOOGLETRANSLATE(F1568,""EN"",""JA"")"),"個人の雇用の状態または条件。")</f>
        <v>個人の雇用の状態または条件。</v>
      </c>
      <c r="K1568" s="1" t="str">
        <f>IFERROR(__xludf.DUMMYFUNCTION("GOOGLETRANSLATE(G1568,""EN"",""JA"")"),"雇用状況")</f>
        <v>雇用状況</v>
      </c>
    </row>
    <row r="1569" ht="13.5" customHeight="1">
      <c r="A1569" s="1" t="s">
        <v>134</v>
      </c>
      <c r="B1569" s="1" t="s">
        <v>7910</v>
      </c>
      <c r="C1569" s="1" t="s">
        <v>7911</v>
      </c>
      <c r="D1569" s="1" t="s">
        <v>7912</v>
      </c>
      <c r="E1569" s="1" t="s">
        <v>7912</v>
      </c>
      <c r="F1569" s="1" t="s">
        <v>7913</v>
      </c>
      <c r="G1569" s="1" t="s">
        <v>7914</v>
      </c>
      <c r="H1569" s="1" t="str">
        <f>IFERROR(__xludf.DUMMYFUNCTION("GOOGLETRANSLATE(D1569,""EN"",""JA"")"),"壁外静脈侵襲")</f>
        <v>壁外静脈侵襲</v>
      </c>
      <c r="I1569" s="1" t="str">
        <f>IFERROR(__xludf.DUMMYFUNCTION("GOOGLETRANSLATE(E1569,""EN"",""JA"")"),"壁外静脈侵襲")</f>
        <v>壁外静脈侵襲</v>
      </c>
      <c r="J1569" s="1" t="str">
        <f>IFERROR(__xludf.DUMMYFUNCTION("GOOGLETRANSLATE(F1569,""EN"",""JA"")"),"生物標本における壁外静脈侵襲の評価。")</f>
        <v>生物標本における壁外静脈侵襲の評価。</v>
      </c>
      <c r="K1569" s="1" t="str">
        <f>IFERROR(__xludf.DUMMYFUNCTION("GOOGLETRANSLATE(G1569,""EN"",""JA"")"),"壁外静脈侵襲評価")</f>
        <v>壁外静脈侵襲評価</v>
      </c>
    </row>
    <row r="1570" ht="13.5" customHeight="1">
      <c r="A1570" s="1" t="s">
        <v>11</v>
      </c>
      <c r="B1570" s="1" t="s">
        <v>7915</v>
      </c>
      <c r="C1570" s="1" t="s">
        <v>7916</v>
      </c>
      <c r="D1570" s="1" t="s">
        <v>7917</v>
      </c>
      <c r="E1570" s="1" t="s">
        <v>7917</v>
      </c>
      <c r="F1570" s="1" t="s">
        <v>7918</v>
      </c>
      <c r="G1570" s="1" t="s">
        <v>7919</v>
      </c>
      <c r="H1570" s="1" t="str">
        <f>IFERROR(__xludf.DUMMYFUNCTION("GOOGLETRANSLATE(D1570,""EN"",""JA"")"),"上皮好中球活性化ペプチド78")</f>
        <v>上皮好中球活性化ペプチド78</v>
      </c>
      <c r="I1570" s="1" t="str">
        <f>IFERROR(__xludf.DUMMYFUNCTION("GOOGLETRANSLATE(E1570,""EN"",""JA"")"),"上皮好中球活性化ペプチド78")</f>
        <v>上皮好中球活性化ペプチド78</v>
      </c>
      <c r="J1570" s="1" t="str">
        <f>IFERROR(__xludf.DUMMYFUNCTION("GOOGLETRANSLATE(F1570,""EN"",""JA"")"),"生物標本中の上皮好中球活性化ペプチドの測定。")</f>
        <v>生物標本中の上皮好中球活性化ペプチドの測定。</v>
      </c>
      <c r="K1570" s="1" t="str">
        <f>IFERROR(__xludf.DUMMYFUNCTION("GOOGLETRANSLATE(G1570,""EN"",""JA"")"),"上皮性好中球活性化ペプチド78の測定")</f>
        <v>上皮性好中球活性化ペプチド78の測定</v>
      </c>
    </row>
    <row r="1571" ht="13.5" customHeight="1">
      <c r="A1571" s="1" t="s">
        <v>11</v>
      </c>
      <c r="B1571" s="1" t="s">
        <v>7920</v>
      </c>
      <c r="C1571" s="1" t="s">
        <v>7921</v>
      </c>
      <c r="D1571" s="1" t="s">
        <v>7922</v>
      </c>
      <c r="E1571" s="1" t="s">
        <v>7923</v>
      </c>
      <c r="F1571" s="1" t="s">
        <v>7924</v>
      </c>
      <c r="G1571" s="1" t="s">
        <v>7925</v>
      </c>
      <c r="H1571" s="1" t="str">
        <f>IFERROR(__xludf.DUMMYFUNCTION("GOOGLETRANSLATE(D1571,""EN"",""JA"")"),"エンドスタチン")</f>
        <v>エンドスタチン</v>
      </c>
      <c r="I1571" s="1" t="str">
        <f>IFERROR(__xludf.DUMMYFUNCTION("GOOGLETRANSLATE(E1571,""EN"",""JA"")"),"コラーゲンXVIII型アルファ1鎖; エンドスタチン")</f>
        <v>コラーゲンXVIII型アルファ1鎖; エンドスタチン</v>
      </c>
      <c r="J1571" s="1" t="str">
        <f>IFERROR(__xludf.DUMMYFUNCTION("GOOGLETRANSLATE(F1571,""EN"",""JA"")"),"生物標本中のエンドスタチンの測定。")</f>
        <v>生物標本中のエンドスタチンの測定。</v>
      </c>
      <c r="K1571" s="1" t="str">
        <f>IFERROR(__xludf.DUMMYFUNCTION("GOOGLETRANSLATE(G1571,""EN"",""JA"")"),"エンドスタチン測定")</f>
        <v>エンドスタチン測定</v>
      </c>
    </row>
    <row r="1572" ht="13.5" customHeight="1">
      <c r="A1572" s="1" t="s">
        <v>11</v>
      </c>
      <c r="B1572" s="1" t="s">
        <v>7926</v>
      </c>
      <c r="C1572" s="1" t="s">
        <v>7927</v>
      </c>
      <c r="D1572" s="1" t="s">
        <v>7928</v>
      </c>
      <c r="E1572" s="1" t="s">
        <v>7928</v>
      </c>
      <c r="F1572" s="1" t="s">
        <v>7929</v>
      </c>
      <c r="G1572" s="1" t="s">
        <v>7930</v>
      </c>
      <c r="H1572" s="1" t="str">
        <f>IFERROR(__xludf.DUMMYFUNCTION("GOOGLETRANSLATE(D1572,""EN"",""JA"")"),"エンドセリン-1")</f>
        <v>エンドセリン-1</v>
      </c>
      <c r="I1572" s="1" t="str">
        <f>IFERROR(__xludf.DUMMYFUNCTION("GOOGLETRANSLATE(E1572,""EN"",""JA"")"),"エンドセリン-1")</f>
        <v>エンドセリン-1</v>
      </c>
      <c r="J1572" s="1" t="str">
        <f>IFERROR(__xludf.DUMMYFUNCTION("GOOGLETRANSLATE(F1572,""EN"",""JA"")"),"生物標本中のエンドセリン-1の測定。")</f>
        <v>生物標本中のエンドセリン-1の測定。</v>
      </c>
      <c r="K1572" s="1" t="str">
        <f>IFERROR(__xludf.DUMMYFUNCTION("GOOGLETRANSLATE(G1572,""EN"",""JA"")"),"エンドセリン-1測定")</f>
        <v>エンドセリン-1測定</v>
      </c>
    </row>
    <row r="1573" ht="13.5" customHeight="1">
      <c r="A1573" s="1" t="s">
        <v>11</v>
      </c>
      <c r="B1573" s="1" t="s">
        <v>7931</v>
      </c>
      <c r="C1573" s="1" t="s">
        <v>7932</v>
      </c>
      <c r="D1573" s="1" t="s">
        <v>7933</v>
      </c>
      <c r="E1573" s="1" t="s">
        <v>7934</v>
      </c>
      <c r="F1573" s="1" t="s">
        <v>7935</v>
      </c>
      <c r="G1573" s="1" t="s">
        <v>7936</v>
      </c>
      <c r="H1573" s="1" t="str">
        <f>IFERROR(__xludf.DUMMYFUNCTION("GOOGLETRANSLATE(D1573,""EN"",""JA"")"),"エンドセリン3")</f>
        <v>エンドセリン3</v>
      </c>
      <c r="I1573" s="1" t="str">
        <f>IFERROR(__xludf.DUMMYFUNCTION("GOOGLETRANSLATE(E1573,""EN"",""JA"")"),"エンドセリン-3; ET-3")</f>
        <v>エンドセリン-3; ET-3</v>
      </c>
      <c r="J1573" s="1" t="str">
        <f>IFERROR(__xludf.DUMMYFUNCTION("GOOGLETRANSLATE(F1573,""EN"",""JA"")"),"生物標本中のエンドセリン 3 の測定。")</f>
        <v>生物標本中のエンドセリン 3 の測定。</v>
      </c>
      <c r="K1573" s="1" t="str">
        <f>IFERROR(__xludf.DUMMYFUNCTION("GOOGLETRANSLATE(G1573,""EN"",""JA"")"),"エンドセリン3測定")</f>
        <v>エンドセリン3測定</v>
      </c>
    </row>
    <row r="1574" ht="13.5" customHeight="1">
      <c r="A1574" s="1" t="s">
        <v>1034</v>
      </c>
      <c r="B1574" s="1" t="s">
        <v>7937</v>
      </c>
      <c r="C1574" s="1" t="s">
        <v>7938</v>
      </c>
      <c r="D1574" s="1" t="s">
        <v>7939</v>
      </c>
      <c r="E1574" s="1" t="s">
        <v>7939</v>
      </c>
      <c r="F1574" s="1" t="s">
        <v>7940</v>
      </c>
      <c r="G1574" s="1" t="s">
        <v>7941</v>
      </c>
      <c r="H1574" s="1" t="str">
        <f>IFERROR(__xludf.DUMMYFUNCTION("GOOGLETRANSLATE(D1574,""EN"",""JA"")"),"筋持久力")</f>
        <v>筋持久力</v>
      </c>
      <c r="I1574" s="1" t="str">
        <f>IFERROR(__xludf.DUMMYFUNCTION("GOOGLETRANSLATE(E1574,""EN"",""JA"")"),"筋持久力")</f>
        <v>筋持久力</v>
      </c>
      <c r="J1574" s="1" t="str">
        <f>IFERROR(__xludf.DUMMYFUNCTION("GOOGLETRANSLATE(F1574,""EN"",""JA"")"),"筋肉が力に逆らって繰り返し収縮する能力の測定値。")</f>
        <v>筋肉が力に逆らって繰り返し収縮する能力の測定値。</v>
      </c>
      <c r="K1574" s="1" t="str">
        <f>IFERROR(__xludf.DUMMYFUNCTION("GOOGLETRANSLATE(G1574,""EN"",""JA"")"),"筋持久力測定")</f>
        <v>筋持久力測定</v>
      </c>
    </row>
    <row r="1575" ht="13.5" customHeight="1">
      <c r="A1575" s="1" t="s">
        <v>134</v>
      </c>
      <c r="B1575" s="1" t="s">
        <v>7942</v>
      </c>
      <c r="C1575" s="1" t="s">
        <v>7943</v>
      </c>
      <c r="D1575" s="1" t="s">
        <v>7944</v>
      </c>
      <c r="E1575" s="1" t="s">
        <v>7944</v>
      </c>
      <c r="F1575" s="1" t="s">
        <v>7945</v>
      </c>
      <c r="G1575" s="1" t="s">
        <v>7944</v>
      </c>
      <c r="H1575" s="1" t="str">
        <f>IFERROR(__xludf.DUMMYFUNCTION("GOOGLETRANSLATE(D1575,""EN"",""JA"")"),"節外伸展までの距離")</f>
        <v>節外伸展までの距離</v>
      </c>
      <c r="I1575" s="1" t="str">
        <f>IFERROR(__xludf.DUMMYFUNCTION("GOOGLETRANSLATE(E1575,""EN"",""JA"")"),"節外伸展までの距離")</f>
        <v>節外伸展までの距離</v>
      </c>
      <c r="J1575" s="1" t="str">
        <f>IFERROR(__xludf.DUMMYFUNCTION("GOOGLETRANSLATE(F1575,""EN"",""JA"")"),"リンパ節被膜を超えた悪性腫瘍の範囲の距離の測定値。")</f>
        <v>リンパ節被膜を超えた悪性腫瘍の範囲の距離の測定値。</v>
      </c>
      <c r="K1575" s="1" t="str">
        <f>IFERROR(__xludf.DUMMYFUNCTION("GOOGLETRANSLATE(G1575,""EN"",""JA"")"),"節外伸展までの距離")</f>
        <v>節外伸展までの距離</v>
      </c>
    </row>
    <row r="1576" ht="13.5" customHeight="1">
      <c r="A1576" s="1" t="s">
        <v>160</v>
      </c>
      <c r="B1576" s="1" t="s">
        <v>7946</v>
      </c>
      <c r="C1576" s="1" t="s">
        <v>7947</v>
      </c>
      <c r="D1576" s="1" t="s">
        <v>7948</v>
      </c>
      <c r="E1576" s="1" t="s">
        <v>7949</v>
      </c>
      <c r="F1576" s="1" t="s">
        <v>7950</v>
      </c>
      <c r="G1576" s="1" t="s">
        <v>7951</v>
      </c>
      <c r="H1576" s="1" t="str">
        <f>IFERROR(__xludf.DUMMYFUNCTION("GOOGLETRANSLATE(D1576,""EN"",""JA"")"),"次の月経開始予定日")</f>
        <v>次の月経開始予定日</v>
      </c>
      <c r="I1576" s="1" t="str">
        <f>IFERROR(__xludf.DUMMYFUNCTION("GOOGLETRANSLATE(E1576,""EN"",""JA"")"),"次の月経開始予定日; 次の月経開始予定日")</f>
        <v>次の月経開始予定日; 次の月経開始予定日</v>
      </c>
      <c r="J1576" s="1" t="str">
        <f>IFERROR(__xludf.DUMMYFUNCTION("GOOGLETRANSLATE(F1576,""EN"",""JA"")"),"次の月経周期の初日のおおよその日付。")</f>
        <v>次の月経周期の初日のおおよその日付。</v>
      </c>
      <c r="K1576" s="1" t="str">
        <f>IFERROR(__xludf.DUMMYFUNCTION("GOOGLETRANSLATE(G1576,""EN"",""JA"")"),"次の月経開始予定日")</f>
        <v>次の月経開始予定日</v>
      </c>
    </row>
    <row r="1577" ht="13.5" customHeight="1">
      <c r="A1577" s="1" t="s">
        <v>11</v>
      </c>
      <c r="B1577" s="1" t="s">
        <v>7952</v>
      </c>
      <c r="C1577" s="1" t="s">
        <v>7953</v>
      </c>
      <c r="D1577" s="1" t="s">
        <v>7954</v>
      </c>
      <c r="E1577" s="1" t="s">
        <v>7955</v>
      </c>
      <c r="F1577" s="1" t="s">
        <v>7956</v>
      </c>
      <c r="G1577" s="1" t="s">
        <v>7957</v>
      </c>
      <c r="H1577" s="1" t="str">
        <f>IFERROR(__xludf.DUMMYFUNCTION("GOOGLETRANSLATE(D1577,""EN"",""JA"")"),"エクストラセルが新たに同定したRAGE結合タンパク質")</f>
        <v>エクストラセルが新たに同定したRAGE結合タンパク質</v>
      </c>
      <c r="I1577" s="1" t="str">
        <f>IFERROR(__xludf.DUMMYFUNCTION("GOOGLETRANSLATE(E1577,""EN"",""JA"")"),"エクストラセルが新たに同定したRAGE結合タンパク質；S100カルシウム結合タンパク質A12")</f>
        <v>エクストラセルが新たに同定したRAGE結合タンパク質；S100カルシウム結合タンパク質A12</v>
      </c>
      <c r="J1577" s="1" t="str">
        <f>IFERROR(__xludf.DUMMYFUNCTION("GOOGLETRANSLATE(F1577,""EN"",""JA"")"),"生物標本中の細胞外の新たに特定された RAGE (終末糖化産物受容体) 結合タンパク質の測定。")</f>
        <v>生物標本中の細胞外の新たに特定された RAGE (終末糖化産物受容体) 結合タンパク質の測定。</v>
      </c>
      <c r="K1577" s="1" t="str">
        <f>IFERROR(__xludf.DUMMYFUNCTION("GOOGLETRANSLATE(G1577,""EN"",""JA"")"),"エクストラセル新発見RAGE結合タンパク質測定")</f>
        <v>エクストラセル新発見RAGE結合タンパク質測定</v>
      </c>
    </row>
    <row r="1578" ht="13.5" customHeight="1">
      <c r="A1578" s="1" t="s">
        <v>129</v>
      </c>
      <c r="B1578" s="1" t="s">
        <v>7958</v>
      </c>
      <c r="C1578" s="1" t="s">
        <v>7959</v>
      </c>
      <c r="D1578" s="1" t="s">
        <v>7960</v>
      </c>
      <c r="E1578" s="1" t="s">
        <v>7960</v>
      </c>
      <c r="F1578" s="1" t="s">
        <v>7961</v>
      </c>
      <c r="G1578" s="1" t="s">
        <v>7960</v>
      </c>
      <c r="H1578" s="1" t="str">
        <f>IFERROR(__xludf.DUMMYFUNCTION("GOOGLETRANSLATE(D1578,""EN"",""JA"")"),"エネルギー消費")</f>
        <v>エネルギー消費</v>
      </c>
      <c r="I1578" s="1" t="str">
        <f>IFERROR(__xludf.DUMMYFUNCTION("GOOGLETRANSLATE(E1578,""EN"",""JA"")"),"エネルギー消費")</f>
        <v>エネルギー消費</v>
      </c>
      <c r="J1578" s="1" t="str">
        <f>IFERROR(__xludf.DUMMYFUNCTION("GOOGLETRANSLATE(F1578,""EN"",""JA"")"),"生理的または物理的な機能を実行するために使用されるエネルギー量の測定値。")</f>
        <v>生理的または物理的な機能を実行するために使用されるエネルギー量の測定値。</v>
      </c>
      <c r="K1578" s="1" t="str">
        <f>IFERROR(__xludf.DUMMYFUNCTION("GOOGLETRANSLATE(G1578,""EN"",""JA"")"),"エネルギー消費")</f>
        <v>エネルギー消費</v>
      </c>
    </row>
    <row r="1579" ht="13.5" customHeight="1">
      <c r="A1579" s="1" t="s">
        <v>67</v>
      </c>
      <c r="B1579" s="1" t="s">
        <v>7962</v>
      </c>
      <c r="C1579" s="1" t="s">
        <v>7963</v>
      </c>
      <c r="D1579" s="1" t="s">
        <v>7964</v>
      </c>
      <c r="E1579" s="1" t="s">
        <v>7964</v>
      </c>
      <c r="F1579" s="1" t="s">
        <v>7965</v>
      </c>
      <c r="G1579" s="1" t="s">
        <v>7966</v>
      </c>
      <c r="H1579" s="1" t="str">
        <f>IFERROR(__xludf.DUMMYFUNCTION("GOOGLETRANSLATE(D1579,""EN"",""JA"")"),"エンテロバクター")</f>
        <v>エンテロバクター</v>
      </c>
      <c r="I1579" s="1" t="str">
        <f>IFERROR(__xludf.DUMMYFUNCTION("GOOGLETRANSLATE(E1579,""EN"",""JA"")"),"エンテロバクター")</f>
        <v>エンテロバクター</v>
      </c>
      <c r="J1579" s="1" t="str">
        <f>IFERROR(__xludf.DUMMYFUNCTION("GOOGLETRANSLATE(F1579,""EN"",""JA"")"),"生物標本において、種レベルには割り当てられていないが、エンテロバクター属レベルに割り当てられている微生物の測定値。")</f>
        <v>生物標本において、種レベルには割り当てられていないが、エンテロバクター属レベルに割り当てられている微生物の測定値。</v>
      </c>
      <c r="K1579" s="1" t="str">
        <f>IFERROR(__xludf.DUMMYFUNCTION("GOOGLETRANSLATE(G1579,""EN"",""JA"")"),"エンテロバクター測定")</f>
        <v>エンテロバクター測定</v>
      </c>
    </row>
    <row r="1580" ht="13.5" customHeight="1">
      <c r="A1580" s="1" t="s">
        <v>67</v>
      </c>
      <c r="B1580" s="1" t="s">
        <v>7967</v>
      </c>
      <c r="C1580" s="1" t="s">
        <v>7968</v>
      </c>
      <c r="D1580" s="1" t="s">
        <v>7969</v>
      </c>
      <c r="E1580" s="1" t="s">
        <v>7969</v>
      </c>
      <c r="F1580" s="1" t="s">
        <v>7970</v>
      </c>
      <c r="G1580" s="1" t="s">
        <v>7971</v>
      </c>
      <c r="H1580" s="1" t="str">
        <f>IFERROR(__xludf.DUMMYFUNCTION("GOOGLETRANSLATE(D1580,""EN"",""JA"")"),"エンテロコッカス")</f>
        <v>エンテロコッカス</v>
      </c>
      <c r="I1580" s="1" t="str">
        <f>IFERROR(__xludf.DUMMYFUNCTION("GOOGLETRANSLATE(E1580,""EN"",""JA"")"),"エンテロコッカス")</f>
        <v>エンテロコッカス</v>
      </c>
      <c r="J1580" s="1" t="str">
        <f>IFERROR(__xludf.DUMMYFUNCTION("GOOGLETRANSLATE(F1580,""EN"",""JA"")"),"生物標本において、種レベルには割り当てられていないが、エンテロコッカス属レベルに割り当てられている微生物の測定値。")</f>
        <v>生物標本において、種レベルには割り当てられていないが、エンテロコッカス属レベルに割り当てられている微生物の測定値。</v>
      </c>
      <c r="K1580" s="1" t="str">
        <f>IFERROR(__xludf.DUMMYFUNCTION("GOOGLETRANSLATE(G1580,""EN"",""JA"")"),"腸球菌測定")</f>
        <v>腸球菌測定</v>
      </c>
    </row>
    <row r="1581" ht="13.5" customHeight="1">
      <c r="A1581" s="1" t="s">
        <v>67</v>
      </c>
      <c r="B1581" s="1" t="s">
        <v>7972</v>
      </c>
      <c r="C1581" s="1" t="s">
        <v>7973</v>
      </c>
      <c r="D1581" s="1" t="s">
        <v>7974</v>
      </c>
      <c r="E1581" s="1" t="s">
        <v>7974</v>
      </c>
      <c r="F1581" s="1" t="s">
        <v>7975</v>
      </c>
      <c r="G1581" s="1" t="s">
        <v>7976</v>
      </c>
      <c r="H1581" s="1" t="str">
        <f>IFERROR(__xludf.DUMMYFUNCTION("GOOGLETRANSLATE(D1581,""EN"",""JA"")"),"エンテロウイルス")</f>
        <v>エンテロウイルス</v>
      </c>
      <c r="I1581" s="1" t="str">
        <f>IFERROR(__xludf.DUMMYFUNCTION("GOOGLETRANSLATE(E1581,""EN"",""JA"")"),"エンテロウイルス")</f>
        <v>エンテロウイルス</v>
      </c>
      <c r="J1581" s="1" t="str">
        <f>IFERROR(__xludf.DUMMYFUNCTION("GOOGLETRANSLATE(F1581,""EN"",""JA"")"),"生物標本において、種レベルには割り当てられていないが、エンテロウイルス属レベルに割り当てられている生物の測定値。")</f>
        <v>生物標本において、種レベルには割り当てられていないが、エンテロウイルス属レベルに割り当てられている生物の測定値。</v>
      </c>
      <c r="K1581" s="1" t="str">
        <f>IFERROR(__xludf.DUMMYFUNCTION("GOOGLETRANSLATE(G1581,""EN"",""JA"")"),"エンテロウイルス測定")</f>
        <v>エンテロウイルス測定</v>
      </c>
    </row>
    <row r="1582" ht="13.5" customHeight="1">
      <c r="A1582" s="1" t="s">
        <v>67</v>
      </c>
      <c r="B1582" s="1" t="s">
        <v>7977</v>
      </c>
      <c r="C1582" s="1" t="s">
        <v>7978</v>
      </c>
      <c r="D1582" s="1" t="s">
        <v>7979</v>
      </c>
      <c r="E1582" s="1" t="s">
        <v>7979</v>
      </c>
      <c r="F1582" s="1" t="s">
        <v>7980</v>
      </c>
      <c r="G1582" s="1" t="s">
        <v>7981</v>
      </c>
      <c r="H1582" s="1" t="str">
        <f>IFERROR(__xludf.DUMMYFUNCTION("GOOGLETRANSLATE(D1582,""EN"",""JA"")"),"エンテロウイルスRNA")</f>
        <v>エンテロウイルスRNA</v>
      </c>
      <c r="I1582" s="1" t="str">
        <f>IFERROR(__xludf.DUMMYFUNCTION("GOOGLETRANSLATE(E1582,""EN"",""JA"")"),"エンテロウイルスRNA")</f>
        <v>エンテロウイルスRNA</v>
      </c>
      <c r="J1582" s="1" t="str">
        <f>IFERROR(__xludf.DUMMYFUNCTION("GOOGLETRANSLATE(F1582,""EN"",""JA"")"),"生物標本中のエンテロウイルス属の任意のメンバーの RNA の測定。")</f>
        <v>生物標本中のエンテロウイルス属の任意のメンバーの RNA の測定。</v>
      </c>
      <c r="K1582" s="1" t="str">
        <f>IFERROR(__xludf.DUMMYFUNCTION("GOOGLETRANSLATE(G1582,""EN"",""JA"")"),"エンテロウイルスRNA測定")</f>
        <v>エンテロウイルスRNA測定</v>
      </c>
    </row>
    <row r="1583" ht="13.5" customHeight="1">
      <c r="A1583" s="1" t="s">
        <v>67</v>
      </c>
      <c r="B1583" s="1" t="s">
        <v>7982</v>
      </c>
      <c r="C1583" s="1" t="s">
        <v>7983</v>
      </c>
      <c r="D1583" s="1" t="s">
        <v>7984</v>
      </c>
      <c r="E1583" s="1" t="s">
        <v>7984</v>
      </c>
      <c r="F1583" s="1" t="s">
        <v>7985</v>
      </c>
      <c r="G1583" s="1" t="s">
        <v>7986</v>
      </c>
      <c r="H1583" s="1" t="str">
        <f>IFERROR(__xludf.DUMMYFUNCTION("GOOGLETRANSLATE(D1583,""EN"",""JA"")"),"大腸菌O157抗原")</f>
        <v>大腸菌O157抗原</v>
      </c>
      <c r="I1583" s="1" t="str">
        <f>IFERROR(__xludf.DUMMYFUNCTION("GOOGLETRANSLATE(E1583,""EN"",""JA"")"),"大腸菌O157抗原")</f>
        <v>大腸菌O157抗原</v>
      </c>
      <c r="J1583" s="1" t="str">
        <f>IFERROR(__xludf.DUMMYFUNCTION("GOOGLETRANSLATE(F1583,""EN"",""JA"")"),"生物標本中の大腸菌O157抗原の測定。")</f>
        <v>生物標本中の大腸菌O157抗原の測定。</v>
      </c>
      <c r="K1583" s="1" t="str">
        <f>IFERROR(__xludf.DUMMYFUNCTION("GOOGLETRANSLATE(G1583,""EN"",""JA"")"),"大腸菌O157抗原測定")</f>
        <v>大腸菌O157抗原測定</v>
      </c>
    </row>
    <row r="1584" ht="13.5" customHeight="1">
      <c r="A1584" s="1" t="s">
        <v>67</v>
      </c>
      <c r="B1584" s="1" t="s">
        <v>7987</v>
      </c>
      <c r="C1584" s="1" t="s">
        <v>7988</v>
      </c>
      <c r="D1584" s="1" t="s">
        <v>7989</v>
      </c>
      <c r="E1584" s="1" t="s">
        <v>7989</v>
      </c>
      <c r="F1584" s="1" t="s">
        <v>7990</v>
      </c>
      <c r="G1584" s="1" t="s">
        <v>7991</v>
      </c>
      <c r="H1584" s="1" t="str">
        <f>IFERROR(__xludf.DUMMYFUNCTION("GOOGLETRANSLATE(D1584,""EN"",""JA"")"),"大腸菌O157 DNA")</f>
        <v>大腸菌O157 DNA</v>
      </c>
      <c r="I1584" s="1" t="str">
        <f>IFERROR(__xludf.DUMMYFUNCTION("GOOGLETRANSLATE(E1584,""EN"",""JA"")"),"大腸菌O157 DNA")</f>
        <v>大腸菌O157 DNA</v>
      </c>
      <c r="J1584" s="1" t="str">
        <f>IFERROR(__xludf.DUMMYFUNCTION("GOOGLETRANSLATE(F1584,""EN"",""JA"")"),"生物標本中の大腸菌 O157 DNA の測定。")</f>
        <v>生物標本中の大腸菌 O157 DNA の測定。</v>
      </c>
      <c r="K1584" s="1" t="str">
        <f>IFERROR(__xludf.DUMMYFUNCTION("GOOGLETRANSLATE(G1584,""EN"",""JA"")"),"大腸菌O157のDNA測定")</f>
        <v>大腸菌O157のDNA測定</v>
      </c>
    </row>
    <row r="1585" ht="13.5" customHeight="1">
      <c r="A1585" s="1" t="s">
        <v>90</v>
      </c>
      <c r="B1585" s="1" t="s">
        <v>7992</v>
      </c>
      <c r="C1585" s="1" t="s">
        <v>7993</v>
      </c>
      <c r="D1585" s="1" t="s">
        <v>7994</v>
      </c>
      <c r="E1585" s="1" t="s">
        <v>7994</v>
      </c>
      <c r="F1585" s="1" t="s">
        <v>7995</v>
      </c>
      <c r="G1585" s="1" t="s">
        <v>7994</v>
      </c>
      <c r="H1585" s="1" t="str">
        <f>IFERROR(__xludf.DUMMYFUNCTION("GOOGLETRANSLATE(D1585,""EN"",""JA"")"),"有効オリフィス面積")</f>
        <v>有効オリフィス面積</v>
      </c>
      <c r="I1585" s="1" t="str">
        <f>IFERROR(__xludf.DUMMYFUNCTION("GOOGLETRANSLATE(E1585,""EN"",""JA"")"),"有効オリフィス面積")</f>
        <v>有効オリフィス面積</v>
      </c>
      <c r="J1585" s="1" t="str">
        <f>IFERROR(__xludf.DUMMYFUNCTION("GOOGLETRANSLATE(F1585,""EN"",""JA"")"),"心臓弁が最大限に開いた時点の面積の計算による推定値。")</f>
        <v>心臓弁が最大限に開いた時点の面積の計算による推定値。</v>
      </c>
      <c r="K1585" s="1" t="str">
        <f>IFERROR(__xludf.DUMMYFUNCTION("GOOGLETRANSLATE(G1585,""EN"",""JA"")"),"有効オリフィス面積")</f>
        <v>有効オリフィス面積</v>
      </c>
    </row>
    <row r="1586" ht="13.5" customHeight="1">
      <c r="A1586" s="1" t="s">
        <v>90</v>
      </c>
      <c r="B1586" s="1" t="s">
        <v>7996</v>
      </c>
      <c r="C1586" s="1" t="s">
        <v>7997</v>
      </c>
      <c r="D1586" s="1" t="s">
        <v>7998</v>
      </c>
      <c r="E1586" s="1" t="s">
        <v>7998</v>
      </c>
      <c r="F1586" s="1" t="s">
        <v>7999</v>
      </c>
      <c r="G1586" s="1" t="s">
        <v>7998</v>
      </c>
      <c r="H1586" s="1" t="str">
        <f>IFERROR(__xludf.DUMMYFUNCTION("GOOGLETRANSLATE(D1586,""EN"",""JA"")"),"有効オリフィス面積指数")</f>
        <v>有効オリフィス面積指数</v>
      </c>
      <c r="I1586" s="1" t="str">
        <f>IFERROR(__xludf.DUMMYFUNCTION("GOOGLETRANSLATE(E1586,""EN"",""JA"")"),"有効オリフィス面積指数")</f>
        <v>有効オリフィス面積指数</v>
      </c>
      <c r="J1586" s="1" t="str">
        <f>IFERROR(__xludf.DUMMYFUNCTION("GOOGLETRANSLATE(F1586,""EN"",""JA"")"),"有効開口部面積 (EOA) と体表面積 (BSA) の比率。")</f>
        <v>有効開口部面積 (EOA) と体表面積 (BSA) の比率。</v>
      </c>
      <c r="K1586" s="1" t="str">
        <f>IFERROR(__xludf.DUMMYFUNCTION("GOOGLETRANSLATE(G1586,""EN"",""JA"")"),"有効オリフィス面積指数")</f>
        <v>有効オリフィス面積指数</v>
      </c>
    </row>
    <row r="1587" ht="13.5" customHeight="1">
      <c r="A1587" s="1" t="s">
        <v>11</v>
      </c>
      <c r="B1587" s="1" t="s">
        <v>8000</v>
      </c>
      <c r="C1587" s="1" t="s">
        <v>8001</v>
      </c>
      <c r="D1587" s="1" t="s">
        <v>8002</v>
      </c>
      <c r="E1587" s="1" t="s">
        <v>8002</v>
      </c>
      <c r="F1587" s="1" t="s">
        <v>8003</v>
      </c>
      <c r="G1587" s="1" t="s">
        <v>8004</v>
      </c>
      <c r="H1587" s="1" t="str">
        <f>IFERROR(__xludf.DUMMYFUNCTION("GOOGLETRANSLATE(D1587,""EN"",""JA"")"),"好酸球")</f>
        <v>好酸球</v>
      </c>
      <c r="I1587" s="1" t="str">
        <f>IFERROR(__xludf.DUMMYFUNCTION("GOOGLETRANSLATE(E1587,""EN"",""JA"")"),"好酸球")</f>
        <v>好酸球</v>
      </c>
      <c r="J1587" s="1" t="str">
        <f>IFERROR(__xludf.DUMMYFUNCTION("GOOGLETRANSLATE(F1587,""EN"",""JA"")"),"生物標本中の好酸球の測定。")</f>
        <v>生物標本中の好酸球の測定。</v>
      </c>
      <c r="K1587" s="1" t="str">
        <f>IFERROR(__xludf.DUMMYFUNCTION("GOOGLETRANSLATE(G1587,""EN"",""JA"")"),"好酸球数")</f>
        <v>好酸球数</v>
      </c>
    </row>
    <row r="1588" ht="13.5" customHeight="1">
      <c r="A1588" s="1" t="s">
        <v>11</v>
      </c>
      <c r="B1588" s="1" t="s">
        <v>8005</v>
      </c>
      <c r="C1588" s="1" t="s">
        <v>8006</v>
      </c>
      <c r="D1588" s="1" t="s">
        <v>8007</v>
      </c>
      <c r="E1588" s="1" t="s">
        <v>8007</v>
      </c>
      <c r="F1588" s="1" t="s">
        <v>8008</v>
      </c>
      <c r="G1588" s="1" t="s">
        <v>8009</v>
      </c>
      <c r="H1588" s="1" t="str">
        <f>IFERROR(__xludf.DUMMYFUNCTION("GOOGLETRANSLATE(D1588,""EN"",""JA"")"),"好酸球バンドフォーム")</f>
        <v>好酸球バンドフォーム</v>
      </c>
      <c r="I1588" s="1" t="str">
        <f>IFERROR(__xludf.DUMMYFUNCTION("GOOGLETRANSLATE(E1588,""EN"",""JA"")"),"好酸球バンドフォーム")</f>
        <v>好酸球バンドフォーム</v>
      </c>
      <c r="J1588" s="1" t="str">
        <f>IFERROR(__xludf.DUMMYFUNCTION("GOOGLETRANSLATE(F1588,""EN"",""JA"")"),"生物標本中のバンド状好酸球の測定。")</f>
        <v>生物標本中のバンド状好酸球の測定。</v>
      </c>
      <c r="K1588" s="1" t="str">
        <f>IFERROR(__xludf.DUMMYFUNCTION("GOOGLETRANSLATE(G1588,""EN"",""JA"")"),"好酸球桿体数")</f>
        <v>好酸球桿体数</v>
      </c>
    </row>
    <row r="1589" ht="13.5" customHeight="1">
      <c r="A1589" s="1" t="s">
        <v>11</v>
      </c>
      <c r="B1589" s="1" t="s">
        <v>8010</v>
      </c>
      <c r="C1589" s="1" t="s">
        <v>8011</v>
      </c>
      <c r="D1589" s="1" t="s">
        <v>8012</v>
      </c>
      <c r="E1589" s="1" t="s">
        <v>8012</v>
      </c>
      <c r="F1589" s="1" t="s">
        <v>8013</v>
      </c>
      <c r="G1589" s="1" t="s">
        <v>8014</v>
      </c>
      <c r="H1589" s="1" t="str">
        <f>IFERROR(__xludf.DUMMYFUNCTION("GOOGLETRANSLATE(D1589,""EN"",""JA"")"),"好酸球桿体/白血球")</f>
        <v>好酸球桿体/白血球</v>
      </c>
      <c r="I1589" s="1" t="str">
        <f>IFERROR(__xludf.DUMMYFUNCTION("GOOGLETRANSLATE(E1589,""EN"",""JA"")"),"好酸球桿体/白血球")</f>
        <v>好酸球桿体/白血球</v>
      </c>
      <c r="J1589" s="1" t="str">
        <f>IFERROR(__xludf.DUMMYFUNCTION("GOOGLETRANSLATE(F1589,""EN"",""JA"")"),"生物標本中の白血球に対するバンド状の好酸球の相対的な測定値（比率またはパーセンテージ）。")</f>
        <v>生物標本中の白血球に対するバンド状の好酸球の相対的な測定値（比率またはパーセンテージ）。</v>
      </c>
      <c r="K1589" s="1" t="str">
        <f>IFERROR(__xludf.DUMMYFUNCTION("GOOGLETRANSLATE(G1589,""EN"",""JA"")"),"好酸球桿体と白血球の比率")</f>
        <v>好酸球桿体と白血球の比率</v>
      </c>
    </row>
    <row r="1590" ht="13.5" customHeight="1">
      <c r="A1590" s="1" t="s">
        <v>134</v>
      </c>
      <c r="B1590" s="1" t="s">
        <v>8015</v>
      </c>
      <c r="C1590" s="1" t="s">
        <v>8016</v>
      </c>
      <c r="D1590" s="1" t="s">
        <v>8017</v>
      </c>
      <c r="E1590" s="1" t="s">
        <v>8017</v>
      </c>
      <c r="F1590" s="1" t="s">
        <v>8018</v>
      </c>
      <c r="G1590" s="1" t="s">
        <v>8019</v>
      </c>
      <c r="H1590" s="1" t="str">
        <f>IFERROR(__xludf.DUMMYFUNCTION("GOOGLETRANSLATE(D1590,""EN"",""JA"")"),"好酸球/総細胞")</f>
        <v>好酸球/総細胞</v>
      </c>
      <c r="I1590" s="1" t="str">
        <f>IFERROR(__xludf.DUMMYFUNCTION("GOOGLETRANSLATE(E1590,""EN"",""JA"")"),"好酸球/総細胞")</f>
        <v>好酸球/総細胞</v>
      </c>
      <c r="J1590" s="1" t="str">
        <f>IFERROR(__xludf.DUMMYFUNCTION("GOOGLETRANSLATE(F1590,""EN"",""JA"")"),"生物学的標本（骨髄標本など）内の総細胞に対する好酸球の相対的な測定値（比率またはパーセンテージ）。")</f>
        <v>生物学的標本（骨髄標本など）内の総細胞に対する好酸球の相対的な測定値（比率またはパーセンテージ）。</v>
      </c>
      <c r="K1590" s="1" t="str">
        <f>IFERROR(__xludf.DUMMYFUNCTION("GOOGLETRANSLATE(G1590,""EN"",""JA"")"),"好酸球対総細胞比測定")</f>
        <v>好酸球対総細胞比測定</v>
      </c>
    </row>
    <row r="1591" ht="13.5" customHeight="1">
      <c r="A1591" s="1" t="s">
        <v>11</v>
      </c>
      <c r="B1591" s="1" t="s">
        <v>8015</v>
      </c>
      <c r="C1591" s="1" t="s">
        <v>8016</v>
      </c>
      <c r="D1591" s="1" t="s">
        <v>8017</v>
      </c>
      <c r="E1591" s="1" t="s">
        <v>8017</v>
      </c>
      <c r="F1591" s="1" t="s">
        <v>8018</v>
      </c>
      <c r="G1591" s="1" t="s">
        <v>8019</v>
      </c>
      <c r="H1591" s="1" t="str">
        <f>IFERROR(__xludf.DUMMYFUNCTION("GOOGLETRANSLATE(D1591,""EN"",""JA"")"),"好酸球/総細胞")</f>
        <v>好酸球/総細胞</v>
      </c>
      <c r="I1591" s="1" t="str">
        <f>IFERROR(__xludf.DUMMYFUNCTION("GOOGLETRANSLATE(E1591,""EN"",""JA"")"),"好酸球/総細胞")</f>
        <v>好酸球/総細胞</v>
      </c>
      <c r="J1591" s="1" t="str">
        <f>IFERROR(__xludf.DUMMYFUNCTION("GOOGLETRANSLATE(F1591,""EN"",""JA"")"),"生物学的標本（骨髄標本など）内の総細胞に対する好酸球の相対的な測定値（比率またはパーセンテージ）。")</f>
        <v>生物学的標本（骨髄標本など）内の総細胞に対する好酸球の相対的な測定値（比率またはパーセンテージ）。</v>
      </c>
      <c r="K1591" s="1" t="str">
        <f>IFERROR(__xludf.DUMMYFUNCTION("GOOGLETRANSLATE(G1591,""EN"",""JA"")"),"好酸球対総細胞比測定")</f>
        <v>好酸球対総細胞比測定</v>
      </c>
    </row>
    <row r="1592" ht="13.5" customHeight="1">
      <c r="A1592" s="1" t="s">
        <v>11</v>
      </c>
      <c r="B1592" s="1" t="s">
        <v>8020</v>
      </c>
      <c r="C1592" s="1" t="s">
        <v>8021</v>
      </c>
      <c r="D1592" s="1" t="s">
        <v>8022</v>
      </c>
      <c r="E1592" s="1" t="s">
        <v>8022</v>
      </c>
      <c r="F1592" s="1" t="s">
        <v>8023</v>
      </c>
      <c r="G1592" s="1" t="s">
        <v>8024</v>
      </c>
      <c r="H1592" s="1" t="str">
        <f>IFERROR(__xludf.DUMMYFUNCTION("GOOGLETRANSLATE(D1592,""EN"",""JA"")"),"未熟好酸球")</f>
        <v>未熟好酸球</v>
      </c>
      <c r="I1592" s="1" t="str">
        <f>IFERROR(__xludf.DUMMYFUNCTION("GOOGLETRANSLATE(E1592,""EN"",""JA"")"),"未熟好酸球")</f>
        <v>未熟好酸球</v>
      </c>
      <c r="J1592" s="1" t="str">
        <f>IFERROR(__xludf.DUMMYFUNCTION("GOOGLETRANSLATE(F1592,""EN"",""JA"")"),"生物標本中の未熟好酸球の測定。")</f>
        <v>生物標本中の未熟好酸球の測定。</v>
      </c>
      <c r="K1592" s="1" t="str">
        <f>IFERROR(__xludf.DUMMYFUNCTION("GOOGLETRANSLATE(G1592,""EN"",""JA"")"),"幼若好酸球数")</f>
        <v>幼若好酸球数</v>
      </c>
    </row>
    <row r="1593" ht="13.5" customHeight="1">
      <c r="A1593" s="1" t="s">
        <v>11</v>
      </c>
      <c r="B1593" s="1" t="s">
        <v>8025</v>
      </c>
      <c r="C1593" s="1" t="s">
        <v>8026</v>
      </c>
      <c r="D1593" s="1" t="s">
        <v>8027</v>
      </c>
      <c r="E1593" s="1" t="s">
        <v>8027</v>
      </c>
      <c r="F1593" s="1" t="s">
        <v>8028</v>
      </c>
      <c r="G1593" s="1" t="s">
        <v>8029</v>
      </c>
      <c r="H1593" s="1" t="str">
        <f>IFERROR(__xludf.DUMMYFUNCTION("GOOGLETRANSLATE(D1593,""EN"",""JA"")"),"未熟な好酸球/白血球")</f>
        <v>未熟な好酸球/白血球</v>
      </c>
      <c r="I1593" s="1" t="str">
        <f>IFERROR(__xludf.DUMMYFUNCTION("GOOGLETRANSLATE(E1593,""EN"",""JA"")"),"未熟な好酸球/白血球")</f>
        <v>未熟な好酸球/白血球</v>
      </c>
      <c r="J1593" s="1" t="str">
        <f>IFERROR(__xludf.DUMMYFUNCTION("GOOGLETRANSLATE(F1593,""EN"",""JA"")"),"生物標本中の全白血球に対する未熟好酸球の相対的な測定値（比率またはパーセンテージ）。")</f>
        <v>生物標本中の全白血球に対する未熟好酸球の相対的な測定値（比率またはパーセンテージ）。</v>
      </c>
      <c r="K1593" s="1" t="str">
        <f>IFERROR(__xludf.DUMMYFUNCTION("GOOGLETRANSLATE(G1593,""EN"",""JA"")"),"幼若好酸球と白血球の比の測定")</f>
        <v>幼若好酸球と白血球の比の測定</v>
      </c>
    </row>
    <row r="1594" ht="13.5" customHeight="1">
      <c r="A1594" s="1" t="s">
        <v>11</v>
      </c>
      <c r="B1594" s="1" t="s">
        <v>8030</v>
      </c>
      <c r="C1594" s="1" t="s">
        <v>8031</v>
      </c>
      <c r="D1594" s="1" t="s">
        <v>8032</v>
      </c>
      <c r="E1594" s="1" t="s">
        <v>8032</v>
      </c>
      <c r="F1594" s="1" t="s">
        <v>8033</v>
      </c>
      <c r="G1594" s="1" t="s">
        <v>8034</v>
      </c>
      <c r="H1594" s="1" t="str">
        <f>IFERROR(__xludf.DUMMYFUNCTION("GOOGLETRANSLATE(D1594,""EN"",""JA"")"),"好酸球/白血球")</f>
        <v>好酸球/白血球</v>
      </c>
      <c r="I1594" s="1" t="str">
        <f>IFERROR(__xludf.DUMMYFUNCTION("GOOGLETRANSLATE(E1594,""EN"",""JA"")"),"好酸球/白血球")</f>
        <v>好酸球/白血球</v>
      </c>
      <c r="J1594" s="1" t="str">
        <f>IFERROR(__xludf.DUMMYFUNCTION("GOOGLETRANSLATE(F1594,""EN"",""JA"")"),"生物標本中の好酸球と白血球の相対的な測定値（比率またはパーセンテージ）。")</f>
        <v>生物標本中の好酸球と白血球の相対的な測定値（比率またはパーセンテージ）。</v>
      </c>
      <c r="K1594" s="1" t="str">
        <f>IFERROR(__xludf.DUMMYFUNCTION("GOOGLETRANSLATE(G1594,""EN"",""JA"")"),"好酸球対白血球比")</f>
        <v>好酸球対白血球比</v>
      </c>
    </row>
    <row r="1595" ht="13.5" customHeight="1">
      <c r="A1595" s="1" t="s">
        <v>11</v>
      </c>
      <c r="B1595" s="1" t="s">
        <v>8035</v>
      </c>
      <c r="C1595" s="1" t="s">
        <v>8036</v>
      </c>
      <c r="D1595" s="1" t="s">
        <v>8037</v>
      </c>
      <c r="E1595" s="1" t="s">
        <v>8037</v>
      </c>
      <c r="F1595" s="1" t="s">
        <v>8038</v>
      </c>
      <c r="G1595" s="1" t="s">
        <v>8039</v>
      </c>
      <c r="H1595" s="1" t="str">
        <f>IFERROR(__xludf.DUMMYFUNCTION("GOOGLETRANSLATE(D1595,""EN"",""JA"")"),"好酸球性骨髄球")</f>
        <v>好酸球性骨髄球</v>
      </c>
      <c r="I1595" s="1" t="str">
        <f>IFERROR(__xludf.DUMMYFUNCTION("GOOGLETRANSLATE(E1595,""EN"",""JA"")"),"好酸球性骨髄球")</f>
        <v>好酸球性骨髄球</v>
      </c>
      <c r="J1595" s="1" t="str">
        <f>IFERROR(__xludf.DUMMYFUNCTION("GOOGLETRANSLATE(F1595,""EN"",""JA"")"),"生物標本中の好酸球性後骨髄球の測定。")</f>
        <v>生物標本中の好酸球性後骨髄球の測定。</v>
      </c>
      <c r="K1595" s="1" t="str">
        <f>IFERROR(__xludf.DUMMYFUNCTION("GOOGLETRANSLATE(G1595,""EN"",""JA"")"),"好酸球性骨髄球数")</f>
        <v>好酸球性骨髄球数</v>
      </c>
    </row>
    <row r="1596" ht="13.5" customHeight="1">
      <c r="A1596" s="1" t="s">
        <v>11</v>
      </c>
      <c r="B1596" s="1" t="s">
        <v>8040</v>
      </c>
      <c r="C1596" s="1" t="s">
        <v>8041</v>
      </c>
      <c r="D1596" s="1" t="s">
        <v>8042</v>
      </c>
      <c r="E1596" s="1" t="s">
        <v>8042</v>
      </c>
      <c r="F1596" s="1" t="s">
        <v>8043</v>
      </c>
      <c r="G1596" s="1" t="s">
        <v>8044</v>
      </c>
      <c r="H1596" s="1" t="str">
        <f>IFERROR(__xludf.DUMMYFUNCTION("GOOGLETRANSLATE(D1596,""EN"",""JA"")"),"好酸球性骨髄球")</f>
        <v>好酸球性骨髄球</v>
      </c>
      <c r="I1596" s="1" t="str">
        <f>IFERROR(__xludf.DUMMYFUNCTION("GOOGLETRANSLATE(E1596,""EN"",""JA"")"),"好酸球性骨髄球")</f>
        <v>好酸球性骨髄球</v>
      </c>
      <c r="J1596" s="1" t="str">
        <f>IFERROR(__xludf.DUMMYFUNCTION("GOOGLETRANSLATE(F1596,""EN"",""JA"")"),"生物標本中の好酸球性骨髄球の測定。")</f>
        <v>生物標本中の好酸球性骨髄球の測定。</v>
      </c>
      <c r="K1596" s="1" t="str">
        <f>IFERROR(__xludf.DUMMYFUNCTION("GOOGLETRANSLATE(G1596,""EN"",""JA"")"),"好酸球性骨髄球数")</f>
        <v>好酸球性骨髄球数</v>
      </c>
    </row>
    <row r="1597" ht="13.5" customHeight="1">
      <c r="A1597" s="1" t="s">
        <v>11</v>
      </c>
      <c r="B1597" s="1" t="s">
        <v>8045</v>
      </c>
      <c r="C1597" s="1" t="s">
        <v>8046</v>
      </c>
      <c r="D1597" s="1" t="s">
        <v>8047</v>
      </c>
      <c r="E1597" s="1" t="s">
        <v>8047</v>
      </c>
      <c r="F1597" s="1" t="s">
        <v>8048</v>
      </c>
      <c r="G1597" s="1" t="s">
        <v>8049</v>
      </c>
      <c r="H1597" s="1" t="str">
        <f>IFERROR(__xludf.DUMMYFUNCTION("GOOGLETRANSLATE(D1597,""EN"",""JA"")"),"好酸球性骨髄球/リンパ球")</f>
        <v>好酸球性骨髄球/リンパ球</v>
      </c>
      <c r="I1597" s="1" t="str">
        <f>IFERROR(__xludf.DUMMYFUNCTION("GOOGLETRANSLATE(E1597,""EN"",""JA"")"),"好酸球性骨髄球/リンパ球")</f>
        <v>好酸球性骨髄球/リンパ球</v>
      </c>
      <c r="J1597" s="1" t="str">
        <f>IFERROR(__xludf.DUMMYFUNCTION("GOOGLETRANSLATE(F1597,""EN"",""JA"")"),"生物学的標本（骨髄標本など）中の好酸球性骨髄球とリンパ球の相対的な測定値（比率またはパーセンテージ）。")</f>
        <v>生物学的標本（骨髄標本など）中の好酸球性骨髄球とリンパ球の相対的な測定値（比率またはパーセンテージ）。</v>
      </c>
      <c r="K1597" s="1" t="str">
        <f>IFERROR(__xludf.DUMMYFUNCTION("GOOGLETRANSLATE(G1597,""EN"",""JA"")"),"好酸球性骨髄球とリンパ球の比率測定")</f>
        <v>好酸球性骨髄球とリンパ球の比率測定</v>
      </c>
    </row>
    <row r="1598" ht="13.5" customHeight="1">
      <c r="A1598" s="1" t="s">
        <v>11</v>
      </c>
      <c r="B1598" s="1" t="s">
        <v>8050</v>
      </c>
      <c r="C1598" s="1" t="s">
        <v>8051</v>
      </c>
      <c r="D1598" s="1" t="s">
        <v>8052</v>
      </c>
      <c r="E1598" s="1" t="s">
        <v>8052</v>
      </c>
      <c r="F1598" s="1" t="s">
        <v>8053</v>
      </c>
      <c r="G1598" s="1" t="s">
        <v>8054</v>
      </c>
      <c r="H1598" s="1" t="str">
        <f>IFERROR(__xludf.DUMMYFUNCTION("GOOGLETRANSLATE(D1598,""EN"",""JA"")"),"好酸球/非扁平上皮細胞")</f>
        <v>好酸球/非扁平上皮細胞</v>
      </c>
      <c r="I1598" s="1" t="str">
        <f>IFERROR(__xludf.DUMMYFUNCTION("GOOGLETRANSLATE(E1598,""EN"",""JA"")"),"好酸球/非扁平上皮細胞")</f>
        <v>好酸球/非扁平上皮細胞</v>
      </c>
      <c r="J1598" s="1" t="str">
        <f>IFERROR(__xludf.DUMMYFUNCTION("GOOGLETRANSLATE(F1598,""EN"",""JA"")"),"生物標本中の好酸球と非扁平上皮細胞の相対的な測定値（比率またはパーセンテージ）。")</f>
        <v>生物標本中の好酸球と非扁平上皮細胞の相対的な測定値（比率またはパーセンテージ）。</v>
      </c>
      <c r="K1598" s="1" t="str">
        <f>IFERROR(__xludf.DUMMYFUNCTION("GOOGLETRANSLATE(G1598,""EN"",""JA"")"),"好酸球と非扁平上皮細胞比の測定")</f>
        <v>好酸球と非扁平上皮細胞比の測定</v>
      </c>
    </row>
    <row r="1599" ht="13.5" customHeight="1">
      <c r="A1599" s="1" t="s">
        <v>11</v>
      </c>
      <c r="B1599" s="1" t="s">
        <v>8055</v>
      </c>
      <c r="C1599" s="1" t="s">
        <v>8056</v>
      </c>
      <c r="D1599" s="1" t="s">
        <v>8057</v>
      </c>
      <c r="E1599" s="1" t="s">
        <v>8057</v>
      </c>
      <c r="F1599" s="1" t="s">
        <v>8058</v>
      </c>
      <c r="G1599" s="1" t="s">
        <v>8059</v>
      </c>
      <c r="H1599" s="1" t="str">
        <f>IFERROR(__xludf.DUMMYFUNCTION("GOOGLETRANSLATE(D1599,""EN"",""JA"")"),"偽好酸球")</f>
        <v>偽好酸球</v>
      </c>
      <c r="I1599" s="1" t="str">
        <f>IFERROR(__xludf.DUMMYFUNCTION("GOOGLETRANSLATE(E1599,""EN"",""JA"")"),"偽好酸球")</f>
        <v>偽好酸球</v>
      </c>
      <c r="J1599" s="1" t="str">
        <f>IFERROR(__xludf.DUMMYFUNCTION("GOOGLETRANSLATE(F1599,""EN"",""JA"")"),"生物標本中の疑似好酸球の測定。")</f>
        <v>生物標本中の疑似好酸球の測定。</v>
      </c>
      <c r="K1599" s="1" t="str">
        <f>IFERROR(__xludf.DUMMYFUNCTION("GOOGLETRANSLATE(G1599,""EN"",""JA"")"),"偽好酸球数")</f>
        <v>偽好酸球数</v>
      </c>
    </row>
    <row r="1600" ht="13.5" customHeight="1">
      <c r="A1600" s="1" t="s">
        <v>11</v>
      </c>
      <c r="B1600" s="1" t="s">
        <v>8060</v>
      </c>
      <c r="C1600" s="1" t="s">
        <v>8061</v>
      </c>
      <c r="D1600" s="1" t="s">
        <v>8062</v>
      </c>
      <c r="E1600" s="1" t="s">
        <v>8062</v>
      </c>
      <c r="F1600" s="1" t="s">
        <v>8063</v>
      </c>
      <c r="G1600" s="1" t="s">
        <v>8064</v>
      </c>
      <c r="H1600" s="1" t="str">
        <f>IFERROR(__xludf.DUMMYFUNCTION("GOOGLETRANSLATE(D1600,""EN"",""JA"")"),"偽好酸球/白血球")</f>
        <v>偽好酸球/白血球</v>
      </c>
      <c r="I1600" s="1" t="str">
        <f>IFERROR(__xludf.DUMMYFUNCTION("GOOGLETRANSLATE(E1600,""EN"",""JA"")"),"偽好酸球/白血球")</f>
        <v>偽好酸球/白血球</v>
      </c>
      <c r="J1600" s="1" t="str">
        <f>IFERROR(__xludf.DUMMYFUNCTION("GOOGLETRANSLATE(F1600,""EN"",""JA"")"),"生物標本中の白血球に対する擬似好酸球の相対的な測定値（比率またはパーセンテージ）。")</f>
        <v>生物標本中の白血球に対する擬似好酸球の相対的な測定値（比率またはパーセンテージ）。</v>
      </c>
      <c r="K1600" s="1" t="str">
        <f>IFERROR(__xludf.DUMMYFUNCTION("GOOGLETRANSLATE(G1600,""EN"",""JA"")"),"偽好酸球と白血球の比の測定")</f>
        <v>偽好酸球と白血球の比の測定</v>
      </c>
    </row>
    <row r="1601" ht="13.5" customHeight="1">
      <c r="A1601" s="1" t="s">
        <v>11</v>
      </c>
      <c r="B1601" s="1" t="s">
        <v>8065</v>
      </c>
      <c r="C1601" s="1" t="s">
        <v>8066</v>
      </c>
      <c r="D1601" s="1" t="s">
        <v>8067</v>
      </c>
      <c r="E1601" s="1" t="s">
        <v>8067</v>
      </c>
      <c r="F1601" s="1" t="s">
        <v>8068</v>
      </c>
      <c r="G1601" s="1" t="s">
        <v>8069</v>
      </c>
      <c r="H1601" s="1" t="str">
        <f>IFERROR(__xludf.DUMMYFUNCTION("GOOGLETRANSLATE(D1601,""EN"",""JA"")"),"好酸球、分節")</f>
        <v>好酸球、分節</v>
      </c>
      <c r="I1601" s="1" t="str">
        <f>IFERROR(__xludf.DUMMYFUNCTION("GOOGLETRANSLATE(E1601,""EN"",""JA"")"),"好酸球、分節")</f>
        <v>好酸球、分節</v>
      </c>
      <c r="J1601" s="1" t="str">
        <f>IFERROR(__xludf.DUMMYFUNCTION("GOOGLETRANSLATE(F1601,""EN"",""JA"")"),"生物標本中の分節好酸球の測定。")</f>
        <v>生物標本中の分節好酸球の測定。</v>
      </c>
      <c r="K1601" s="1" t="str">
        <f>IFERROR(__xludf.DUMMYFUNCTION("GOOGLETRANSLATE(G1601,""EN"",""JA"")"),"セグメント化された好酸球数")</f>
        <v>セグメント化された好酸球数</v>
      </c>
    </row>
    <row r="1602" ht="13.5" customHeight="1">
      <c r="A1602" s="1" t="s">
        <v>11</v>
      </c>
      <c r="B1602" s="1" t="s">
        <v>8070</v>
      </c>
      <c r="C1602" s="1" t="s">
        <v>8071</v>
      </c>
      <c r="D1602" s="1" t="s">
        <v>8072</v>
      </c>
      <c r="E1602" s="1" t="s">
        <v>8073</v>
      </c>
      <c r="F1602" s="1" t="s">
        <v>8074</v>
      </c>
      <c r="G1602" s="1" t="s">
        <v>8075</v>
      </c>
      <c r="H1602" s="1" t="str">
        <f>IFERROR(__xludf.DUMMYFUNCTION("GOOGLETRANSLATE(D1602,""EN"",""JA"")"),"エオタキシン-1")</f>
        <v>エオタキシン-1</v>
      </c>
      <c r="I1602" s="1" t="str">
        <f>IFERROR(__xludf.DUMMYFUNCTION("GOOGLETRANSLATE(E1602,""EN"",""JA"")"),"ケモカインリガンド11; エオタキシン-1")</f>
        <v>ケモカインリガンド11; エオタキシン-1</v>
      </c>
      <c r="J1602" s="1" t="str">
        <f>IFERROR(__xludf.DUMMYFUNCTION("GOOGLETRANSLATE(F1602,""EN"",""JA"")"),"生物標本中のエオタキシン-1の測定。")</f>
        <v>生物標本中のエオタキシン-1の測定。</v>
      </c>
      <c r="K1602" s="1" t="str">
        <f>IFERROR(__xludf.DUMMYFUNCTION("GOOGLETRANSLATE(G1602,""EN"",""JA"")"),"エオタキシン-1測定")</f>
        <v>エオタキシン-1測定</v>
      </c>
    </row>
    <row r="1603" ht="13.5" customHeight="1">
      <c r="A1603" s="1" t="s">
        <v>11</v>
      </c>
      <c r="B1603" s="1" t="s">
        <v>8076</v>
      </c>
      <c r="C1603" s="1" t="s">
        <v>8077</v>
      </c>
      <c r="D1603" s="1" t="s">
        <v>8078</v>
      </c>
      <c r="E1603" s="1" t="s">
        <v>8079</v>
      </c>
      <c r="F1603" s="1" t="s">
        <v>8080</v>
      </c>
      <c r="G1603" s="1" t="s">
        <v>8081</v>
      </c>
      <c r="H1603" s="1" t="str">
        <f>IFERROR(__xludf.DUMMYFUNCTION("GOOGLETRANSLATE(D1603,""EN"",""JA"")"),"エオタキシン-2")</f>
        <v>エオタキシン-2</v>
      </c>
      <c r="I1603" s="1" t="str">
        <f>IFERROR(__xludf.DUMMYFUNCTION("GOOGLETRANSLATE(E1603,""EN"",""JA"")"),"ケモカインリガンド24; エオタキシン-2")</f>
        <v>ケモカインリガンド24; エオタキシン-2</v>
      </c>
      <c r="J1603" s="1" t="str">
        <f>IFERROR(__xludf.DUMMYFUNCTION("GOOGLETRANSLATE(F1603,""EN"",""JA"")"),"生物標本中のエオタキシン-2の測定。")</f>
        <v>生物標本中のエオタキシン-2の測定。</v>
      </c>
      <c r="K1603" s="1" t="str">
        <f>IFERROR(__xludf.DUMMYFUNCTION("GOOGLETRANSLATE(G1603,""EN"",""JA"")"),"エオタキシン-2測定")</f>
        <v>エオタキシン-2測定</v>
      </c>
    </row>
    <row r="1604" ht="13.5" customHeight="1">
      <c r="A1604" s="1" t="s">
        <v>11</v>
      </c>
      <c r="B1604" s="1" t="s">
        <v>8082</v>
      </c>
      <c r="C1604" s="1" t="s">
        <v>8083</v>
      </c>
      <c r="D1604" s="1" t="s">
        <v>8084</v>
      </c>
      <c r="E1604" s="1" t="s">
        <v>8085</v>
      </c>
      <c r="F1604" s="1" t="s">
        <v>8086</v>
      </c>
      <c r="G1604" s="1" t="s">
        <v>8087</v>
      </c>
      <c r="H1604" s="1" t="str">
        <f>IFERROR(__xludf.DUMMYFUNCTION("GOOGLETRANSLATE(D1604,""EN"",""JA"")"),"エオタキシン-3")</f>
        <v>エオタキシン-3</v>
      </c>
      <c r="I1604" s="1" t="str">
        <f>IFERROR(__xludf.DUMMYFUNCTION("GOOGLETRANSLATE(E1604,""EN"",""JA"")"),"CCL26; ケモカイン（C-Cモチーフ）リガンド26; ケモカインリガンド26; エオタキシン-3")</f>
        <v>CCL26; ケモカイン（C-Cモチーフ）リガンド26; ケモカインリガンド26; エオタキシン-3</v>
      </c>
      <c r="J1604" s="1" t="str">
        <f>IFERROR(__xludf.DUMMYFUNCTION("GOOGLETRANSLATE(F1604,""EN"",""JA"")"),"生物標本中のエオタキシン-3の測定。")</f>
        <v>生物標本中のエオタキシン-3の測定。</v>
      </c>
      <c r="K1604" s="1" t="str">
        <f>IFERROR(__xludf.DUMMYFUNCTION("GOOGLETRANSLATE(G1604,""EN"",""JA"")"),"エオタキシン3測定")</f>
        <v>エオタキシン3測定</v>
      </c>
    </row>
    <row r="1605" ht="13.5" customHeight="1">
      <c r="A1605" s="1" t="s">
        <v>397</v>
      </c>
      <c r="B1605" s="1" t="s">
        <v>8088</v>
      </c>
      <c r="C1605" s="1" t="s">
        <v>8089</v>
      </c>
      <c r="D1605" s="1" t="s">
        <v>8090</v>
      </c>
      <c r="E1605" s="1" t="s">
        <v>8091</v>
      </c>
      <c r="F1605" s="1" t="s">
        <v>8092</v>
      </c>
      <c r="G1605" s="1" t="s">
        <v>8093</v>
      </c>
      <c r="H1605" s="1" t="str">
        <f>IFERROR(__xludf.DUMMYFUNCTION("GOOGLETRANSLATE(D1605,""EN"",""JA"")"),"疫病/パンデミック関連の混乱産業")</f>
        <v>疫病/パンデミック関連の混乱産業</v>
      </c>
      <c r="I1605" s="1" t="str">
        <f>IFERROR(__xludf.DUMMYFUNCTION("GOOGLETRANSLATE(E1605,""EN"",""JA"")"),"疫病/パンデミック関連混乱指標; 疫病関連混乱指標")</f>
        <v>疫病/パンデミック関連混乱指標; 疫病関連混乱指標</v>
      </c>
      <c r="J1605" s="1" t="str">
        <f>IFERROR(__xludf.DUMMYFUNCTION("GOOGLETRANSLATE(F1605,""EN"",""JA"")"),"研究の中断が伝染病またはパンデミックによって引き起こされたかどうかを示すもの。")</f>
        <v>研究の中断が伝染病またはパンデミックによって引き起こされたかどうかを示すもの。</v>
      </c>
      <c r="K1605" s="1" t="str">
        <f>IFERROR(__xludf.DUMMYFUNCTION("GOOGLETRANSLATE(G1605,""EN"",""JA"")"),"疫病またはパンデミック関連の混乱指標")</f>
        <v>疫病またはパンデミック関連の混乱指標</v>
      </c>
    </row>
    <row r="1606" ht="13.5" customHeight="1">
      <c r="A1606" s="1" t="s">
        <v>11</v>
      </c>
      <c r="B1606" s="1" t="s">
        <v>8094</v>
      </c>
      <c r="C1606" s="1" t="s">
        <v>8095</v>
      </c>
      <c r="D1606" s="1" t="s">
        <v>8096</v>
      </c>
      <c r="E1606" s="1" t="s">
        <v>8096</v>
      </c>
      <c r="F1606" s="1" t="s">
        <v>8097</v>
      </c>
      <c r="G1606" s="1" t="s">
        <v>8098</v>
      </c>
      <c r="H1606" s="1" t="str">
        <f>IFERROR(__xludf.DUMMYFUNCTION("GOOGLETRANSLATE(D1606,""EN"",""JA"")"),"エフェドリン")</f>
        <v>エフェドリン</v>
      </c>
      <c r="I1606" s="1" t="str">
        <f>IFERROR(__xludf.DUMMYFUNCTION("GOOGLETRANSLATE(E1606,""EN"",""JA"")"),"エフェドリン")</f>
        <v>エフェドリン</v>
      </c>
      <c r="J1606" s="1" t="str">
        <f>IFERROR(__xludf.DUMMYFUNCTION("GOOGLETRANSLATE(F1606,""EN"",""JA"")"),"生物標本中のエフェドリンの測定。")</f>
        <v>生物標本中のエフェドリンの測定。</v>
      </c>
      <c r="K1606" s="1" t="str">
        <f>IFERROR(__xludf.DUMMYFUNCTION("GOOGLETRANSLATE(G1606,""EN"",""JA"")"),"エフェドリン測定")</f>
        <v>エフェドリン測定</v>
      </c>
    </row>
    <row r="1607" ht="13.5" customHeight="1">
      <c r="A1607" s="1" t="s">
        <v>11</v>
      </c>
      <c r="B1607" s="1" t="s">
        <v>8099</v>
      </c>
      <c r="C1607" s="1" t="s">
        <v>8100</v>
      </c>
      <c r="D1607" s="1" t="s">
        <v>8101</v>
      </c>
      <c r="E1607" s="1" t="s">
        <v>8101</v>
      </c>
      <c r="F1607" s="1" t="s">
        <v>8102</v>
      </c>
      <c r="G1607" s="1" t="s">
        <v>8103</v>
      </c>
      <c r="H1607" s="1" t="str">
        <f>IFERROR(__xludf.DUMMYFUNCTION("GOOGLETRANSLATE(D1607,""EN"",""JA"")"),"上皮細胞")</f>
        <v>上皮細胞</v>
      </c>
      <c r="I1607" s="1" t="str">
        <f>IFERROR(__xludf.DUMMYFUNCTION("GOOGLETRANSLATE(E1607,""EN"",""JA"")"),"上皮細胞")</f>
        <v>上皮細胞</v>
      </c>
      <c r="J1607" s="1" t="str">
        <f>IFERROR(__xludf.DUMMYFUNCTION("GOOGLETRANSLATE(F1607,""EN"",""JA"")"),"生物標本内の上皮細胞の測定。")</f>
        <v>生物標本内の上皮細胞の測定。</v>
      </c>
      <c r="K1607" s="1" t="str">
        <f>IFERROR(__xludf.DUMMYFUNCTION("GOOGLETRANSLATE(G1607,""EN"",""JA"")"),"上皮細胞数")</f>
        <v>上皮細胞数</v>
      </c>
    </row>
    <row r="1608" ht="13.5" customHeight="1">
      <c r="A1608" s="1" t="s">
        <v>11</v>
      </c>
      <c r="B1608" s="1" t="s">
        <v>8104</v>
      </c>
      <c r="C1608" s="1" t="s">
        <v>8105</v>
      </c>
      <c r="D1608" s="1" t="s">
        <v>8106</v>
      </c>
      <c r="E1608" s="1" t="s">
        <v>8106</v>
      </c>
      <c r="F1608" s="1" t="s">
        <v>8107</v>
      </c>
      <c r="G1608" s="1" t="s">
        <v>8108</v>
      </c>
      <c r="H1608" s="1" t="str">
        <f>IFERROR(__xludf.DUMMYFUNCTION("GOOGLETRANSLATE(D1608,""EN"",""JA"")"),"上皮細胞/総細胞")</f>
        <v>上皮細胞/総細胞</v>
      </c>
      <c r="I1608" s="1" t="str">
        <f>IFERROR(__xludf.DUMMYFUNCTION("GOOGLETRANSLATE(E1608,""EN"",""JA"")"),"上皮細胞/総細胞")</f>
        <v>上皮細胞/総細胞</v>
      </c>
      <c r="J1608" s="1" t="str">
        <f>IFERROR(__xludf.DUMMYFUNCTION("GOOGLETRANSLATE(F1608,""EN"",""JA"")"),"生物標本内の上皮細胞と総細胞の相対的な測定値（比率またはパーセンテージ）。")</f>
        <v>生物標本内の上皮細胞と総細胞の相対的な測定値（比率またはパーセンテージ）。</v>
      </c>
      <c r="K1608" s="1" t="str">
        <f>IFERROR(__xludf.DUMMYFUNCTION("GOOGLETRANSLATE(G1608,""EN"",""JA"")"),"上皮細胞と総細胞数の比率測定")</f>
        <v>上皮細胞と総細胞数の比率測定</v>
      </c>
    </row>
    <row r="1609" ht="13.5" customHeight="1">
      <c r="A1609" s="1" t="s">
        <v>11</v>
      </c>
      <c r="B1609" s="1" t="s">
        <v>8109</v>
      </c>
      <c r="C1609" s="1" t="s">
        <v>8110</v>
      </c>
      <c r="D1609" s="1" t="s">
        <v>8111</v>
      </c>
      <c r="E1609" s="1" t="s">
        <v>8111</v>
      </c>
      <c r="F1609" s="1" t="s">
        <v>8112</v>
      </c>
      <c r="G1609" s="1" t="s">
        <v>8113</v>
      </c>
      <c r="H1609" s="1" t="str">
        <f>IFERROR(__xludf.DUMMYFUNCTION("GOOGLETRANSLATE(D1609,""EN"",""JA"")"),"上皮細胞塊")</f>
        <v>上皮細胞塊</v>
      </c>
      <c r="I1609" s="1" t="str">
        <f>IFERROR(__xludf.DUMMYFUNCTION("GOOGLETRANSLATE(E1609,""EN"",""JA"")"),"上皮細胞塊")</f>
        <v>上皮細胞塊</v>
      </c>
      <c r="J1609" s="1" t="str">
        <f>IFERROR(__xludf.DUMMYFUNCTION("GOOGLETRANSLATE(F1609,""EN"",""JA"")"),"生物標本内の上皮細胞塊の測定。")</f>
        <v>生物標本内の上皮細胞塊の測定。</v>
      </c>
      <c r="K1609" s="1" t="str">
        <f>IFERROR(__xludf.DUMMYFUNCTION("GOOGLETRANSLATE(G1609,""EN"",""JA"")"),"上皮細胞塊の測定")</f>
        <v>上皮細胞塊の測定</v>
      </c>
    </row>
    <row r="1610" ht="13.5" customHeight="1">
      <c r="A1610" s="1" t="s">
        <v>397</v>
      </c>
      <c r="B1610" s="1" t="s">
        <v>8114</v>
      </c>
      <c r="C1610" s="1" t="s">
        <v>8115</v>
      </c>
      <c r="D1610" s="1" t="s">
        <v>8116</v>
      </c>
      <c r="E1610" s="1" t="s">
        <v>8117</v>
      </c>
      <c r="F1610" s="1" t="s">
        <v>8118</v>
      </c>
      <c r="G1610" s="1" t="s">
        <v>8119</v>
      </c>
      <c r="H1610" s="1" t="str">
        <f>IFERROR(__xludf.DUMMYFUNCTION("GOOGLETRANSLATE(D1610,""EN"",""JA"")"),"疫病/パンデミックの名前")</f>
        <v>疫病/パンデミックの名前</v>
      </c>
      <c r="I1610" s="1" t="str">
        <f>IFERROR(__xludf.DUMMYFUNCTION("GOOGLETRANSLATE(E1610,""EN"",""JA"")"),"疫病/パンデミックの名称; 疫病および/またはパンデミックの名称")</f>
        <v>疫病/パンデミックの名称; 疫病および/またはパンデミックの名称</v>
      </c>
      <c r="J1610" s="1" t="str">
        <f>IFERROR(__xludf.DUMMYFUNCTION("GOOGLETRANSLATE(F1610,""EN"",""JA"")"),"伝染病やパンデミックの文字どおりの識別子。")</f>
        <v>伝染病やパンデミックの文字どおりの識別子。</v>
      </c>
      <c r="K1610" s="1" t="str">
        <f>IFERROR(__xludf.DUMMYFUNCTION("GOOGLETRANSLATE(G1610,""EN"",""JA"")"),"疫病またはパンデミックの名前")</f>
        <v>疫病またはパンデミックの名前</v>
      </c>
    </row>
    <row r="1611" ht="13.5" customHeight="1">
      <c r="A1611" s="1" t="s">
        <v>134</v>
      </c>
      <c r="B1611" s="1" t="s">
        <v>8120</v>
      </c>
      <c r="C1611" s="1" t="s">
        <v>8121</v>
      </c>
      <c r="D1611" s="1" t="s">
        <v>8122</v>
      </c>
      <c r="E1611" s="1" t="s">
        <v>8122</v>
      </c>
      <c r="F1611" s="1" t="s">
        <v>8123</v>
      </c>
      <c r="G1611" s="1" t="s">
        <v>8124</v>
      </c>
      <c r="H1611" s="1" t="str">
        <f>IFERROR(__xludf.DUMMYFUNCTION("GOOGLETRANSLATE(D1611,""EN"",""JA"")"),"上皮損傷")</f>
        <v>上皮損傷</v>
      </c>
      <c r="I1611" s="1" t="str">
        <f>IFERROR(__xludf.DUMMYFUNCTION("GOOGLETRANSLATE(E1611,""EN"",""JA"")"),"上皮損傷")</f>
        <v>上皮損傷</v>
      </c>
      <c r="J1611" s="1" t="str">
        <f>IFERROR(__xludf.DUMMYFUNCTION("GOOGLETRANSLATE(F1611,""EN"",""JA"")"),"生物標本における上皮損傷の評価。")</f>
        <v>生物標本における上皮損傷の評価。</v>
      </c>
      <c r="K1611" s="1" t="str">
        <f>IFERROR(__xludf.DUMMYFUNCTION("GOOGLETRANSLATE(G1611,""EN"",""JA"")"),"上皮損傷評価")</f>
        <v>上皮損傷評価</v>
      </c>
    </row>
    <row r="1612" ht="13.5" customHeight="1">
      <c r="A1612" s="1" t="s">
        <v>11</v>
      </c>
      <c r="B1612" s="1" t="s">
        <v>8125</v>
      </c>
      <c r="C1612" s="1" t="s">
        <v>8126</v>
      </c>
      <c r="D1612" s="1" t="s">
        <v>8127</v>
      </c>
      <c r="E1612" s="1" t="s">
        <v>8128</v>
      </c>
      <c r="F1612" s="1" t="s">
        <v>8129</v>
      </c>
      <c r="G1612" s="1" t="s">
        <v>8130</v>
      </c>
      <c r="H1612" s="1" t="str">
        <f>IFERROR(__xludf.DUMMYFUNCTION("GOOGLETRANSLATE(D1612,""EN"",""JA"")"),"エピネフリン")</f>
        <v>エピネフリン</v>
      </c>
      <c r="I1612" s="1" t="str">
        <f>IFERROR(__xludf.DUMMYFUNCTION("GOOGLETRANSLATE(E1612,""EN"",""JA"")"),"アドレナリン; エピネフリン")</f>
        <v>アドレナリン; エピネフリン</v>
      </c>
      <c r="J1612" s="1" t="str">
        <f>IFERROR(__xludf.DUMMYFUNCTION("GOOGLETRANSLATE(F1612,""EN"",""JA"")"),"生物標本中のエピネフリンホルモンの測定。")</f>
        <v>生物標本中のエピネフリンホルモンの測定。</v>
      </c>
      <c r="K1612" s="1" t="str">
        <f>IFERROR(__xludf.DUMMYFUNCTION("GOOGLETRANSLATE(G1612,""EN"",""JA"")"),"エピネフリン測定")</f>
        <v>エピネフリン測定</v>
      </c>
    </row>
    <row r="1613" ht="13.5" customHeight="1">
      <c r="A1613" s="1" t="s">
        <v>11</v>
      </c>
      <c r="B1613" s="1" t="s">
        <v>8131</v>
      </c>
      <c r="C1613" s="1" t="s">
        <v>8132</v>
      </c>
      <c r="D1613" s="1" t="s">
        <v>8133</v>
      </c>
      <c r="E1613" s="1" t="s">
        <v>8133</v>
      </c>
      <c r="F1613" s="1" t="s">
        <v>8134</v>
      </c>
      <c r="G1613" s="1" t="s">
        <v>8133</v>
      </c>
      <c r="H1613" s="1" t="str">
        <f>IFERROR(__xludf.DUMMYFUNCTION("GOOGLETRANSLATE(D1613,""EN"",""JA"")"),"エピネフリン排泄率")</f>
        <v>エピネフリン排泄率</v>
      </c>
      <c r="I1613" s="1" t="str">
        <f>IFERROR(__xludf.DUMMYFUNCTION("GOOGLETRANSLATE(E1613,""EN"",""JA"")"),"エピネフリン排泄率")</f>
        <v>エピネフリン排泄率</v>
      </c>
      <c r="J1613" s="1" t="str">
        <f>IFERROR(__xludf.DUMMYFUNCTION("GOOGLETRANSLATE(F1613,""EN"",""JA"")"),"定義された時間（例：1 時間）にわたって生物学的標本中に排出されるエピネフリンの量を測定します。")</f>
        <v>定義された時間（例：1 時間）にわたって生物学的標本中に排出されるエピネフリンの量を測定します。</v>
      </c>
      <c r="K1613" s="1" t="str">
        <f>IFERROR(__xludf.DUMMYFUNCTION("GOOGLETRANSLATE(G1613,""EN"",""JA"")"),"エピネフリン排泄率")</f>
        <v>エピネフリン排泄率</v>
      </c>
    </row>
    <row r="1614" ht="13.5" customHeight="1">
      <c r="A1614" s="1" t="s">
        <v>11</v>
      </c>
      <c r="B1614" s="1" t="s">
        <v>8135</v>
      </c>
      <c r="C1614" s="1" t="s">
        <v>8136</v>
      </c>
      <c r="D1614" s="1" t="s">
        <v>8137</v>
      </c>
      <c r="E1614" s="1" t="s">
        <v>8137</v>
      </c>
      <c r="F1614" s="1" t="s">
        <v>8138</v>
      </c>
      <c r="G1614" s="1" t="s">
        <v>8139</v>
      </c>
      <c r="H1614" s="1" t="str">
        <f>IFERROR(__xludf.DUMMYFUNCTION("GOOGLETRANSLATE(D1614,""EN"",""JA"")"),"非扁平上皮細胞")</f>
        <v>非扁平上皮細胞</v>
      </c>
      <c r="I1614" s="1" t="str">
        <f>IFERROR(__xludf.DUMMYFUNCTION("GOOGLETRANSLATE(E1614,""EN"",""JA"")"),"非扁平上皮細胞")</f>
        <v>非扁平上皮細胞</v>
      </c>
      <c r="J1614" s="1" t="str">
        <f>IFERROR(__xludf.DUMMYFUNCTION("GOOGLETRANSLATE(F1614,""EN"",""JA"")"),"生物標本中の非扁平上皮細胞の測定。")</f>
        <v>生物標本中の非扁平上皮細胞の測定。</v>
      </c>
      <c r="K1614" s="1" t="str">
        <f>IFERROR(__xludf.DUMMYFUNCTION("GOOGLETRANSLATE(G1614,""EN"",""JA"")"),"非扁平上皮細胞数")</f>
        <v>非扁平上皮細胞数</v>
      </c>
    </row>
    <row r="1615" ht="13.5" customHeight="1">
      <c r="A1615" s="1" t="s">
        <v>11</v>
      </c>
      <c r="B1615" s="1" t="s">
        <v>8140</v>
      </c>
      <c r="C1615" s="1" t="s">
        <v>8141</v>
      </c>
      <c r="D1615" s="1" t="s">
        <v>8142</v>
      </c>
      <c r="E1615" s="1" t="s">
        <v>8142</v>
      </c>
      <c r="F1615" s="1" t="s">
        <v>8143</v>
      </c>
      <c r="G1615" s="1" t="s">
        <v>8144</v>
      </c>
      <c r="H1615" s="1" t="str">
        <f>IFERROR(__xludf.DUMMYFUNCTION("GOOGLETRANSLATE(D1615,""EN"",""JA"")"),"エピ細胞/非扁平上皮細胞")</f>
        <v>エピ細胞/非扁平上皮細胞</v>
      </c>
      <c r="I1615" s="1" t="str">
        <f>IFERROR(__xludf.DUMMYFUNCTION("GOOGLETRANSLATE(E1615,""EN"",""JA"")"),"エピ細胞/非扁平上皮細胞")</f>
        <v>エピ細胞/非扁平上皮細胞</v>
      </c>
      <c r="J1615" s="1" t="str">
        <f>IFERROR(__xludf.DUMMYFUNCTION("GOOGLETRANSLATE(F1615,""EN"",""JA"")"),"生物標本中の上皮細胞と非扁平上皮細胞の相対的な測定値（比率またはパーセンテージ）。")</f>
        <v>生物標本中の上皮細胞と非扁平上皮細胞の相対的な測定値（比率またはパーセンテージ）。</v>
      </c>
      <c r="K1615" s="1" t="str">
        <f>IFERROR(__xludf.DUMMYFUNCTION("GOOGLETRANSLATE(G1615,""EN"",""JA"")"),"上皮細胞と非扁平上皮細胞の比率測定")</f>
        <v>上皮細胞と非扁平上皮細胞の比率測定</v>
      </c>
    </row>
    <row r="1616" ht="13.5" customHeight="1">
      <c r="A1616" s="1" t="s">
        <v>11</v>
      </c>
      <c r="B1616" s="1" t="s">
        <v>8145</v>
      </c>
      <c r="C1616" s="1" t="s">
        <v>8146</v>
      </c>
      <c r="D1616" s="1" t="s">
        <v>8147</v>
      </c>
      <c r="E1616" s="1" t="s">
        <v>8147</v>
      </c>
      <c r="F1616" s="1" t="s">
        <v>8148</v>
      </c>
      <c r="G1616" s="1" t="s">
        <v>8149</v>
      </c>
      <c r="H1616" s="1" t="str">
        <f>IFERROR(__xludf.DUMMYFUNCTION("GOOGLETRANSLATE(D1616,""EN"",""JA"")"),"腎上皮細胞")</f>
        <v>腎上皮細胞</v>
      </c>
      <c r="I1616" s="1" t="str">
        <f>IFERROR(__xludf.DUMMYFUNCTION("GOOGLETRANSLATE(E1616,""EN"",""JA"")"),"腎上皮細胞")</f>
        <v>腎上皮細胞</v>
      </c>
      <c r="J1616" s="1" t="str">
        <f>IFERROR(__xludf.DUMMYFUNCTION("GOOGLETRANSLATE(F1616,""EN"",""JA"")"),"生物標本中の腎上皮細胞の測定。")</f>
        <v>生物標本中の腎上皮細胞の測定。</v>
      </c>
      <c r="K1616" s="1" t="str">
        <f>IFERROR(__xludf.DUMMYFUNCTION("GOOGLETRANSLATE(G1616,""EN"",""JA"")"),"腎上皮細胞の測定")</f>
        <v>腎上皮細胞の測定</v>
      </c>
    </row>
    <row r="1617" ht="13.5" customHeight="1">
      <c r="A1617" s="1" t="s">
        <v>11</v>
      </c>
      <c r="B1617" s="1" t="s">
        <v>8150</v>
      </c>
      <c r="C1617" s="1" t="s">
        <v>8151</v>
      </c>
      <c r="D1617" s="1" t="s">
        <v>8152</v>
      </c>
      <c r="E1617" s="1" t="s">
        <v>8152</v>
      </c>
      <c r="F1617" s="1" t="s">
        <v>8153</v>
      </c>
      <c r="G1617" s="1" t="s">
        <v>8154</v>
      </c>
      <c r="H1617" s="1" t="str">
        <f>IFERROR(__xludf.DUMMYFUNCTION("GOOGLETRANSLATE(D1617,""EN"",""JA"")"),"円形上皮細胞")</f>
        <v>円形上皮細胞</v>
      </c>
      <c r="I1617" s="1" t="str">
        <f>IFERROR(__xludf.DUMMYFUNCTION("GOOGLETRANSLATE(E1617,""EN"",""JA"")"),"円形上皮細胞")</f>
        <v>円形上皮細胞</v>
      </c>
      <c r="J1617" s="1" t="str">
        <f>IFERROR(__xludf.DUMMYFUNCTION("GOOGLETRANSLATE(F1617,""EN"",""JA"")"),"生物標本中に存在する円形上皮細胞の測定。")</f>
        <v>生物標本中に存在する円形上皮細胞の測定。</v>
      </c>
      <c r="K1617" s="1" t="str">
        <f>IFERROR(__xludf.DUMMYFUNCTION("GOOGLETRANSLATE(G1617,""EN"",""JA"")"),"円形上皮細胞数")</f>
        <v>円形上皮細胞数</v>
      </c>
    </row>
    <row r="1618" ht="13.5" customHeight="1">
      <c r="A1618" s="1" t="s">
        <v>134</v>
      </c>
      <c r="B1618" s="1" t="s">
        <v>8155</v>
      </c>
      <c r="C1618" s="1" t="s">
        <v>8156</v>
      </c>
      <c r="D1618" s="1" t="s">
        <v>8157</v>
      </c>
      <c r="E1618" s="1" t="s">
        <v>8158</v>
      </c>
      <c r="F1618" s="1" t="s">
        <v>8159</v>
      </c>
      <c r="G1618" s="1" t="s">
        <v>8160</v>
      </c>
      <c r="H1618" s="1" t="str">
        <f>IFERROR(__xludf.DUMMYFUNCTION("GOOGLETRANSLATE(D1618,""EN"",""JA"")"),"扁平上皮細胞/総細胞")</f>
        <v>扁平上皮細胞/総細胞</v>
      </c>
      <c r="I1618" s="1" t="str">
        <f>IFERROR(__xludf.DUMMYFUNCTION("GOOGLETRANSLATE(E1618,""EN"",""JA"")"),"扁平上皮細胞/総細胞; 扁平上皮細胞/総細胞")</f>
        <v>扁平上皮細胞/総細胞; 扁平上皮細胞/総細胞</v>
      </c>
      <c r="J1618" s="1" t="str">
        <f>IFERROR(__xludf.DUMMYFUNCTION("GOOGLETRANSLATE(F1618,""EN"",""JA"")"),"生物標本中の全細胞に対する扁平上皮細胞の相対的な測定値（比率またはパーセンテージ）。")</f>
        <v>生物標本中の全細胞に対する扁平上皮細胞の相対的な測定値（比率またはパーセンテージ）。</v>
      </c>
      <c r="K1618" s="1" t="str">
        <f>IFERROR(__xludf.DUMMYFUNCTION("GOOGLETRANSLATE(G1618,""EN"",""JA"")"),"扁平上皮細胞と総細胞数の比の測定")</f>
        <v>扁平上皮細胞と総細胞数の比の測定</v>
      </c>
    </row>
    <row r="1619" ht="13.5" customHeight="1">
      <c r="A1619" s="1" t="s">
        <v>11</v>
      </c>
      <c r="B1619" s="1" t="s">
        <v>8155</v>
      </c>
      <c r="C1619" s="1" t="s">
        <v>8156</v>
      </c>
      <c r="D1619" s="1" t="s">
        <v>8157</v>
      </c>
      <c r="E1619" s="1" t="s">
        <v>8158</v>
      </c>
      <c r="F1619" s="1" t="s">
        <v>8159</v>
      </c>
      <c r="G1619" s="1" t="s">
        <v>8160</v>
      </c>
      <c r="H1619" s="1" t="str">
        <f>IFERROR(__xludf.DUMMYFUNCTION("GOOGLETRANSLATE(D1619,""EN"",""JA"")"),"扁平上皮細胞/総細胞")</f>
        <v>扁平上皮細胞/総細胞</v>
      </c>
      <c r="I1619" s="1" t="str">
        <f>IFERROR(__xludf.DUMMYFUNCTION("GOOGLETRANSLATE(E1619,""EN"",""JA"")"),"扁平上皮細胞/総細胞; 扁平上皮細胞/総細胞")</f>
        <v>扁平上皮細胞/総細胞; 扁平上皮細胞/総細胞</v>
      </c>
      <c r="J1619" s="1" t="str">
        <f>IFERROR(__xludf.DUMMYFUNCTION("GOOGLETRANSLATE(F1619,""EN"",""JA"")"),"生物標本中の全細胞に対する扁平上皮細胞の相対的な測定値（比率またはパーセンテージ）。")</f>
        <v>生物標本中の全細胞に対する扁平上皮細胞の相対的な測定値（比率またはパーセンテージ）。</v>
      </c>
      <c r="K1619" s="1" t="str">
        <f>IFERROR(__xludf.DUMMYFUNCTION("GOOGLETRANSLATE(G1619,""EN"",""JA"")"),"扁平上皮細胞と総細胞数の比の測定")</f>
        <v>扁平上皮細胞と総細胞数の比の測定</v>
      </c>
    </row>
    <row r="1620" ht="13.5" customHeight="1">
      <c r="A1620" s="1" t="s">
        <v>11</v>
      </c>
      <c r="B1620" s="1" t="s">
        <v>8161</v>
      </c>
      <c r="C1620" s="1" t="s">
        <v>8162</v>
      </c>
      <c r="D1620" s="1" t="s">
        <v>8163</v>
      </c>
      <c r="E1620" s="1" t="s">
        <v>8164</v>
      </c>
      <c r="F1620" s="1" t="s">
        <v>8165</v>
      </c>
      <c r="G1620" s="1" t="s">
        <v>8166</v>
      </c>
      <c r="H1620" s="1" t="str">
        <f>IFERROR(__xludf.DUMMYFUNCTION("GOOGLETRANSLATE(D1620,""EN"",""JA"")"),"扁平上皮細胞")</f>
        <v>扁平上皮細胞</v>
      </c>
      <c r="I1620" s="1" t="str">
        <f>IFERROR(__xludf.DUMMYFUNCTION("GOOGLETRANSLATE(E1620,""EN"",""JA"")"),"扁平上皮細胞; 扁平上皮細胞")</f>
        <v>扁平上皮細胞; 扁平上皮細胞</v>
      </c>
      <c r="J1620" s="1" t="str">
        <f>IFERROR(__xludf.DUMMYFUNCTION("GOOGLETRANSLATE(F1620,""EN"",""JA"")"),"生物標本中に存在する扁平上皮細胞の測定。")</f>
        <v>生物標本中に存在する扁平上皮細胞の測定。</v>
      </c>
      <c r="K1620" s="1" t="str">
        <f>IFERROR(__xludf.DUMMYFUNCTION("GOOGLETRANSLATE(G1620,""EN"",""JA"")"),"扁平上皮細胞数")</f>
        <v>扁平上皮細胞数</v>
      </c>
    </row>
    <row r="1621" ht="13.5" customHeight="1">
      <c r="A1621" s="1" t="s">
        <v>11</v>
      </c>
      <c r="B1621" s="1" t="s">
        <v>8167</v>
      </c>
      <c r="C1621" s="1" t="s">
        <v>8168</v>
      </c>
      <c r="D1621" s="1" t="s">
        <v>8169</v>
      </c>
      <c r="E1621" s="1" t="s">
        <v>8169</v>
      </c>
      <c r="F1621" s="1" t="s">
        <v>8170</v>
      </c>
      <c r="G1621" s="1" t="s">
        <v>8171</v>
      </c>
      <c r="H1621" s="1" t="str">
        <f>IFERROR(__xludf.DUMMYFUNCTION("GOOGLETRANSLATE(D1621,""EN"",""JA"")"),"扁平上皮移行上皮細胞")</f>
        <v>扁平上皮移行上皮細胞</v>
      </c>
      <c r="I1621" s="1" t="str">
        <f>IFERROR(__xludf.DUMMYFUNCTION("GOOGLETRANSLATE(E1621,""EN"",""JA"")"),"扁平上皮移行上皮細胞")</f>
        <v>扁平上皮移行上皮細胞</v>
      </c>
      <c r="J1621" s="1" t="str">
        <f>IFERROR(__xludf.DUMMYFUNCTION("GOOGLETRANSLATE(F1621,""EN"",""JA"")"),"生物標本中に存在する扁平上皮移行細胞の測定。")</f>
        <v>生物標本中に存在する扁平上皮移行細胞の測定。</v>
      </c>
      <c r="K1621" s="1" t="str">
        <f>IFERROR(__xludf.DUMMYFUNCTION("GOOGLETRANSLATE(G1621,""EN"",""JA"")"),"扁平上皮移行上皮細胞数")</f>
        <v>扁平上皮移行上皮細胞数</v>
      </c>
    </row>
    <row r="1622" ht="13.5" customHeight="1">
      <c r="A1622" s="1" t="s">
        <v>11</v>
      </c>
      <c r="B1622" s="1" t="s">
        <v>8172</v>
      </c>
      <c r="C1622" s="1" t="s">
        <v>8173</v>
      </c>
      <c r="D1622" s="1" t="s">
        <v>8174</v>
      </c>
      <c r="E1622" s="1" t="s">
        <v>8174</v>
      </c>
      <c r="F1622" s="1" t="s">
        <v>8175</v>
      </c>
      <c r="G1622" s="1" t="s">
        <v>8176</v>
      </c>
      <c r="H1622" s="1" t="str">
        <f>IFERROR(__xludf.DUMMYFUNCTION("GOOGLETRANSLATE(D1622,""EN"",""JA"")"),"移行上皮細胞")</f>
        <v>移行上皮細胞</v>
      </c>
      <c r="I1622" s="1" t="str">
        <f>IFERROR(__xludf.DUMMYFUNCTION("GOOGLETRANSLATE(E1622,""EN"",""JA"")"),"移行上皮細胞")</f>
        <v>移行上皮細胞</v>
      </c>
      <c r="J1622" s="1" t="str">
        <f>IFERROR(__xludf.DUMMYFUNCTION("GOOGLETRANSLATE(F1622,""EN"",""JA"")"),"生物標本中に存在する移行上皮細胞の測定。")</f>
        <v>生物標本中に存在する移行上皮細胞の測定。</v>
      </c>
      <c r="K1622" s="1" t="str">
        <f>IFERROR(__xludf.DUMMYFUNCTION("GOOGLETRANSLATE(G1622,""EN"",""JA"")"),"移行上皮細胞の測定")</f>
        <v>移行上皮細胞の測定</v>
      </c>
    </row>
    <row r="1623" ht="13.5" customHeight="1">
      <c r="A1623" s="1" t="s">
        <v>134</v>
      </c>
      <c r="B1623" s="1" t="s">
        <v>8177</v>
      </c>
      <c r="C1623" s="1" t="s">
        <v>8178</v>
      </c>
      <c r="D1623" s="1" t="s">
        <v>8179</v>
      </c>
      <c r="E1623" s="1" t="s">
        <v>8179</v>
      </c>
      <c r="F1623" s="1" t="s">
        <v>8180</v>
      </c>
      <c r="G1623" s="1" t="s">
        <v>8181</v>
      </c>
      <c r="H1623" s="1" t="str">
        <f>IFERROR(__xludf.DUMMYFUNCTION("GOOGLETRANSLATE(D1623,""EN"",""JA"")"),"上皮の完全性")</f>
        <v>上皮の完全性</v>
      </c>
      <c r="I1623" s="1" t="str">
        <f>IFERROR(__xludf.DUMMYFUNCTION("GOOGLETRANSLATE(E1623,""EN"",""JA"")"),"上皮の完全性")</f>
        <v>上皮の完全性</v>
      </c>
      <c r="J1623" s="1" t="str">
        <f>IFERROR(__xludf.DUMMYFUNCTION("GOOGLETRANSLATE(F1623,""EN"",""JA"")"),"生物標本における上皮の完全性の評価。")</f>
        <v>生物標本における上皮の完全性の評価。</v>
      </c>
      <c r="K1623" s="1" t="str">
        <f>IFERROR(__xludf.DUMMYFUNCTION("GOOGLETRANSLATE(G1623,""EN"",""JA"")"),"上皮完全性評価")</f>
        <v>上皮完全性評価</v>
      </c>
    </row>
    <row r="1624" ht="13.5" customHeight="1">
      <c r="A1624" s="1" t="s">
        <v>11</v>
      </c>
      <c r="B1624" s="1" t="s">
        <v>8182</v>
      </c>
      <c r="C1624" s="1" t="s">
        <v>8183</v>
      </c>
      <c r="D1624" s="1" t="s">
        <v>8184</v>
      </c>
      <c r="E1624" s="1" t="s">
        <v>8185</v>
      </c>
      <c r="F1624" s="1" t="s">
        <v>8186</v>
      </c>
      <c r="G1624" s="1" t="s">
        <v>8187</v>
      </c>
      <c r="H1624" s="1" t="str">
        <f>IFERROR(__xludf.DUMMYFUNCTION("GOOGLETRANSLATE(D1624,""EN"",""JA"")"),"尿細管上皮細胞")</f>
        <v>尿細管上皮細胞</v>
      </c>
      <c r="I1624" s="1" t="str">
        <f>IFERROR(__xludf.DUMMYFUNCTION("GOOGLETRANSLATE(E1624,""EN"",""JA"")"),"腎尿細管上皮細胞; 尿細管上皮細胞")</f>
        <v>腎尿細管上皮細胞; 尿細管上皮細胞</v>
      </c>
      <c r="J1624" s="1" t="str">
        <f>IFERROR(__xludf.DUMMYFUNCTION("GOOGLETRANSLATE(F1624,""EN"",""JA"")"),"生物標本中に存在する尿細管上皮細胞の測定。")</f>
        <v>生物標本中に存在する尿細管上皮細胞の測定。</v>
      </c>
      <c r="K1624" s="1" t="str">
        <f>IFERROR(__xludf.DUMMYFUNCTION("GOOGLETRANSLATE(G1624,""EN"",""JA"")"),"尿細管上皮細胞数")</f>
        <v>尿細管上皮細胞数</v>
      </c>
    </row>
    <row r="1625" ht="13.5" customHeight="1">
      <c r="A1625" s="1" t="s">
        <v>11</v>
      </c>
      <c r="B1625" s="1" t="s">
        <v>8188</v>
      </c>
      <c r="C1625" s="1" t="s">
        <v>8189</v>
      </c>
      <c r="D1625" s="1" t="s">
        <v>8190</v>
      </c>
      <c r="E1625" s="1" t="s">
        <v>8191</v>
      </c>
      <c r="F1625" s="1" t="s">
        <v>8192</v>
      </c>
      <c r="G1625" s="1" t="s">
        <v>8193</v>
      </c>
      <c r="H1625" s="1" t="str">
        <f>IFERROR(__xludf.DUMMYFUNCTION("GOOGLETRANSLATE(D1625,""EN"",""JA"")"),"エリスロポエチン")</f>
        <v>エリスロポエチン</v>
      </c>
      <c r="I1625" s="1" t="str">
        <f>IFERROR(__xludf.DUMMYFUNCTION("GOOGLETRANSLATE(E1625,""EN"",""JA"")"),"エリスロポエチン; 造血因子")</f>
        <v>エリスロポエチン; 造血因子</v>
      </c>
      <c r="J1625" s="1" t="str">
        <f>IFERROR(__xludf.DUMMYFUNCTION("GOOGLETRANSLATE(F1625,""EN"",""JA"")"),"生物標本中のエリスロポエチンホルモンの測定。")</f>
        <v>生物標本中のエリスロポエチンホルモンの測定。</v>
      </c>
      <c r="K1625" s="1" t="str">
        <f>IFERROR(__xludf.DUMMYFUNCTION("GOOGLETRANSLATE(G1625,""EN"",""JA"")"),"エリスロポエチン測定")</f>
        <v>エリスロポエチン測定</v>
      </c>
    </row>
    <row r="1626" ht="13.5" customHeight="1">
      <c r="A1626" s="1" t="s">
        <v>11</v>
      </c>
      <c r="B1626" s="1" t="s">
        <v>8194</v>
      </c>
      <c r="C1626" s="1" t="s">
        <v>8195</v>
      </c>
      <c r="D1626" s="1" t="s">
        <v>8196</v>
      </c>
      <c r="E1626" s="1" t="s">
        <v>8197</v>
      </c>
      <c r="F1626" s="1" t="s">
        <v>8198</v>
      </c>
      <c r="G1626" s="1" t="s">
        <v>8199</v>
      </c>
      <c r="H1626" s="1" t="str">
        <f>IFERROR(__xludf.DUMMYFUNCTION("GOOGLETRANSLATE(D1626,""EN"",""JA"")"),"上皮間質相互作用タンパク質1")</f>
        <v>上皮間質相互作用タンパク質1</v>
      </c>
      <c r="I1626" s="1" t="str">
        <f>IFERROR(__xludf.DUMMYFUNCTION("GOOGLETRANSLATE(E1626,""EN"",""JA"")"),"BRESI1; 上皮間質相互作用タンパク質1")</f>
        <v>BRESI1; 上皮間質相互作用タンパク質1</v>
      </c>
      <c r="J1626" s="1" t="str">
        <f>IFERROR(__xludf.DUMMYFUNCTION("GOOGLETRANSLATE(F1626,""EN"",""JA"")"),"生物標本中の上皮間質相互作用タンパク質 1 の測定。")</f>
        <v>生物標本中の上皮間質相互作用タンパク質 1 の測定。</v>
      </c>
      <c r="K1626" s="1" t="str">
        <f>IFERROR(__xludf.DUMMYFUNCTION("GOOGLETRANSLATE(G1626,""EN"",""JA"")"),"上皮間質相互作用1の測定")</f>
        <v>上皮間質相互作用1の測定</v>
      </c>
    </row>
    <row r="1627" ht="13.5" customHeight="1">
      <c r="A1627" s="1" t="s">
        <v>11</v>
      </c>
      <c r="B1627" s="1" t="s">
        <v>8200</v>
      </c>
      <c r="C1627" s="1" t="s">
        <v>8201</v>
      </c>
      <c r="D1627" s="1" t="s">
        <v>8202</v>
      </c>
      <c r="E1627" s="1" t="s">
        <v>8202</v>
      </c>
      <c r="F1627" s="1" t="s">
        <v>8203</v>
      </c>
      <c r="G1627" s="1" t="s">
        <v>8204</v>
      </c>
      <c r="H1627" s="1" t="str">
        <f>IFERROR(__xludf.DUMMYFUNCTION("GOOGLETRANSLATE(D1627,""EN"",""JA"")"),"赤血球細胞")</f>
        <v>赤血球細胞</v>
      </c>
      <c r="I1627" s="1" t="str">
        <f>IFERROR(__xludf.DUMMYFUNCTION("GOOGLETRANSLATE(E1627,""EN"",""JA"")"),"赤血球細胞")</f>
        <v>赤血球細胞</v>
      </c>
      <c r="J1627" s="1" t="str">
        <f>IFERROR(__xludf.DUMMYFUNCTION("GOOGLETRANSLATE(F1627,""EN"",""JA"")"),"生物標本中の赤血球細胞の測定。")</f>
        <v>生物標本中の赤血球細胞の測定。</v>
      </c>
      <c r="K1627" s="1" t="str">
        <f>IFERROR(__xludf.DUMMYFUNCTION("GOOGLETRANSLATE(G1627,""EN"",""JA"")"),"赤血球数")</f>
        <v>赤血球数</v>
      </c>
    </row>
    <row r="1628" ht="13.5" customHeight="1">
      <c r="A1628" s="1" t="s">
        <v>11</v>
      </c>
      <c r="B1628" s="1" t="s">
        <v>8205</v>
      </c>
      <c r="C1628" s="1" t="s">
        <v>8206</v>
      </c>
      <c r="D1628" s="1" t="s">
        <v>8207</v>
      </c>
      <c r="E1628" s="1" t="s">
        <v>8207</v>
      </c>
      <c r="F1628" s="1" t="s">
        <v>8208</v>
      </c>
      <c r="G1628" s="1" t="s">
        <v>8209</v>
      </c>
      <c r="H1628" s="1" t="str">
        <f>IFERROR(__xludf.DUMMYFUNCTION("GOOGLETRANSLATE(D1628,""EN"",""JA"")"),"赤血球細胞／総細胞")</f>
        <v>赤血球細胞／総細胞</v>
      </c>
      <c r="I1628" s="1" t="str">
        <f>IFERROR(__xludf.DUMMYFUNCTION("GOOGLETRANSLATE(E1628,""EN"",""JA"")"),"赤血球細胞／総細胞")</f>
        <v>赤血球細胞／総細胞</v>
      </c>
      <c r="J1628" s="1" t="str">
        <f>IFERROR(__xludf.DUMMYFUNCTION("GOOGLETRANSLATE(F1628,""EN"",""JA"")"),"生物標本中の赤血球細胞と総細胞数（総有核細胞 + 赤血球 + 網状赤血球）の相対的な測定値（比率またはパーセンテージ）。")</f>
        <v>生物標本中の赤血球細胞と総細胞数（総有核細胞 + 赤血球 + 網状赤血球）の相対的な測定値（比率またはパーセンテージ）。</v>
      </c>
      <c r="K1628" s="1" t="str">
        <f>IFERROR(__xludf.DUMMYFUNCTION("GOOGLETRANSLATE(G1628,""EN"",""JA"")"),"赤血球細胞と総細胞数の比率測定")</f>
        <v>赤血球細胞と総細胞数の比率測定</v>
      </c>
    </row>
    <row r="1629" ht="13.5" customHeight="1">
      <c r="A1629" s="1" t="s">
        <v>11</v>
      </c>
      <c r="B1629" s="1" t="s">
        <v>8210</v>
      </c>
      <c r="C1629" s="1" t="s">
        <v>8211</v>
      </c>
      <c r="D1629" s="1" t="s">
        <v>8212</v>
      </c>
      <c r="E1629" s="1" t="s">
        <v>8212</v>
      </c>
      <c r="F1629" s="1" t="s">
        <v>8213</v>
      </c>
      <c r="G1629" s="1" t="s">
        <v>8212</v>
      </c>
      <c r="H1629" s="1" t="str">
        <f>IFERROR(__xludf.DUMMYFUNCTION("GOOGLETRANSLATE(D1629,""EN"",""JA"")"),"赤血球成熟指数")</f>
        <v>赤血球成熟指数</v>
      </c>
      <c r="I1629" s="1" t="str">
        <f>IFERROR(__xludf.DUMMYFUNCTION("GOOGLETRANSLATE(E1629,""EN"",""JA"")"),"赤血球成熟指数")</f>
        <v>赤血球成熟指数</v>
      </c>
      <c r="J1629" s="1" t="str">
        <f>IFERROR(__xludf.DUMMYFUNCTION("GOOGLETRANSLATE(F1629,""EN"",""JA"")"),"生物標本中の赤血球成熟期細胞（プール）の合計と赤血球増殖期細胞（プール）の合計の相対的な測定値（比率）。")</f>
        <v>生物標本中の赤血球成熟期細胞（プール）の合計と赤血球増殖期細胞（プール）の合計の相対的な測定値（比率）。</v>
      </c>
      <c r="K1629" s="1" t="str">
        <f>IFERROR(__xludf.DUMMYFUNCTION("GOOGLETRANSLATE(G1629,""EN"",""JA"")"),"赤血球成熟指数")</f>
        <v>赤血球成熟指数</v>
      </c>
    </row>
    <row r="1630" ht="13.5" customHeight="1">
      <c r="A1630" s="1" t="s">
        <v>11</v>
      </c>
      <c r="B1630" s="1" t="s">
        <v>8214</v>
      </c>
      <c r="C1630" s="1" t="s">
        <v>8215</v>
      </c>
      <c r="D1630" s="1" t="s">
        <v>8216</v>
      </c>
      <c r="E1630" s="1" t="s">
        <v>8216</v>
      </c>
      <c r="F1630" s="1" t="s">
        <v>8217</v>
      </c>
      <c r="G1630" s="1" t="s">
        <v>8218</v>
      </c>
      <c r="H1630" s="1" t="str">
        <f>IFERROR(__xludf.DUMMYFUNCTION("GOOGLETRANSLATE(D1630,""EN"",""JA"")"),"赤血球成熟プール")</f>
        <v>赤血球成熟プール</v>
      </c>
      <c r="I1630" s="1" t="str">
        <f>IFERROR(__xludf.DUMMYFUNCTION("GOOGLETRANSLATE(E1630,""EN"",""JA"")"),"赤血球成熟プール")</f>
        <v>赤血球成熟プール</v>
      </c>
      <c r="J1630" s="1" t="str">
        <f>IFERROR(__xludf.DUMMYFUNCTION("GOOGLETRANSLATE(F1630,""EN"",""JA"")"),"生物標本中の赤血球成熟期細胞（多染性赤血球、正染性赤血球、メタ赤血球）の測定。")</f>
        <v>生物標本中の赤血球成熟期細胞（多染性赤血球、正染性赤血球、メタ赤血球）の測定。</v>
      </c>
      <c r="K1630" s="1" t="str">
        <f>IFERROR(__xludf.DUMMYFUNCTION("GOOGLETRANSLATE(G1630,""EN"",""JA"")"),"赤血球成熟プール数")</f>
        <v>赤血球成熟プール数</v>
      </c>
    </row>
    <row r="1631" ht="13.5" customHeight="1">
      <c r="A1631" s="1" t="s">
        <v>11</v>
      </c>
      <c r="B1631" s="1" t="s">
        <v>8219</v>
      </c>
      <c r="C1631" s="1" t="s">
        <v>8220</v>
      </c>
      <c r="D1631" s="1" t="s">
        <v>8221</v>
      </c>
      <c r="E1631" s="1" t="s">
        <v>8221</v>
      </c>
      <c r="F1631" s="1" t="s">
        <v>8222</v>
      </c>
      <c r="G1631" s="1" t="s">
        <v>8223</v>
      </c>
      <c r="H1631" s="1" t="str">
        <f>IFERROR(__xludf.DUMMYFUNCTION("GOOGLETRANSLATE(D1631,""EN"",""JA"")"),"赤血球系細胞/核細胞")</f>
        <v>赤血球系細胞/核細胞</v>
      </c>
      <c r="I1631" s="1" t="str">
        <f>IFERROR(__xludf.DUMMYFUNCTION("GOOGLETRANSLATE(E1631,""EN"",""JA"")"),"赤血球系細胞/核細胞")</f>
        <v>赤血球系細胞/核細胞</v>
      </c>
      <c r="J1631" s="1" t="str">
        <f>IFERROR(__xludf.DUMMYFUNCTION("GOOGLETRANSLATE(F1631,""EN"",""JA"")"),"生物標本中の赤血球細胞と全核細胞の相対的な測定値（比率またはパーセンテージ）。")</f>
        <v>生物標本中の赤血球細胞と全核細胞の相対的な測定値（比率またはパーセンテージ）。</v>
      </c>
      <c r="K1631" s="1" t="str">
        <f>IFERROR(__xludf.DUMMYFUNCTION("GOOGLETRANSLATE(G1631,""EN"",""JA"")"),"赤血球細胞と核細胞比の測定")</f>
        <v>赤血球細胞と核細胞比の測定</v>
      </c>
    </row>
    <row r="1632" ht="13.5" customHeight="1">
      <c r="A1632" s="1" t="s">
        <v>11</v>
      </c>
      <c r="B1632" s="1" t="s">
        <v>8224</v>
      </c>
      <c r="C1632" s="1" t="s">
        <v>8225</v>
      </c>
      <c r="D1632" s="1" t="s">
        <v>8226</v>
      </c>
      <c r="E1632" s="1" t="s">
        <v>8226</v>
      </c>
      <c r="F1632" s="1" t="s">
        <v>8227</v>
      </c>
      <c r="G1632" s="1" t="s">
        <v>8226</v>
      </c>
      <c r="H1632" s="1" t="str">
        <f>IFERROR(__xludf.DUMMYFUNCTION("GOOGLETRANSLATE(D1632,""EN"",""JA"")"),"赤血球増殖指数")</f>
        <v>赤血球増殖指数</v>
      </c>
      <c r="I1632" s="1" t="str">
        <f>IFERROR(__xludf.DUMMYFUNCTION("GOOGLETRANSLATE(E1632,""EN"",""JA"")"),"赤血球増殖指数")</f>
        <v>赤血球増殖指数</v>
      </c>
      <c r="J1632" s="1" t="str">
        <f>IFERROR(__xludf.DUMMYFUNCTION("GOOGLETRANSLATE(F1632,""EN"",""JA"")"),"生物標本中の赤血球増殖期細胞（プール）の合計と赤血球成熟期細胞（プール）の合計の相対的な測定値（比率）。")</f>
        <v>生物標本中の赤血球増殖期細胞（プール）の合計と赤血球成熟期細胞（プール）の合計の相対的な測定値（比率）。</v>
      </c>
      <c r="K1632" s="1" t="str">
        <f>IFERROR(__xludf.DUMMYFUNCTION("GOOGLETRANSLATE(G1632,""EN"",""JA"")"),"赤血球増殖指数")</f>
        <v>赤血球増殖指数</v>
      </c>
    </row>
    <row r="1633" ht="13.5" customHeight="1">
      <c r="A1633" s="1" t="s">
        <v>11</v>
      </c>
      <c r="B1633" s="1" t="s">
        <v>8228</v>
      </c>
      <c r="C1633" s="1" t="s">
        <v>8229</v>
      </c>
      <c r="D1633" s="1" t="s">
        <v>8230</v>
      </c>
      <c r="E1633" s="1" t="s">
        <v>8230</v>
      </c>
      <c r="F1633" s="1" t="s">
        <v>8231</v>
      </c>
      <c r="G1633" s="1" t="s">
        <v>8232</v>
      </c>
      <c r="H1633" s="1" t="str">
        <f>IFERROR(__xludf.DUMMYFUNCTION("GOOGLETRANSLATE(D1633,""EN"",""JA"")"),"赤血球増殖プール")</f>
        <v>赤血球増殖プール</v>
      </c>
      <c r="I1633" s="1" t="str">
        <f>IFERROR(__xludf.DUMMYFUNCTION("GOOGLETRANSLATE(E1633,""EN"",""JA"")"),"赤血球増殖プール")</f>
        <v>赤血球増殖プール</v>
      </c>
      <c r="J1633" s="1" t="str">
        <f>IFERROR(__xludf.DUMMYFUNCTION("GOOGLETRANSLATE(F1633,""EN"",""JA"")"),"生物標本中の赤血球増殖期細胞（赤芽球、前赤芽球、好塩基性赤芽球）の測定。")</f>
        <v>生物標本中の赤血球増殖期細胞（赤芽球、前赤芽球、好塩基性赤芽球）の測定。</v>
      </c>
      <c r="K1633" s="1" t="str">
        <f>IFERROR(__xludf.DUMMYFUNCTION("GOOGLETRANSLATE(G1633,""EN"",""JA"")"),"赤血球増殖プール数")</f>
        <v>赤血球増殖プール数</v>
      </c>
    </row>
    <row r="1634" ht="13.5" customHeight="1">
      <c r="A1634" s="1" t="s">
        <v>134</v>
      </c>
      <c r="B1634" s="1" t="s">
        <v>8233</v>
      </c>
      <c r="C1634" s="1" t="s">
        <v>8234</v>
      </c>
      <c r="D1634" s="1" t="s">
        <v>8235</v>
      </c>
      <c r="E1634" s="1" t="s">
        <v>8236</v>
      </c>
      <c r="F1634" s="1" t="s">
        <v>8237</v>
      </c>
      <c r="G1634" s="1" t="s">
        <v>8238</v>
      </c>
      <c r="H1634" s="1" t="str">
        <f>IFERROR(__xludf.DUMMYFUNCTION("GOOGLETRANSLATE(D1634,""EN"",""JA"")"),"赤血球増殖")</f>
        <v>赤血球増殖</v>
      </c>
      <c r="I1634" s="1" t="str">
        <f>IFERROR(__xludf.DUMMYFUNCTION("GOOGLETRANSLATE(E1634,""EN"",""JA"")"),"赤血球細胞の増殖; 赤血球の増殖")</f>
        <v>赤血球細胞の増殖; 赤血球の増殖</v>
      </c>
      <c r="J1634" s="1" t="str">
        <f>IFERROR(__xludf.DUMMYFUNCTION("GOOGLETRANSLATE(F1634,""EN"",""JA"")"),"生物標本における赤血球系細胞の増殖の評価。")</f>
        <v>生物標本における赤血球系細胞の増殖の評価。</v>
      </c>
      <c r="K1634" s="1" t="str">
        <f>IFERROR(__xludf.DUMMYFUNCTION("GOOGLETRANSLATE(G1634,""EN"",""JA"")"),"赤血球増殖測定")</f>
        <v>赤血球増殖測定</v>
      </c>
    </row>
    <row r="1635" ht="13.5" customHeight="1">
      <c r="A1635" s="1" t="s">
        <v>11</v>
      </c>
      <c r="B1635" s="1" t="s">
        <v>8239</v>
      </c>
      <c r="C1635" s="1" t="s">
        <v>8240</v>
      </c>
      <c r="D1635" s="1" t="s">
        <v>8241</v>
      </c>
      <c r="E1635" s="1" t="s">
        <v>8242</v>
      </c>
      <c r="F1635" s="1" t="s">
        <v>8243</v>
      </c>
      <c r="G1635" s="1" t="s">
        <v>8244</v>
      </c>
      <c r="H1635" s="1" t="str">
        <f>IFERROR(__xludf.DUMMYFUNCTION("GOOGLETRANSLATE(D1635,""EN"",""JA"")"),"エピレグリン")</f>
        <v>エピレグリン</v>
      </c>
      <c r="I1635" s="1" t="str">
        <f>IFERROR(__xludf.DUMMYFUNCTION("GOOGLETRANSLATE(E1635,""EN"",""JA"")"),"エピレグリン; EPR")</f>
        <v>エピレグリン; EPR</v>
      </c>
      <c r="J1635" s="1" t="str">
        <f>IFERROR(__xludf.DUMMYFUNCTION("GOOGLETRANSLATE(F1635,""EN"",""JA"")"),"生物標本中のエピレグリンの測定。")</f>
        <v>生物標本中のエピレグリンの測定。</v>
      </c>
      <c r="K1635" s="1" t="str">
        <f>IFERROR(__xludf.DUMMYFUNCTION("GOOGLETRANSLATE(G1635,""EN"",""JA"")"),"エピレグリン測定")</f>
        <v>エピレグリン測定</v>
      </c>
    </row>
    <row r="1636" ht="13.5" customHeight="1">
      <c r="A1636" s="1" t="s">
        <v>11</v>
      </c>
      <c r="B1636" s="1" t="s">
        <v>8245</v>
      </c>
      <c r="C1636" s="1" t="s">
        <v>8246</v>
      </c>
      <c r="D1636" s="1" t="s">
        <v>8247</v>
      </c>
      <c r="E1636" s="1" t="s">
        <v>8247</v>
      </c>
      <c r="F1636" s="1" t="s">
        <v>8248</v>
      </c>
      <c r="G1636" s="1" t="s">
        <v>8249</v>
      </c>
      <c r="H1636" s="1" t="str">
        <f>IFERROR(__xludf.DUMMYFUNCTION("GOOGLETRANSLATE(D1636,""EN"",""JA"")"),"エリスロフェロン")</f>
        <v>エリスロフェロン</v>
      </c>
      <c r="I1636" s="1" t="str">
        <f>IFERROR(__xludf.DUMMYFUNCTION("GOOGLETRANSLATE(E1636,""EN"",""JA"")"),"エリスロフェロン")</f>
        <v>エリスロフェロン</v>
      </c>
      <c r="J1636" s="1" t="str">
        <f>IFERROR(__xludf.DUMMYFUNCTION("GOOGLETRANSLATE(F1636,""EN"",""JA"")"),"生物標本中のエリスロフェロンの測定。")</f>
        <v>生物標本中のエリスロフェロンの測定。</v>
      </c>
      <c r="K1636" s="1" t="str">
        <f>IFERROR(__xludf.DUMMYFUNCTION("GOOGLETRANSLATE(G1636,""EN"",""JA"")"),"エリスロフェロン測定")</f>
        <v>エリスロフェロン測定</v>
      </c>
    </row>
    <row r="1637" ht="13.5" customHeight="1">
      <c r="A1637" s="1" t="s">
        <v>90</v>
      </c>
      <c r="B1637" s="1" t="s">
        <v>8250</v>
      </c>
      <c r="C1637" s="1" t="s">
        <v>8251</v>
      </c>
      <c r="D1637" s="1" t="s">
        <v>8252</v>
      </c>
      <c r="E1637" s="1" t="s">
        <v>8252</v>
      </c>
      <c r="F1637" s="1" t="s">
        <v>8253</v>
      </c>
      <c r="G1637" s="1" t="s">
        <v>8252</v>
      </c>
      <c r="H1637" s="1" t="str">
        <f>IFERROR(__xludf.DUMMYFUNCTION("GOOGLETRANSLATE(D1637,""EN"",""JA"")"),"偏心逆流ジェットインジケーター")</f>
        <v>偏心逆流ジェットインジケーター</v>
      </c>
      <c r="I1637" s="1" t="str">
        <f>IFERROR(__xludf.DUMMYFUNCTION("GOOGLETRANSLATE(E1637,""EN"",""JA"")"),"偏心逆流ジェットインジケーター")</f>
        <v>偏心逆流ジェットインジケーター</v>
      </c>
      <c r="J1637" s="1" t="str">
        <f>IFERROR(__xludf.DUMMYFUNCTION("GOOGLETRANSLATE(F1637,""EN"",""JA"")"),"偏心逆流ジェット方向が存在するかどうかを示します。")</f>
        <v>偏心逆流ジェット方向が存在するかどうかを示します。</v>
      </c>
      <c r="K1637" s="1" t="str">
        <f>IFERROR(__xludf.DUMMYFUNCTION("GOOGLETRANSLATE(G1637,""EN"",""JA"")"),"偏心逆流ジェットインジケーター")</f>
        <v>偏心逆流ジェットインジケーター</v>
      </c>
    </row>
    <row r="1638" ht="13.5" customHeight="1">
      <c r="A1638" s="1" t="s">
        <v>870</v>
      </c>
      <c r="B1638" s="1" t="s">
        <v>8254</v>
      </c>
      <c r="C1638" s="1" t="s">
        <v>8255</v>
      </c>
      <c r="D1638" s="1" t="s">
        <v>8256</v>
      </c>
      <c r="E1638" s="1" t="s">
        <v>8256</v>
      </c>
      <c r="F1638" s="1" t="s">
        <v>8257</v>
      </c>
      <c r="G1638" s="1" t="s">
        <v>8258</v>
      </c>
      <c r="H1638" s="1" t="str">
        <f>IFERROR(__xludf.DUMMYFUNCTION("GOOGLETRANSLATE(D1638,""EN"",""JA"")"),"T1からT2への排泄速度")</f>
        <v>T1からT2への排泄速度</v>
      </c>
      <c r="I1638" s="1" t="str">
        <f>IFERROR(__xludf.DUMMYFUNCTION("GOOGLETRANSLATE(E1638,""EN"",""JA"")"),"T1からT2への排泄速度")</f>
        <v>T1からT2への排泄速度</v>
      </c>
      <c r="J1638" s="1" t="str">
        <f>IFERROR(__xludf.DUMMYFUNCTION("GOOGLETRANSLATE(F1638,""EN"",""JA"")"),"PPSPEC で指定された検体タイプに対して決定された、T1 から T2 までの間隔における排泄率。")</f>
        <v>PPSPEC で指定された検体タイプに対して決定された、T1 から T2 までの間隔における排泄率。</v>
      </c>
      <c r="K1638" s="1" t="str">
        <f>IFERROR(__xludf.DUMMYFUNCTION("GOOGLETRANSLATE(G1638,""EN"",""JA"")"),"T1からT2までの排泄速度")</f>
        <v>T1からT2までの排泄速度</v>
      </c>
    </row>
    <row r="1639" ht="13.5" customHeight="1">
      <c r="A1639" s="1" t="s">
        <v>870</v>
      </c>
      <c r="B1639" s="1" t="s">
        <v>8259</v>
      </c>
      <c r="C1639" s="1" t="s">
        <v>8260</v>
      </c>
      <c r="D1639" s="1" t="s">
        <v>8261</v>
      </c>
      <c r="E1639" s="1" t="s">
        <v>8261</v>
      </c>
      <c r="F1639" s="1" t="s">
        <v>8262</v>
      </c>
      <c r="G1639" s="1" t="s">
        <v>8263</v>
      </c>
      <c r="H1639" s="1" t="str">
        <f>IFERROR(__xludf.DUMMYFUNCTION("GOOGLETRANSLATE(D1639,""EN"",""JA"")"),"BMI別のT1からT2標準値への排泄率")</f>
        <v>BMI別のT1からT2標準値への排泄率</v>
      </c>
      <c r="I1639" s="1" t="str">
        <f>IFERROR(__xludf.DUMMYFUNCTION("GOOGLETRANSLATE(E1639,""EN"",""JA"")"),"BMI別のT1からT2標準値への排泄率")</f>
        <v>BMI別のT1からT2標準値への排泄率</v>
      </c>
      <c r="J1639" s="1" t="str">
        <f>IFERROR(__xludf.DUMMYFUNCTION("GOOGLETRANSLATE(F1639,""EN"",""JA"")"),"PPSPEC で指定された検体タイプに対して決定された、T1 から T2 までの間隔での排泄率をボディマス指数で割った値。")</f>
        <v>PPSPEC で指定された検体タイプに対して決定された、T1 から T2 までの間隔での排泄率をボディマス指数で割った値。</v>
      </c>
      <c r="K1639" s="1" t="str">
        <f>IFERROR(__xludf.DUMMYFUNCTION("GOOGLETRANSLATE(G1639,""EN"",""JA"")"),"BMIで標準化したT1からT2までの排泄率")</f>
        <v>BMIで標準化したT1からT2までの排泄率</v>
      </c>
    </row>
    <row r="1640" ht="13.5" customHeight="1">
      <c r="A1640" s="1" t="s">
        <v>870</v>
      </c>
      <c r="B1640" s="1" t="s">
        <v>8264</v>
      </c>
      <c r="C1640" s="1" t="s">
        <v>8265</v>
      </c>
      <c r="D1640" s="1" t="s">
        <v>8266</v>
      </c>
      <c r="E1640" s="1" t="s">
        <v>8266</v>
      </c>
      <c r="F1640" s="1" t="s">
        <v>8267</v>
      </c>
      <c r="G1640" s="1" t="s">
        <v>8268</v>
      </c>
      <c r="H1640" s="1" t="str">
        <f>IFERROR(__xludf.DUMMYFUNCTION("GOOGLETRANSLATE(D1640,""EN"",""JA"")"),"投与量によるT1からT2基準値への排泄率")</f>
        <v>投与量によるT1からT2基準値への排泄率</v>
      </c>
      <c r="I1640" s="1" t="str">
        <f>IFERROR(__xludf.DUMMYFUNCTION("GOOGLETRANSLATE(E1640,""EN"",""JA"")"),"投与量によるT1からT2基準値への排泄率")</f>
        <v>投与量によるT1からT2基準値への排泄率</v>
      </c>
      <c r="J1640" s="1" t="str">
        <f>IFERROR(__xludf.DUMMYFUNCTION("GOOGLETRANSLATE(F1640,""EN"",""JA"")"),"PPSPEC で指定された標本タイプに対して決定された、T1 から T2 までの間隔での排泄率を投与量で割った値。")</f>
        <v>PPSPEC で指定された標本タイプに対して決定された、T1 から T2 までの間隔での排泄率を投与量で割った値。</v>
      </c>
      <c r="K1640" s="1" t="str">
        <f>IFERROR(__xludf.DUMMYFUNCTION("GOOGLETRANSLATE(G1640,""EN"",""JA"")"),"投与量で標準化したT1からT2までの排泄率")</f>
        <v>投与量で標準化したT1からT2までの排泄率</v>
      </c>
    </row>
    <row r="1641" ht="13.5" customHeight="1">
      <c r="A1641" s="1" t="s">
        <v>870</v>
      </c>
      <c r="B1641" s="1" t="s">
        <v>8269</v>
      </c>
      <c r="C1641" s="1" t="s">
        <v>8270</v>
      </c>
      <c r="D1641" s="1" t="s">
        <v>8271</v>
      </c>
      <c r="E1641" s="1" t="s">
        <v>8271</v>
      </c>
      <c r="F1641" s="1" t="s">
        <v>8272</v>
      </c>
      <c r="G1641" s="1" t="s">
        <v>8273</v>
      </c>
      <c r="H1641" s="1" t="str">
        <f>IFERROR(__xludf.DUMMYFUNCTION("GOOGLETRANSLATE(D1641,""EN"",""JA"")"),"SAによるT1からT2への排泄率の正常値")</f>
        <v>SAによるT1からT2への排泄率の正常値</v>
      </c>
      <c r="I1641" s="1" t="str">
        <f>IFERROR(__xludf.DUMMYFUNCTION("GOOGLETRANSLATE(E1641,""EN"",""JA"")"),"SAによるT1からT2への排泄率の正常値")</f>
        <v>SAによるT1からT2への排泄率の正常値</v>
      </c>
      <c r="J1641" s="1" t="str">
        <f>IFERROR(__xludf.DUMMYFUNCTION("GOOGLETRANSLATE(F1641,""EN"",""JA"")"),"PPSPEC で指定された標本タイプに対して決定された、T1 から T2 までの間隔での排泄率を表面積で割った値。")</f>
        <v>PPSPEC で指定された標本タイプに対して決定された、T1 から T2 までの間隔での排泄率を表面積で割った値。</v>
      </c>
      <c r="K1641" s="1" t="str">
        <f>IFERROR(__xludf.DUMMYFUNCTION("GOOGLETRANSLATE(G1641,""EN"",""JA"")"),"SAで正規化されたT1からT2までの排泄速度")</f>
        <v>SAで正規化されたT1からT2までの排泄速度</v>
      </c>
    </row>
    <row r="1642" ht="13.5" customHeight="1">
      <c r="A1642" s="1" t="s">
        <v>870</v>
      </c>
      <c r="B1642" s="1" t="s">
        <v>8274</v>
      </c>
      <c r="C1642" s="1" t="s">
        <v>8275</v>
      </c>
      <c r="D1642" s="1" t="s">
        <v>8276</v>
      </c>
      <c r="E1642" s="1" t="s">
        <v>8276</v>
      </c>
      <c r="F1642" s="1" t="s">
        <v>8277</v>
      </c>
      <c r="G1642" s="1" t="s">
        <v>8278</v>
      </c>
      <c r="H1642" s="1" t="str">
        <f>IFERROR(__xludf.DUMMYFUNCTION("GOOGLETRANSLATE(D1642,""EN"",""JA"")"),"体重別のT1からT2基準値までの排泄率")</f>
        <v>体重別のT1からT2基準値までの排泄率</v>
      </c>
      <c r="I1642" s="1" t="str">
        <f>IFERROR(__xludf.DUMMYFUNCTION("GOOGLETRANSLATE(E1642,""EN"",""JA"")"),"体重別のT1からT2基準値までの排泄率")</f>
        <v>体重別のT1からT2基準値までの排泄率</v>
      </c>
      <c r="J1642" s="1" t="str">
        <f>IFERROR(__xludf.DUMMYFUNCTION("GOOGLETRANSLATE(F1642,""EN"",""JA"")"),"PPSPEC で指定された検体タイプに対して決定された、T1 から T2 までの間隔での排泄率を重量で割った値。")</f>
        <v>PPSPEC で指定された検体タイプに対して決定された、T1 から T2 までの間隔での排泄率を重量で割った値。</v>
      </c>
      <c r="K1642" s="1" t="str">
        <f>IFERROR(__xludf.DUMMYFUNCTION("GOOGLETRANSLATE(G1642,""EN"",""JA"")"),"WTで標準化したT1からT2までの排泄率")</f>
        <v>WTで標準化したT1からT2までの排泄率</v>
      </c>
    </row>
    <row r="1643" ht="13.5" customHeight="1">
      <c r="A1643" s="1" t="s">
        <v>134</v>
      </c>
      <c r="B1643" s="1" t="s">
        <v>8279</v>
      </c>
      <c r="C1643" s="1" t="s">
        <v>8280</v>
      </c>
      <c r="D1643" s="1" t="s">
        <v>8281</v>
      </c>
      <c r="E1643" s="1" t="s">
        <v>8282</v>
      </c>
      <c r="F1643" s="1" t="s">
        <v>8283</v>
      </c>
      <c r="G1643" s="1" t="s">
        <v>8284</v>
      </c>
      <c r="H1643" s="1" t="str">
        <f>IFERROR(__xludf.DUMMYFUNCTION("GOOGLETRANSLATE(D1643,""EN"",""JA"")"),"Epi RBM 長さ、無傷/Epi RBM 長さ、合計")</f>
        <v>Epi RBM 長さ、無傷/Epi RBM 長さ、合計</v>
      </c>
      <c r="I1643" s="1" t="str">
        <f>IFERROR(__xludf.DUMMYFUNCTION("GOOGLETRANSLATE(E1643,""EN"",""JA"")"),"上皮RBM長、健常部/上皮RBM長、合計；上皮RBM長、健常部/上皮RBM長、合計")</f>
        <v>上皮RBM長、健常部/上皮RBM長、合計；上皮RBM長、健常部/上皮RBM長、合計</v>
      </c>
      <c r="J1643" s="1" t="str">
        <f>IFERROR(__xludf.DUMMYFUNCTION("GOOGLETRANSLATE(F1643,""EN"",""JA"")"),"生物標本中の全上皮網状基底膜長に対する、損傷のない上皮網状基底膜長の相対的な測定値（比率またはパーセンテージ）。")</f>
        <v>生物標本中の全上皮網状基底膜長に対する、損傷のない上皮網状基底膜長の相対的な測定値（比率またはパーセンテージ）。</v>
      </c>
      <c r="K1643" s="1" t="str">
        <f>IFERROR(__xludf.DUMMYFUNCTION("GOOGLETRANSLATE(G1643,""EN"",""JA"")"),"損傷のない上皮網状基底膜の長さと総上皮網状基底膜の長さの比の測定")</f>
        <v>損傷のない上皮網状基底膜の長さと総上皮網状基底膜の長さの比の測定</v>
      </c>
    </row>
    <row r="1644" ht="13.5" customHeight="1">
      <c r="A1644" s="1" t="s">
        <v>870</v>
      </c>
      <c r="B1644" s="1" t="s">
        <v>8285</v>
      </c>
      <c r="C1644" s="1" t="s">
        <v>8286</v>
      </c>
      <c r="D1644" s="1" t="s">
        <v>8287</v>
      </c>
      <c r="E1644" s="1" t="s">
        <v>8287</v>
      </c>
      <c r="F1644" s="1" t="s">
        <v>8288</v>
      </c>
      <c r="G1644" s="1" t="s">
        <v>8289</v>
      </c>
      <c r="H1644" s="1" t="str">
        <f>IFERROR(__xludf.DUMMYFUNCTION("GOOGLETRANSLATE(D1644,""EN"",""JA"")"),"最終測定排泄率")</f>
        <v>最終測定排泄率</v>
      </c>
      <c r="I1644" s="1" t="str">
        <f>IFERROR(__xludf.DUMMYFUNCTION("GOOGLETRANSLATE(E1644,""EN"",""JA"")"),"最終測定排泄率")</f>
        <v>最終測定排泄率</v>
      </c>
      <c r="J1644" s="1" t="str">
        <f>IFERROR(__xludf.DUMMYFUNCTION("GOOGLETRANSLATE(F1644,""EN"",""JA"")"),"PPSPEC で指定された検体タイプに対して決定された、最後の測定可能な（陽性の）排泄率。")</f>
        <v>PPSPEC で指定された検体タイプに対して決定された、最後の測定可能な（陽性の）排泄率。</v>
      </c>
      <c r="K1644" s="1" t="str">
        <f>IFERROR(__xludf.DUMMYFUNCTION("GOOGLETRANSLATE(G1644,""EN"",""JA"")"),"最後に測定された排泄率")</f>
        <v>最後に測定された排泄率</v>
      </c>
    </row>
    <row r="1645" ht="13.5" customHeight="1">
      <c r="A1645" s="1" t="s">
        <v>870</v>
      </c>
      <c r="B1645" s="1" t="s">
        <v>8290</v>
      </c>
      <c r="C1645" s="1" t="s">
        <v>8291</v>
      </c>
      <c r="D1645" s="1" t="s">
        <v>8292</v>
      </c>
      <c r="E1645" s="1" t="s">
        <v>8292</v>
      </c>
      <c r="F1645" s="1" t="s">
        <v>8293</v>
      </c>
      <c r="G1645" s="1" t="s">
        <v>8294</v>
      </c>
      <c r="H1645" s="1" t="str">
        <f>IFERROR(__xludf.DUMMYFUNCTION("GOOGLETRANSLATE(D1645,""EN"",""JA"")"),"前回のBMI別排泄率基準値")</f>
        <v>前回のBMI別排泄率基準値</v>
      </c>
      <c r="I1645" s="1" t="str">
        <f>IFERROR(__xludf.DUMMYFUNCTION("GOOGLETRANSLATE(E1645,""EN"",""JA"")"),"前回のBMI別排泄率基準値")</f>
        <v>前回のBMI別排泄率基準値</v>
      </c>
      <c r="J1645" s="1" t="str">
        <f>IFERROR(__xludf.DUMMYFUNCTION("GOOGLETRANSLATE(F1645,""EN"",""JA"")"),"最後に測定可能な（陽性の）排泄率をボディマス指数で割ったもの。")</f>
        <v>最後に測定可能な（陽性の）排泄率をボディマス指数で割ったもの。</v>
      </c>
      <c r="K1645" s="1" t="str">
        <f>IFERROR(__xludf.DUMMYFUNCTION("GOOGLETRANSLATE(G1645,""EN"",""JA"")"),"ボディマス指数で標準化された最後の測定可能な排泄率")</f>
        <v>ボディマス指数で標準化された最後の測定可能な排泄率</v>
      </c>
    </row>
    <row r="1646" ht="13.5" customHeight="1">
      <c r="A1646" s="1" t="s">
        <v>870</v>
      </c>
      <c r="B1646" s="1" t="s">
        <v>8295</v>
      </c>
      <c r="C1646" s="1" t="s">
        <v>8296</v>
      </c>
      <c r="D1646" s="1" t="s">
        <v>8297</v>
      </c>
      <c r="E1646" s="1" t="s">
        <v>8297</v>
      </c>
      <c r="F1646" s="1" t="s">
        <v>8298</v>
      </c>
      <c r="G1646" s="1" t="s">
        <v>8299</v>
      </c>
      <c r="H1646" s="1" t="str">
        <f>IFERROR(__xludf.DUMMYFUNCTION("GOOGLETRANSLATE(D1646,""EN"",""JA"")"),"最終測定排泄率の投与量別基準値")</f>
        <v>最終測定排泄率の投与量別基準値</v>
      </c>
      <c r="I1646" s="1" t="str">
        <f>IFERROR(__xludf.DUMMYFUNCTION("GOOGLETRANSLATE(E1646,""EN"",""JA"")"),"最終測定排泄率の投与量別基準値")</f>
        <v>最終測定排泄率の投与量別基準値</v>
      </c>
      <c r="J1646" s="1" t="str">
        <f>IFERROR(__xludf.DUMMYFUNCTION("GOOGLETRANSLATE(F1646,""EN"",""JA"")"),"最後に測定された（陽性の）排泄率を投与量で割ったもの。")</f>
        <v>最後に測定された（陽性の）排泄率を投与量で割ったもの。</v>
      </c>
      <c r="K1646" s="1" t="str">
        <f>IFERROR(__xludf.DUMMYFUNCTION("GOOGLETRANSLATE(G1646,""EN"",""JA"")"),"投与量で標準化された最後の測定可能な排泄率")</f>
        <v>投与量で標準化された最後の測定可能な排泄率</v>
      </c>
    </row>
    <row r="1647" ht="13.5" customHeight="1">
      <c r="A1647" s="1" t="s">
        <v>870</v>
      </c>
      <c r="B1647" s="1" t="s">
        <v>8300</v>
      </c>
      <c r="C1647" s="1" t="s">
        <v>8301</v>
      </c>
      <c r="D1647" s="1" t="s">
        <v>8302</v>
      </c>
      <c r="E1647" s="1" t="s">
        <v>8302</v>
      </c>
      <c r="F1647" s="1" t="s">
        <v>8303</v>
      </c>
      <c r="G1647" s="1" t="s">
        <v>8304</v>
      </c>
      <c r="H1647" s="1" t="str">
        <f>IFERROR(__xludf.DUMMYFUNCTION("GOOGLETRANSLATE(D1647,""EN"",""JA"")"),"SAによる最終測定排泄率基準")</f>
        <v>SAによる最終測定排泄率基準</v>
      </c>
      <c r="I1647" s="1" t="str">
        <f>IFERROR(__xludf.DUMMYFUNCTION("GOOGLETRANSLATE(E1647,""EN"",""JA"")"),"SAによる最終測定排泄率基準")</f>
        <v>SAによる最終測定排泄率基準</v>
      </c>
      <c r="J1647" s="1" t="str">
        <f>IFERROR(__xludf.DUMMYFUNCTION("GOOGLETRANSLATE(F1647,""EN"",""JA"")"),"最後に測定された（陽性の）排泄率を表面積で割ったもの。")</f>
        <v>最後に測定された（陽性の）排泄率を表面積で割ったもの。</v>
      </c>
      <c r="K1647" s="1" t="str">
        <f>IFERROR(__xludf.DUMMYFUNCTION("GOOGLETRANSLATE(G1647,""EN"",""JA"")"),"体表面積で正規化した最後の測定可能な排泄率")</f>
        <v>体表面積で正規化した最後の測定可能な排泄率</v>
      </c>
    </row>
    <row r="1648" ht="13.5" customHeight="1">
      <c r="A1648" s="1" t="s">
        <v>870</v>
      </c>
      <c r="B1648" s="1" t="s">
        <v>8305</v>
      </c>
      <c r="C1648" s="1" t="s">
        <v>8306</v>
      </c>
      <c r="D1648" s="1" t="s">
        <v>8307</v>
      </c>
      <c r="E1648" s="1" t="s">
        <v>8307</v>
      </c>
      <c r="F1648" s="1" t="s">
        <v>8308</v>
      </c>
      <c r="G1648" s="1" t="s">
        <v>8309</v>
      </c>
      <c r="H1648" s="1" t="str">
        <f>IFERROR(__xludf.DUMMYFUNCTION("GOOGLETRANSLATE(D1648,""EN"",""JA"")"),"体重別の最終測定排泄率基準")</f>
        <v>体重別の最終測定排泄率基準</v>
      </c>
      <c r="I1648" s="1" t="str">
        <f>IFERROR(__xludf.DUMMYFUNCTION("GOOGLETRANSLATE(E1648,""EN"",""JA"")"),"体重別の最終測定排泄率基準")</f>
        <v>体重別の最終測定排泄率基準</v>
      </c>
      <c r="J1648" s="1" t="str">
        <f>IFERROR(__xludf.DUMMYFUNCTION("GOOGLETRANSLATE(F1648,""EN"",""JA"")"),"最後に測定された（陽性の）排泄率を体重で割ったもの。")</f>
        <v>最後に測定された（陽性の）排泄率を体重で割ったもの。</v>
      </c>
      <c r="K1648" s="1" t="str">
        <f>IFERROR(__xludf.DUMMYFUNCTION("GOOGLETRANSLATE(G1648,""EN"",""JA"")"),"体重で標準化された最後の測定可能な排泄率")</f>
        <v>体重で標準化された最後の測定可能な排泄率</v>
      </c>
    </row>
    <row r="1649" ht="13.5" customHeight="1">
      <c r="A1649" s="1" t="s">
        <v>160</v>
      </c>
      <c r="B1649" s="1" t="s">
        <v>8310</v>
      </c>
      <c r="C1649" s="1" t="s">
        <v>8311</v>
      </c>
      <c r="D1649" s="1" t="s">
        <v>8312</v>
      </c>
      <c r="E1649" s="1" t="s">
        <v>8312</v>
      </c>
      <c r="F1649" s="1" t="s">
        <v>8313</v>
      </c>
      <c r="G1649" s="1" t="s">
        <v>8312</v>
      </c>
      <c r="H1649" s="1" t="str">
        <f>IFERROR(__xludf.DUMMYFUNCTION("GOOGLETRANSLATE(D1649,""EN"",""JA"")"),"早産児数")</f>
        <v>早産児数</v>
      </c>
      <c r="I1649" s="1" t="str">
        <f>IFERROR(__xludf.DUMMYFUNCTION("GOOGLETRANSLATE(E1649,""EN"",""JA"")"),"早産児数")</f>
        <v>早産児数</v>
      </c>
      <c r="J1649" s="1" t="str">
        <f>IFERROR(__xludf.DUMMYFUNCTION("GOOGLETRANSLATE(F1649,""EN"",""JA"")"),"新生児の妊娠期間が 37 週 0 日から 38 週 6 日までの間の出産イベントの総数を測定した値です。")</f>
        <v>新生児の妊娠期間が 37 週 0 日から 38 週 6 日までの間の出産イベントの総数を測定した値です。</v>
      </c>
      <c r="K1649" s="1" t="str">
        <f>IFERROR(__xludf.DUMMYFUNCTION("GOOGLETRANSLATE(G1649,""EN"",""JA"")"),"早産児数")</f>
        <v>早産児数</v>
      </c>
    </row>
    <row r="1650" ht="13.5" customHeight="1">
      <c r="A1650" s="1" t="s">
        <v>870</v>
      </c>
      <c r="B1650" s="1" t="s">
        <v>8314</v>
      </c>
      <c r="C1650" s="1" t="s">
        <v>8315</v>
      </c>
      <c r="D1650" s="1" t="s">
        <v>8316</v>
      </c>
      <c r="E1650" s="1" t="s">
        <v>8316</v>
      </c>
      <c r="F1650" s="1" t="s">
        <v>8317</v>
      </c>
      <c r="G1650" s="1" t="s">
        <v>8318</v>
      </c>
      <c r="H1650" s="1" t="str">
        <f>IFERROR(__xludf.DUMMYFUNCTION("GOOGLETRANSLATE(D1650,""EN"",""JA"")"),"最大排泄率")</f>
        <v>最大排泄率</v>
      </c>
      <c r="I1650" s="1" t="str">
        <f>IFERROR(__xludf.DUMMYFUNCTION("GOOGLETRANSLATE(E1650,""EN"",""JA"")"),"最大排泄率")</f>
        <v>最大排泄率</v>
      </c>
      <c r="J1650" s="1" t="str">
        <f>IFERROR(__xludf.DUMMYFUNCTION("GOOGLETRANSLATE(F1650,""EN"",""JA"")"),"PPSPEC で指定された検体タイプに対して決定された最大排泄率。")</f>
        <v>PPSPEC で指定された検体タイプに対して決定された最大排泄率。</v>
      </c>
      <c r="K1650" s="1" t="str">
        <f>IFERROR(__xludf.DUMMYFUNCTION("GOOGLETRANSLATE(G1650,""EN"",""JA"")"),"最大排泄率の観測")</f>
        <v>最大排泄率の観測</v>
      </c>
    </row>
    <row r="1651" ht="13.5" customHeight="1">
      <c r="A1651" s="1" t="s">
        <v>870</v>
      </c>
      <c r="B1651" s="1" t="s">
        <v>8319</v>
      </c>
      <c r="C1651" s="1" t="s">
        <v>8320</v>
      </c>
      <c r="D1651" s="1" t="s">
        <v>8321</v>
      </c>
      <c r="E1651" s="1" t="s">
        <v>8321</v>
      </c>
      <c r="F1651" s="1" t="s">
        <v>8322</v>
      </c>
      <c r="G1651" s="1" t="s">
        <v>8323</v>
      </c>
      <c r="H1651" s="1" t="str">
        <f>IFERROR(__xludf.DUMMYFUNCTION("GOOGLETRANSLATE(D1651,""EN"",""JA"")"),"BMIによる最大排泄率の基準")</f>
        <v>BMIによる最大排泄率の基準</v>
      </c>
      <c r="I1651" s="1" t="str">
        <f>IFERROR(__xludf.DUMMYFUNCTION("GOOGLETRANSLATE(E1651,""EN"",""JA"")"),"BMIによる最大排泄率の基準")</f>
        <v>BMIによる最大排泄率の基準</v>
      </c>
      <c r="J1651" s="1" t="str">
        <f>IFERROR(__xludf.DUMMYFUNCTION("GOOGLETRANSLATE(F1651,""EN"",""JA"")"),"最大排泄率をBMIで割ったもの。")</f>
        <v>最大排泄率をBMIで割ったもの。</v>
      </c>
      <c r="K1651" s="1" t="str">
        <f>IFERROR(__xludf.DUMMYFUNCTION("GOOGLETRANSLATE(G1651,""EN"",""JA"")"),"体格指数で正規化した最大排泄率")</f>
        <v>体格指数で正規化した最大排泄率</v>
      </c>
    </row>
    <row r="1652" ht="13.5" customHeight="1">
      <c r="A1652" s="1" t="s">
        <v>870</v>
      </c>
      <c r="B1652" s="1" t="s">
        <v>8324</v>
      </c>
      <c r="C1652" s="1" t="s">
        <v>8325</v>
      </c>
      <c r="D1652" s="1" t="s">
        <v>8326</v>
      </c>
      <c r="E1652" s="1" t="s">
        <v>8326</v>
      </c>
      <c r="F1652" s="1" t="s">
        <v>8327</v>
      </c>
      <c r="G1652" s="1" t="s">
        <v>8328</v>
      </c>
      <c r="H1652" s="1" t="str">
        <f>IFERROR(__xludf.DUMMYFUNCTION("GOOGLETRANSLATE(D1652,""EN"",""JA"")"),"投与量による最大排泄率の基準")</f>
        <v>投与量による最大排泄率の基準</v>
      </c>
      <c r="I1652" s="1" t="str">
        <f>IFERROR(__xludf.DUMMYFUNCTION("GOOGLETRANSLATE(E1652,""EN"",""JA"")"),"投与量による最大排泄率の基準")</f>
        <v>投与量による最大排泄率の基準</v>
      </c>
      <c r="J1652" s="1" t="str">
        <f>IFERROR(__xludf.DUMMYFUNCTION("GOOGLETRANSLATE(F1652,""EN"",""JA"")"),"最大排泄率を投与量で割ったもの。")</f>
        <v>最大排泄率を投与量で割ったもの。</v>
      </c>
      <c r="K1652" s="1" t="str">
        <f>IFERROR(__xludf.DUMMYFUNCTION("GOOGLETRANSLATE(G1652,""EN"",""JA"")"),"投与量で正規化した最大排泄率")</f>
        <v>投与量で正規化した最大排泄率</v>
      </c>
    </row>
    <row r="1653" ht="13.5" customHeight="1">
      <c r="A1653" s="1" t="s">
        <v>870</v>
      </c>
      <c r="B1653" s="1" t="s">
        <v>8329</v>
      </c>
      <c r="C1653" s="1" t="s">
        <v>8330</v>
      </c>
      <c r="D1653" s="1" t="s">
        <v>8331</v>
      </c>
      <c r="E1653" s="1" t="s">
        <v>8331</v>
      </c>
      <c r="F1653" s="1" t="s">
        <v>8332</v>
      </c>
      <c r="G1653" s="1" t="s">
        <v>8333</v>
      </c>
      <c r="H1653" s="1" t="str">
        <f>IFERROR(__xludf.DUMMYFUNCTION("GOOGLETRANSLATE(D1653,""EN"",""JA"")"),"SAによる最大排泄率基準")</f>
        <v>SAによる最大排泄率基準</v>
      </c>
      <c r="I1653" s="1" t="str">
        <f>IFERROR(__xludf.DUMMYFUNCTION("GOOGLETRANSLATE(E1653,""EN"",""JA"")"),"SAによる最大排泄率基準")</f>
        <v>SAによる最大排泄率基準</v>
      </c>
      <c r="J1653" s="1" t="str">
        <f>IFERROR(__xludf.DUMMYFUNCTION("GOOGLETRANSLATE(F1653,""EN"",""JA"")"),"最大排泄率を表面積で割ったもの。")</f>
        <v>最大排泄率を表面積で割ったもの。</v>
      </c>
      <c r="K1653" s="1" t="str">
        <f>IFERROR(__xludf.DUMMYFUNCTION("GOOGLETRANSLATE(G1653,""EN"",""JA"")"),"表面積で正規化した最大排泄率")</f>
        <v>表面積で正規化した最大排泄率</v>
      </c>
    </row>
    <row r="1654" ht="13.5" customHeight="1">
      <c r="A1654" s="1" t="s">
        <v>870</v>
      </c>
      <c r="B1654" s="1" t="s">
        <v>8334</v>
      </c>
      <c r="C1654" s="1" t="s">
        <v>8335</v>
      </c>
      <c r="D1654" s="1" t="s">
        <v>8336</v>
      </c>
      <c r="E1654" s="1" t="s">
        <v>8336</v>
      </c>
      <c r="F1654" s="1" t="s">
        <v>8337</v>
      </c>
      <c r="G1654" s="1" t="s">
        <v>8338</v>
      </c>
      <c r="H1654" s="1" t="str">
        <f>IFERROR(__xludf.DUMMYFUNCTION("GOOGLETRANSLATE(D1654,""EN"",""JA"")"),"体重別の最大排泄率基準")</f>
        <v>体重別の最大排泄率基準</v>
      </c>
      <c r="I1654" s="1" t="str">
        <f>IFERROR(__xludf.DUMMYFUNCTION("GOOGLETRANSLATE(E1654,""EN"",""JA"")"),"体重別の最大排泄率基準")</f>
        <v>体重別の最大排泄率基準</v>
      </c>
      <c r="J1654" s="1" t="str">
        <f>IFERROR(__xludf.DUMMYFUNCTION("GOOGLETRANSLATE(F1654,""EN"",""JA"")"),"最大排泄率を体重で割ったもの。")</f>
        <v>最大排泄率を体重で割ったもの。</v>
      </c>
      <c r="K1654" s="1" t="str">
        <f>IFERROR(__xludf.DUMMYFUNCTION("GOOGLETRANSLATE(G1654,""EN"",""JA"")"),"体重で正規化した最大排泄率")</f>
        <v>体重で正規化した最大排泄率</v>
      </c>
    </row>
    <row r="1655" ht="13.5" customHeight="1">
      <c r="A1655" s="1" t="s">
        <v>134</v>
      </c>
      <c r="B1655" s="1" t="s">
        <v>8339</v>
      </c>
      <c r="C1655" s="1" t="s">
        <v>8340</v>
      </c>
      <c r="D1655" s="1" t="s">
        <v>8341</v>
      </c>
      <c r="E1655" s="1" t="s">
        <v>8341</v>
      </c>
      <c r="F1655" s="1" t="s">
        <v>8342</v>
      </c>
      <c r="G1655" s="1" t="s">
        <v>8343</v>
      </c>
      <c r="H1655" s="1" t="str">
        <f>IFERROR(__xludf.DUMMYFUNCTION("GOOGLETRANSLATE(D1655,""EN"",""JA"")"),"びらんおよび/または潰瘍")</f>
        <v>びらんおよび/または潰瘍</v>
      </c>
      <c r="I1655" s="1" t="str">
        <f>IFERROR(__xludf.DUMMYFUNCTION("GOOGLETRANSLATE(E1655,""EN"",""JA"")"),"びらんおよび/または潰瘍")</f>
        <v>びらんおよび/または潰瘍</v>
      </c>
      <c r="J1655" s="1" t="str">
        <f>IFERROR(__xludf.DUMMYFUNCTION("GOOGLETRANSLATE(F1655,""EN"",""JA"")"),"生物標本におけるびらんおよび/または潰瘍の評価。")</f>
        <v>生物標本におけるびらんおよび/または潰瘍の評価。</v>
      </c>
      <c r="K1655" s="1" t="str">
        <f>IFERROR(__xludf.DUMMYFUNCTION("GOOGLETRANSLATE(G1655,""EN"",""JA"")"),"びらんおよび/または潰瘍の評価")</f>
        <v>びらんおよび/または潰瘍の評価</v>
      </c>
    </row>
    <row r="1656" ht="13.5" customHeight="1">
      <c r="A1656" s="1" t="s">
        <v>11</v>
      </c>
      <c r="B1656" s="1" t="s">
        <v>8344</v>
      </c>
      <c r="C1656" s="1" t="s">
        <v>8345</v>
      </c>
      <c r="D1656" s="1" t="s">
        <v>8346</v>
      </c>
      <c r="E1656" s="1" t="s">
        <v>8347</v>
      </c>
      <c r="F1656" s="1" t="s">
        <v>8348</v>
      </c>
      <c r="G1656" s="1" t="s">
        <v>8349</v>
      </c>
      <c r="H1656" s="1" t="str">
        <f>IFERROR(__xludf.DUMMYFUNCTION("GOOGLETRANSLATE(D1656,""EN"",""JA"")"),"赤血球前駆細胞")</f>
        <v>赤血球前駆細胞</v>
      </c>
      <c r="I1656" s="1" t="str">
        <f>IFERROR(__xludf.DUMMYFUNCTION("GOOGLETRANSLATE(E1656,""EN"",""JA"")"),"赤血球前駆細胞; 赤血球前駆細胞")</f>
        <v>赤血球前駆細胞; 赤血球前駆細胞</v>
      </c>
      <c r="J1656" s="1" t="str">
        <f>IFERROR(__xludf.DUMMYFUNCTION("GOOGLETRANSLATE(F1656,""EN"",""JA"")"),"生物標本中の赤血球前駆細胞の測定。")</f>
        <v>生物標本中の赤血球前駆細胞の測定。</v>
      </c>
      <c r="K1656" s="1" t="str">
        <f>IFERROR(__xludf.DUMMYFUNCTION("GOOGLETRANSLATE(G1656,""EN"",""JA"")"),"赤血球前駆細胞数")</f>
        <v>赤血球前駆細胞数</v>
      </c>
    </row>
    <row r="1657" ht="13.5" customHeight="1">
      <c r="A1657" s="1" t="s">
        <v>134</v>
      </c>
      <c r="B1657" s="1" t="s">
        <v>8350</v>
      </c>
      <c r="C1657" s="1" t="s">
        <v>8351</v>
      </c>
      <c r="D1657" s="1" t="s">
        <v>8352</v>
      </c>
      <c r="E1657" s="1" t="s">
        <v>8353</v>
      </c>
      <c r="F1657" s="1" t="s">
        <v>8354</v>
      </c>
      <c r="G1657" s="1" t="s">
        <v>8355</v>
      </c>
      <c r="H1657" s="1" t="str">
        <f>IFERROR(__xludf.DUMMYFUNCTION("GOOGLETRANSLATE(D1657,""EN"",""JA"")"),"赤血球前駆細胞／総細胞")</f>
        <v>赤血球前駆細胞／総細胞</v>
      </c>
      <c r="I1657" s="1" t="str">
        <f>IFERROR(__xludf.DUMMYFUNCTION("GOOGLETRANSLATE(E1657,""EN"",""JA"")"),"赤血球前駆細胞/総細胞; 赤血球前駆細胞/総細胞")</f>
        <v>赤血球前駆細胞/総細胞; 赤血球前駆細胞/総細胞</v>
      </c>
      <c r="J1657" s="1" t="str">
        <f>IFERROR(__xludf.DUMMYFUNCTION("GOOGLETRANSLATE(F1657,""EN"",""JA"")"),"生物標本中の全細胞に対する赤血球前駆細胞の相対的な測定値（比率またはパーセンテージ）。")</f>
        <v>生物標本中の全細胞に対する赤血球前駆細胞の相対的な測定値（比率またはパーセンテージ）。</v>
      </c>
      <c r="K1657" s="1" t="str">
        <f>IFERROR(__xludf.DUMMYFUNCTION("GOOGLETRANSLATE(G1657,""EN"",""JA"")"),"赤血球前駆細胞と全細胞数の比率測定")</f>
        <v>赤血球前駆細胞と全細胞数の比率測定</v>
      </c>
    </row>
    <row r="1658" ht="13.5" customHeight="1">
      <c r="A1658" s="1" t="s">
        <v>11</v>
      </c>
      <c r="B1658" s="1" t="s">
        <v>8350</v>
      </c>
      <c r="C1658" s="1" t="s">
        <v>8351</v>
      </c>
      <c r="D1658" s="1" t="s">
        <v>8352</v>
      </c>
      <c r="E1658" s="1" t="s">
        <v>8353</v>
      </c>
      <c r="F1658" s="1" t="s">
        <v>8354</v>
      </c>
      <c r="G1658" s="1" t="s">
        <v>8355</v>
      </c>
      <c r="H1658" s="1" t="str">
        <f>IFERROR(__xludf.DUMMYFUNCTION("GOOGLETRANSLATE(D1658,""EN"",""JA"")"),"赤血球前駆細胞／総細胞")</f>
        <v>赤血球前駆細胞／総細胞</v>
      </c>
      <c r="I1658" s="1" t="str">
        <f>IFERROR(__xludf.DUMMYFUNCTION("GOOGLETRANSLATE(E1658,""EN"",""JA"")"),"赤血球前駆細胞/総細胞; 赤血球前駆細胞/総細胞")</f>
        <v>赤血球前駆細胞/総細胞; 赤血球前駆細胞/総細胞</v>
      </c>
      <c r="J1658" s="1" t="str">
        <f>IFERROR(__xludf.DUMMYFUNCTION("GOOGLETRANSLATE(F1658,""EN"",""JA"")"),"生物標本中の全細胞に対する赤血球前駆細胞の相対的な測定値（比率またはパーセンテージ）。")</f>
        <v>生物標本中の全細胞に対する赤血球前駆細胞の相対的な測定値（比率またはパーセンテージ）。</v>
      </c>
      <c r="K1658" s="1" t="str">
        <f>IFERROR(__xludf.DUMMYFUNCTION("GOOGLETRANSLATE(G1658,""EN"",""JA"")"),"赤血球前駆細胞と全細胞数の比率測定")</f>
        <v>赤血球前駆細胞と全細胞数の比率測定</v>
      </c>
    </row>
    <row r="1659" ht="13.5" customHeight="1">
      <c r="A1659" s="1" t="s">
        <v>870</v>
      </c>
      <c r="B1659" s="1" t="s">
        <v>8356</v>
      </c>
      <c r="C1659" s="1" t="s">
        <v>8357</v>
      </c>
      <c r="D1659" s="1" t="s">
        <v>8358</v>
      </c>
      <c r="E1659" s="1" t="s">
        <v>8358</v>
      </c>
      <c r="F1659" s="1" t="s">
        <v>8359</v>
      </c>
      <c r="G1659" s="1" t="s">
        <v>8360</v>
      </c>
      <c r="H1659" s="1" t="str">
        <f>IFERROR(__xludf.DUMMYFUNCTION("GOOGLETRANSLATE(D1659,""EN"",""JA"")"),"最後の非ゼロ ER の区間の中点")</f>
        <v>最後の非ゼロ ER の区間の中点</v>
      </c>
      <c r="I1659" s="1" t="str">
        <f>IFERROR(__xludf.DUMMYFUNCTION("GOOGLETRANSLATE(E1659,""EN"",""JA"")"),"最後の非ゼロ ER の区間の中点")</f>
        <v>最後の非ゼロ ER の区間の中点</v>
      </c>
      <c r="J1659" s="1" t="str">
        <f>IFERROR(__xludf.DUMMYFUNCTION("GOOGLETRANSLATE(F1659,""EN"",""JA"")"),"最後に測定された排泄率に関連する収集間隔の中間点。")</f>
        <v>最後に測定された排泄率に関連する収集間隔の中間点。</v>
      </c>
      <c r="K1659" s="1" t="str">
        <f>IFERROR(__xludf.DUMMYFUNCTION("GOOGLETRANSLATE(G1659,""EN"",""JA"")"),"収集間隔の中間点")</f>
        <v>収集間隔の中間点</v>
      </c>
    </row>
    <row r="1660" ht="13.5" customHeight="1">
      <c r="A1660" s="1" t="s">
        <v>870</v>
      </c>
      <c r="B1660" s="1" t="s">
        <v>8361</v>
      </c>
      <c r="C1660" s="1" t="s">
        <v>8362</v>
      </c>
      <c r="D1660" s="1" t="s">
        <v>8363</v>
      </c>
      <c r="E1660" s="1" t="s">
        <v>8363</v>
      </c>
      <c r="F1660" s="1" t="s">
        <v>8364</v>
      </c>
      <c r="G1660" s="1" t="s">
        <v>8365</v>
      </c>
      <c r="H1660" s="1" t="str">
        <f>IFERROR(__xludf.DUMMYFUNCTION("GOOGLETRANSLATE(D1660,""EN"",""JA"")"),"最大ERの間隔の中点")</f>
        <v>最大ERの間隔の中点</v>
      </c>
      <c r="I1660" s="1" t="str">
        <f>IFERROR(__xludf.DUMMYFUNCTION("GOOGLETRANSLATE(E1660,""EN"",""JA"")"),"最大ERの間隔の中点")</f>
        <v>最大ERの間隔の中点</v>
      </c>
      <c r="J1660" s="1" t="str">
        <f>IFERROR(__xludf.DUMMYFUNCTION("GOOGLETRANSLATE(F1660,""EN"",""JA"")"),"最大排泄率に関連する収集間隔の中間点。")</f>
        <v>最大排泄率に関連する収集間隔の中間点。</v>
      </c>
      <c r="K1660" s="1" t="str">
        <f>IFERROR(__xludf.DUMMYFUNCTION("GOOGLETRANSLATE(G1660,""EN"",""JA"")"),"排泄率が最大となった時間")</f>
        <v>排泄率が最大となった時間</v>
      </c>
    </row>
    <row r="1661" ht="13.5" customHeight="1">
      <c r="A1661" s="1" t="s">
        <v>580</v>
      </c>
      <c r="B1661" s="1" t="s">
        <v>8366</v>
      </c>
      <c r="C1661" s="1" t="s">
        <v>8367</v>
      </c>
      <c r="D1661" s="1" t="s">
        <v>8368</v>
      </c>
      <c r="E1661" s="1" t="s">
        <v>8368</v>
      </c>
      <c r="F1661" s="1" t="s">
        <v>8369</v>
      </c>
      <c r="G1661" s="1" t="s">
        <v>8368</v>
      </c>
      <c r="H1661" s="1" t="str">
        <f>IFERROR(__xludf.DUMMYFUNCTION("GOOGLETRANSLATE(D1661,""EN"",""JA"")"),"呼気予備量")</f>
        <v>呼気予備量</v>
      </c>
      <c r="I1661" s="1" t="str">
        <f>IFERROR(__xludf.DUMMYFUNCTION("GOOGLETRANSLATE(E1661,""EN"",""JA"")"),"呼気予備量")</f>
        <v>呼気予備量</v>
      </c>
      <c r="J1661" s="1" t="str">
        <f>IFERROR(__xludf.DUMMYFUNCTION("GOOGLETRANSLATE(F1661,""EN"",""JA"")"),"潮汐呼気後に被験者が肺から吐き出すことができる空気の最大量。")</f>
        <v>潮汐呼気後に被験者が肺から吐き出すことができる空気の最大量。</v>
      </c>
      <c r="K1661" s="1" t="str">
        <f>IFERROR(__xludf.DUMMYFUNCTION("GOOGLETRANSLATE(G1661,""EN"",""JA"")"),"呼気予備量")</f>
        <v>呼気予備量</v>
      </c>
    </row>
    <row r="1662" ht="13.5" customHeight="1">
      <c r="A1662" s="1" t="s">
        <v>580</v>
      </c>
      <c r="B1662" s="1" t="s">
        <v>8370</v>
      </c>
      <c r="C1662" s="1" t="s">
        <v>8371</v>
      </c>
      <c r="D1662" s="1" t="s">
        <v>8372</v>
      </c>
      <c r="E1662" s="1" t="s">
        <v>8372</v>
      </c>
      <c r="F1662" s="1" t="s">
        <v>8373</v>
      </c>
      <c r="G1662" s="1" t="s">
        <v>8374</v>
      </c>
      <c r="H1662" s="1" t="str">
        <f>IFERROR(__xludf.DUMMYFUNCTION("GOOGLETRANSLATE(D1662,""EN"",""JA"")"),"予測ERVの割合")</f>
        <v>予測ERVの割合</v>
      </c>
      <c r="I1662" s="1" t="str">
        <f>IFERROR(__xludf.DUMMYFUNCTION("GOOGLETRANSLATE(E1662,""EN"",""JA"")"),"予測ERVの割合")</f>
        <v>予測ERVの割合</v>
      </c>
      <c r="J1662" s="1" t="str">
        <f>IFERROR(__xludf.DUMMYFUNCTION("GOOGLETRANSLATE(F1662,""EN"",""JA"")"),"予測される正常値の割合として、潮汐呼気後に被験者が肺から吐き出すことができる空気の最大量。")</f>
        <v>予測される正常値の割合として、潮汐呼気後に被験者が肺から吐き出すことができる空気の最大量。</v>
      </c>
      <c r="K1662" s="1" t="str">
        <f>IFERROR(__xludf.DUMMYFUNCTION("GOOGLETRANSLATE(G1662,""EN"",""JA"")"),"予測呼気予備量の割合")</f>
        <v>予測呼気予備量の割合</v>
      </c>
    </row>
    <row r="1663" ht="13.5" customHeight="1">
      <c r="A1663" s="1" t="s">
        <v>160</v>
      </c>
      <c r="B1663" s="1" t="s">
        <v>8375</v>
      </c>
      <c r="C1663" s="1" t="s">
        <v>8376</v>
      </c>
      <c r="D1663" s="1" t="s">
        <v>8377</v>
      </c>
      <c r="E1663" s="1" t="s">
        <v>8378</v>
      </c>
      <c r="F1663" s="1" t="s">
        <v>8379</v>
      </c>
      <c r="G1663" s="1" t="s">
        <v>8377</v>
      </c>
      <c r="H1663" s="1" t="str">
        <f>IFERROR(__xludf.DUMMYFUNCTION("GOOGLETRANSLATE(D1663,""EN"",""JA"")"),"紅斑指標")</f>
        <v>紅斑指標</v>
      </c>
      <c r="I1663" s="1" t="str">
        <f>IFERROR(__xludf.DUMMYFUNCTION("GOOGLETRANSLATE(E1663,""EN"",""JA"")"),"紅斑指標; 赤み指標")</f>
        <v>紅斑指標; 赤み指標</v>
      </c>
      <c r="J1663" s="1" t="str">
        <f>IFERROR(__xludf.DUMMYFUNCTION("GOOGLETRANSLATE(F1663,""EN"",""JA"")"),"紅斑が存在するかどうかを示します。")</f>
        <v>紅斑が存在するかどうかを示します。</v>
      </c>
      <c r="K1663" s="1" t="str">
        <f>IFERROR(__xludf.DUMMYFUNCTION("GOOGLETRANSLATE(G1663,""EN"",""JA"")"),"紅斑指標")</f>
        <v>紅斑指標</v>
      </c>
    </row>
    <row r="1664" ht="13.5" customHeight="1">
      <c r="A1664" s="1" t="s">
        <v>11</v>
      </c>
      <c r="B1664" s="1" t="s">
        <v>8380</v>
      </c>
      <c r="C1664" s="1" t="s">
        <v>8381</v>
      </c>
      <c r="D1664" s="1" t="s">
        <v>8382</v>
      </c>
      <c r="E1664" s="1" t="s">
        <v>8382</v>
      </c>
      <c r="F1664" s="1" t="s">
        <v>8383</v>
      </c>
      <c r="G1664" s="1" t="s">
        <v>8384</v>
      </c>
      <c r="H1664" s="1" t="str">
        <f>IFERROR(__xludf.DUMMYFUNCTION("GOOGLETRANSLATE(D1664,""EN"",""JA"")"),"エスシタロプラム")</f>
        <v>エスシタロプラム</v>
      </c>
      <c r="I1664" s="1" t="str">
        <f>IFERROR(__xludf.DUMMYFUNCTION("GOOGLETRANSLATE(E1664,""EN"",""JA"")"),"エスシタロプラム")</f>
        <v>エスシタロプラム</v>
      </c>
      <c r="J1664" s="1" t="str">
        <f>IFERROR(__xludf.DUMMYFUNCTION("GOOGLETRANSLATE(F1664,""EN"",""JA"")"),"生物標本中のエスシタロプラムの測定。")</f>
        <v>生物標本中のエスシタロプラムの測定。</v>
      </c>
      <c r="K1664" s="1" t="str">
        <f>IFERROR(__xludf.DUMMYFUNCTION("GOOGLETRANSLATE(G1664,""EN"",""JA"")"),"エスシタロプラム測定")</f>
        <v>エスシタロプラム測定</v>
      </c>
    </row>
    <row r="1665" ht="13.5" customHeight="1">
      <c r="A1665" s="1" t="s">
        <v>11</v>
      </c>
      <c r="B1665" s="1" t="s">
        <v>8385</v>
      </c>
      <c r="C1665" s="1" t="s">
        <v>8386</v>
      </c>
      <c r="D1665" s="1" t="s">
        <v>8387</v>
      </c>
      <c r="E1665" s="1" t="s">
        <v>8387</v>
      </c>
      <c r="F1665" s="1" t="s">
        <v>8388</v>
      </c>
      <c r="G1665" s="1" t="s">
        <v>8389</v>
      </c>
      <c r="H1665" s="1" t="str">
        <f>IFERROR(__xludf.DUMMYFUNCTION("GOOGLETRANSLATE(D1665,""EN"",""JA"")"),"E-セレクチン")</f>
        <v>E-セレクチン</v>
      </c>
      <c r="I1665" s="1" t="str">
        <f>IFERROR(__xludf.DUMMYFUNCTION("GOOGLETRANSLATE(E1665,""EN"",""JA"")"),"E-セレクチン")</f>
        <v>E-セレクチン</v>
      </c>
      <c r="J1665" s="1" t="str">
        <f>IFERROR(__xludf.DUMMYFUNCTION("GOOGLETRANSLATE(F1665,""EN"",""JA"")"),"生物学的標本中の総 E-セレクチンの測定。")</f>
        <v>生物学的標本中の総 E-セレクチンの測定。</v>
      </c>
      <c r="K1665" s="1" t="str">
        <f>IFERROR(__xludf.DUMMYFUNCTION("GOOGLETRANSLATE(G1665,""EN"",""JA"")"),"E-セレクチン測定")</f>
        <v>E-セレクチン測定</v>
      </c>
    </row>
    <row r="1666" ht="13.5" customHeight="1">
      <c r="A1666" s="1" t="s">
        <v>11</v>
      </c>
      <c r="B1666" s="1" t="s">
        <v>8390</v>
      </c>
      <c r="C1666" s="1" t="s">
        <v>8391</v>
      </c>
      <c r="D1666" s="1" t="s">
        <v>8392</v>
      </c>
      <c r="E1666" s="1" t="s">
        <v>8393</v>
      </c>
      <c r="F1666" s="1" t="s">
        <v>8394</v>
      </c>
      <c r="G1666" s="1" t="s">
        <v>8395</v>
      </c>
      <c r="H1666" s="1" t="str">
        <f>IFERROR(__xludf.DUMMYFUNCTION("GOOGLETRANSLATE(D1666,""EN"",""JA"")"),"可溶性E-セレクチン")</f>
        <v>可溶性E-セレクチン</v>
      </c>
      <c r="I1666" s="1" t="str">
        <f>IFERROR(__xludf.DUMMYFUNCTION("GOOGLETRANSLATE(E1666,""EN"",""JA"")"),"sE-セレクチン; 可溶性E-セレクチン")</f>
        <v>sE-セレクチン; 可溶性E-セレクチン</v>
      </c>
      <c r="J1666" s="1" t="str">
        <f>IFERROR(__xludf.DUMMYFUNCTION("GOOGLETRANSLATE(F1666,""EN"",""JA"")"),"生物標本中の可溶性 E-セレクチンの測定。")</f>
        <v>生物標本中の可溶性 E-セレクチンの測定。</v>
      </c>
      <c r="K1666" s="1" t="str">
        <f>IFERROR(__xludf.DUMMYFUNCTION("GOOGLETRANSLATE(G1666,""EN"",""JA"")"),"可溶性E-セレクチン測定")</f>
        <v>可溶性E-セレクチン測定</v>
      </c>
    </row>
    <row r="1667" ht="13.5" customHeight="1">
      <c r="A1667" s="1" t="s">
        <v>11</v>
      </c>
      <c r="B1667" s="1" t="s">
        <v>8396</v>
      </c>
      <c r="C1667" s="1" t="s">
        <v>8397</v>
      </c>
      <c r="D1667" s="1" t="s">
        <v>8398</v>
      </c>
      <c r="E1667" s="1" t="s">
        <v>8399</v>
      </c>
      <c r="F1667" s="1" t="s">
        <v>8400</v>
      </c>
      <c r="G1667" s="1" t="s">
        <v>8401</v>
      </c>
      <c r="H1667" s="1" t="str">
        <f>IFERROR(__xludf.DUMMYFUNCTION("GOOGLETRANSLATE(D1667,""EN"",""JA"")"),"赤血球沈降速度")</f>
        <v>赤血球沈降速度</v>
      </c>
      <c r="I1667" s="1" t="str">
        <f>IFERROR(__xludf.DUMMYFUNCTION("GOOGLETRANSLATE(E1667,""EN"",""JA"")"),"ビエルナッキ反応; 赤血球沈降速度")</f>
        <v>ビエルナッキ反応; 赤血球沈降速度</v>
      </c>
      <c r="J1667" s="1" t="str">
        <f>IFERROR(__xludf.DUMMYFUNCTION("GOOGLETRANSLATE(F1667,""EN"",""JA"")"),"指定された時間単位（例：1 時間）内に、赤血球が凝固していない血液中に沈着する距離（例：ミリメートル）。")</f>
        <v>指定された時間単位（例：1 時間）内に、赤血球が凝固していない血液中に沈着する距離（例：ミリメートル）。</v>
      </c>
      <c r="K1667" s="1" t="str">
        <f>IFERROR(__xludf.DUMMYFUNCTION("GOOGLETRANSLATE(G1667,""EN"",""JA"")"),"赤血球沈降速度測定")</f>
        <v>赤血球沈降速度測定</v>
      </c>
    </row>
    <row r="1668" ht="13.5" customHeight="1">
      <c r="A1668" s="1" t="s">
        <v>11</v>
      </c>
      <c r="B1668" s="1" t="s">
        <v>8402</v>
      </c>
      <c r="C1668" s="1" t="s">
        <v>8403</v>
      </c>
      <c r="D1668" s="1" t="s">
        <v>8404</v>
      </c>
      <c r="E1668" s="1" t="s">
        <v>8404</v>
      </c>
      <c r="F1668" s="1" t="s">
        <v>8405</v>
      </c>
      <c r="G1668" s="1" t="s">
        <v>8406</v>
      </c>
      <c r="H1668" s="1" t="str">
        <f>IFERROR(__xludf.DUMMYFUNCTION("GOOGLETRANSLATE(D1668,""EN"",""JA"")"),"エスタゾラム")</f>
        <v>エスタゾラム</v>
      </c>
      <c r="I1668" s="1" t="str">
        <f>IFERROR(__xludf.DUMMYFUNCTION("GOOGLETRANSLATE(E1668,""EN"",""JA"")"),"エスタゾラム")</f>
        <v>エスタゾラム</v>
      </c>
      <c r="J1668" s="1" t="str">
        <f>IFERROR(__xludf.DUMMYFUNCTION("GOOGLETRANSLATE(F1668,""EN"",""JA"")"),"生物標本中のエスタゾラムの測定。")</f>
        <v>生物標本中のエスタゾラムの測定。</v>
      </c>
      <c r="K1668" s="1" t="str">
        <f>IFERROR(__xludf.DUMMYFUNCTION("GOOGLETRANSLATE(G1668,""EN"",""JA"")"),"エスタゾラム測定")</f>
        <v>エスタゾラム測定</v>
      </c>
    </row>
    <row r="1669" ht="13.5" customHeight="1">
      <c r="A1669" s="1" t="s">
        <v>11</v>
      </c>
      <c r="B1669" s="1" t="s">
        <v>8407</v>
      </c>
      <c r="C1669" s="1" t="s">
        <v>8408</v>
      </c>
      <c r="D1669" s="1" t="s">
        <v>8409</v>
      </c>
      <c r="E1669" s="1" t="s">
        <v>8409</v>
      </c>
      <c r="F1669" s="1" t="s">
        <v>8410</v>
      </c>
      <c r="G1669" s="1" t="s">
        <v>8411</v>
      </c>
      <c r="H1669" s="1" t="str">
        <f>IFERROR(__xludf.DUMMYFUNCTION("GOOGLETRANSLATE(D1669,""EN"",""JA"")"),"エストラジオール、フリー")</f>
        <v>エストラジオール、フリー</v>
      </c>
      <c r="I1669" s="1" t="str">
        <f>IFERROR(__xludf.DUMMYFUNCTION("GOOGLETRANSLATE(E1669,""EN"",""JA"")"),"エストラジオール、フリー")</f>
        <v>エストラジオール、フリー</v>
      </c>
      <c r="J1669" s="1" t="str">
        <f>IFERROR(__xludf.DUMMYFUNCTION("GOOGLETRANSLATE(F1669,""EN"",""JA"")"),"生物学的標本中の非結合エストラジオールの測定。")</f>
        <v>生物学的標本中の非結合エストラジオールの測定。</v>
      </c>
      <c r="K1669" s="1" t="str">
        <f>IFERROR(__xludf.DUMMYFUNCTION("GOOGLETRANSLATE(G1669,""EN"",""JA"")"),"遊離エストラジオール測定")</f>
        <v>遊離エストラジオール測定</v>
      </c>
    </row>
    <row r="1670" ht="13.5" customHeight="1">
      <c r="A1670" s="1" t="s">
        <v>11</v>
      </c>
      <c r="B1670" s="1" t="s">
        <v>8412</v>
      </c>
      <c r="C1670" s="1" t="s">
        <v>8413</v>
      </c>
      <c r="D1670" s="1" t="s">
        <v>8414</v>
      </c>
      <c r="E1670" s="1" t="s">
        <v>8414</v>
      </c>
      <c r="F1670" s="1" t="s">
        <v>8415</v>
      </c>
      <c r="G1670" s="1" t="s">
        <v>8416</v>
      </c>
      <c r="H1670" s="1" t="str">
        <f>IFERROR(__xludf.DUMMYFUNCTION("GOOGLETRANSLATE(D1670,""EN"",""JA"")"),"エストラジオール、遊離/エストラジオール")</f>
        <v>エストラジオール、遊離/エストラジオール</v>
      </c>
      <c r="I1670" s="1" t="str">
        <f>IFERROR(__xludf.DUMMYFUNCTION("GOOGLETRANSLATE(E1670,""EN"",""JA"")"),"エストラジオール、遊離/エストラジオール")</f>
        <v>エストラジオール、遊離/エストラジオール</v>
      </c>
      <c r="J1670" s="1" t="str">
        <f>IFERROR(__xludf.DUMMYFUNCTION("GOOGLETRANSLATE(F1670,""EN"",""JA"")"),"生物学的標本中の総エストラジオールに対する非結合エストラジオールの相対的な測定値（比率またはパーセンテージ）。")</f>
        <v>生物学的標本中の総エストラジオールに対する非結合エストラジオールの相対的な測定値（比率またはパーセンテージ）。</v>
      </c>
      <c r="K1670" s="1" t="str">
        <f>IFERROR(__xludf.DUMMYFUNCTION("GOOGLETRANSLATE(G1670,""EN"",""JA"")"),"遊離エストラジオールとエストラジオールの比率測定")</f>
        <v>遊離エストラジオールとエストラジオールの比率測定</v>
      </c>
    </row>
    <row r="1671" ht="13.5" customHeight="1">
      <c r="A1671" s="1" t="s">
        <v>134</v>
      </c>
      <c r="B1671" s="1" t="s">
        <v>8417</v>
      </c>
      <c r="C1671" s="1" t="s">
        <v>8418</v>
      </c>
      <c r="D1671" s="1" t="s">
        <v>8419</v>
      </c>
      <c r="E1671" s="1" t="s">
        <v>8420</v>
      </c>
      <c r="F1671" s="1" t="s">
        <v>8421</v>
      </c>
      <c r="G1671" s="1" t="s">
        <v>8422</v>
      </c>
      <c r="H1671" s="1" t="str">
        <f>IFERROR(__xludf.DUMMYFUNCTION("GOOGLETRANSLATE(D1671,""EN"",""JA"")"),"エストロゲン受容体")</f>
        <v>エストロゲン受容体</v>
      </c>
      <c r="I1671" s="1" t="str">
        <f>IFERROR(__xludf.DUMMYFUNCTION("GOOGLETRANSLATE(E1671,""EN"",""JA"")"),"ER; ESR;エストロゲン受容体;エストロゲン受容体")</f>
        <v>ER; ESR;エストロゲン受容体;エストロゲン受容体</v>
      </c>
      <c r="J1671" s="1" t="str">
        <f>IFERROR(__xludf.DUMMYFUNCTION("GOOGLETRANSLATE(F1671,""EN"",""JA"")"),"生物標本中のエストロゲン受容体タンパク質の測定。")</f>
        <v>生物標本中のエストロゲン受容体タンパク質の測定。</v>
      </c>
      <c r="K1671" s="1" t="str">
        <f>IFERROR(__xludf.DUMMYFUNCTION("GOOGLETRANSLATE(G1671,""EN"",""JA"")"),"エストロゲン受容体測定")</f>
        <v>エストロゲン受容体測定</v>
      </c>
    </row>
    <row r="1672" ht="13.5" customHeight="1">
      <c r="A1672" s="1" t="s">
        <v>11</v>
      </c>
      <c r="B1672" s="1" t="s">
        <v>8417</v>
      </c>
      <c r="C1672" s="1" t="s">
        <v>8418</v>
      </c>
      <c r="D1672" s="1" t="s">
        <v>8419</v>
      </c>
      <c r="E1672" s="1" t="s">
        <v>8420</v>
      </c>
      <c r="F1672" s="1" t="s">
        <v>8421</v>
      </c>
      <c r="G1672" s="1" t="s">
        <v>8422</v>
      </c>
      <c r="H1672" s="1" t="str">
        <f>IFERROR(__xludf.DUMMYFUNCTION("GOOGLETRANSLATE(D1672,""EN"",""JA"")"),"エストロゲン受容体")</f>
        <v>エストロゲン受容体</v>
      </c>
      <c r="I1672" s="1" t="str">
        <f>IFERROR(__xludf.DUMMYFUNCTION("GOOGLETRANSLATE(E1672,""EN"",""JA"")"),"ER; ESR;エストロゲン受容体;エストロゲン受容体")</f>
        <v>ER; ESR;エストロゲン受容体;エストロゲン受容体</v>
      </c>
      <c r="J1672" s="1" t="str">
        <f>IFERROR(__xludf.DUMMYFUNCTION("GOOGLETRANSLATE(F1672,""EN"",""JA"")"),"生物標本中のエストロゲン受容体タンパク質の測定。")</f>
        <v>生物標本中のエストロゲン受容体タンパク質の測定。</v>
      </c>
      <c r="K1672" s="1" t="str">
        <f>IFERROR(__xludf.DUMMYFUNCTION("GOOGLETRANSLATE(G1672,""EN"",""JA"")"),"エストロゲン受容体測定")</f>
        <v>エストロゲン受容体測定</v>
      </c>
    </row>
    <row r="1673" ht="13.5" customHeight="1">
      <c r="A1673" s="1" t="s">
        <v>11</v>
      </c>
      <c r="B1673" s="1" t="s">
        <v>8423</v>
      </c>
      <c r="C1673" s="1" t="s">
        <v>8424</v>
      </c>
      <c r="D1673" s="1" t="s">
        <v>8425</v>
      </c>
      <c r="E1673" s="1" t="s">
        <v>8426</v>
      </c>
      <c r="F1673" s="1" t="s">
        <v>8427</v>
      </c>
      <c r="G1673" s="1" t="s">
        <v>8428</v>
      </c>
      <c r="H1673" s="1" t="str">
        <f>IFERROR(__xludf.DUMMYFUNCTION("GOOGLETRANSLATE(D1673,""EN"",""JA"")"),"エストラジオール")</f>
        <v>エストラジオール</v>
      </c>
      <c r="I1673" s="1" t="str">
        <f>IFERROR(__xludf.DUMMYFUNCTION("GOOGLETRANSLATE(E1673,""EN"",""JA"")"),"エストラジオール")</f>
        <v>エストラジオール</v>
      </c>
      <c r="J1673" s="1" t="str">
        <f>IFERROR(__xludf.DUMMYFUNCTION("GOOGLETRANSLATE(F1673,""EN"",""JA"")"),"生物学的標本中のエストラジオールの測定。")</f>
        <v>生物学的標本中のエストラジオールの測定。</v>
      </c>
      <c r="K1673" s="1" t="str">
        <f>IFERROR(__xludf.DUMMYFUNCTION("GOOGLETRANSLATE(G1673,""EN"",""JA"")"),"エストラジオール測定")</f>
        <v>エストラジオール測定</v>
      </c>
    </row>
    <row r="1674" ht="13.5" customHeight="1">
      <c r="A1674" s="1" t="s">
        <v>11</v>
      </c>
      <c r="B1674" s="1" t="s">
        <v>8429</v>
      </c>
      <c r="C1674" s="1" t="s">
        <v>8430</v>
      </c>
      <c r="D1674" s="1" t="s">
        <v>8431</v>
      </c>
      <c r="E1674" s="1" t="s">
        <v>8432</v>
      </c>
      <c r="F1674" s="1" t="s">
        <v>8433</v>
      </c>
      <c r="G1674" s="1" t="s">
        <v>8434</v>
      </c>
      <c r="H1674" s="1" t="str">
        <f>IFERROR(__xludf.DUMMYFUNCTION("GOOGLETRANSLATE(D1674,""EN"",""JA"")"),"エストリオール")</f>
        <v>エストリオール</v>
      </c>
      <c r="I1674" s="1" t="str">
        <f>IFERROR(__xludf.DUMMYFUNCTION("GOOGLETRANSLATE(E1674,""EN"",""JA"")"),"エストリオール")</f>
        <v>エストリオール</v>
      </c>
      <c r="J1674" s="1" t="str">
        <f>IFERROR(__xludf.DUMMYFUNCTION("GOOGLETRANSLATE(F1674,""EN"",""JA"")"),"生物標本中のエストリオールホルモンの測定。")</f>
        <v>生物標本中のエストリオールホルモンの測定。</v>
      </c>
      <c r="K1674" s="1" t="str">
        <f>IFERROR(__xludf.DUMMYFUNCTION("GOOGLETRANSLATE(G1674,""EN"",""JA"")"),"エストリオール測定")</f>
        <v>エストリオール測定</v>
      </c>
    </row>
    <row r="1675" ht="13.5" customHeight="1">
      <c r="A1675" s="1" t="s">
        <v>11</v>
      </c>
      <c r="B1675" s="1" t="s">
        <v>8435</v>
      </c>
      <c r="C1675" s="1" t="s">
        <v>8436</v>
      </c>
      <c r="D1675" s="1" t="s">
        <v>8437</v>
      </c>
      <c r="E1675" s="1" t="s">
        <v>8438</v>
      </c>
      <c r="F1675" s="1" t="s">
        <v>8439</v>
      </c>
      <c r="G1675" s="1" t="s">
        <v>8440</v>
      </c>
      <c r="H1675" s="1" t="str">
        <f>IFERROR(__xludf.DUMMYFUNCTION("GOOGLETRANSLATE(D1675,""EN"",""JA"")"),"エストリオール、フリー")</f>
        <v>エストリオール、フリー</v>
      </c>
      <c r="I1675" s="1" t="str">
        <f>IFERROR(__xludf.DUMMYFUNCTION("GOOGLETRANSLATE(E1675,""EN"",""JA"")"),"遊離エストリオール；非抱合エストリオール")</f>
        <v>遊離エストリオール；非抱合エストリオール</v>
      </c>
      <c r="J1675" s="1" t="str">
        <f>IFERROR(__xludf.DUMMYFUNCTION("GOOGLETRANSLATE(F1675,""EN"",""JA"")"),"生物標本中の遊離エストリオールの測定。")</f>
        <v>生物標本中の遊離エストリオールの測定。</v>
      </c>
      <c r="K1675" s="1" t="str">
        <f>IFERROR(__xludf.DUMMYFUNCTION("GOOGLETRANSLATE(G1675,""EN"",""JA"")"),"遊離エストリオール測定")</f>
        <v>遊離エストリオール測定</v>
      </c>
    </row>
    <row r="1676" ht="13.5" customHeight="1">
      <c r="A1676" s="1" t="s">
        <v>11</v>
      </c>
      <c r="B1676" s="1" t="s">
        <v>8441</v>
      </c>
      <c r="C1676" s="1" t="s">
        <v>8442</v>
      </c>
      <c r="D1676" s="1" t="s">
        <v>8443</v>
      </c>
      <c r="E1676" s="1" t="s">
        <v>8444</v>
      </c>
      <c r="F1676" s="1" t="s">
        <v>8445</v>
      </c>
      <c r="G1676" s="1" t="s">
        <v>8446</v>
      </c>
      <c r="H1676" s="1" t="str">
        <f>IFERROR(__xludf.DUMMYFUNCTION("GOOGLETRANSLATE(D1676,""EN"",""JA"")"),"エストロゲン")</f>
        <v>エストロゲン</v>
      </c>
      <c r="I1676" s="1" t="str">
        <f>IFERROR(__xludf.DUMMYFUNCTION("GOOGLETRANSLATE(E1676,""EN"",""JA"")"),"エストロゲン")</f>
        <v>エストロゲン</v>
      </c>
      <c r="J1676" s="1" t="str">
        <f>IFERROR(__xludf.DUMMYFUNCTION("GOOGLETRANSLATE(F1676,""EN"",""JA"")"),"生物標本中のエストロゲンホルモンの測定。")</f>
        <v>生物標本中のエストロゲンホルモンの測定。</v>
      </c>
      <c r="K1676" s="1" t="str">
        <f>IFERROR(__xludf.DUMMYFUNCTION("GOOGLETRANSLATE(G1676,""EN"",""JA"")"),"エストロゲン測定")</f>
        <v>エストロゲン測定</v>
      </c>
    </row>
    <row r="1677" ht="13.5" customHeight="1">
      <c r="A1677" s="1" t="s">
        <v>11</v>
      </c>
      <c r="B1677" s="1" t="s">
        <v>8447</v>
      </c>
      <c r="C1677" s="1" t="s">
        <v>8448</v>
      </c>
      <c r="D1677" s="1" t="s">
        <v>8449</v>
      </c>
      <c r="E1677" s="1" t="s">
        <v>8450</v>
      </c>
      <c r="F1677" s="1" t="s">
        <v>8451</v>
      </c>
      <c r="G1677" s="1" t="s">
        <v>8452</v>
      </c>
      <c r="H1677" s="1" t="str">
        <f>IFERROR(__xludf.DUMMYFUNCTION("GOOGLETRANSLATE(D1677,""EN"",""JA"")"),"エストロン")</f>
        <v>エストロン</v>
      </c>
      <c r="I1677" s="1" t="str">
        <f>IFERROR(__xludf.DUMMYFUNCTION("GOOGLETRANSLATE(E1677,""EN"",""JA"")"),"エストロン; オエストロン")</f>
        <v>エストロン; オエストロン</v>
      </c>
      <c r="J1677" s="1" t="str">
        <f>IFERROR(__xludf.DUMMYFUNCTION("GOOGLETRANSLATE(F1677,""EN"",""JA"")"),"生物標本中のエストロンホルモンの測定。")</f>
        <v>生物標本中のエストロンホルモンの測定。</v>
      </c>
      <c r="K1677" s="1" t="str">
        <f>IFERROR(__xludf.DUMMYFUNCTION("GOOGLETRANSLATE(G1677,""EN"",""JA"")"),"エストロン測定")</f>
        <v>エストロン測定</v>
      </c>
    </row>
    <row r="1678" ht="13.5" customHeight="1">
      <c r="A1678" s="1" t="s">
        <v>90</v>
      </c>
      <c r="B1678" s="1" t="s">
        <v>8453</v>
      </c>
      <c r="C1678" s="1" t="s">
        <v>8454</v>
      </c>
      <c r="D1678" s="1" t="s">
        <v>8455</v>
      </c>
      <c r="E1678" s="1" t="s">
        <v>8456</v>
      </c>
      <c r="F1678" s="1" t="s">
        <v>8457</v>
      </c>
      <c r="G1678" s="1" t="s">
        <v>8455</v>
      </c>
      <c r="H1678" s="1" t="str">
        <f>IFERROR(__xludf.DUMMYFUNCTION("GOOGLETRANSLATE(D1678,""EN"",""JA"")"),"収縮期末容積")</f>
        <v>収縮期末容積</v>
      </c>
      <c r="I1678" s="1" t="str">
        <f>IFERROR(__xludf.DUMMYFUNCTION("GOOGLETRANSLATE(E1678,""EN"",""JA"")"),"収縮期血液量; 収縮期血液量")</f>
        <v>収縮期血液量; 収縮期血液量</v>
      </c>
      <c r="J1678" s="1" t="str">
        <f>IFERROR(__xludf.DUMMYFUNCTION("GOOGLETRANSLATE(F1678,""EN"",""JA"")"),"収縮末期に心室または心房に残っている血液の量。")</f>
        <v>収縮末期に心室または心房に残っている血液の量。</v>
      </c>
      <c r="K1678" s="1" t="str">
        <f>IFERROR(__xludf.DUMMYFUNCTION("GOOGLETRANSLATE(G1678,""EN"",""JA"")"),"収縮期末容積")</f>
        <v>収縮期末容積</v>
      </c>
    </row>
    <row r="1679" ht="13.5" customHeight="1">
      <c r="A1679" s="1" t="s">
        <v>11</v>
      </c>
      <c r="B1679" s="1" t="s">
        <v>8458</v>
      </c>
      <c r="C1679" s="1" t="s">
        <v>8459</v>
      </c>
      <c r="D1679" s="1" t="s">
        <v>8460</v>
      </c>
      <c r="E1679" s="1" t="s">
        <v>8460</v>
      </c>
      <c r="F1679" s="1" t="s">
        <v>8461</v>
      </c>
      <c r="G1679" s="1" t="s">
        <v>8462</v>
      </c>
      <c r="H1679" s="1" t="str">
        <f>IFERROR(__xludf.DUMMYFUNCTION("GOOGLETRANSLATE(D1679,""EN"",""JA"")"),"エチルグルクロニド")</f>
        <v>エチルグルクロニド</v>
      </c>
      <c r="I1679" s="1" t="str">
        <f>IFERROR(__xludf.DUMMYFUNCTION("GOOGLETRANSLATE(E1679,""EN"",""JA"")"),"エチルグルクロニド")</f>
        <v>エチルグルクロニド</v>
      </c>
      <c r="J1679" s="1" t="str">
        <f>IFERROR(__xludf.DUMMYFUNCTION("GOOGLETRANSLATE(F1679,""EN"",""JA"")"),"生物標本中のエチルグルクロニドの測定。")</f>
        <v>生物標本中のエチルグルクロニドの測定。</v>
      </c>
      <c r="K1679" s="1" t="str">
        <f>IFERROR(__xludf.DUMMYFUNCTION("GOOGLETRANSLATE(G1679,""EN"",""JA"")"),"エチルグルクロニド測定")</f>
        <v>エチルグルクロニド測定</v>
      </c>
    </row>
    <row r="1680" ht="13.5" customHeight="1">
      <c r="A1680" s="1" t="s">
        <v>11</v>
      </c>
      <c r="B1680" s="1" t="s">
        <v>8463</v>
      </c>
      <c r="C1680" s="1" t="s">
        <v>8464</v>
      </c>
      <c r="D1680" s="1" t="s">
        <v>8465</v>
      </c>
      <c r="E1680" s="1" t="s">
        <v>8465</v>
      </c>
      <c r="F1680" s="1" t="s">
        <v>8466</v>
      </c>
      <c r="G1680" s="1" t="s">
        <v>8467</v>
      </c>
      <c r="H1680" s="1" t="str">
        <f>IFERROR(__xludf.DUMMYFUNCTION("GOOGLETRANSLATE(D1680,""EN"",""JA"")"),"エチルグルクロニドエチル硫酸塩")</f>
        <v>エチルグルクロニドエチル硫酸塩</v>
      </c>
      <c r="I1680" s="1" t="str">
        <f>IFERROR(__xludf.DUMMYFUNCTION("GOOGLETRANSLATE(E1680,""EN"",""JA"")"),"エチルグルクロニドエチル硫酸塩")</f>
        <v>エチルグルクロニドエチル硫酸塩</v>
      </c>
      <c r="J1680" s="1" t="str">
        <f>IFERROR(__xludf.DUMMYFUNCTION("GOOGLETRANSLATE(F1680,""EN"",""JA"")"),"生物学的標本中のエチルグルクロニドおよび/またはエチル硫酸塩の測定。")</f>
        <v>生物学的標本中のエチルグルクロニドおよび/またはエチル硫酸塩の測定。</v>
      </c>
      <c r="K1680" s="1" t="str">
        <f>IFERROR(__xludf.DUMMYFUNCTION("GOOGLETRANSLATE(G1680,""EN"",""JA"")"),"エチルグルクロニドおよびエチル硫酸の測定")</f>
        <v>エチルグルクロニドおよびエチル硫酸の測定</v>
      </c>
    </row>
    <row r="1681" ht="13.5" customHeight="1">
      <c r="A1681" s="1" t="s">
        <v>11</v>
      </c>
      <c r="B1681" s="1" t="s">
        <v>8468</v>
      </c>
      <c r="C1681" s="1" t="s">
        <v>8469</v>
      </c>
      <c r="D1681" s="1" t="s">
        <v>8470</v>
      </c>
      <c r="E1681" s="1" t="s">
        <v>8471</v>
      </c>
      <c r="F1681" s="1" t="s">
        <v>8472</v>
      </c>
      <c r="G1681" s="1" t="s">
        <v>8473</v>
      </c>
      <c r="H1681" s="1" t="str">
        <f>IFERROR(__xludf.DUMMYFUNCTION("GOOGLETRANSLATE(D1681,""EN"",""JA"")"),"エタノール")</f>
        <v>エタノール</v>
      </c>
      <c r="I1681" s="1" t="str">
        <f>IFERROR(__xludf.DUMMYFUNCTION("GOOGLETRANSLATE(E1681,""EN"",""JA"")"),"アルコール; エタノール")</f>
        <v>アルコール; エタノール</v>
      </c>
      <c r="J1681" s="1" t="str">
        <f>IFERROR(__xludf.DUMMYFUNCTION("GOOGLETRANSLATE(F1681,""EN"",""JA"")"),"生物標本中に存在するエタノールの測定。")</f>
        <v>生物標本中に存在するエタノールの測定。</v>
      </c>
      <c r="K1681" s="1" t="str">
        <f>IFERROR(__xludf.DUMMYFUNCTION("GOOGLETRANSLATE(G1681,""EN"",""JA"")"),"エタノール測定")</f>
        <v>エタノール測定</v>
      </c>
    </row>
    <row r="1682" ht="13.5" customHeight="1">
      <c r="A1682" s="1" t="s">
        <v>11</v>
      </c>
      <c r="B1682" s="1" t="s">
        <v>8474</v>
      </c>
      <c r="C1682" s="1" t="s">
        <v>8475</v>
      </c>
      <c r="D1682" s="1" t="s">
        <v>8476</v>
      </c>
      <c r="E1682" s="1" t="s">
        <v>8476</v>
      </c>
      <c r="F1682" s="1" t="s">
        <v>8477</v>
      </c>
      <c r="G1682" s="1" t="s">
        <v>8478</v>
      </c>
      <c r="H1682" s="1" t="str">
        <f>IFERROR(__xludf.DUMMYFUNCTION("GOOGLETRANSLATE(D1682,""EN"",""JA"")"),"エトクロルビノール")</f>
        <v>エトクロルビノール</v>
      </c>
      <c r="I1682" s="1" t="str">
        <f>IFERROR(__xludf.DUMMYFUNCTION("GOOGLETRANSLATE(E1682,""EN"",""JA"")"),"エトクロルビノール")</f>
        <v>エトクロルビノール</v>
      </c>
      <c r="J1682" s="1" t="str">
        <f>IFERROR(__xludf.DUMMYFUNCTION("GOOGLETRANSLATE(F1682,""EN"",""JA"")"),"生物標本中のエトクロルビノールの測定。")</f>
        <v>生物標本中のエトクロルビノールの測定。</v>
      </c>
      <c r="K1682" s="1" t="str">
        <f>IFERROR(__xludf.DUMMYFUNCTION("GOOGLETRANSLATE(G1682,""EN"",""JA"")"),"エトクロルビノール測定")</f>
        <v>エトクロルビノール測定</v>
      </c>
    </row>
    <row r="1683" ht="13.5" customHeight="1">
      <c r="A1683" s="1" t="s">
        <v>11</v>
      </c>
      <c r="B1683" s="1" t="s">
        <v>8479</v>
      </c>
      <c r="C1683" s="1" t="s">
        <v>8480</v>
      </c>
      <c r="D1683" s="1" t="s">
        <v>8481</v>
      </c>
      <c r="E1683" s="1" t="s">
        <v>8481</v>
      </c>
      <c r="F1683" s="1" t="s">
        <v>8482</v>
      </c>
      <c r="G1683" s="1" t="s">
        <v>8483</v>
      </c>
      <c r="H1683" s="1" t="str">
        <f>IFERROR(__xludf.DUMMYFUNCTION("GOOGLETRANSLATE(D1683,""EN"",""JA"")"),"エチルトレノール")</f>
        <v>エチルトレノール</v>
      </c>
      <c r="I1683" s="1" t="str">
        <f>IFERROR(__xludf.DUMMYFUNCTION("GOOGLETRANSLATE(E1683,""EN"",""JA"")"),"エチルトレノール")</f>
        <v>エチルトレノール</v>
      </c>
      <c r="J1683" s="1" t="str">
        <f>IFERROR(__xludf.DUMMYFUNCTION("GOOGLETRANSLATE(F1683,""EN"",""JA"")"),"生物標本中のエチルエストレノールの測定。")</f>
        <v>生物標本中のエチルエストレノールの測定。</v>
      </c>
      <c r="K1683" s="1" t="str">
        <f>IFERROR(__xludf.DUMMYFUNCTION("GOOGLETRANSLATE(G1683,""EN"",""JA"")"),"エチルストレノール測定")</f>
        <v>エチルストレノール測定</v>
      </c>
    </row>
    <row r="1684" ht="13.5" customHeight="1">
      <c r="A1684" s="1" t="s">
        <v>11</v>
      </c>
      <c r="B1684" s="1" t="s">
        <v>8484</v>
      </c>
      <c r="C1684" s="1" t="s">
        <v>8485</v>
      </c>
      <c r="D1684" s="1" t="s">
        <v>8486</v>
      </c>
      <c r="E1684" s="1" t="s">
        <v>8486</v>
      </c>
      <c r="F1684" s="1" t="s">
        <v>8487</v>
      </c>
      <c r="G1684" s="1" t="s">
        <v>8488</v>
      </c>
      <c r="H1684" s="1" t="str">
        <f>IFERROR(__xludf.DUMMYFUNCTION("GOOGLETRANSLATE(D1684,""EN"",""JA"")"),"エチナメート")</f>
        <v>エチナメート</v>
      </c>
      <c r="I1684" s="1" t="str">
        <f>IFERROR(__xludf.DUMMYFUNCTION("GOOGLETRANSLATE(E1684,""EN"",""JA"")"),"エチナメート")</f>
        <v>エチナメート</v>
      </c>
      <c r="J1684" s="1" t="str">
        <f>IFERROR(__xludf.DUMMYFUNCTION("GOOGLETRANSLATE(F1684,""EN"",""JA"")"),"生物標本中のエチナメートの測定。")</f>
        <v>生物標本中のエチナメートの測定。</v>
      </c>
      <c r="K1684" s="1" t="str">
        <f>IFERROR(__xludf.DUMMYFUNCTION("GOOGLETRANSLATE(G1684,""EN"",""JA"")"),"エチナメート測定")</f>
        <v>エチナメート測定</v>
      </c>
    </row>
    <row r="1685" ht="13.5" customHeight="1">
      <c r="A1685" s="1" t="s">
        <v>11</v>
      </c>
      <c r="B1685" s="1" t="s">
        <v>8489</v>
      </c>
      <c r="C1685" s="1" t="s">
        <v>8490</v>
      </c>
      <c r="D1685" s="1" t="s">
        <v>8491</v>
      </c>
      <c r="E1685" s="1" t="s">
        <v>8491</v>
      </c>
      <c r="F1685" s="1" t="s">
        <v>8492</v>
      </c>
      <c r="G1685" s="1" t="s">
        <v>8493</v>
      </c>
      <c r="H1685" s="1" t="str">
        <f>IFERROR(__xludf.DUMMYFUNCTION("GOOGLETRANSLATE(D1685,""EN"",""JA"")"),"内因性トロンビン電位")</f>
        <v>内因性トロンビン電位</v>
      </c>
      <c r="I1685" s="1" t="str">
        <f>IFERROR(__xludf.DUMMYFUNCTION("GOOGLETRANSLATE(E1685,""EN"",""JA"")"),"内因性トロンビン電位")</f>
        <v>内因性トロンビン電位</v>
      </c>
      <c r="J1685" s="1" t="str">
        <f>IFERROR(__xludf.DUMMYFUNCTION("GOOGLETRANSLATE(F1685,""EN"",""JA"")"),"血漿または血液サンプル中の基質の存在下で生成されるトロンビンの総濃度の測定値。")</f>
        <v>血漿または血液サンプル中の基質の存在下で生成されるトロンビンの総濃度の測定値。</v>
      </c>
      <c r="K1685" s="1" t="str">
        <f>IFERROR(__xludf.DUMMYFUNCTION("GOOGLETRANSLATE(G1685,""EN"",""JA"")"),"内因性トロンビン電位測定")</f>
        <v>内因性トロンビン電位測定</v>
      </c>
    </row>
    <row r="1686" ht="13.5" customHeight="1">
      <c r="A1686" s="1" t="s">
        <v>11</v>
      </c>
      <c r="B1686" s="1" t="s">
        <v>8494</v>
      </c>
      <c r="C1686" s="1" t="s">
        <v>8495</v>
      </c>
      <c r="D1686" s="1" t="s">
        <v>8496</v>
      </c>
      <c r="E1686" s="1" t="s">
        <v>8497</v>
      </c>
      <c r="F1686" s="1" t="s">
        <v>8498</v>
      </c>
      <c r="G1686" s="1" t="s">
        <v>8499</v>
      </c>
      <c r="H1686" s="1" t="str">
        <f>IFERROR(__xludf.DUMMYFUNCTION("GOOGLETRANSLATE(D1686,""EN"",""JA"")"),"ETP 曲線下面積")</f>
        <v>ETP 曲線下面積</v>
      </c>
      <c r="I1686" s="1" t="str">
        <f>IFERROR(__xludf.DUMMYFUNCTION("GOOGLETRANSLATE(E1686,""EN"",""JA"")"),"内因性トロンビン電位曲線下面積; ETP曲線下面積")</f>
        <v>内因性トロンビン電位曲線下面積; ETP曲線下面積</v>
      </c>
      <c r="J1686" s="1" t="str">
        <f>IFERROR(__xludf.DUMMYFUNCTION("GOOGLETRANSLATE(F1686,""EN"",""JA"")"),"トロンビン生成曲線の下の領域の測定値。")</f>
        <v>トロンビン生成曲線の下の領域の測定値。</v>
      </c>
      <c r="K1686" s="1" t="str">
        <f>IFERROR(__xludf.DUMMYFUNCTION("GOOGLETRANSLATE(G1686,""EN"",""JA"")"),"内因性トロンビン電位曲線下面積測定")</f>
        <v>内因性トロンビン電位曲線下面積測定</v>
      </c>
    </row>
    <row r="1687" ht="13.5" customHeight="1">
      <c r="A1687" s="1" t="s">
        <v>11</v>
      </c>
      <c r="B1687" s="1" t="s">
        <v>8500</v>
      </c>
      <c r="C1687" s="1" t="s">
        <v>8501</v>
      </c>
      <c r="D1687" s="1" t="s">
        <v>8502</v>
      </c>
      <c r="E1687" s="1" t="s">
        <v>8503</v>
      </c>
      <c r="F1687" s="1" t="s">
        <v>8504</v>
      </c>
      <c r="G1687" s="1" t="s">
        <v>8505</v>
      </c>
      <c r="H1687" s="1" t="str">
        <f>IFERROR(__xludf.DUMMYFUNCTION("GOOGLETRANSLATE(D1687,""EN"",""JA"")"),"ETP遅延時間")</f>
        <v>ETP遅延時間</v>
      </c>
      <c r="I1687" s="1" t="str">
        <f>IFERROR(__xludf.DUMMYFUNCTION("GOOGLETRANSLATE(E1687,""EN"",""JA"")"),"内因性トロンビン電位遅延時間; ETP遅延時間")</f>
        <v>内因性トロンビン電位遅延時間; ETP遅延時間</v>
      </c>
      <c r="J1687" s="1" t="str">
        <f>IFERROR(__xludf.DUMMYFUNCTION("GOOGLETRANSLATE(F1687,""EN"",""JA"")"),"トロンビン生成試験の開始から所定量のトロンビンが生成されるまでの時間を測定します。")</f>
        <v>トロンビン生成試験の開始から所定量のトロンビンが生成されるまでの時間を測定します。</v>
      </c>
      <c r="K1687" s="1" t="str">
        <f>IFERROR(__xludf.DUMMYFUNCTION("GOOGLETRANSLATE(G1687,""EN"",""JA"")"),"内因性トロンビン電位遅延時間測定")</f>
        <v>内因性トロンビン電位遅延時間測定</v>
      </c>
    </row>
    <row r="1688" ht="13.5" customHeight="1">
      <c r="A1688" s="1" t="s">
        <v>11</v>
      </c>
      <c r="B1688" s="1" t="s">
        <v>8506</v>
      </c>
      <c r="C1688" s="1" t="s">
        <v>8507</v>
      </c>
      <c r="D1688" s="1" t="s">
        <v>8508</v>
      </c>
      <c r="E1688" s="1" t="s">
        <v>8509</v>
      </c>
      <c r="F1688" s="1" t="s">
        <v>8510</v>
      </c>
      <c r="G1688" s="1" t="s">
        <v>8511</v>
      </c>
      <c r="H1688" s="1" t="str">
        <f>IFERROR(__xludf.DUMMYFUNCTION("GOOGLETRANSLATE(D1688,""EN"",""JA"")"),"ETP遅延時間相対")</f>
        <v>ETP遅延時間相対</v>
      </c>
      <c r="I1688" s="1" t="str">
        <f>IFERROR(__xludf.DUMMYFUNCTION("GOOGLETRANSLATE(E1688,""EN"",""JA"")"),"内因性トロンビン電位の遅延時間相対値；ETPの遅延時間相対値")</f>
        <v>内因性トロンビン電位の遅延時間相対値；ETPの遅延時間相対値</v>
      </c>
      <c r="J1688" s="1" t="str">
        <f>IFERROR(__xludf.DUMMYFUNCTION("GOOGLETRANSLATE(F1688,""EN"",""JA"")"),"トロンビン生成テストの開始から所定量のトロンビンが生成される時点までの時間の相対的な測定値 (比率またはパーセンテージ)。")</f>
        <v>トロンビン生成テストの開始から所定量のトロンビンが生成される時点までの時間の相対的な測定値 (比率またはパーセンテージ)。</v>
      </c>
      <c r="K1688" s="1" t="str">
        <f>IFERROR(__xludf.DUMMYFUNCTION("GOOGLETRANSLATE(G1688,""EN"",""JA"")"),"内因性トロンビン電位遅延時間相対測定")</f>
        <v>内因性トロンビン電位遅延時間相対測定</v>
      </c>
    </row>
    <row r="1689" ht="13.5" customHeight="1">
      <c r="A1689" s="1" t="s">
        <v>11</v>
      </c>
      <c r="B1689" s="1" t="s">
        <v>8512</v>
      </c>
      <c r="C1689" s="1" t="s">
        <v>8513</v>
      </c>
      <c r="D1689" s="1" t="s">
        <v>8514</v>
      </c>
      <c r="E1689" s="1" t="s">
        <v>8515</v>
      </c>
      <c r="F1689" s="1" t="s">
        <v>8516</v>
      </c>
      <c r="G1689" s="1" t="s">
        <v>8517</v>
      </c>
      <c r="H1689" s="1" t="str">
        <f>IFERROR(__xludf.DUMMYFUNCTION("GOOGLETRANSLATE(D1689,""EN"",""JA"")"),"ETPピーク高さ")</f>
        <v>ETPピーク高さ</v>
      </c>
      <c r="I1689" s="1" t="str">
        <f>IFERROR(__xludf.DUMMYFUNCTION("GOOGLETRANSLATE(E1689,""EN"",""JA"")"),"内因性トロンビン電位ピーク高さ; ETPピーク高さ")</f>
        <v>内因性トロンビン電位ピーク高さ; ETPピーク高さ</v>
      </c>
      <c r="J1689" s="1" t="str">
        <f>IFERROR(__xludf.DUMMYFUNCTION("GOOGLETRANSLATE(F1689,""EN"",""JA"")"),"トロンビン生成試験中に生成されたトロンビンの最大濃度の測定値。")</f>
        <v>トロンビン生成試験中に生成されたトロンビンの最大濃度の測定値。</v>
      </c>
      <c r="K1689" s="1" t="str">
        <f>IFERROR(__xludf.DUMMYFUNCTION("GOOGLETRANSLATE(G1689,""EN"",""JA"")"),"内因性トロンビン電位ピーク高さ測定")</f>
        <v>内因性トロンビン電位ピーク高さ測定</v>
      </c>
    </row>
    <row r="1690" ht="13.5" customHeight="1">
      <c r="A1690" s="1" t="s">
        <v>11</v>
      </c>
      <c r="B1690" s="1" t="s">
        <v>8518</v>
      </c>
      <c r="C1690" s="1" t="s">
        <v>8519</v>
      </c>
      <c r="D1690" s="1" t="s">
        <v>8520</v>
      </c>
      <c r="E1690" s="1" t="s">
        <v>8521</v>
      </c>
      <c r="F1690" s="1" t="s">
        <v>8522</v>
      </c>
      <c r="G1690" s="1" t="s">
        <v>8523</v>
      </c>
      <c r="H1690" s="1" t="str">
        <f>IFERROR(__xludf.DUMMYFUNCTION("GOOGLETRANSLATE(D1690,""EN"",""JA"")"),"ETPピーク高さ相対")</f>
        <v>ETPピーク高さ相対</v>
      </c>
      <c r="I1690" s="1" t="str">
        <f>IFERROR(__xludf.DUMMYFUNCTION("GOOGLETRANSLATE(E1690,""EN"",""JA"")"),"内因性トロンビン電位のピーク高さの相対値; ETPのピーク高さの相対値")</f>
        <v>内因性トロンビン電位のピーク高さの相対値; ETPのピーク高さの相対値</v>
      </c>
      <c r="J1690" s="1" t="str">
        <f>IFERROR(__xludf.DUMMYFUNCTION("GOOGLETRANSLATE(F1690,""EN"",""JA"")"),"トロンビン生成試験中に生成されたトロンビンの最大濃度の相対値（比率またはパーセンテージ）。")</f>
        <v>トロンビン生成試験中に生成されたトロンビンの最大濃度の相対値（比率またはパーセンテージ）。</v>
      </c>
      <c r="K1690" s="1" t="str">
        <f>IFERROR(__xludf.DUMMYFUNCTION("GOOGLETRANSLATE(G1690,""EN"",""JA"")"),"内因性トロンビン電位ピーク高さの相対測定")</f>
        <v>内因性トロンビン電位ピーク高さの相対測定</v>
      </c>
    </row>
    <row r="1691" ht="13.5" customHeight="1">
      <c r="A1691" s="1" t="s">
        <v>11</v>
      </c>
      <c r="B1691" s="1" t="s">
        <v>8524</v>
      </c>
      <c r="C1691" s="1" t="s">
        <v>8525</v>
      </c>
      <c r="D1691" s="1" t="s">
        <v>8526</v>
      </c>
      <c r="E1691" s="1" t="s">
        <v>8527</v>
      </c>
      <c r="F1691" s="1" t="s">
        <v>8528</v>
      </c>
      <c r="G1691" s="1" t="s">
        <v>8529</v>
      </c>
      <c r="H1691" s="1" t="str">
        <f>IFERROR(__xludf.DUMMYFUNCTION("GOOGLETRANSLATE(D1691,""EN"",""JA"")"),"ETP ピークまでの時間")</f>
        <v>ETP ピークまでの時間</v>
      </c>
      <c r="I1691" s="1" t="str">
        <f>IFERROR(__xludf.DUMMYFUNCTION("GOOGLETRANSLATE(E1691,""EN"",""JA"")"),"内因性トロンビン電位ピーク到達時間; ETPピーク到達時間")</f>
        <v>内因性トロンビン電位ピーク到達時間; ETPピーク到達時間</v>
      </c>
      <c r="J1691" s="1" t="str">
        <f>IFERROR(__xludf.DUMMYFUNCTION("GOOGLETRANSLATE(F1691,""EN"",""JA"")"),"トロンビンの最大濃度を生成するのにかかる時間を測定します。")</f>
        <v>トロンビンの最大濃度を生成するのにかかる時間を測定します。</v>
      </c>
      <c r="K1691" s="1" t="str">
        <f>IFERROR(__xludf.DUMMYFUNCTION("GOOGLETRANSLATE(G1691,""EN"",""JA"")"),"内因性トロンビン電位ピーク到達時間の測定")</f>
        <v>内因性トロンビン電位ピーク到達時間の測定</v>
      </c>
    </row>
    <row r="1692" ht="13.5" customHeight="1">
      <c r="A1692" s="1" t="s">
        <v>11</v>
      </c>
      <c r="B1692" s="1" t="s">
        <v>8530</v>
      </c>
      <c r="C1692" s="1" t="s">
        <v>8531</v>
      </c>
      <c r="D1692" s="1" t="s">
        <v>8532</v>
      </c>
      <c r="E1692" s="1" t="s">
        <v>8533</v>
      </c>
      <c r="F1692" s="1" t="s">
        <v>8534</v>
      </c>
      <c r="G1692" s="1" t="s">
        <v>8535</v>
      </c>
      <c r="H1692" s="1" t="str">
        <f>IFERROR(__xludf.DUMMYFUNCTION("GOOGLETRANSLATE(D1692,""EN"",""JA"")"),"ETP ピークまでの時間（相対）")</f>
        <v>ETP ピークまでの時間（相対）</v>
      </c>
      <c r="I1692" s="1" t="str">
        <f>IFERROR(__xludf.DUMMYFUNCTION("GOOGLETRANSLATE(E1692,""EN"",""JA"")"),"内因性トロンビン電位の相対ピーク到達時間; ETPの相対ピーク到達時間")</f>
        <v>内因性トロンビン電位の相対ピーク到達時間; ETPの相対ピーク到達時間</v>
      </c>
      <c r="J1692" s="1" t="str">
        <f>IFERROR(__xludf.DUMMYFUNCTION("GOOGLETRANSLATE(F1692,""EN"",""JA"")"),"トロンビンの最大濃度を生成するのにかかる時間の相対的（比率またはパーセンテージ）測定値。")</f>
        <v>トロンビンの最大濃度を生成するのにかかる時間の相対的（比率またはパーセンテージ）測定値。</v>
      </c>
      <c r="K1692" s="1" t="str">
        <f>IFERROR(__xludf.DUMMYFUNCTION("GOOGLETRANSLATE(G1692,""EN"",""JA"")"),"内因性トロンビン電位ピーク到達時間の相対測定")</f>
        <v>内因性トロンビン電位ピーク到達時間の相対測定</v>
      </c>
    </row>
    <row r="1693" ht="13.5" customHeight="1">
      <c r="A1693" s="1" t="s">
        <v>11</v>
      </c>
      <c r="B1693" s="1" t="s">
        <v>8536</v>
      </c>
      <c r="C1693" s="1" t="s">
        <v>8537</v>
      </c>
      <c r="D1693" s="1" t="s">
        <v>8538</v>
      </c>
      <c r="E1693" s="1" t="s">
        <v>8538</v>
      </c>
      <c r="F1693" s="1" t="s">
        <v>8539</v>
      </c>
      <c r="G1693" s="1" t="s">
        <v>8540</v>
      </c>
      <c r="H1693" s="1" t="str">
        <f>IFERROR(__xludf.DUMMYFUNCTION("GOOGLETRANSLATE(D1693,""EN"",""JA"")"),"エチルサルフェート")</f>
        <v>エチルサルフェート</v>
      </c>
      <c r="I1693" s="1" t="str">
        <f>IFERROR(__xludf.DUMMYFUNCTION("GOOGLETRANSLATE(E1693,""EN"",""JA"")"),"エチルサルフェート")</f>
        <v>エチルサルフェート</v>
      </c>
      <c r="J1693" s="1" t="str">
        <f>IFERROR(__xludf.DUMMYFUNCTION("GOOGLETRANSLATE(F1693,""EN"",""JA"")"),"生物標本中のエチル硫酸塩の測定。")</f>
        <v>生物標本中のエチル硫酸塩の測定。</v>
      </c>
      <c r="K1693" s="1" t="str">
        <f>IFERROR(__xludf.DUMMYFUNCTION("GOOGLETRANSLATE(G1693,""EN"",""JA"")"),"エチル硫酸測定")</f>
        <v>エチル硫酸測定</v>
      </c>
    </row>
    <row r="1694" ht="13.5" customHeight="1">
      <c r="A1694" s="1" t="s">
        <v>11</v>
      </c>
      <c r="B1694" s="1" t="s">
        <v>8541</v>
      </c>
      <c r="C1694" s="1" t="s">
        <v>8542</v>
      </c>
      <c r="D1694" s="1" t="s">
        <v>8543</v>
      </c>
      <c r="E1694" s="1" t="s">
        <v>8544</v>
      </c>
      <c r="F1694" s="1" t="s">
        <v>8545</v>
      </c>
      <c r="G1694" s="1" t="s">
        <v>8546</v>
      </c>
      <c r="H1694" s="1" t="str">
        <f>IFERROR(__xludf.DUMMYFUNCTION("GOOGLETRANSLATE(D1694,""EN"",""JA"")"),"エピマー化ウルソデオキシコール酸")</f>
        <v>エピマー化ウルソデオキシコール酸</v>
      </c>
      <c r="I1694" s="1" t="str">
        <f>IFERROR(__xludf.DUMMYFUNCTION("GOOGLETRANSLATE(E1694,""EN"",""JA"")"),"エピマー化ウルソデオキシコール酸; エピマー化ウルソデオキシコール酸")</f>
        <v>エピマー化ウルソデオキシコール酸; エピマー化ウルソデオキシコール酸</v>
      </c>
      <c r="J1694" s="1" t="str">
        <f>IFERROR(__xludf.DUMMYFUNCTION("GOOGLETRANSLATE(F1694,""EN"",""JA"")"),"生物標本中のエピマー化ウルソデオキシコール酸の測定。")</f>
        <v>生物標本中のエピマー化ウルソデオキシコール酸の測定。</v>
      </c>
      <c r="K1694" s="1" t="str">
        <f>IFERROR(__xludf.DUMMYFUNCTION("GOOGLETRANSLATE(G1694,""EN"",""JA"")"),"エピマー化ウルソデオキシコール酸の測定")</f>
        <v>エピマー化ウルソデオキシコール酸の測定</v>
      </c>
    </row>
    <row r="1695" ht="13.5" customHeight="1">
      <c r="A1695" s="1" t="s">
        <v>397</v>
      </c>
      <c r="B1695" s="1" t="s">
        <v>8547</v>
      </c>
      <c r="C1695" s="1" t="s">
        <v>8548</v>
      </c>
      <c r="D1695" s="1" t="s">
        <v>8549</v>
      </c>
      <c r="E1695" s="1" t="s">
        <v>8549</v>
      </c>
      <c r="F1695" s="1" t="s">
        <v>8550</v>
      </c>
      <c r="G1695" s="1" t="s">
        <v>8549</v>
      </c>
      <c r="H1695" s="1" t="str">
        <f>IFERROR(__xludf.DUMMYFUNCTION("GOOGLETRANSLATE(D1695,""EN"",""JA"")"),"EudraCT 再提出インジケーター")</f>
        <v>EudraCT 再提出インジケーター</v>
      </c>
      <c r="I1695" s="1" t="str">
        <f>IFERROR(__xludf.DUMMYFUNCTION("GOOGLETRANSLATE(E1695,""EN"",""JA"")"),"EudraCT 再提出インジケーター")</f>
        <v>EudraCT 再提出インジケーター</v>
      </c>
      <c r="J1695" s="1" t="str">
        <f>IFERROR(__xludf.DUMMYFUNCTION("GOOGLETRANSLATE(F1695,""EN"",""JA"")"),"EudraCT に提出される試験が、以前に EudraCT システムを提出した試験であるかどうかを示します。")</f>
        <v>EudraCT に提出される試験が、以前に EudraCT システムを提出した試験であるかどうかを示します。</v>
      </c>
      <c r="K1695" s="1" t="str">
        <f>IFERROR(__xludf.DUMMYFUNCTION("GOOGLETRANSLATE(G1695,""EN"",""JA"")"),"EudraCT 再提出インジケーター")</f>
        <v>EudraCT 再提出インジケーター</v>
      </c>
    </row>
    <row r="1696" ht="13.5" customHeight="1">
      <c r="A1696" s="1" t="s">
        <v>580</v>
      </c>
      <c r="B1696" s="1" t="s">
        <v>8551</v>
      </c>
      <c r="C1696" s="1" t="s">
        <v>8552</v>
      </c>
      <c r="D1696" s="1" t="s">
        <v>8553</v>
      </c>
      <c r="E1696" s="1" t="s">
        <v>8554</v>
      </c>
      <c r="F1696" s="1" t="s">
        <v>8555</v>
      </c>
      <c r="G1696" s="1" t="s">
        <v>8556</v>
      </c>
      <c r="H1696" s="1" t="str">
        <f>IFERROR(__xludf.DUMMYFUNCTION("GOOGLETRANSLATE(D1696,""EN"",""JA"")"),"0.05 S/FVCでの努力呼気量")</f>
        <v>0.05 S/FVCでの努力呼気量</v>
      </c>
      <c r="I1696" s="1" t="str">
        <f>IFERROR(__xludf.DUMMYFUNCTION("GOOGLETRANSLATE(E1696,""EN"",""JA"")"),"0.05秒/FVCでの努力呼気量；FVCを超える0.05秒での努力呼気量")</f>
        <v>0.05秒/FVCでの努力呼気量；FVCを超える0.05秒での努力呼気量</v>
      </c>
      <c r="J1696" s="1" t="str">
        <f>IFERROR(__xludf.DUMMYFUNCTION("GOOGLETRANSLATE(F1696,""EN"",""JA"")"),"最大限に吸入した後の最初の 0.05 秒間に強制的に吐き出されるガスの量と努力肺活量の比率。")</f>
        <v>最大限に吸入した後の最初の 0.05 秒間に強制的に吐き出されるガスの量と努力肺活量の比率。</v>
      </c>
      <c r="K1696" s="1" t="str">
        <f>IFERROR(__xludf.DUMMYFUNCTION("GOOGLETRANSLATE(G1696,""EN"",""JA"")"),"0.05秒間の努力呼気量とFVC比の測定")</f>
        <v>0.05秒間の努力呼気量とFVC比の測定</v>
      </c>
    </row>
    <row r="1697" ht="13.5" customHeight="1">
      <c r="A1697" s="1" t="s">
        <v>580</v>
      </c>
      <c r="B1697" s="1" t="s">
        <v>8557</v>
      </c>
      <c r="C1697" s="1" t="s">
        <v>8558</v>
      </c>
      <c r="D1697" s="1" t="s">
        <v>8559</v>
      </c>
      <c r="E1697" s="1" t="s">
        <v>8560</v>
      </c>
      <c r="F1697" s="1" t="s">
        <v>8561</v>
      </c>
      <c r="G1697" s="1" t="s">
        <v>8562</v>
      </c>
      <c r="H1697" s="1" t="str">
        <f>IFERROR(__xludf.DUMMYFUNCTION("GOOGLETRANSLATE(D1697,""EN"",""JA"")"),"0.1 S/FVCでの努力呼気量")</f>
        <v>0.1 S/FVCでの努力呼気量</v>
      </c>
      <c r="I1697" s="1" t="str">
        <f>IFERROR(__xludf.DUMMYFUNCTION("GOOGLETRANSLATE(E1697,""EN"",""JA"")"),"0.1秒あたりの努力呼気量/FVC; 0.1秒あたりの努力呼気量/FVC")</f>
        <v>0.1秒あたりの努力呼気量/FVC; 0.1秒あたりの努力呼気量/FVC</v>
      </c>
      <c r="J1697" s="1" t="str">
        <f>IFERROR(__xludf.DUMMYFUNCTION("GOOGLETRANSLATE(F1697,""EN"",""JA"")"),"最大限に吸入した後の最初の 0.1 秒間に強制的に吐き出されるガスの量と努力肺活量の比率。")</f>
        <v>最大限に吸入した後の最初の 0.1 秒間に強制的に吐き出されるガスの量と努力肺活量の比率。</v>
      </c>
      <c r="K1697" s="1" t="str">
        <f>IFERROR(__xludf.DUMMYFUNCTION("GOOGLETRANSLATE(G1697,""EN"",""JA"")"),"0.1秒間の努力呼気量とFVC比の測定")</f>
        <v>0.1秒間の努力呼気量とFVC比の測定</v>
      </c>
    </row>
    <row r="1698" ht="13.5" customHeight="1">
      <c r="A1698" s="1" t="s">
        <v>580</v>
      </c>
      <c r="B1698" s="1" t="s">
        <v>8563</v>
      </c>
      <c r="C1698" s="1" t="s">
        <v>8564</v>
      </c>
      <c r="D1698" s="1" t="s">
        <v>8565</v>
      </c>
      <c r="E1698" s="1" t="s">
        <v>8566</v>
      </c>
      <c r="F1698" s="1" t="s">
        <v>8567</v>
      </c>
      <c r="G1698" s="1" t="s">
        <v>8568</v>
      </c>
      <c r="H1698" s="1" t="str">
        <f>IFERROR(__xludf.DUMMYFUNCTION("GOOGLETRANSLATE(D1698,""EN"",""JA"")"),"0.2 S/FVCでの努力呼気量")</f>
        <v>0.2 S/FVCでの努力呼気量</v>
      </c>
      <c r="I1698" s="1" t="str">
        <f>IFERROR(__xludf.DUMMYFUNCTION("GOOGLETRANSLATE(E1698,""EN"",""JA"")"),"0.2秒/FVCでの努力呼気量；FVCを超える0.2秒での努力呼気量")</f>
        <v>0.2秒/FVCでの努力呼気量；FVCを超える0.2秒での努力呼気量</v>
      </c>
      <c r="J1698" s="1" t="str">
        <f>IFERROR(__xludf.DUMMYFUNCTION("GOOGLETRANSLATE(F1698,""EN"",""JA"")"),"最大限に吸入した後の最初の 0.2 秒間に強制的に吐き出されるガスの量と努力肺活量の比率。")</f>
        <v>最大限に吸入した後の最初の 0.2 秒間に強制的に吐き出されるガスの量と努力肺活量の比率。</v>
      </c>
      <c r="K1698" s="1" t="str">
        <f>IFERROR(__xludf.DUMMYFUNCTION("GOOGLETRANSLATE(G1698,""EN"",""JA"")"),"0.2秒間の努力呼気量とFVC比の測定")</f>
        <v>0.2秒間の努力呼気量とFVC比の測定</v>
      </c>
    </row>
    <row r="1699" ht="13.5" customHeight="1">
      <c r="A1699" s="1" t="s">
        <v>580</v>
      </c>
      <c r="B1699" s="1" t="s">
        <v>8569</v>
      </c>
      <c r="C1699" s="1" t="s">
        <v>8570</v>
      </c>
      <c r="D1699" s="1" t="s">
        <v>8571</v>
      </c>
      <c r="E1699" s="1" t="s">
        <v>8571</v>
      </c>
      <c r="F1699" s="1" t="s">
        <v>8572</v>
      </c>
      <c r="G1699" s="1" t="s">
        <v>8571</v>
      </c>
      <c r="H1699" s="1" t="str">
        <f>IFERROR(__xludf.DUMMYFUNCTION("GOOGLETRANSLATE(D1699,""EN"",""JA"")"),"呼気肺活量")</f>
        <v>呼気肺活量</v>
      </c>
      <c r="I1699" s="1" t="str">
        <f>IFERROR(__xludf.DUMMYFUNCTION("GOOGLETRANSLATE(E1699,""EN"",""JA"")"),"呼気肺活量")</f>
        <v>呼気肺活量</v>
      </c>
      <c r="J1699" s="1" t="str">
        <f>IFERROR(__xludf.DUMMYFUNCTION("GOOGLETRANSLATE(F1699,""EN"",""JA"")"),"最大吸入点から人が吐き出すことができる空気の最大量。")</f>
        <v>最大吸入点から人が吐き出すことができる空気の最大量。</v>
      </c>
      <c r="K1699" s="1" t="str">
        <f>IFERROR(__xludf.DUMMYFUNCTION("GOOGLETRANSLATE(G1699,""EN"",""JA"")"),"呼気肺活量")</f>
        <v>呼気肺活量</v>
      </c>
    </row>
    <row r="1700" ht="13.5" customHeight="1">
      <c r="A1700" s="1" t="s">
        <v>580</v>
      </c>
      <c r="B1700" s="1" t="s">
        <v>8573</v>
      </c>
      <c r="C1700" s="1" t="s">
        <v>8574</v>
      </c>
      <c r="D1700" s="1" t="s">
        <v>8575</v>
      </c>
      <c r="E1700" s="1" t="s">
        <v>8575</v>
      </c>
      <c r="F1700" s="1" t="s">
        <v>8576</v>
      </c>
      <c r="G1700" s="1" t="s">
        <v>8577</v>
      </c>
      <c r="H1700" s="1" t="str">
        <f>IFERROR(__xludf.DUMMYFUNCTION("GOOGLETRANSLATE(D1700,""EN"",""JA"")"),"予測EVCの割合")</f>
        <v>予測EVCの割合</v>
      </c>
      <c r="I1700" s="1" t="str">
        <f>IFERROR(__xludf.DUMMYFUNCTION("GOOGLETRANSLATE(E1700,""EN"",""JA"")"),"予測EVCの割合")</f>
        <v>予測EVCの割合</v>
      </c>
      <c r="J1700" s="1" t="str">
        <f>IFERROR(__xludf.DUMMYFUNCTION("GOOGLETRANSLATE(F1700,""EN"",""JA"")"),"最大吸入点から個人が吐き出すことができる空気の最大量を、予測される正常値のパーセンテージで表したものです。")</f>
        <v>最大吸入点から個人が吐き出すことができる空気の最大量を、予測される正常値のパーセンテージで表したものです。</v>
      </c>
      <c r="K1700" s="1" t="str">
        <f>IFERROR(__xludf.DUMMYFUNCTION("GOOGLETRANSLATE(G1700,""EN"",""JA"")"),"予測呼気肺活量の割合")</f>
        <v>予測呼気肺活量の割合</v>
      </c>
    </row>
    <row r="1701" ht="13.5" customHeight="1">
      <c r="A1701" s="1" t="s">
        <v>397</v>
      </c>
      <c r="B1701" s="1" t="s">
        <v>8578</v>
      </c>
      <c r="C1701" s="1" t="s">
        <v>8579</v>
      </c>
      <c r="D1701" s="1" t="s">
        <v>8580</v>
      </c>
      <c r="E1701" s="1" t="s">
        <v>8580</v>
      </c>
      <c r="F1701" s="1" t="s">
        <v>8581</v>
      </c>
      <c r="G1701" s="1" t="s">
        <v>8582</v>
      </c>
      <c r="H1701" s="1" t="str">
        <f>IFERROR(__xludf.DUMMYFUNCTION("GOOGLETRANSLATE(D1701,""EN"",""JA"")"),"EudraVigilance 送信者 ID")</f>
        <v>EudraVigilance 送信者 ID</v>
      </c>
      <c r="I1701" s="1" t="str">
        <f>IFERROR(__xludf.DUMMYFUNCTION("GOOGLETRANSLATE(E1701,""EN"",""JA"")"),"EudraVigilance 送信者 ID")</f>
        <v>EudraVigilance 送信者 ID</v>
      </c>
      <c r="J1701" s="1" t="str">
        <f>IFERROR(__xludf.DUMMYFUNCTION("GOOGLETRANSLATE(F1701,""EN"",""JA"")"),"EudraVigilance システムに薬物有害反応レポートを送信する組織に割り当てられた一意の識別子。")</f>
        <v>EudraVigilance システムに薬物有害反応レポートを送信する組織に割り当てられた一意の識別子。</v>
      </c>
      <c r="K1701" s="1" t="str">
        <f>IFERROR(__xludf.DUMMYFUNCTION("GOOGLETRANSLATE(G1701,""EN"",""JA"")"),"EudraVigilance 送信者識別子")</f>
        <v>EudraVigilance 送信者識別子</v>
      </c>
    </row>
    <row r="1702" ht="13.5" customHeight="1">
      <c r="A1702" s="1" t="s">
        <v>397</v>
      </c>
      <c r="B1702" s="1" t="s">
        <v>8583</v>
      </c>
      <c r="C1702" s="1" t="s">
        <v>8584</v>
      </c>
      <c r="D1702" s="1" t="s">
        <v>8585</v>
      </c>
      <c r="E1702" s="1" t="s">
        <v>8585</v>
      </c>
      <c r="F1702" s="1" t="s">
        <v>8586</v>
      </c>
      <c r="G1702" s="1" t="s">
        <v>8585</v>
      </c>
      <c r="H1702" s="1" t="str">
        <f>IFERROR(__xludf.DUMMYFUNCTION("GOOGLETRANSLATE(D1702,""EN"",""JA"")"),"EudraVigilance 送信者組織")</f>
        <v>EudraVigilance 送信者組織</v>
      </c>
      <c r="I1702" s="1" t="str">
        <f>IFERROR(__xludf.DUMMYFUNCTION("GOOGLETRANSLATE(E1702,""EN"",""JA"")"),"EudraVigilance 送信者組織")</f>
        <v>EudraVigilance 送信者組織</v>
      </c>
      <c r="J1702" s="1" t="str">
        <f>IFERROR(__xludf.DUMMYFUNCTION("GOOGLETRANSLATE(F1702,""EN"",""JA"")"),"EudraVigilance システムに薬物有害反応報告を送信しているグループまたは機関の名前。")</f>
        <v>EudraVigilance システムに薬物有害反応報告を送信しているグループまたは機関の名前。</v>
      </c>
      <c r="K1702" s="1" t="str">
        <f>IFERROR(__xludf.DUMMYFUNCTION("GOOGLETRANSLATE(G1702,""EN"",""JA"")"),"EudraVigilance 送信者組織")</f>
        <v>EudraVigilance 送信者組織</v>
      </c>
    </row>
    <row r="1703" ht="13.5" customHeight="1">
      <c r="A1703" s="1" t="s">
        <v>129</v>
      </c>
      <c r="B1703" s="1" t="s">
        <v>8587</v>
      </c>
      <c r="C1703" s="1" t="s">
        <v>8588</v>
      </c>
      <c r="D1703" s="1" t="s">
        <v>8589</v>
      </c>
      <c r="E1703" s="1" t="s">
        <v>8590</v>
      </c>
      <c r="F1703" s="1" t="s">
        <v>8591</v>
      </c>
      <c r="G1703" s="1" t="s">
        <v>8592</v>
      </c>
      <c r="H1703" s="1" t="str">
        <f>IFERROR(__xludf.DUMMYFUNCTION("GOOGLETRANSLATE(D1703,""EN"",""JA"")"),"推定重量")</f>
        <v>推定重量</v>
      </c>
      <c r="I1703" s="1" t="str">
        <f>IFERROR(__xludf.DUMMYFUNCTION("GOOGLETRANSLATE(E1703,""EN"",""JA"")"),"推定体重; 推定体重")</f>
        <v>推定体重; 推定体重</v>
      </c>
      <c r="J1703" s="1" t="str">
        <f>IFERROR(__xludf.DUMMYFUNCTION("GOOGLETRANSLATE(F1703,""EN"",""JA"")"),"被験者の体重のおおよその測定。")</f>
        <v>被験者の体重のおおよその測定。</v>
      </c>
      <c r="K1703" s="1" t="str">
        <f>IFERROR(__xludf.DUMMYFUNCTION("GOOGLETRANSLATE(G1703,""EN"",""JA"")"),"推定体重")</f>
        <v>推定体重</v>
      </c>
    </row>
    <row r="1704" ht="13.5" customHeight="1">
      <c r="A1704" s="1" t="s">
        <v>397</v>
      </c>
      <c r="B1704" s="1" t="s">
        <v>8593</v>
      </c>
      <c r="C1704" s="1" t="s">
        <v>8594</v>
      </c>
      <c r="D1704" s="1" t="s">
        <v>8595</v>
      </c>
      <c r="E1704" s="1" t="s">
        <v>8595</v>
      </c>
      <c r="F1704" s="1" t="s">
        <v>8596</v>
      </c>
      <c r="G1704" s="1" t="s">
        <v>8597</v>
      </c>
      <c r="H1704" s="1" t="str">
        <f>IFERROR(__xludf.DUMMYFUNCTION("GOOGLETRANSLATE(D1704,""EN"",""JA"")"),"拡張アクセス記録 NCT 番号")</f>
        <v>拡張アクセス記録 NCT 番号</v>
      </c>
      <c r="I1704" s="1" t="str">
        <f>IFERROR(__xludf.DUMMYFUNCTION("GOOGLETRANSLATE(E1704,""EN"",""JA"")"),"拡張アクセス記録 NCT 番号")</f>
        <v>拡張アクセス記録 NCT 番号</v>
      </c>
      <c r="J1704" s="1" t="str">
        <f>IFERROR(__xludf.DUMMYFUNCTION("GOOGLETRANSLATE(F1704,""EN"",""JA"")"),"clinicaltrials.gov プロトコル登録および結果システム (PRS) によって割り当てられた、関連する拡張アクセス レコードを持つ研究の一意の英数字識別子。")</f>
        <v>clinicaltrials.gov プロトコル登録および結果システム (PRS) によって割り当てられた、関連する拡張アクセス レコードを持つ研究の一意の英数字識別子。</v>
      </c>
      <c r="K1704" s="1" t="str">
        <f>IFERROR(__xludf.DUMMYFUNCTION("GOOGLETRANSLATE(G1704,""EN"",""JA"")"),"Clinicaltrials.gov 拡張アクセス記録の NCT 番号")</f>
        <v>Clinicaltrials.gov 拡張アクセス記録の NCT 番号</v>
      </c>
    </row>
    <row r="1705" ht="13.5" customHeight="1">
      <c r="A1705" s="1" t="s">
        <v>397</v>
      </c>
      <c r="B1705" s="1" t="s">
        <v>8598</v>
      </c>
      <c r="C1705" s="1" t="s">
        <v>8599</v>
      </c>
      <c r="D1705" s="1" t="s">
        <v>8600</v>
      </c>
      <c r="E1705" s="1" t="s">
        <v>8600</v>
      </c>
      <c r="F1705" s="1" t="s">
        <v>8601</v>
      </c>
      <c r="G1705" s="1" t="s">
        <v>8602</v>
      </c>
      <c r="H1705" s="1" t="str">
        <f>IFERROR(__xludf.DUMMYFUNCTION("GOOGLETRANSLATE(D1705,""EN"",""JA"")"),"拡張アクセスステータス")</f>
        <v>拡張アクセスステータス</v>
      </c>
      <c r="I1705" s="1" t="str">
        <f>IFERROR(__xludf.DUMMYFUNCTION("GOOGLETRANSLATE(E1705,""EN"",""JA"")"),"拡張アクセスステータス")</f>
        <v>拡張アクセスステータス</v>
      </c>
      <c r="J1705" s="1" t="str">
        <f>IFERROR(__xludf.DUMMYFUNCTION("GOOGLETRANSLATE(F1705,""EN"",""JA"")"),"臨床試験プロトコル外での実験薬またはデバイスの利用可能性を示すステータス。(clinicaltrials.gov)")</f>
        <v>臨床試験プロトコル外での実験薬またはデバイスの利用可能性を示すステータス。(clinicaltrials.gov)</v>
      </c>
      <c r="K1705" s="1" t="str">
        <f>IFERROR(__xludf.DUMMYFUNCTION("GOOGLETRANSLATE(G1705,""EN"",""JA"")"),"試験の拡大アクセスステータス")</f>
        <v>試験の拡大アクセスステータス</v>
      </c>
    </row>
    <row r="1706" ht="13.5" customHeight="1">
      <c r="A1706" s="1" t="s">
        <v>7030</v>
      </c>
      <c r="B1706" s="1" t="s">
        <v>8603</v>
      </c>
      <c r="C1706" s="1" t="s">
        <v>8604</v>
      </c>
      <c r="D1706" s="1" t="s">
        <v>8605</v>
      </c>
      <c r="E1706" s="1" t="s">
        <v>8605</v>
      </c>
      <c r="F1706" s="1" t="s">
        <v>8606</v>
      </c>
      <c r="G1706" s="1" t="s">
        <v>8605</v>
      </c>
      <c r="H1706" s="1" t="str">
        <f>IFERROR(__xludf.DUMMYFUNCTION("GOOGLETRANSLATE(D1706,""EN"",""JA"")"),"予想残額")</f>
        <v>予想残額</v>
      </c>
      <c r="I1706" s="1" t="str">
        <f>IFERROR(__xludf.DUMMYFUNCTION("GOOGLETRANSLATE(E1706,""EN"",""JA"")"),"予想残額")</f>
        <v>予想残額</v>
      </c>
      <c r="J1706" s="1" t="str">
        <f>IFERROR(__xludf.DUMMYFUNCTION("GOOGLETRANSLATE(F1706,""EN"",""JA"")"),"投与、消費、または使用後に残留すると予想される製品の量。")</f>
        <v>投与、消費、または使用後に残留すると予想される製品の量。</v>
      </c>
      <c r="K1706" s="1" t="str">
        <f>IFERROR(__xludf.DUMMYFUNCTION("GOOGLETRANSLATE(G1706,""EN"",""JA"")"),"予想残額")</f>
        <v>予想残額</v>
      </c>
    </row>
    <row r="1707" ht="13.5" customHeight="1">
      <c r="A1707" s="1" t="s">
        <v>580</v>
      </c>
      <c r="B1707" s="1" t="s">
        <v>8607</v>
      </c>
      <c r="C1707" s="1" t="s">
        <v>8608</v>
      </c>
      <c r="D1707" s="1" t="s">
        <v>8609</v>
      </c>
      <c r="E1707" s="1" t="s">
        <v>8609</v>
      </c>
      <c r="F1707" s="1" t="s">
        <v>8610</v>
      </c>
      <c r="G1707" s="1" t="s">
        <v>8609</v>
      </c>
      <c r="H1707" s="1" t="str">
        <f>IFERROR(__xludf.DUMMYFUNCTION("GOOGLETRANSLATE(D1707,""EN"",""JA"")"),"呼気緩和時間")</f>
        <v>呼気緩和時間</v>
      </c>
      <c r="I1707" s="1" t="str">
        <f>IFERROR(__xludf.DUMMYFUNCTION("GOOGLETRANSLATE(E1707,""EN"",""JA"")"),"呼気緩和時間")</f>
        <v>呼気緩和時間</v>
      </c>
      <c r="J1707" s="1" t="str">
        <f>IFERROR(__xludf.DUMMYFUNCTION("GOOGLETRANSLATE(F1707,""EN"",""JA"")"),"呼気開始から測定して、総呼気量の 63.2% を呼気するのに必要な時間。")</f>
        <v>呼気開始から測定して、総呼気量の 63.2% を呼気するのに必要な時間。</v>
      </c>
      <c r="K1707" s="1" t="str">
        <f>IFERROR(__xludf.DUMMYFUNCTION("GOOGLETRANSLATE(G1707,""EN"",""JA"")"),"呼気緩和時間")</f>
        <v>呼気緩和時間</v>
      </c>
    </row>
    <row r="1708" ht="13.5" customHeight="1">
      <c r="A1708" s="1" t="s">
        <v>397</v>
      </c>
      <c r="B1708" s="1" t="s">
        <v>8611</v>
      </c>
      <c r="C1708" s="1" t="s">
        <v>8612</v>
      </c>
      <c r="D1708" s="1" t="s">
        <v>8613</v>
      </c>
      <c r="E1708" s="1" t="s">
        <v>8613</v>
      </c>
      <c r="F1708" s="1" t="s">
        <v>8614</v>
      </c>
      <c r="G1708" s="1" t="s">
        <v>8613</v>
      </c>
      <c r="H1708" s="1" t="str">
        <f>IFERROR(__xludf.DUMMYFUNCTION("GOOGLETRANSLATE(D1708,""EN"",""JA"")"),"延長試験指標")</f>
        <v>延長試験指標</v>
      </c>
      <c r="I1708" s="1" t="str">
        <f>IFERROR(__xludf.DUMMYFUNCTION("GOOGLETRANSLATE(E1708,""EN"",""JA"")"),"延長試験指標")</f>
        <v>延長試験指標</v>
      </c>
      <c r="J1708" s="1" t="str">
        <f>IFERROR(__xludf.DUMMYFUNCTION("GOOGLETRANSLATE(F1708,""EN"",""JA"")"),"臨床試験が延長試験であるかどうかを示します。")</f>
        <v>臨床試験が延長試験であるかどうかを示します。</v>
      </c>
      <c r="K1708" s="1" t="str">
        <f>IFERROR(__xludf.DUMMYFUNCTION("GOOGLETRANSLATE(G1708,""EN"",""JA"")"),"延長試験指標")</f>
        <v>延長試験指標</v>
      </c>
    </row>
    <row r="1709" ht="13.5" customHeight="1">
      <c r="A1709" s="1" t="s">
        <v>1997</v>
      </c>
      <c r="B1709" s="1" t="s">
        <v>8615</v>
      </c>
      <c r="C1709" s="1" t="s">
        <v>8616</v>
      </c>
      <c r="D1709" s="1" t="s">
        <v>8617</v>
      </c>
      <c r="E1709" s="1" t="s">
        <v>8617</v>
      </c>
      <c r="F1709" s="1" t="s">
        <v>8618</v>
      </c>
      <c r="G1709" s="1" t="s">
        <v>8617</v>
      </c>
      <c r="H1709" s="1" t="str">
        <f>IFERROR(__xludf.DUMMYFUNCTION("GOOGLETRANSLATE(D1709,""EN"",""JA"")"),"目薬コンフォートグレード")</f>
        <v>目薬コンフォートグレード</v>
      </c>
      <c r="I1709" s="1" t="str">
        <f>IFERROR(__xludf.DUMMYFUNCTION("GOOGLETRANSLATE(E1709,""EN"",""JA"")"),"目薬コンフォートグレード")</f>
        <v>目薬コンフォートグレード</v>
      </c>
      <c r="J1709" s="1" t="str">
        <f>IFERROR(__xludf.DUMMYFUNCTION("GOOGLETRANSLATE(F1709,""EN"",""JA"")"),"点眼薬の投与に伴う快適さの度合いを評価するスケール上の位置。")</f>
        <v>点眼薬の投与に伴う快適さの度合いを評価するスケール上の位置。</v>
      </c>
      <c r="K1709" s="1" t="str">
        <f>IFERROR(__xludf.DUMMYFUNCTION("GOOGLETRANSLATE(G1709,""EN"",""JA"")"),"目薬コンフォートグレード")</f>
        <v>目薬コンフォートグレード</v>
      </c>
    </row>
    <row r="1710" ht="13.5" customHeight="1">
      <c r="A1710" s="1" t="s">
        <v>11</v>
      </c>
      <c r="B1710" s="1" t="s">
        <v>8619</v>
      </c>
      <c r="C1710" s="1" t="s">
        <v>8620</v>
      </c>
      <c r="D1710" s="1" t="s">
        <v>8621</v>
      </c>
      <c r="E1710" s="1" t="s">
        <v>8621</v>
      </c>
      <c r="F1710" s="1" t="s">
        <v>8622</v>
      </c>
      <c r="G1710" s="1" t="s">
        <v>8623</v>
      </c>
      <c r="H1710" s="1" t="str">
        <f>IFERROR(__xludf.DUMMYFUNCTION("GOOGLETRANSLATE(D1710,""EN"",""JA"")"),"エゾガビン")</f>
        <v>エゾガビン</v>
      </c>
      <c r="I1710" s="1" t="str">
        <f>IFERROR(__xludf.DUMMYFUNCTION("GOOGLETRANSLATE(E1710,""EN"",""JA"")"),"エゾガビン")</f>
        <v>エゾガビン</v>
      </c>
      <c r="J1710" s="1" t="str">
        <f>IFERROR(__xludf.DUMMYFUNCTION("GOOGLETRANSLATE(F1710,""EN"",""JA"")"),"生物標本中のエゾガビンの測定。")</f>
        <v>生物標本中のエゾガビンの測定。</v>
      </c>
      <c r="K1710" s="1" t="str">
        <f>IFERROR(__xludf.DUMMYFUNCTION("GOOGLETRANSLATE(G1710,""EN"",""JA"")"),"エゾガビン測定")</f>
        <v>エゾガビン測定</v>
      </c>
    </row>
    <row r="1711" ht="13.5" customHeight="1">
      <c r="A1711" s="1" t="s">
        <v>11</v>
      </c>
      <c r="B1711" s="1" t="s">
        <v>8624</v>
      </c>
      <c r="C1711" s="1" t="s">
        <v>8625</v>
      </c>
      <c r="D1711" s="1" t="s">
        <v>8626</v>
      </c>
      <c r="E1711" s="1" t="s">
        <v>8627</v>
      </c>
      <c r="F1711" s="1" t="s">
        <v>8628</v>
      </c>
      <c r="G1711" s="1" t="s">
        <v>8629</v>
      </c>
      <c r="H1711" s="1" t="str">
        <f>IFERROR(__xludf.DUMMYFUNCTION("GOOGLETRANSLATE(D1711,""EN"",""JA"")"),"脂肪酸結合タンパク質1")</f>
        <v>脂肪酸結合タンパク質1</v>
      </c>
      <c r="I1711" s="1" t="str">
        <f>IFERROR(__xludf.DUMMYFUNCTION("GOOGLETRANSLATE(E1711,""EN"",""JA"")"),"FABP1; 脂肪酸結合タンパク質1; L-FABP; L型脂肪酸結合タンパク質; 肝脂肪酸結合タンパク質")</f>
        <v>FABP1; 脂肪酸結合タンパク質1; L-FABP; L型脂肪酸結合タンパク質; 肝脂肪酸結合タンパク質</v>
      </c>
      <c r="J1711" s="1" t="str">
        <f>IFERROR(__xludf.DUMMYFUNCTION("GOOGLETRANSLATE(F1711,""EN"",""JA"")"),"生物標本中の脂肪酸結合タンパク質 1 の測定。")</f>
        <v>生物標本中の脂肪酸結合タンパク質 1 の測定。</v>
      </c>
      <c r="K1711" s="1" t="str">
        <f>IFERROR(__xludf.DUMMYFUNCTION("GOOGLETRANSLATE(G1711,""EN"",""JA"")"),"脂肪酸結合タンパク質1の測定")</f>
        <v>脂肪酸結合タンパク質1の測定</v>
      </c>
    </row>
    <row r="1712" ht="13.5" customHeight="1">
      <c r="A1712" s="1" t="s">
        <v>11</v>
      </c>
      <c r="B1712" s="1" t="s">
        <v>8630</v>
      </c>
      <c r="C1712" s="1" t="s">
        <v>8631</v>
      </c>
      <c r="D1712" s="1" t="s">
        <v>8632</v>
      </c>
      <c r="E1712" s="1" t="s">
        <v>8633</v>
      </c>
      <c r="F1712" s="1" t="s">
        <v>8634</v>
      </c>
      <c r="G1712" s="1" t="s">
        <v>8635</v>
      </c>
      <c r="H1712" s="1" t="str">
        <f>IFERROR(__xludf.DUMMYFUNCTION("GOOGLETRANSLATE(D1712,""EN"",""JA"")"),"脂肪酸結合タンパク質3")</f>
        <v>脂肪酸結合タンパク質3</v>
      </c>
      <c r="I1712" s="1" t="str">
        <f>IFERROR(__xludf.DUMMYFUNCTION("GOOGLETRANSLATE(E1712,""EN"",""JA"")"),"FABP-11; 脂肪酸結合タンパク質3; 筋肉および心臓の脂肪酸結合タンパク質3; 心臓の脂肪酸結合タンパク質; H-FABP; 心臓型脂肪酸結合タンパク質; M-FABP")</f>
        <v>FABP-11; 脂肪酸結合タンパク質3; 筋肉および心臓の脂肪酸結合タンパク質3; 心臓の脂肪酸結合タンパク質; H-FABP; 心臓型脂肪酸結合タンパク質; M-FABP</v>
      </c>
      <c r="J1712" s="1" t="str">
        <f>IFERROR(__xludf.DUMMYFUNCTION("GOOGLETRANSLATE(F1712,""EN"",""JA"")"),"生物標本中の脂肪酸結合タンパク質 3 の測定。")</f>
        <v>生物標本中の脂肪酸結合タンパク質 3 の測定。</v>
      </c>
      <c r="K1712" s="1" t="str">
        <f>IFERROR(__xludf.DUMMYFUNCTION("GOOGLETRANSLATE(G1712,""EN"",""JA"")"),"脂肪酸結合タンパク質3の測定")</f>
        <v>脂肪酸結合タンパク質3の測定</v>
      </c>
    </row>
    <row r="1713" ht="13.5" customHeight="1">
      <c r="A1713" s="1" t="s">
        <v>11</v>
      </c>
      <c r="B1713" s="1" t="s">
        <v>8636</v>
      </c>
      <c r="C1713" s="1" t="s">
        <v>8637</v>
      </c>
      <c r="D1713" s="1" t="s">
        <v>8638</v>
      </c>
      <c r="E1713" s="1" t="s">
        <v>8639</v>
      </c>
      <c r="F1713" s="1" t="s">
        <v>8640</v>
      </c>
      <c r="G1713" s="1" t="s">
        <v>8641</v>
      </c>
      <c r="H1713" s="1" t="str">
        <f>IFERROR(__xludf.DUMMYFUNCTION("GOOGLETRANSLATE(D1713,""EN"",""JA"")"),"脂肪酸結合タンパク質4")</f>
        <v>脂肪酸結合タンパク質4</v>
      </c>
      <c r="I1713" s="1" t="str">
        <f>IFERROR(__xludf.DUMMYFUNCTION("GOOGLETRANSLATE(E1713,""EN"",""JA"")"),"A-FABP; 脂肪細胞型脂肪酸結合タンパク質; 脂肪酸結合タンパク質4; 脂肪細胞型脂肪酸結合タンパク質")</f>
        <v>A-FABP; 脂肪細胞型脂肪酸結合タンパク質; 脂肪酸結合タンパク質4; 脂肪細胞型脂肪酸結合タンパク質</v>
      </c>
      <c r="J1713" s="1" t="str">
        <f>IFERROR(__xludf.DUMMYFUNCTION("GOOGLETRANSLATE(F1713,""EN"",""JA"")"),"生物標本中の脂肪酸結合タンパク質 4 の測定。")</f>
        <v>生物標本中の脂肪酸結合タンパク質 4 の測定。</v>
      </c>
      <c r="K1713" s="1" t="str">
        <f>IFERROR(__xludf.DUMMYFUNCTION("GOOGLETRANSLATE(G1713,""EN"",""JA"")"),"脂肪酸結合タンパク質4の測定")</f>
        <v>脂肪酸結合タンパク質4の測定</v>
      </c>
    </row>
    <row r="1714" ht="13.5" customHeight="1">
      <c r="A1714" s="1" t="s">
        <v>870</v>
      </c>
      <c r="B1714" s="1" t="s">
        <v>8642</v>
      </c>
      <c r="C1714" s="1" t="s">
        <v>8643</v>
      </c>
      <c r="D1714" s="1" t="s">
        <v>8644</v>
      </c>
      <c r="E1714" s="1" t="s">
        <v>8644</v>
      </c>
      <c r="F1714" s="1" t="s">
        <v>8645</v>
      </c>
      <c r="G1714" s="1" t="s">
        <v>8644</v>
      </c>
      <c r="H1714" s="1" t="str">
        <f>IFERROR(__xludf.DUMMYFUNCTION("GOOGLETRANSLATE(D1714,""EN"",""JA"")"),"絶対バイオアベイラビリティ")</f>
        <v>絶対バイオアベイラビリティ</v>
      </c>
      <c r="I1714" s="1" t="str">
        <f>IFERROR(__xludf.DUMMYFUNCTION("GOOGLETRANSLATE(E1714,""EN"",""JA"")"),"絶対バイオアベイラビリティ")</f>
        <v>絶対バイオアベイラビリティ</v>
      </c>
      <c r="J1714" s="1" t="str">
        <f>IFERROR(__xludf.DUMMYFUNCTION("GOOGLETRANSLATE(F1714,""EN"",""JA"")"),"治療用量のうち全身循環に到達する割合。これは、試験製剤の血管外投与後の体内の薬物量（曲線下面積）を体内の薬物量（曲線下面積）で割った比率である。")</f>
        <v>治療用量のうち全身循環に到達する割合。これは、試験製剤の血管外投与後の体内の薬物量（曲線下面積）を体内の薬物量（曲線下面積）で割った比率である。</v>
      </c>
      <c r="K1714" s="1" t="str">
        <f>IFERROR(__xludf.DUMMYFUNCTION("GOOGLETRANSLATE(G1714,""EN"",""JA"")"),"絶対バイオアベイラビリティ")</f>
        <v>絶対バイオアベイラビリティ</v>
      </c>
    </row>
    <row r="1715" ht="13.5" customHeight="1">
      <c r="A1715" s="1" t="s">
        <v>90</v>
      </c>
      <c r="B1715" s="1" t="s">
        <v>8646</v>
      </c>
      <c r="C1715" s="1" t="s">
        <v>8647</v>
      </c>
      <c r="D1715" s="1" t="s">
        <v>8648</v>
      </c>
      <c r="E1715" s="1" t="s">
        <v>8648</v>
      </c>
      <c r="F1715" s="1" t="s">
        <v>8649</v>
      </c>
      <c r="G1715" s="1" t="s">
        <v>8648</v>
      </c>
      <c r="H1715" s="1" t="str">
        <f>IFERROR(__xludf.DUMMYFUNCTION("GOOGLETRANSLATE(D1715,""EN"",""JA"")"),"面積比の変化")</f>
        <v>面積比の変化</v>
      </c>
      <c r="I1715" s="1" t="str">
        <f>IFERROR(__xludf.DUMMYFUNCTION("GOOGLETRANSLATE(E1715,""EN"",""JA"")"),"面積比の変化")</f>
        <v>面積比の変化</v>
      </c>
      <c r="J1715" s="1" t="str">
        <f>IFERROR(__xludf.DUMMYFUNCTION("GOOGLETRANSLATE(F1715,""EN"",""JA"")"),"特定の構造の面積の減少率は、次の式で表されます: (EDA-ESA)/EDA × 100。ここで、EDA は拡張期末面積、ESA は収縮期末面積です。")</f>
        <v>特定の構造の面積の減少率は、次の式で表されます: (EDA-ESA)/EDA × 100。ここで、EDA は拡張期末面積、ESA は収縮期末面積です。</v>
      </c>
      <c r="K1715" s="1" t="str">
        <f>IFERROR(__xludf.DUMMYFUNCTION("GOOGLETRANSLATE(G1715,""EN"",""JA"")"),"面積比の変化")</f>
        <v>面積比の変化</v>
      </c>
    </row>
    <row r="1716" ht="13.5" customHeight="1">
      <c r="A1716" s="1" t="s">
        <v>176</v>
      </c>
      <c r="B1716" s="1" t="s">
        <v>8650</v>
      </c>
      <c r="C1716" s="1" t="s">
        <v>8651</v>
      </c>
      <c r="D1716" s="1" t="s">
        <v>8652</v>
      </c>
      <c r="E1716" s="1" t="s">
        <v>8652</v>
      </c>
      <c r="F1716" s="1" t="s">
        <v>8653</v>
      </c>
      <c r="G1716" s="1" t="s">
        <v>8654</v>
      </c>
      <c r="H1716" s="1" t="str">
        <f>IFERROR(__xludf.DUMMYFUNCTION("GOOGLETRANSLATE(D1716,""EN"",""JA"")"),"顔の左右対称")</f>
        <v>顔の左右対称</v>
      </c>
      <c r="I1716" s="1" t="str">
        <f>IFERROR(__xludf.DUMMYFUNCTION("GOOGLETRANSLATE(E1716,""EN"",""JA"")"),"顔の左右対称")</f>
        <v>顔の左右対称</v>
      </c>
      <c r="J1716" s="1" t="str">
        <f>IFERROR(__xludf.DUMMYFUNCTION("GOOGLETRANSLATE(F1716,""EN"",""JA"")"),"顔の相対する構造間の視覚的なバランスと比率を評価します。")</f>
        <v>顔の相対する構造間の視覚的なバランスと比率を評価します。</v>
      </c>
      <c r="K1716" s="1" t="str">
        <f>IFERROR(__xludf.DUMMYFUNCTION("GOOGLETRANSLATE(G1716,""EN"",""JA"")"),"顔の対称性評価")</f>
        <v>顔の対称性評価</v>
      </c>
    </row>
    <row r="1717" ht="13.5" customHeight="1">
      <c r="A1717" s="1" t="s">
        <v>11</v>
      </c>
      <c r="B1717" s="1" t="s">
        <v>8655</v>
      </c>
      <c r="C1717" s="1" t="s">
        <v>8656</v>
      </c>
      <c r="D1717" s="1" t="s">
        <v>8657</v>
      </c>
      <c r="E1717" s="1" t="s">
        <v>8658</v>
      </c>
      <c r="F1717" s="1" t="s">
        <v>8659</v>
      </c>
      <c r="G1717" s="1" t="s">
        <v>8660</v>
      </c>
      <c r="H1717" s="1" t="str">
        <f>IFERROR(__xludf.DUMMYFUNCTION("GOOGLETRANSLATE(D1717,""EN"",""JA"")"),"因子II")</f>
        <v>因子II</v>
      </c>
      <c r="I1717" s="1" t="str">
        <f>IFERROR(__xludf.DUMMYFUNCTION("GOOGLETRANSLATE(E1717,""EN"",""JA"")"),"第II因子; プロトロンビン")</f>
        <v>第II因子; プロトロンビン</v>
      </c>
      <c r="J1717" s="1" t="str">
        <f>IFERROR(__xludf.DUMMYFUNCTION("GOOGLETRANSLATE(F1717,""EN"",""JA"")"),"生物標本中の凝固因子 II の測定。")</f>
        <v>生物標本中の凝固因子 II の測定。</v>
      </c>
      <c r="K1717" s="1" t="str">
        <f>IFERROR(__xludf.DUMMYFUNCTION("GOOGLETRANSLATE(G1717,""EN"",""JA"")"),"プロトロンビン測定")</f>
        <v>プロトロンビン測定</v>
      </c>
    </row>
    <row r="1718" ht="13.5" customHeight="1">
      <c r="A1718" s="1" t="s">
        <v>11</v>
      </c>
      <c r="B1718" s="1" t="s">
        <v>8661</v>
      </c>
      <c r="C1718" s="1" t="s">
        <v>8662</v>
      </c>
      <c r="D1718" s="1" t="s">
        <v>8663</v>
      </c>
      <c r="E1718" s="1" t="s">
        <v>8664</v>
      </c>
      <c r="F1718" s="1" t="s">
        <v>8665</v>
      </c>
      <c r="G1718" s="1" t="s">
        <v>8666</v>
      </c>
      <c r="H1718" s="1" t="str">
        <f>IFERROR(__xludf.DUMMYFUNCTION("GOOGLETRANSLATE(D1718,""EN"",""JA"")"),"因子III")</f>
        <v>因子III</v>
      </c>
      <c r="I1718" s="1" t="str">
        <f>IFERROR(__xludf.DUMMYFUNCTION("GOOGLETRANSLATE(E1718,""EN"",""JA"")"),"因子III; 可溶性CD142; 組織因子、CD142")</f>
        <v>因子III; 可溶性CD142; 組織因子、CD142</v>
      </c>
      <c r="J1718" s="1" t="str">
        <f>IFERROR(__xludf.DUMMYFUNCTION("GOOGLETRANSLATE(F1718,""EN"",""JA"")"),"生物標本中の凝固因子 III の測定。")</f>
        <v>生物標本中の凝固因子 III の測定。</v>
      </c>
      <c r="K1718" s="1" t="str">
        <f>IFERROR(__xludf.DUMMYFUNCTION("GOOGLETRANSLATE(G1718,""EN"",""JA"")"),"因子III測定")</f>
        <v>因子III測定</v>
      </c>
    </row>
    <row r="1719" ht="13.5" customHeight="1">
      <c r="A1719" s="1" t="s">
        <v>11</v>
      </c>
      <c r="B1719" s="1" t="s">
        <v>8667</v>
      </c>
      <c r="C1719" s="1" t="s">
        <v>8668</v>
      </c>
      <c r="D1719" s="1" t="s">
        <v>8669</v>
      </c>
      <c r="E1719" s="1" t="s">
        <v>8670</v>
      </c>
      <c r="F1719" s="1" t="s">
        <v>8671</v>
      </c>
      <c r="G1719" s="1" t="s">
        <v>8672</v>
      </c>
      <c r="H1719" s="1" t="str">
        <f>IFERROR(__xludf.DUMMYFUNCTION("GOOGLETRANSLATE(D1719,""EN"",""JA"")"),"第IX因子")</f>
        <v>第IX因子</v>
      </c>
      <c r="I1719" s="1" t="str">
        <f>IFERROR(__xludf.DUMMYFUNCTION("GOOGLETRANSLATE(E1719,""EN"",""JA"")"),"クリスマス因子; 因子IX")</f>
        <v>クリスマス因子; 因子IX</v>
      </c>
      <c r="J1719" s="1" t="str">
        <f>IFERROR(__xludf.DUMMYFUNCTION("GOOGLETRANSLATE(F1719,""EN"",""JA"")"),"生物標本中の凝固因子IXの測定。")</f>
        <v>生物標本中の凝固因子IXの測定。</v>
      </c>
      <c r="K1719" s="1" t="str">
        <f>IFERROR(__xludf.DUMMYFUNCTION("GOOGLETRANSLATE(G1719,""EN"",""JA"")"),"第IX因子測定")</f>
        <v>第IX因子測定</v>
      </c>
    </row>
    <row r="1720" ht="13.5" customHeight="1">
      <c r="A1720" s="1" t="s">
        <v>11</v>
      </c>
      <c r="B1720" s="1" t="s">
        <v>8673</v>
      </c>
      <c r="C1720" s="1" t="s">
        <v>8674</v>
      </c>
      <c r="D1720" s="1" t="s">
        <v>8675</v>
      </c>
      <c r="E1720" s="1" t="s">
        <v>8676</v>
      </c>
      <c r="F1720" s="1" t="s">
        <v>8677</v>
      </c>
      <c r="G1720" s="1" t="s">
        <v>8678</v>
      </c>
      <c r="H1720" s="1" t="str">
        <f>IFERROR(__xludf.DUMMYFUNCTION("GOOGLETRANSLATE(D1720,""EN"",""JA"")"),"第IX因子活性")</f>
        <v>第IX因子活性</v>
      </c>
      <c r="I1720" s="1" t="str">
        <f>IFERROR(__xludf.DUMMYFUNCTION("GOOGLETRANSLATE(E1720,""EN"",""JA"")"),"クリスマス因子活性; 因子IX活性")</f>
        <v>クリスマス因子活性; 因子IX活性</v>
      </c>
      <c r="J1720" s="1" t="str">
        <f>IFERROR(__xludf.DUMMYFUNCTION("GOOGLETRANSLATE(F1720,""EN"",""JA"")"),"生物標本中の凝固因子IXの生物活性の測定。")</f>
        <v>生物標本中の凝固因子IXの生物活性の測定。</v>
      </c>
      <c r="K1720" s="1" t="str">
        <f>IFERROR(__xludf.DUMMYFUNCTION("GOOGLETRANSLATE(G1720,""EN"",""JA"")"),"第IX因子活性測定")</f>
        <v>第IX因子活性測定</v>
      </c>
    </row>
    <row r="1721" ht="13.5" customHeight="1">
      <c r="A1721" s="1" t="s">
        <v>11</v>
      </c>
      <c r="B1721" s="1" t="s">
        <v>8679</v>
      </c>
      <c r="C1721" s="1" t="s">
        <v>8680</v>
      </c>
      <c r="D1721" s="1" t="s">
        <v>8681</v>
      </c>
      <c r="E1721" s="1" t="s">
        <v>8682</v>
      </c>
      <c r="F1721" s="1" t="s">
        <v>8683</v>
      </c>
      <c r="G1721" s="1" t="s">
        <v>8684</v>
      </c>
      <c r="H1721" s="1" t="str">
        <f>IFERROR(__xludf.DUMMYFUNCTION("GOOGLETRANSLATE(D1721,""EN"",""JA"")"),"第V因子")</f>
        <v>第V因子</v>
      </c>
      <c r="I1721" s="1" t="str">
        <f>IFERROR(__xludf.DUMMYFUNCTION("GOOGLETRANSLATE(E1721,""EN"",""JA"")"),"第V因子; 不安定因子")</f>
        <v>第V因子; 不安定因子</v>
      </c>
      <c r="J1721" s="1" t="str">
        <f>IFERROR(__xludf.DUMMYFUNCTION("GOOGLETRANSLATE(F1721,""EN"",""JA"")"),"生物標本中の凝固因子 V の測定。")</f>
        <v>生物標本中の凝固因子 V の測定。</v>
      </c>
      <c r="K1721" s="1" t="str">
        <f>IFERROR(__xludf.DUMMYFUNCTION("GOOGLETRANSLATE(G1721,""EN"",""JA"")"),"第V因子測定")</f>
        <v>第V因子測定</v>
      </c>
    </row>
    <row r="1722" ht="13.5" customHeight="1">
      <c r="A1722" s="1" t="s">
        <v>11</v>
      </c>
      <c r="B1722" s="1" t="s">
        <v>8685</v>
      </c>
      <c r="C1722" s="1" t="s">
        <v>8686</v>
      </c>
      <c r="D1722" s="1" t="s">
        <v>8687</v>
      </c>
      <c r="E1722" s="1" t="s">
        <v>8688</v>
      </c>
      <c r="F1722" s="1" t="s">
        <v>8689</v>
      </c>
      <c r="G1722" s="1" t="s">
        <v>8690</v>
      </c>
      <c r="H1722" s="1" t="str">
        <f>IFERROR(__xludf.DUMMYFUNCTION("GOOGLETRANSLATE(D1722,""EN"",""JA"")"),"第V因子活性")</f>
        <v>第V因子活性</v>
      </c>
      <c r="I1722" s="1" t="str">
        <f>IFERROR(__xludf.DUMMYFUNCTION("GOOGLETRANSLATE(E1722,""EN"",""JA"")"),"第V因子活性; 不安定因子活性")</f>
        <v>第V因子活性; 不安定因子活性</v>
      </c>
      <c r="J1722" s="1" t="str">
        <f>IFERROR(__xludf.DUMMYFUNCTION("GOOGLETRANSLATE(F1722,""EN"",""JA"")"),"生物標本中の凝固因子 V の生物活性の測定。")</f>
        <v>生物標本中の凝固因子 V の生物活性の測定。</v>
      </c>
      <c r="K1722" s="1" t="str">
        <f>IFERROR(__xludf.DUMMYFUNCTION("GOOGLETRANSLATE(G1722,""EN"",""JA"")"),"第V因子活性測定")</f>
        <v>第V因子活性測定</v>
      </c>
    </row>
    <row r="1723" ht="13.5" customHeight="1">
      <c r="A1723" s="1" t="s">
        <v>11</v>
      </c>
      <c r="B1723" s="1" t="s">
        <v>8691</v>
      </c>
      <c r="C1723" s="1" t="s">
        <v>8692</v>
      </c>
      <c r="D1723" s="1" t="s">
        <v>8693</v>
      </c>
      <c r="E1723" s="1" t="s">
        <v>8694</v>
      </c>
      <c r="F1723" s="1" t="s">
        <v>8695</v>
      </c>
      <c r="G1723" s="1" t="s">
        <v>8696</v>
      </c>
      <c r="H1723" s="1" t="str">
        <f>IFERROR(__xludf.DUMMYFUNCTION("GOOGLETRANSLATE(D1723,""EN"",""JA"")"),"第VII因子")</f>
        <v>第VII因子</v>
      </c>
      <c r="I1723" s="1" t="str">
        <f>IFERROR(__xludf.DUMMYFUNCTION("GOOGLETRANSLATE(E1723,""EN"",""JA"")"),"第VII因子; プロコンバーチン; 安定因子")</f>
        <v>第VII因子; プロコンバーチン; 安定因子</v>
      </c>
      <c r="J1723" s="1" t="str">
        <f>IFERROR(__xludf.DUMMYFUNCTION("GOOGLETRANSLATE(F1723,""EN"",""JA"")"),"生物標本中の凝固因子 VII の測定。")</f>
        <v>生物標本中の凝固因子 VII の測定。</v>
      </c>
      <c r="K1723" s="1" t="str">
        <f>IFERROR(__xludf.DUMMYFUNCTION("GOOGLETRANSLATE(G1723,""EN"",""JA"")"),"第VII因子測定")</f>
        <v>第VII因子測定</v>
      </c>
    </row>
    <row r="1724" ht="13.5" customHeight="1">
      <c r="A1724" s="1" t="s">
        <v>11</v>
      </c>
      <c r="B1724" s="1" t="s">
        <v>8697</v>
      </c>
      <c r="C1724" s="1" t="s">
        <v>8698</v>
      </c>
      <c r="D1724" s="1" t="s">
        <v>8699</v>
      </c>
      <c r="E1724" s="1" t="s">
        <v>8700</v>
      </c>
      <c r="F1724" s="1" t="s">
        <v>8701</v>
      </c>
      <c r="G1724" s="1" t="s">
        <v>8702</v>
      </c>
      <c r="H1724" s="1" t="str">
        <f>IFERROR(__xludf.DUMMYFUNCTION("GOOGLETRANSLATE(D1724,""EN"",""JA"")"),"第VII因子活性")</f>
        <v>第VII因子活性</v>
      </c>
      <c r="I1724" s="1" t="str">
        <f>IFERROR(__xludf.DUMMYFUNCTION("GOOGLETRANSLATE(E1724,""EN"",""JA"")"),"第VII因子活性、プロコンバーチン活性、安定因子活性")</f>
        <v>第VII因子活性、プロコンバーチン活性、安定因子活性</v>
      </c>
      <c r="J1724" s="1" t="str">
        <f>IFERROR(__xludf.DUMMYFUNCTION("GOOGLETRANSLATE(F1724,""EN"",""JA"")"),"生物標本中の凝固因子 VII の生物活性の測定。")</f>
        <v>生物標本中の凝固因子 VII の生物活性の測定。</v>
      </c>
      <c r="K1724" s="1" t="str">
        <f>IFERROR(__xludf.DUMMYFUNCTION("GOOGLETRANSLATE(G1724,""EN"",""JA"")"),"第VII因子活性測定")</f>
        <v>第VII因子活性測定</v>
      </c>
    </row>
    <row r="1725" ht="13.5" customHeight="1">
      <c r="A1725" s="1" t="s">
        <v>11</v>
      </c>
      <c r="B1725" s="1" t="s">
        <v>8703</v>
      </c>
      <c r="C1725" s="1" t="s">
        <v>8704</v>
      </c>
      <c r="D1725" s="1" t="s">
        <v>8705</v>
      </c>
      <c r="E1725" s="1" t="s">
        <v>8706</v>
      </c>
      <c r="F1725" s="1" t="s">
        <v>8707</v>
      </c>
      <c r="G1725" s="1" t="s">
        <v>8708</v>
      </c>
      <c r="H1725" s="1" t="str">
        <f>IFERROR(__xludf.DUMMYFUNCTION("GOOGLETRANSLATE(D1725,""EN"",""JA"")"),"第VIII因子")</f>
        <v>第VIII因子</v>
      </c>
      <c r="I1725" s="1" t="str">
        <f>IFERROR(__xludf.DUMMYFUNCTION("GOOGLETRANSLATE(E1725,""EN"",""JA"")"),"抗血友病因子;第 VIII 因子")</f>
        <v>抗血友病因子;第 VIII 因子</v>
      </c>
      <c r="J1725" s="1" t="str">
        <f>IFERROR(__xludf.DUMMYFUNCTION("GOOGLETRANSLATE(F1725,""EN"",""JA"")"),"生物標本中の凝固因子 VIII の測定。")</f>
        <v>生物標本中の凝固因子 VIII の測定。</v>
      </c>
      <c r="K1725" s="1" t="str">
        <f>IFERROR(__xludf.DUMMYFUNCTION("GOOGLETRANSLATE(G1725,""EN"",""JA"")"),"第VIII因子測定")</f>
        <v>第VIII因子測定</v>
      </c>
    </row>
    <row r="1726" ht="13.5" customHeight="1">
      <c r="A1726" s="1" t="s">
        <v>11</v>
      </c>
      <c r="B1726" s="1" t="s">
        <v>8709</v>
      </c>
      <c r="C1726" s="1" t="s">
        <v>8710</v>
      </c>
      <c r="D1726" s="1" t="s">
        <v>8711</v>
      </c>
      <c r="E1726" s="1" t="s">
        <v>8711</v>
      </c>
      <c r="F1726" s="1" t="s">
        <v>8712</v>
      </c>
      <c r="G1726" s="1" t="s">
        <v>8713</v>
      </c>
      <c r="H1726" s="1" t="str">
        <f>IFERROR(__xludf.DUMMYFUNCTION("GOOGLETRANSLATE(D1726,""EN"",""JA"")"),"ファクターVライデン")</f>
        <v>ファクターVライデン</v>
      </c>
      <c r="I1726" s="1" t="str">
        <f>IFERROR(__xludf.DUMMYFUNCTION("GOOGLETRANSLATE(E1726,""EN"",""JA"")"),"ファクターVライデン")</f>
        <v>ファクターVライデン</v>
      </c>
      <c r="J1726" s="1" t="str">
        <f>IFERROR(__xludf.DUMMYFUNCTION("GOOGLETRANSLATE(F1726,""EN"",""JA"")"),"生物標本中の凝固因子 V ライデンの測定。")</f>
        <v>生物標本中の凝固因子 V ライデンの測定。</v>
      </c>
      <c r="K1726" s="1" t="str">
        <f>IFERROR(__xludf.DUMMYFUNCTION("GOOGLETRANSLATE(G1726,""EN"",""JA"")"),"第V因子ライデン測定")</f>
        <v>第V因子ライデン測定</v>
      </c>
    </row>
    <row r="1727" ht="13.5" customHeight="1">
      <c r="A1727" s="1" t="s">
        <v>11</v>
      </c>
      <c r="B1727" s="1" t="s">
        <v>8714</v>
      </c>
      <c r="C1727" s="1" t="s">
        <v>8715</v>
      </c>
      <c r="D1727" s="1" t="s">
        <v>8716</v>
      </c>
      <c r="E1727" s="1" t="s">
        <v>8717</v>
      </c>
      <c r="F1727" s="1" t="s">
        <v>8718</v>
      </c>
      <c r="G1727" s="1" t="s">
        <v>8719</v>
      </c>
      <c r="H1727" s="1" t="str">
        <f>IFERROR(__xludf.DUMMYFUNCTION("GOOGLETRANSLATE(D1727,""EN"",""JA"")"),"フォン・ヴィレブランド因子")</f>
        <v>フォン・ヴィレブランド因子</v>
      </c>
      <c r="I1727" s="1" t="str">
        <f>IFERROR(__xludf.DUMMYFUNCTION("GOOGLETRANSLATE(E1727,""EN"",""JA"")"),"フォン・ヴィレブランド因子; フォン・ヴィレブランド因子抗原")</f>
        <v>フォン・ヴィレブランド因子; フォン・ヴィレブランド因子抗原</v>
      </c>
      <c r="J1727" s="1" t="str">
        <f>IFERROR(__xludf.DUMMYFUNCTION("GOOGLETRANSLATE(F1727,""EN"",""JA"")"),"生物標本中のフォン・ヴィレブランド凝固因子の測定。")</f>
        <v>生物標本中のフォン・ヴィレブランド凝固因子の測定。</v>
      </c>
      <c r="K1727" s="1" t="str">
        <f>IFERROR(__xludf.DUMMYFUNCTION("GOOGLETRANSLATE(G1727,""EN"",""JA"")"),"フォン・ヴィレブランド因子測定")</f>
        <v>フォン・ヴィレブランド因子測定</v>
      </c>
    </row>
    <row r="1728" ht="13.5" customHeight="1">
      <c r="A1728" s="1" t="s">
        <v>11</v>
      </c>
      <c r="B1728" s="1" t="s">
        <v>8720</v>
      </c>
      <c r="C1728" s="1" t="s">
        <v>8721</v>
      </c>
      <c r="D1728" s="1" t="s">
        <v>8722</v>
      </c>
      <c r="E1728" s="1" t="s">
        <v>8722</v>
      </c>
      <c r="F1728" s="1" t="s">
        <v>8723</v>
      </c>
      <c r="G1728" s="1" t="s">
        <v>8724</v>
      </c>
      <c r="H1728" s="1" t="str">
        <f>IFERROR(__xludf.DUMMYFUNCTION("GOOGLETRANSLATE(D1728,""EN"",""JA"")"),"フォン・ヴィレブランド因子活性")</f>
        <v>フォン・ヴィレブランド因子活性</v>
      </c>
      <c r="I1728" s="1" t="str">
        <f>IFERROR(__xludf.DUMMYFUNCTION("GOOGLETRANSLATE(E1728,""EN"",""JA"")"),"フォン・ヴィレブランド因子活性")</f>
        <v>フォン・ヴィレブランド因子活性</v>
      </c>
      <c r="J1728" s="1" t="str">
        <f>IFERROR(__xludf.DUMMYFUNCTION("GOOGLETRANSLATE(F1728,""EN"",""JA"")"),"生物標本中のフォン・ヴィレブランド凝固因子の生物活性の測定。")</f>
        <v>生物標本中のフォン・ヴィレブランド凝固因子の生物活性の測定。</v>
      </c>
      <c r="K1728" s="1" t="str">
        <f>IFERROR(__xludf.DUMMYFUNCTION("GOOGLETRANSLATE(G1728,""EN"",""JA"")"),"フォン・ヴィレブランド因子活性測定")</f>
        <v>フォン・ヴィレブランド因子活性測定</v>
      </c>
    </row>
    <row r="1729" ht="13.5" customHeight="1">
      <c r="A1729" s="1" t="s">
        <v>11</v>
      </c>
      <c r="B1729" s="1" t="s">
        <v>8725</v>
      </c>
      <c r="C1729" s="1" t="s">
        <v>8726</v>
      </c>
      <c r="D1729" s="1" t="s">
        <v>8727</v>
      </c>
      <c r="E1729" s="1" t="s">
        <v>8727</v>
      </c>
      <c r="F1729" s="1" t="s">
        <v>8728</v>
      </c>
      <c r="G1729" s="1" t="s">
        <v>8729</v>
      </c>
      <c r="H1729" s="1" t="str">
        <f>IFERROR(__xludf.DUMMYFUNCTION("GOOGLETRANSLATE(D1729,""EN"",""JA"")"),"フォン・ヴィレブランド因子多量体")</f>
        <v>フォン・ヴィレブランド因子多量体</v>
      </c>
      <c r="I1729" s="1" t="str">
        <f>IFERROR(__xludf.DUMMYFUNCTION("GOOGLETRANSLATE(E1729,""EN"",""JA"")"),"フォン・ヴィレブランド因子多量体")</f>
        <v>フォン・ヴィレブランド因子多量体</v>
      </c>
      <c r="J1729" s="1" t="str">
        <f>IFERROR(__xludf.DUMMYFUNCTION("GOOGLETRANSLATE(F1729,""EN"",""JA"")"),"生物標本中のフォン ヴィレブランド因子多量体 (非共有結合で結合した複数のフォン ヴィレブランド因子抗原の集合体) の測定。")</f>
        <v>生物標本中のフォン ヴィレブランド因子多量体 (非共有結合で結合した複数のフォン ヴィレブランド因子抗原の集合体) の測定。</v>
      </c>
      <c r="K1729" s="1" t="str">
        <f>IFERROR(__xludf.DUMMYFUNCTION("GOOGLETRANSLATE(G1729,""EN"",""JA"")"),"フォン・ヴィレブランド因子マルチマー測定")</f>
        <v>フォン・ヴィレブランド因子マルチマー測定</v>
      </c>
    </row>
    <row r="1730" ht="13.5" customHeight="1">
      <c r="A1730" s="1" t="s">
        <v>11</v>
      </c>
      <c r="B1730" s="1" t="s">
        <v>8730</v>
      </c>
      <c r="C1730" s="1" t="s">
        <v>8731</v>
      </c>
      <c r="D1730" s="1" t="s">
        <v>8732</v>
      </c>
      <c r="E1730" s="1" t="s">
        <v>8732</v>
      </c>
      <c r="F1730" s="1" t="s">
        <v>8733</v>
      </c>
      <c r="G1730" s="1" t="s">
        <v>8734</v>
      </c>
      <c r="H1730" s="1" t="str">
        <f>IFERROR(__xludf.DUMMYFUNCTION("GOOGLETRANSLATE(D1730,""EN"",""JA"")"),"ファクターX")</f>
        <v>ファクターX</v>
      </c>
      <c r="I1730" s="1" t="str">
        <f>IFERROR(__xludf.DUMMYFUNCTION("GOOGLETRANSLATE(E1730,""EN"",""JA"")"),"ファクターX")</f>
        <v>ファクターX</v>
      </c>
      <c r="J1730" s="1" t="str">
        <f>IFERROR(__xludf.DUMMYFUNCTION("GOOGLETRANSLATE(F1730,""EN"",""JA"")"),"生物標本中の凝固因子Xの測定。")</f>
        <v>生物標本中の凝固因子Xの測定。</v>
      </c>
      <c r="K1730" s="1" t="str">
        <f>IFERROR(__xludf.DUMMYFUNCTION("GOOGLETRANSLATE(G1730,""EN"",""JA"")"),"ファクターX測定")</f>
        <v>ファクターX測定</v>
      </c>
    </row>
    <row r="1731" ht="13.5" customHeight="1">
      <c r="A1731" s="1" t="s">
        <v>11</v>
      </c>
      <c r="B1731" s="1" t="s">
        <v>8735</v>
      </c>
      <c r="C1731" s="1" t="s">
        <v>8736</v>
      </c>
      <c r="D1731" s="1" t="s">
        <v>8737</v>
      </c>
      <c r="E1731" s="1" t="s">
        <v>8737</v>
      </c>
      <c r="F1731" s="1" t="s">
        <v>8738</v>
      </c>
      <c r="G1731" s="1" t="s">
        <v>8739</v>
      </c>
      <c r="H1731" s="1" t="str">
        <f>IFERROR(__xludf.DUMMYFUNCTION("GOOGLETRANSLATE(D1731,""EN"",""JA"")"),"因子X活性")</f>
        <v>因子X活性</v>
      </c>
      <c r="I1731" s="1" t="str">
        <f>IFERROR(__xludf.DUMMYFUNCTION("GOOGLETRANSLATE(E1731,""EN"",""JA"")"),"因子X活性")</f>
        <v>因子X活性</v>
      </c>
      <c r="J1731" s="1" t="str">
        <f>IFERROR(__xludf.DUMMYFUNCTION("GOOGLETRANSLATE(F1731,""EN"",""JA"")"),"生物標本中の凝固因子Xの生物活性の測定。")</f>
        <v>生物標本中の凝固因子Xの生物活性の測定。</v>
      </c>
      <c r="K1731" s="1" t="str">
        <f>IFERROR(__xludf.DUMMYFUNCTION("GOOGLETRANSLATE(G1731,""EN"",""JA"")"),"因子X活性測定")</f>
        <v>因子X活性測定</v>
      </c>
    </row>
    <row r="1732" ht="13.5" customHeight="1">
      <c r="A1732" s="1" t="s">
        <v>11</v>
      </c>
      <c r="B1732" s="1" t="s">
        <v>8740</v>
      </c>
      <c r="C1732" s="1" t="s">
        <v>8741</v>
      </c>
      <c r="D1732" s="1" t="s">
        <v>8742</v>
      </c>
      <c r="E1732" s="1" t="s">
        <v>8742</v>
      </c>
      <c r="F1732" s="1" t="s">
        <v>8743</v>
      </c>
      <c r="G1732" s="1" t="s">
        <v>8744</v>
      </c>
      <c r="H1732" s="1" t="str">
        <f>IFERROR(__xludf.DUMMYFUNCTION("GOOGLETRANSLATE(D1732,""EN"",""JA"")"),"第XI因子")</f>
        <v>第XI因子</v>
      </c>
      <c r="I1732" s="1" t="str">
        <f>IFERROR(__xludf.DUMMYFUNCTION("GOOGLETRANSLATE(E1732,""EN"",""JA"")"),"第XI因子")</f>
        <v>第XI因子</v>
      </c>
      <c r="J1732" s="1" t="str">
        <f>IFERROR(__xludf.DUMMYFUNCTION("GOOGLETRANSLATE(F1732,""EN"",""JA"")"),"生物学的標本中の第XI因子の測定。")</f>
        <v>生物学的標本中の第XI因子の測定。</v>
      </c>
      <c r="K1732" s="1" t="str">
        <f>IFERROR(__xludf.DUMMYFUNCTION("GOOGLETRANSLATE(G1732,""EN"",""JA"")"),"第XI因子測定")</f>
        <v>第XI因子測定</v>
      </c>
    </row>
    <row r="1733" ht="13.5" customHeight="1">
      <c r="A1733" s="1" t="s">
        <v>11</v>
      </c>
      <c r="B1733" s="1" t="s">
        <v>8745</v>
      </c>
      <c r="C1733" s="1" t="s">
        <v>8746</v>
      </c>
      <c r="D1733" s="1" t="s">
        <v>8747</v>
      </c>
      <c r="E1733" s="1" t="s">
        <v>8748</v>
      </c>
      <c r="F1733" s="1" t="s">
        <v>8749</v>
      </c>
      <c r="G1733" s="1" t="s">
        <v>8750</v>
      </c>
      <c r="H1733" s="1" t="str">
        <f>IFERROR(__xludf.DUMMYFUNCTION("GOOGLETRANSLATE(D1733,""EN"",""JA"")"),"第XI因子活性")</f>
        <v>第XI因子活性</v>
      </c>
      <c r="I1733" s="1" t="str">
        <f>IFERROR(__xludf.DUMMYFUNCTION("GOOGLETRANSLATE(E1733,""EN"",""JA"")"),"第XI因子活性; 第XIa因子活性")</f>
        <v>第XI因子活性; 第XIa因子活性</v>
      </c>
      <c r="J1733" s="1" t="str">
        <f>IFERROR(__xludf.DUMMYFUNCTION("GOOGLETRANSLATE(F1733,""EN"",""JA"")"),"生物標本中の凝固因子XIの生物活性の測定。")</f>
        <v>生物標本中の凝固因子XIの生物活性の測定。</v>
      </c>
      <c r="K1733" s="1" t="str">
        <f>IFERROR(__xludf.DUMMYFUNCTION("GOOGLETRANSLATE(G1733,""EN"",""JA"")"),"第XI因子活性測定")</f>
        <v>第XI因子活性測定</v>
      </c>
    </row>
    <row r="1734" ht="13.5" customHeight="1">
      <c r="A1734" s="1" t="s">
        <v>11</v>
      </c>
      <c r="B1734" s="1" t="s">
        <v>8751</v>
      </c>
      <c r="C1734" s="1" t="s">
        <v>8752</v>
      </c>
      <c r="D1734" s="1" t="s">
        <v>8753</v>
      </c>
      <c r="E1734" s="1" t="s">
        <v>8753</v>
      </c>
      <c r="F1734" s="1" t="s">
        <v>8754</v>
      </c>
      <c r="G1734" s="1" t="s">
        <v>8755</v>
      </c>
      <c r="H1734" s="1" t="str">
        <f>IFERROR(__xludf.DUMMYFUNCTION("GOOGLETRANSLATE(D1734,""EN"",""JA"")"),"第XII因子")</f>
        <v>第XII因子</v>
      </c>
      <c r="I1734" s="1" t="str">
        <f>IFERROR(__xludf.DUMMYFUNCTION("GOOGLETRANSLATE(E1734,""EN"",""JA"")"),"第XII因子")</f>
        <v>第XII因子</v>
      </c>
      <c r="J1734" s="1" t="str">
        <f>IFERROR(__xludf.DUMMYFUNCTION("GOOGLETRANSLATE(F1734,""EN"",""JA"")"),"生物学的標本中の第 XII 因子の測定。")</f>
        <v>生物学的標本中の第 XII 因子の測定。</v>
      </c>
      <c r="K1734" s="1" t="str">
        <f>IFERROR(__xludf.DUMMYFUNCTION("GOOGLETRANSLATE(G1734,""EN"",""JA"")"),"第XII因子測定")</f>
        <v>第XII因子測定</v>
      </c>
    </row>
    <row r="1735" ht="13.5" customHeight="1">
      <c r="A1735" s="1" t="s">
        <v>11</v>
      </c>
      <c r="B1735" s="1" t="s">
        <v>8756</v>
      </c>
      <c r="C1735" s="1" t="s">
        <v>8757</v>
      </c>
      <c r="D1735" s="1" t="s">
        <v>8758</v>
      </c>
      <c r="E1735" s="1" t="s">
        <v>8758</v>
      </c>
      <c r="F1735" s="1" t="s">
        <v>8759</v>
      </c>
      <c r="G1735" s="1" t="s">
        <v>8760</v>
      </c>
      <c r="H1735" s="1" t="str">
        <f>IFERROR(__xludf.DUMMYFUNCTION("GOOGLETRANSLATE(D1735,""EN"",""JA"")"),"第XII因子活性")</f>
        <v>第XII因子活性</v>
      </c>
      <c r="I1735" s="1" t="str">
        <f>IFERROR(__xludf.DUMMYFUNCTION("GOOGLETRANSLATE(E1735,""EN"",""JA"")"),"第XII因子活性")</f>
        <v>第XII因子活性</v>
      </c>
      <c r="J1735" s="1" t="str">
        <f>IFERROR(__xludf.DUMMYFUNCTION("GOOGLETRANSLATE(F1735,""EN"",""JA"")"),"生物標本中の凝固因子 XII の生物活性の測定。")</f>
        <v>生物標本中の凝固因子 XII の生物活性の測定。</v>
      </c>
      <c r="K1735" s="1" t="str">
        <f>IFERROR(__xludf.DUMMYFUNCTION("GOOGLETRANSLATE(G1735,""EN"",""JA"")"),"第XII因子活性測定")</f>
        <v>第XII因子活性測定</v>
      </c>
    </row>
    <row r="1736" ht="13.5" customHeight="1">
      <c r="A1736" s="1" t="s">
        <v>11</v>
      </c>
      <c r="B1736" s="1" t="s">
        <v>8761</v>
      </c>
      <c r="C1736" s="1" t="s">
        <v>8762</v>
      </c>
      <c r="D1736" s="1" t="s">
        <v>8763</v>
      </c>
      <c r="E1736" s="1" t="s">
        <v>8764</v>
      </c>
      <c r="F1736" s="1" t="s">
        <v>8765</v>
      </c>
      <c r="G1736" s="1" t="s">
        <v>8766</v>
      </c>
      <c r="H1736" s="1" t="str">
        <f>IFERROR(__xludf.DUMMYFUNCTION("GOOGLETRANSLATE(D1736,""EN"",""JA"")"),"第XIII因子")</f>
        <v>第XIII因子</v>
      </c>
      <c r="I1736" s="1" t="str">
        <f>IFERROR(__xludf.DUMMYFUNCTION("GOOGLETRANSLATE(E1736,""EN"",""JA"")"),"第XIII因子; フィブリン安定因子")</f>
        <v>第XIII因子; フィブリン安定因子</v>
      </c>
      <c r="J1736" s="1" t="str">
        <f>IFERROR(__xludf.DUMMYFUNCTION("GOOGLETRANSLATE(F1736,""EN"",""JA"")"),"生物標本中の凝固因子 XIII の測定。")</f>
        <v>生物標本中の凝固因子 XIII の測定。</v>
      </c>
      <c r="K1736" s="1" t="str">
        <f>IFERROR(__xludf.DUMMYFUNCTION("GOOGLETRANSLATE(G1736,""EN"",""JA"")"),"第XIII因子測定")</f>
        <v>第XIII因子測定</v>
      </c>
    </row>
    <row r="1737" ht="13.5" customHeight="1">
      <c r="A1737" s="1" t="s">
        <v>11</v>
      </c>
      <c r="B1737" s="1" t="s">
        <v>8767</v>
      </c>
      <c r="C1737" s="1" t="s">
        <v>8768</v>
      </c>
      <c r="D1737" s="1" t="s">
        <v>8769</v>
      </c>
      <c r="E1737" s="1" t="s">
        <v>8770</v>
      </c>
      <c r="F1737" s="1" t="s">
        <v>8771</v>
      </c>
      <c r="G1737" s="1" t="s">
        <v>8772</v>
      </c>
      <c r="H1737" s="1" t="str">
        <f>IFERROR(__xludf.DUMMYFUNCTION("GOOGLETRANSLATE(D1737,""EN"",""JA"")"),"第XIV因子")</f>
        <v>第XIV因子</v>
      </c>
      <c r="I1737" s="1" t="str">
        <f>IFERROR(__xludf.DUMMYFUNCTION("GOOGLETRANSLATE(E1737,""EN"",""JA"")"),"オートプロトロンビンIIA; 第XIV因子; プロテインC; プロテインC抗原; プロテインC、凝固因子VaおよびVIIIaの不活化因子")</f>
        <v>オートプロトロンビンIIA; 第XIV因子; プロテインC; プロテインC抗原; プロテインC、凝固因子VaおよびVIIIaの不活化因子</v>
      </c>
      <c r="J1737" s="1" t="str">
        <f>IFERROR(__xludf.DUMMYFUNCTION("GOOGLETRANSLATE(F1737,""EN"",""JA"")"),"生物標本中の凝固因子 XIV の測定。")</f>
        <v>生物標本中の凝固因子 XIV の測定。</v>
      </c>
      <c r="K1737" s="1" t="str">
        <f>IFERROR(__xludf.DUMMYFUNCTION("GOOGLETRANSLATE(G1737,""EN"",""JA"")"),"第XIV因子測定")</f>
        <v>第XIV因子測定</v>
      </c>
    </row>
    <row r="1738" ht="13.5" customHeight="1">
      <c r="A1738" s="1" t="s">
        <v>11</v>
      </c>
      <c r="B1738" s="1" t="s">
        <v>8773</v>
      </c>
      <c r="C1738" s="1" t="s">
        <v>8774</v>
      </c>
      <c r="D1738" s="1" t="s">
        <v>8775</v>
      </c>
      <c r="E1738" s="1" t="s">
        <v>8776</v>
      </c>
      <c r="F1738" s="1" t="s">
        <v>8777</v>
      </c>
      <c r="G1738" s="1" t="s">
        <v>8778</v>
      </c>
      <c r="H1738" s="1" t="str">
        <f>IFERROR(__xludf.DUMMYFUNCTION("GOOGLETRANSLATE(D1738,""EN"",""JA"")"),"第XIV因子活性")</f>
        <v>第XIV因子活性</v>
      </c>
      <c r="I1738" s="1" t="str">
        <f>IFERROR(__xludf.DUMMYFUNCTION("GOOGLETRANSLATE(E1738,""EN"",""JA"")"),"第XIV因子活性; プロテインC活性; プロテインC機能")</f>
        <v>第XIV因子活性; プロテインC活性; プロテインC機能</v>
      </c>
      <c r="J1738" s="1" t="str">
        <f>IFERROR(__xludf.DUMMYFUNCTION("GOOGLETRANSLATE(F1738,""EN"",""JA"")"),"生物標本中の凝固因子 XIV の生物活性の測定。")</f>
        <v>生物標本中の凝固因子 XIV の生物活性の測定。</v>
      </c>
      <c r="K1738" s="1" t="str">
        <f>IFERROR(__xludf.DUMMYFUNCTION("GOOGLETRANSLATE(G1738,""EN"",""JA"")"),"因子XIV活性測定")</f>
        <v>因子XIV活性測定</v>
      </c>
    </row>
    <row r="1739" ht="13.5" customHeight="1">
      <c r="A1739" s="1" t="s">
        <v>11</v>
      </c>
      <c r="B1739" s="1" t="s">
        <v>8779</v>
      </c>
      <c r="C1739" s="1" t="s">
        <v>8780</v>
      </c>
      <c r="D1739" s="1" t="s">
        <v>8781</v>
      </c>
      <c r="E1739" s="1" t="s">
        <v>8781</v>
      </c>
      <c r="F1739" s="1" t="s">
        <v>8782</v>
      </c>
      <c r="G1739" s="1" t="s">
        <v>8781</v>
      </c>
      <c r="H1739" s="1" t="str">
        <f>IFERROR(__xludf.DUMMYFUNCTION("GOOGLETRANSLATE(D1739,""EN"",""JA"")"),"フリーアンドロゲンインデックス")</f>
        <v>フリーアンドロゲンインデックス</v>
      </c>
      <c r="I1739" s="1" t="str">
        <f>IFERROR(__xludf.DUMMYFUNCTION("GOOGLETRANSLATE(E1739,""EN"",""JA"")"),"フリーアンドロゲンインデックス")</f>
        <v>フリーアンドロゲンインデックス</v>
      </c>
      <c r="J1739" s="1" t="str">
        <f>IFERROR(__xludf.DUMMYFUNCTION("GOOGLETRANSLATE(F1739,""EN"",""JA"")"),"生物学的標本におけるアンドロゲン状態の測定値。総テストステロン値、性ホルモン結合グロブリン、および定数を考慮した数式によって算出されます。")</f>
        <v>生物学的標本におけるアンドロゲン状態の測定値。総テストステロン値、性ホルモン結合グロブリン、および定数を考慮した数式によって算出されます。</v>
      </c>
      <c r="K1739" s="1" t="str">
        <f>IFERROR(__xludf.DUMMYFUNCTION("GOOGLETRANSLATE(G1739,""EN"",""JA"")"),"フリーアンドロゲンインデックス")</f>
        <v>フリーアンドロゲンインデックス</v>
      </c>
    </row>
    <row r="1740" ht="13.5" customHeight="1">
      <c r="A1740" s="1" t="s">
        <v>129</v>
      </c>
      <c r="B1740" s="1" t="s">
        <v>8783</v>
      </c>
      <c r="C1740" s="1" t="s">
        <v>8784</v>
      </c>
      <c r="D1740" s="1" t="s">
        <v>8785</v>
      </c>
      <c r="E1740" s="1" t="s">
        <v>8785</v>
      </c>
      <c r="F1740" s="1" t="s">
        <v>8786</v>
      </c>
      <c r="G1740" s="1" t="s">
        <v>8785</v>
      </c>
      <c r="H1740" s="1" t="str">
        <f>IFERROR(__xludf.DUMMYFUNCTION("GOOGLETRANSLATE(D1740,""EN"",""JA"")"),"前腕周囲径")</f>
        <v>前腕周囲径</v>
      </c>
      <c r="I1740" s="1" t="str">
        <f>IFERROR(__xludf.DUMMYFUNCTION("GOOGLETRANSLATE(E1740,""EN"",""JA"")"),"前腕周囲径")</f>
        <v>前腕周囲径</v>
      </c>
      <c r="J1740" s="1" t="str">
        <f>IFERROR(__xludf.DUMMYFUNCTION("GOOGLETRANSLATE(F1740,""EN"",""JA"")"),"個人の前腕の周囲の距離。")</f>
        <v>個人の前腕の周囲の距離。</v>
      </c>
      <c r="K1740" s="1" t="str">
        <f>IFERROR(__xludf.DUMMYFUNCTION("GOOGLETRANSLATE(G1740,""EN"",""JA"")"),"前腕周囲径")</f>
        <v>前腕周囲径</v>
      </c>
    </row>
    <row r="1741" ht="13.5" customHeight="1">
      <c r="A1741" s="1" t="s">
        <v>11</v>
      </c>
      <c r="B1741" s="1" t="s">
        <v>8787</v>
      </c>
      <c r="C1741" s="1" t="s">
        <v>8788</v>
      </c>
      <c r="D1741" s="1" t="s">
        <v>8789</v>
      </c>
      <c r="E1741" s="1" t="s">
        <v>8790</v>
      </c>
      <c r="F1741" s="1" t="s">
        <v>8791</v>
      </c>
      <c r="G1741" s="1" t="s">
        <v>8792</v>
      </c>
      <c r="H1741" s="1" t="str">
        <f>IFERROR(__xludf.DUMMYFUNCTION("GOOGLETRANSLATE(D1741,""EN"",""JA"")"),"Fas細胞表面死受容体")</f>
        <v>Fas細胞表面死受容体</v>
      </c>
      <c r="I1741" s="1" t="str">
        <f>IFERROR(__xludf.DUMMYFUNCTION("GOOGLETRANSLATE(E1741,""EN"",""JA"")"),"ALPS1A; APT1; Fas細胞表面死受容体; FAS1; FASTM; 可溶性CD95; TNF受容体スーパーファミリーメンバー6; TNFRSF6")</f>
        <v>ALPS1A; APT1; Fas細胞表面死受容体; FAS1; FASTM; 可溶性CD95; TNF受容体スーパーファミリーメンバー6; TNFRSF6</v>
      </c>
      <c r="J1741" s="1" t="str">
        <f>IFERROR(__xludf.DUMMYFUNCTION("GOOGLETRANSLATE(F1741,""EN"",""JA"")"),"生物標本における Fas 細胞表面死受容体の測定。")</f>
        <v>生物標本における Fas 細胞表面死受容体の測定。</v>
      </c>
      <c r="K1741" s="1" t="str">
        <f>IFERROR(__xludf.DUMMYFUNCTION("GOOGLETRANSLATE(G1741,""EN"",""JA"")"),"Fas細胞表面デスレセプター測定")</f>
        <v>Fas細胞表面デスレセプター測定</v>
      </c>
    </row>
    <row r="1742" ht="13.5" customHeight="1">
      <c r="A1742" s="1" t="s">
        <v>11</v>
      </c>
      <c r="B1742" s="1" t="s">
        <v>8793</v>
      </c>
      <c r="C1742" s="1" t="s">
        <v>8794</v>
      </c>
      <c r="D1742" s="1" t="s">
        <v>8795</v>
      </c>
      <c r="E1742" s="1" t="s">
        <v>8796</v>
      </c>
      <c r="F1742" s="1" t="s">
        <v>8797</v>
      </c>
      <c r="G1742" s="1" t="s">
        <v>8798</v>
      </c>
      <c r="H1742" s="1" t="str">
        <f>IFERROR(__xludf.DUMMYFUNCTION("GOOGLETRANSLATE(D1742,""EN"",""JA"")"),"Fasリガンド")</f>
        <v>Fasリガンド</v>
      </c>
      <c r="I1742" s="1" t="str">
        <f>IFERROR(__xludf.DUMMYFUNCTION("GOOGLETRANSLATE(E1742,""EN"",""JA"")"),"Fasリガンド; 可溶性CD178; 可溶性CD95L; 腫瘍壊死因子リガンドスーパーファミリーメンバー6")</f>
        <v>Fasリガンド; 可溶性CD178; 可溶性CD95L; 腫瘍壊死因子リガンドスーパーファミリーメンバー6</v>
      </c>
      <c r="J1742" s="1" t="str">
        <f>IFERROR(__xludf.DUMMYFUNCTION("GOOGLETRANSLATE(F1742,""EN"",""JA"")"),"生物標本中の Fas リガンドの測定。")</f>
        <v>生物標本中の Fas リガンドの測定。</v>
      </c>
      <c r="K1742" s="1" t="str">
        <f>IFERROR(__xludf.DUMMYFUNCTION("GOOGLETRANSLATE(G1742,""EN"",""JA"")"),"Fasリガンド測定")</f>
        <v>Fasリガンド測定</v>
      </c>
    </row>
    <row r="1743" ht="13.5" customHeight="1">
      <c r="A1743" s="1" t="s">
        <v>11</v>
      </c>
      <c r="B1743" s="1" t="s">
        <v>8799</v>
      </c>
      <c r="C1743" s="1" t="s">
        <v>8800</v>
      </c>
      <c r="D1743" s="1" t="s">
        <v>8801</v>
      </c>
      <c r="E1743" s="1" t="s">
        <v>8801</v>
      </c>
      <c r="F1743" s="1" t="s">
        <v>8802</v>
      </c>
      <c r="G1743" s="1" t="s">
        <v>8803</v>
      </c>
      <c r="H1743" s="1" t="str">
        <f>IFERROR(__xludf.DUMMYFUNCTION("GOOGLETRANSLATE(D1743,""EN"",""JA"")"),"脂肪")</f>
        <v>脂肪</v>
      </c>
      <c r="I1743" s="1" t="str">
        <f>IFERROR(__xludf.DUMMYFUNCTION("GOOGLETRANSLATE(E1743,""EN"",""JA"")"),"脂肪")</f>
        <v>脂肪</v>
      </c>
      <c r="J1743" s="1" t="str">
        <f>IFERROR(__xludf.DUMMYFUNCTION("GOOGLETRANSLATE(F1743,""EN"",""JA"")"),"生物標本内の脂肪の測定。")</f>
        <v>生物標本内の脂肪の測定。</v>
      </c>
      <c r="K1743" s="1" t="str">
        <f>IFERROR(__xludf.DUMMYFUNCTION("GOOGLETRANSLATE(G1743,""EN"",""JA"")"),"脂肪測定")</f>
        <v>脂肪測定</v>
      </c>
    </row>
    <row r="1744" ht="13.5" customHeight="1">
      <c r="A1744" s="1" t="s">
        <v>11</v>
      </c>
      <c r="B1744" s="1" t="s">
        <v>8804</v>
      </c>
      <c r="C1744" s="1" t="s">
        <v>8805</v>
      </c>
      <c r="D1744" s="1" t="s">
        <v>8806</v>
      </c>
      <c r="E1744" s="1" t="s">
        <v>8807</v>
      </c>
      <c r="F1744" s="1" t="s">
        <v>8808</v>
      </c>
      <c r="G1744" s="1" t="s">
        <v>8809</v>
      </c>
      <c r="H1744" s="1" t="str">
        <f>IFERROR(__xludf.DUMMYFUNCTION("GOOGLETRANSLATE(D1744,""EN"",""JA"")"),"遊離脂肪酸")</f>
        <v>遊離脂肪酸</v>
      </c>
      <c r="I1744" s="1" t="str">
        <f>IFERROR(__xludf.DUMMYFUNCTION("GOOGLETRANSLATE(E1744,""EN"",""JA"")"),"遊離脂肪酸；非エステル化脂肪酸、遊離")</f>
        <v>遊離脂肪酸；非エステル化脂肪酸、遊離</v>
      </c>
      <c r="J1744" s="1" t="str">
        <f>IFERROR(__xludf.DUMMYFUNCTION("GOOGLETRANSLATE(F1744,""EN"",""JA"")"),"生物標本中の非エステル化脂肪酸の総量の測定。")</f>
        <v>生物標本中の非エステル化脂肪酸の総量の測定。</v>
      </c>
      <c r="K1744" s="1" t="str">
        <f>IFERROR(__xludf.DUMMYFUNCTION("GOOGLETRANSLATE(G1744,""EN"",""JA"")"),"非エステル化脂肪酸の測定")</f>
        <v>非エステル化脂肪酸の測定</v>
      </c>
    </row>
    <row r="1745" ht="13.5" customHeight="1">
      <c r="A1745" s="1" t="s">
        <v>11</v>
      </c>
      <c r="B1745" s="1" t="s">
        <v>8810</v>
      </c>
      <c r="C1745" s="1" t="s">
        <v>8811</v>
      </c>
      <c r="D1745" s="1" t="s">
        <v>8812</v>
      </c>
      <c r="E1745" s="1" t="s">
        <v>8813</v>
      </c>
      <c r="F1745" s="1" t="s">
        <v>8814</v>
      </c>
      <c r="G1745" s="1" t="s">
        <v>8815</v>
      </c>
      <c r="H1745" s="1" t="str">
        <f>IFERROR(__xludf.DUMMYFUNCTION("GOOGLETRANSLATE(D1745,""EN"",""JA"")"),"遊離脂肪酸、飽和脂肪酸")</f>
        <v>遊離脂肪酸、飽和脂肪酸</v>
      </c>
      <c r="I1745" s="1" t="str">
        <f>IFERROR(__xludf.DUMMYFUNCTION("GOOGLETRANSLATE(E1745,""EN"",""JA"")"),"遊離脂肪酸、飽和脂肪酸；非エステル化脂肪酸、飽和脂肪酸")</f>
        <v>遊離脂肪酸、飽和脂肪酸；非エステル化脂肪酸、飽和脂肪酸</v>
      </c>
      <c r="J1745" s="1" t="str">
        <f>IFERROR(__xludf.DUMMYFUNCTION("GOOGLETRANSLATE(F1745,""EN"",""JA"")"),"生物標本中の飽和非エステル化脂肪酸の測定。")</f>
        <v>生物標本中の飽和非エステル化脂肪酸の測定。</v>
      </c>
      <c r="K1745" s="1" t="str">
        <f>IFERROR(__xludf.DUMMYFUNCTION("GOOGLETRANSLATE(G1745,""EN"",""JA"")"),"飽和非エステル化脂肪酸の測定")</f>
        <v>飽和非エステル化脂肪酸の測定</v>
      </c>
    </row>
    <row r="1746" ht="13.5" customHeight="1">
      <c r="A1746" s="1" t="s">
        <v>11</v>
      </c>
      <c r="B1746" s="1" t="s">
        <v>8816</v>
      </c>
      <c r="C1746" s="1" t="s">
        <v>8817</v>
      </c>
      <c r="D1746" s="1" t="s">
        <v>8818</v>
      </c>
      <c r="E1746" s="1" t="s">
        <v>8819</v>
      </c>
      <c r="F1746" s="1" t="s">
        <v>8820</v>
      </c>
      <c r="G1746" s="1" t="s">
        <v>8821</v>
      </c>
      <c r="H1746" s="1" t="str">
        <f>IFERROR(__xludf.DUMMYFUNCTION("GOOGLETRANSLATE(D1746,""EN"",""JA"")"),"遊離脂肪酸、不飽和")</f>
        <v>遊離脂肪酸、不飽和</v>
      </c>
      <c r="I1746" s="1" t="str">
        <f>IFERROR(__xludf.DUMMYFUNCTION("GOOGLETRANSLATE(E1746,""EN"",""JA"")"),"遊離不飽和脂肪酸；非エステル化不飽和脂肪酸")</f>
        <v>遊離不飽和脂肪酸；非エステル化不飽和脂肪酸</v>
      </c>
      <c r="J1746" s="1" t="str">
        <f>IFERROR(__xludf.DUMMYFUNCTION("GOOGLETRANSLATE(F1746,""EN"",""JA"")"),"生物標本中の不飽和非エステル化脂肪酸の測定。")</f>
        <v>生物標本中の不飽和非エステル化脂肪酸の測定。</v>
      </c>
      <c r="K1746" s="1" t="str">
        <f>IFERROR(__xludf.DUMMYFUNCTION("GOOGLETRANSLATE(G1746,""EN"",""JA"")"),"不飽和非エステル化脂肪酸の測定")</f>
        <v>不飽和非エステル化脂肪酸の測定</v>
      </c>
    </row>
    <row r="1747" ht="13.5" customHeight="1">
      <c r="A1747" s="1" t="s">
        <v>11</v>
      </c>
      <c r="B1747" s="1" t="s">
        <v>8822</v>
      </c>
      <c r="C1747" s="1" t="s">
        <v>8823</v>
      </c>
      <c r="D1747" s="1" t="s">
        <v>8824</v>
      </c>
      <c r="E1747" s="1" t="s">
        <v>8824</v>
      </c>
      <c r="F1747" s="1" t="s">
        <v>8825</v>
      </c>
      <c r="G1747" s="1" t="s">
        <v>8826</v>
      </c>
      <c r="H1747" s="1" t="str">
        <f>IFERROR(__xludf.DUMMYFUNCTION("GOOGLETRANSLATE(D1747,""EN"",""JA"")"),"脂肪酸、非常に長い鎖")</f>
        <v>脂肪酸、非常に長い鎖</v>
      </c>
      <c r="I1747" s="1" t="str">
        <f>IFERROR(__xludf.DUMMYFUNCTION("GOOGLETRANSLATE(E1747,""EN"",""JA"")"),"脂肪酸、非常に長い鎖")</f>
        <v>脂肪酸、非常に長い鎖</v>
      </c>
      <c r="J1747" s="1" t="str">
        <f>IFERROR(__xludf.DUMMYFUNCTION("GOOGLETRANSLATE(F1747,""EN"",""JA"")"),"生物標本中の非常に長鎖の脂肪酸（炭素原子が 22 個以上）の測定値。")</f>
        <v>生物標本中の非常に長鎖の脂肪酸（炭素原子が 22 個以上）の測定値。</v>
      </c>
      <c r="K1747" s="1" t="str">
        <f>IFERROR(__xludf.DUMMYFUNCTION("GOOGLETRANSLATE(G1747,""EN"",""JA"")"),"超長鎖脂肪酸の測定")</f>
        <v>超長鎖脂肪酸の測定</v>
      </c>
    </row>
    <row r="1748" ht="13.5" customHeight="1">
      <c r="A1748" s="1" t="s">
        <v>11</v>
      </c>
      <c r="B1748" s="1" t="s">
        <v>8827</v>
      </c>
      <c r="C1748" s="1" t="s">
        <v>8828</v>
      </c>
      <c r="D1748" s="1" t="s">
        <v>8829</v>
      </c>
      <c r="E1748" s="1" t="s">
        <v>8829</v>
      </c>
      <c r="F1748" s="1" t="s">
        <v>8830</v>
      </c>
      <c r="G1748" s="1" t="s">
        <v>8831</v>
      </c>
      <c r="H1748" s="1" t="str">
        <f>IFERROR(__xludf.DUMMYFUNCTION("GOOGLETRANSLATE(D1748,""EN"",""JA"")"),"脂肪体、楕円形")</f>
        <v>脂肪体、楕円形</v>
      </c>
      <c r="I1748" s="1" t="str">
        <f>IFERROR(__xludf.DUMMYFUNCTION("GOOGLETRANSLATE(E1748,""EN"",""JA"")"),"脂肪体、楕円形")</f>
        <v>脂肪体、楕円形</v>
      </c>
      <c r="J1748" s="1" t="str">
        <f>IFERROR(__xludf.DUMMYFUNCTION("GOOGLETRANSLATE(F1748,""EN"",""JA"")"),"生物標本中の楕円形の脂肪体（通常は細胞質内に脂質凝集体を持つ腎臓近位尿細管細胞）の測定。")</f>
        <v>生物標本中の楕円形の脂肪体（通常は細胞質内に脂質凝集体を持つ腎臓近位尿細管細胞）の測定。</v>
      </c>
      <c r="K1748" s="1" t="str">
        <f>IFERROR(__xludf.DUMMYFUNCTION("GOOGLETRANSLATE(G1748,""EN"",""JA"")"),"楕円形の脂肪体の測定")</f>
        <v>楕円形の脂肪体の測定</v>
      </c>
    </row>
    <row r="1749" ht="13.5" customHeight="1">
      <c r="A1749" s="1" t="s">
        <v>11</v>
      </c>
      <c r="B1749" s="1" t="s">
        <v>8832</v>
      </c>
      <c r="C1749" s="1" t="s">
        <v>8833</v>
      </c>
      <c r="D1749" s="1" t="s">
        <v>8834</v>
      </c>
      <c r="E1749" s="1" t="s">
        <v>8834</v>
      </c>
      <c r="F1749" s="1" t="s">
        <v>8835</v>
      </c>
      <c r="G1749" s="1" t="s">
        <v>8836</v>
      </c>
      <c r="H1749" s="1" t="str">
        <f>IFERROR(__xludf.DUMMYFUNCTION("GOOGLETRANSLATE(D1749,""EN"",""JA"")"),"脂肪滴")</f>
        <v>脂肪滴</v>
      </c>
      <c r="I1749" s="1" t="str">
        <f>IFERROR(__xludf.DUMMYFUNCTION("GOOGLETRANSLATE(E1749,""EN"",""JA"")"),"脂肪滴")</f>
        <v>脂肪滴</v>
      </c>
      <c r="J1749" s="1" t="str">
        <f>IFERROR(__xludf.DUMMYFUNCTION("GOOGLETRANSLATE(F1749,""EN"",""JA"")"),"生物学的標本内のトリグリセリド凝集体の測定。")</f>
        <v>生物学的標本内のトリグリセリド凝集体の測定。</v>
      </c>
      <c r="K1749" s="1" t="str">
        <f>IFERROR(__xludf.DUMMYFUNCTION("GOOGLETRANSLATE(G1749,""EN"",""JA"")"),"脂肪滴測定")</f>
        <v>脂肪滴測定</v>
      </c>
    </row>
    <row r="1750" ht="13.5" customHeight="1">
      <c r="A1750" s="1" t="s">
        <v>11</v>
      </c>
      <c r="B1750" s="1" t="s">
        <v>8837</v>
      </c>
      <c r="C1750" s="1" t="s">
        <v>8838</v>
      </c>
      <c r="D1750" s="1" t="s">
        <v>8839</v>
      </c>
      <c r="E1750" s="1" t="s">
        <v>8840</v>
      </c>
      <c r="F1750" s="1" t="s">
        <v>8841</v>
      </c>
      <c r="G1750" s="1" t="s">
        <v>8839</v>
      </c>
      <c r="H1750" s="1" t="str">
        <f>IFERROR(__xludf.DUMMYFUNCTION("GOOGLETRANSLATE(D1750,""EN"",""JA"")"),"脂肪肝指数")</f>
        <v>脂肪肝指数</v>
      </c>
      <c r="I1750" s="1" t="str">
        <f>IFERROR(__xludf.DUMMYFUNCTION("GOOGLETRANSLATE(E1750,""EN"",""JA"")"),"脂肪肝指数; FLI")</f>
        <v>脂肪肝指数; FLI</v>
      </c>
      <c r="J1750" s="1" t="str">
        <f>IFERROR(__xludf.DUMMYFUNCTION("GOOGLETRANSLATE(F1750,""EN"",""JA"")"),"ウエスト周囲径、BMI、トリグリセリド濃度、γ-グルタミルトランスフェラーゼ活性を考慮した、脂肪肝疾患の可能性を示す計算。（Bedogni G、Bellentani S、Miglioli L、Masutti F、Passal")</f>
        <v>ウエスト周囲径、BMI、トリグリセリド濃度、γ-グルタミルトランスフェラーゼ活性を考慮した、脂肪肝疾患の可能性を示す計算。（Bedogni G、Bellentani S、Miglioli L、Masutti F、Passal</v>
      </c>
      <c r="K1750" s="1" t="str">
        <f>IFERROR(__xludf.DUMMYFUNCTION("GOOGLETRANSLATE(G1750,""EN"",""JA"")"),"脂肪肝指数")</f>
        <v>脂肪肝指数</v>
      </c>
    </row>
    <row r="1751" ht="13.5" customHeight="1">
      <c r="A1751" s="1" t="s">
        <v>1034</v>
      </c>
      <c r="B1751" s="1" t="s">
        <v>8842</v>
      </c>
      <c r="C1751" s="1" t="s">
        <v>8843</v>
      </c>
      <c r="D1751" s="1" t="s">
        <v>8844</v>
      </c>
      <c r="E1751" s="1" t="s">
        <v>8844</v>
      </c>
      <c r="F1751" s="1" t="s">
        <v>8845</v>
      </c>
      <c r="G1751" s="1" t="s">
        <v>8844</v>
      </c>
      <c r="H1751" s="1" t="str">
        <f>IFERROR(__xludf.DUMMYFUNCTION("GOOGLETRANSLATE(D1751,""EN"",""JA"")"),"脂肪量")</f>
        <v>脂肪量</v>
      </c>
      <c r="I1751" s="1" t="str">
        <f>IFERROR(__xludf.DUMMYFUNCTION("GOOGLETRANSLATE(E1751,""EN"",""JA"")"),"脂肪量")</f>
        <v>脂肪量</v>
      </c>
      <c r="J1751" s="1" t="str">
        <f>IFERROR(__xludf.DUMMYFUNCTION("GOOGLETRANSLATE(F1751,""EN"",""JA"")"),"体の一部または全体の脂肪重量の測定値。")</f>
        <v>体の一部または全体の脂肪重量の測定値。</v>
      </c>
      <c r="K1751" s="1" t="str">
        <f>IFERROR(__xludf.DUMMYFUNCTION("GOOGLETRANSLATE(G1751,""EN"",""JA"")"),"脂肪量")</f>
        <v>脂肪量</v>
      </c>
    </row>
    <row r="1752" ht="13.5" customHeight="1">
      <c r="A1752" s="1" t="s">
        <v>11</v>
      </c>
      <c r="B1752" s="1" t="s">
        <v>8846</v>
      </c>
      <c r="C1752" s="1" t="s">
        <v>8847</v>
      </c>
      <c r="D1752" s="1" t="s">
        <v>8848</v>
      </c>
      <c r="E1752" s="1" t="s">
        <v>8848</v>
      </c>
      <c r="F1752" s="1" t="s">
        <v>8849</v>
      </c>
      <c r="G1752" s="1" t="s">
        <v>8850</v>
      </c>
      <c r="H1752" s="1" t="str">
        <f>IFERROR(__xludf.DUMMYFUNCTION("GOOGLETRANSLATE(D1752,""EN"",""JA"")"),"脂肪/総固形分")</f>
        <v>脂肪/総固形分</v>
      </c>
      <c r="I1752" s="1" t="str">
        <f>IFERROR(__xludf.DUMMYFUNCTION("GOOGLETRANSLATE(E1752,""EN"",""JA"")"),"脂肪/総固形分")</f>
        <v>脂肪/総固形分</v>
      </c>
      <c r="J1752" s="1" t="str">
        <f>IFERROR(__xludf.DUMMYFUNCTION("GOOGLETRANSLATE(F1752,""EN"",""JA"")"),"生物学的標本（例えば、便標本）内の総固形物に対する脂肪の相対的な測定値（比率またはパーセンテージ）。")</f>
        <v>生物学的標本（例えば、便標本）内の総固形物に対する脂肪の相対的な測定値（比率またはパーセンテージ）。</v>
      </c>
      <c r="K1752" s="1" t="str">
        <f>IFERROR(__xludf.DUMMYFUNCTION("GOOGLETRANSLATE(G1752,""EN"",""JA"")"),"脂肪と全固形分比の測定")</f>
        <v>脂肪と全固形分比の測定</v>
      </c>
    </row>
    <row r="1753" ht="13.5" customHeight="1">
      <c r="A1753" s="1" t="s">
        <v>870</v>
      </c>
      <c r="B1753" s="1" t="s">
        <v>8851</v>
      </c>
      <c r="C1753" s="1" t="s">
        <v>8852</v>
      </c>
      <c r="D1753" s="1" t="s">
        <v>8853</v>
      </c>
      <c r="E1753" s="1" t="s">
        <v>8853</v>
      </c>
      <c r="F1753" s="1" t="s">
        <v>8854</v>
      </c>
      <c r="G1753" s="1" t="s">
        <v>8853</v>
      </c>
      <c r="H1753" s="1" t="str">
        <f>IFERROR(__xludf.DUMMYFUNCTION("GOOGLETRANSLATE(D1753,""EN"",""JA"")"),"分数境界")</f>
        <v>分数境界</v>
      </c>
      <c r="I1753" s="1" t="str">
        <f>IFERROR(__xludf.DUMMYFUNCTION("GOOGLETRANSLATE(E1753,""EN"",""JA"")"),"分数境界")</f>
        <v>分数境界</v>
      </c>
      <c r="J1753" s="1" t="str">
        <f>IFERROR(__xludf.DUMMYFUNCTION("GOOGLETRANSLATE(F1753,""EN"",""JA"")"),"結合物質の濃度の総濃度に対するパーセントまたは比率。")</f>
        <v>結合物質の濃度の総濃度に対するパーセントまたは比率。</v>
      </c>
      <c r="K1753" s="1" t="str">
        <f>IFERROR(__xludf.DUMMYFUNCTION("GOOGLETRANSLATE(G1753,""EN"",""JA"")"),"分数境界")</f>
        <v>分数境界</v>
      </c>
    </row>
    <row r="1754" ht="13.5" customHeight="1">
      <c r="A1754" s="1" t="s">
        <v>11</v>
      </c>
      <c r="B1754" s="1" t="s">
        <v>8855</v>
      </c>
      <c r="C1754" s="1" t="s">
        <v>8856</v>
      </c>
      <c r="D1754" s="1" t="s">
        <v>8857</v>
      </c>
      <c r="E1754" s="1" t="s">
        <v>8858</v>
      </c>
      <c r="F1754" s="1" t="s">
        <v>8859</v>
      </c>
      <c r="G1754" s="1" t="s">
        <v>8860</v>
      </c>
      <c r="H1754" s="1" t="str">
        <f>IFERROR(__xludf.DUMMYFUNCTION("GOOGLETRANSLATE(D1754,""EN"",""JA"")"),"フィブロネクチン、細胞")</f>
        <v>フィブロネクチン、細胞</v>
      </c>
      <c r="I1754" s="1" t="str">
        <f>IFERROR(__xludf.DUMMYFUNCTION("GOOGLETRANSLATE(E1754,""EN"",""JA"")"),"細胞性フィブロネクチン；不溶性フィブロネクチン")</f>
        <v>細胞性フィブロネクチン；不溶性フィブロネクチン</v>
      </c>
      <c r="J1754" s="1" t="str">
        <f>IFERROR(__xludf.DUMMYFUNCTION("GOOGLETRANSLATE(F1754,""EN"",""JA"")"),"生物標本中の細胞フィブロネクチンの測定。")</f>
        <v>生物標本中の細胞フィブロネクチンの測定。</v>
      </c>
      <c r="K1754" s="1" t="str">
        <f>IFERROR(__xludf.DUMMYFUNCTION("GOOGLETRANSLATE(G1754,""EN"",""JA"")"),"細胞フィブロネクチン測定")</f>
        <v>細胞フィブロネクチン測定</v>
      </c>
    </row>
    <row r="1755" ht="13.5" customHeight="1">
      <c r="A1755" s="1" t="s">
        <v>11</v>
      </c>
      <c r="B1755" s="1" t="s">
        <v>8861</v>
      </c>
      <c r="C1755" s="1" t="s">
        <v>8862</v>
      </c>
      <c r="D1755" s="1" t="s">
        <v>8863</v>
      </c>
      <c r="E1755" s="1" t="s">
        <v>8863</v>
      </c>
      <c r="F1755" s="1" t="s">
        <v>8864</v>
      </c>
      <c r="G1755" s="1" t="s">
        <v>8865</v>
      </c>
      <c r="H1755" s="1" t="str">
        <f>IFERROR(__xludf.DUMMYFUNCTION("GOOGLETRANSLATE(D1755,""EN"",""JA"")"),"フィブロネクチン、胎児")</f>
        <v>フィブロネクチン、胎児</v>
      </c>
      <c r="I1755" s="1" t="str">
        <f>IFERROR(__xludf.DUMMYFUNCTION("GOOGLETRANSLATE(E1755,""EN"",""JA"")"),"フィブロネクチン、胎児")</f>
        <v>フィブロネクチン、胎児</v>
      </c>
      <c r="J1755" s="1" t="str">
        <f>IFERROR(__xludf.DUMMYFUNCTION("GOOGLETRANSLATE(F1755,""EN"",""JA"")"),"生物学的標本中のフィブロネクチンの胎児アイソフォームの測定")</f>
        <v>生物学的標本中のフィブロネクチンの胎児アイソフォームの測定</v>
      </c>
      <c r="K1755" s="1" t="str">
        <f>IFERROR(__xludf.DUMMYFUNCTION("GOOGLETRANSLATE(G1755,""EN"",""JA"")"),"胎児フィブロネクチン検査")</f>
        <v>胎児フィブロネクチン検査</v>
      </c>
    </row>
    <row r="1756" ht="13.5" customHeight="1">
      <c r="A1756" s="1" t="s">
        <v>11</v>
      </c>
      <c r="B1756" s="1" t="s">
        <v>8866</v>
      </c>
      <c r="C1756" s="1" t="s">
        <v>8867</v>
      </c>
      <c r="D1756" s="1" t="s">
        <v>8868</v>
      </c>
      <c r="E1756" s="1" t="s">
        <v>8868</v>
      </c>
      <c r="F1756" s="1" t="s">
        <v>8869</v>
      </c>
      <c r="G1756" s="1" t="s">
        <v>8870</v>
      </c>
      <c r="H1756" s="1" t="str">
        <f>IFERROR(__xludf.DUMMYFUNCTION("GOOGLETRANSLATE(D1756,""EN"",""JA"")"),"フィブロネクチン、母体＋胎児")</f>
        <v>フィブロネクチン、母体＋胎児</v>
      </c>
      <c r="I1756" s="1" t="str">
        <f>IFERROR(__xludf.DUMMYFUNCTION("GOOGLETRANSLATE(E1756,""EN"",""JA"")"),"フィブロネクチン、母体＋胎児")</f>
        <v>フィブロネクチン、母体＋胎児</v>
      </c>
      <c r="J1756" s="1" t="str">
        <f>IFERROR(__xludf.DUMMYFUNCTION("GOOGLETRANSLATE(F1756,""EN"",""JA"")"),"生物学的標本中の母体血漿フィブロネクチンと胎児フィブロネクチンの測定。")</f>
        <v>生物学的標本中の母体血漿フィブロネクチンと胎児フィブロネクチンの測定。</v>
      </c>
      <c r="K1756" s="1" t="str">
        <f>IFERROR(__xludf.DUMMYFUNCTION("GOOGLETRANSLATE(G1756,""EN"",""JA"")"),"母体および胎児のフィブロネクチン測定")</f>
        <v>母体および胎児のフィブロネクチン測定</v>
      </c>
    </row>
    <row r="1757" ht="13.5" customHeight="1">
      <c r="A1757" s="1" t="s">
        <v>11</v>
      </c>
      <c r="B1757" s="1" t="s">
        <v>8871</v>
      </c>
      <c r="C1757" s="1" t="s">
        <v>8872</v>
      </c>
      <c r="D1757" s="1" t="s">
        <v>8873</v>
      </c>
      <c r="E1757" s="1" t="s">
        <v>8874</v>
      </c>
      <c r="F1757" s="1" t="s">
        <v>8875</v>
      </c>
      <c r="G1757" s="1" t="s">
        <v>8876</v>
      </c>
      <c r="H1757" s="1" t="str">
        <f>IFERROR(__xludf.DUMMYFUNCTION("GOOGLETRANSLATE(D1757,""EN"",""JA"")"),"フィブロネクチン、血漿")</f>
        <v>フィブロネクチン、血漿</v>
      </c>
      <c r="I1757" s="1" t="str">
        <f>IFERROR(__xludf.DUMMYFUNCTION("GOOGLETRANSLATE(E1757,""EN"",""JA"")"),"血漿フィブロネクチン；可溶性フィブロネクチン")</f>
        <v>血漿フィブロネクチン；可溶性フィブロネクチン</v>
      </c>
      <c r="J1757" s="1" t="str">
        <f>IFERROR(__xludf.DUMMYFUNCTION("GOOGLETRANSLATE(F1757,""EN"",""JA"")"),"生物標本中の血漿フィブロネクチンの測定。")</f>
        <v>生物標本中の血漿フィブロネクチンの測定。</v>
      </c>
      <c r="K1757" s="1" t="str">
        <f>IFERROR(__xludf.DUMMYFUNCTION("GOOGLETRANSLATE(G1757,""EN"",""JA"")"),"血漿フィブロネクチン測定")</f>
        <v>血漿フィブロネクチン測定</v>
      </c>
    </row>
    <row r="1758" ht="13.5" customHeight="1">
      <c r="A1758" s="1" t="s">
        <v>90</v>
      </c>
      <c r="B1758" s="1" t="s">
        <v>8877</v>
      </c>
      <c r="C1758" s="1" t="s">
        <v>8878</v>
      </c>
      <c r="D1758" s="1" t="s">
        <v>8879</v>
      </c>
      <c r="E1758" s="1" t="s">
        <v>8879</v>
      </c>
      <c r="F1758" s="1" t="s">
        <v>8880</v>
      </c>
      <c r="G1758" s="1" t="s">
        <v>8879</v>
      </c>
      <c r="H1758" s="1" t="str">
        <f>IFERROR(__xludf.DUMMYFUNCTION("GOOGLETRANSLATE(D1758,""EN"",""JA"")"),"観察された異物インジケーター")</f>
        <v>観察された異物インジケーター</v>
      </c>
      <c r="I1758" s="1" t="str">
        <f>IFERROR(__xludf.DUMMYFUNCTION("GOOGLETRANSLATE(E1758,""EN"",""JA"")"),"観察された異物インジケーター")</f>
        <v>観察された異物インジケーター</v>
      </c>
      <c r="J1758" s="1" t="str">
        <f>IFERROR(__xludf.DUMMYFUNCTION("GOOGLETRANSLATE(F1758,""EN"",""JA"")"),"被験者の体内に医療用または非医療用の異物が存在するかどうかを示します。")</f>
        <v>被験者の体内に医療用または非医療用の異物が存在するかどうかを示します。</v>
      </c>
      <c r="K1758" s="1" t="str">
        <f>IFERROR(__xludf.DUMMYFUNCTION("GOOGLETRANSLATE(G1758,""EN"",""JA"")"),"観察された異物インジケーター")</f>
        <v>観察された異物インジケーター</v>
      </c>
    </row>
    <row r="1759" ht="13.5" customHeight="1">
      <c r="A1759" s="1" t="s">
        <v>11</v>
      </c>
      <c r="B1759" s="1" t="s">
        <v>8881</v>
      </c>
      <c r="C1759" s="1" t="s">
        <v>8882</v>
      </c>
      <c r="D1759" s="1" t="s">
        <v>8883</v>
      </c>
      <c r="E1759" s="1" t="s">
        <v>8884</v>
      </c>
      <c r="F1759" s="1" t="s">
        <v>8885</v>
      </c>
      <c r="G1759" s="1" t="s">
        <v>8886</v>
      </c>
      <c r="H1759" s="1" t="str">
        <f>IFERROR(__xludf.DUMMYFUNCTION("GOOGLETRANSLATE(D1759,""EN"",""JA"")"),"線維テストスコア")</f>
        <v>線維テストスコア</v>
      </c>
      <c r="I1759" s="1" t="str">
        <f>IFERROR(__xludf.DUMMYFUNCTION("GOOGLETRANSLATE(E1759,""EN"",""JA"")"),"FibroSUREスコア; FibroTestスコア")</f>
        <v>FibroSUREスコア; FibroTestスコア</v>
      </c>
      <c r="J1759" s="1" t="str">
        <f>IFERROR(__xludf.DUMMYFUNCTION("GOOGLETRANSLATE(F1759,""EN"",""JA"")"),"6つのパラメータ（アルファ2マクログロブリン、ハプトグロビン、アポリポタンパク質A1、ガンマグルタミルトランスペプチダーゼ（GGT）、総ビリルビン、およびアラニンアミノトランスフェラーゼ（ALT））の血液検査を評価することにより肝臓病理を測定するバイオマーカー検査。")</f>
        <v>6つのパラメータ（アルファ2マクログロブリン、ハプトグロビン、アポリポタンパク質A1、ガンマグルタミルトランスペプチダーゼ（GGT）、総ビリルビン、およびアラニンアミノトランスフェラーゼ（ALT））の血液検査を評価することにより肝臓病理を測定するバイオマーカー検査。</v>
      </c>
      <c r="K1759" s="1" t="str">
        <f>IFERROR(__xludf.DUMMYFUNCTION("GOOGLETRANSLATE(G1759,""EN"",""JA"")"),"FibroTestスコア測定")</f>
        <v>FibroTestスコア測定</v>
      </c>
    </row>
    <row r="1760" ht="13.5" customHeight="1">
      <c r="A1760" s="1" t="s">
        <v>176</v>
      </c>
      <c r="B1760" s="1" t="s">
        <v>8887</v>
      </c>
      <c r="C1760" s="1" t="s">
        <v>8888</v>
      </c>
      <c r="D1760" s="1" t="s">
        <v>8889</v>
      </c>
      <c r="E1760" s="1" t="s">
        <v>8890</v>
      </c>
      <c r="F1760" s="1" t="s">
        <v>8891</v>
      </c>
      <c r="G1760" s="1" t="s">
        <v>8892</v>
      </c>
      <c r="H1760" s="1" t="str">
        <f>IFERROR(__xludf.DUMMYFUNCTION("GOOGLETRANSLATE(D1760,""EN"",""JA"")"),"コリン、遊離+GPC+PCh")</f>
        <v>コリン、遊離+GPC+PCh</v>
      </c>
      <c r="I1760" s="1" t="str">
        <f>IFERROR(__xludf.DUMMYFUNCTION("GOOGLETRANSLATE(E1760,""EN"",""JA"")"),"遊離コリン + グリセロホスホリルコリン + ホスホリルコリン; 遊離コリン + GPC + PCh")</f>
        <v>遊離コリン + グリセロホスホリルコリン + ホスホリルコリン; 遊離コリン + GPC + PCh</v>
      </c>
      <c r="J1760" s="1" t="str">
        <f>IFERROR(__xludf.DUMMYFUNCTION("GOOGLETRANSLATE(F1760,""EN"",""JA"")"),"生物標本中の遊離コリン、グリセロホスホリルコリン (GCP)、ホスホリルコリン (PCh) の測定。")</f>
        <v>生物標本中の遊離コリン、グリセロホスホリルコリン (GCP)、ホスホリルコリン (PCh) の測定。</v>
      </c>
      <c r="K1760" s="1" t="str">
        <f>IFERROR(__xludf.DUMMYFUNCTION("GOOGLETRANSLATE(G1760,""EN"",""JA"")"),"遊離コリン、グリセロホスホリルコリン、ホスホリルコリンの測定")</f>
        <v>遊離コリン、グリセロホスホリルコリン、ホスホリルコリンの測定</v>
      </c>
    </row>
    <row r="1761" ht="13.5" customHeight="1">
      <c r="A1761" s="1" t="s">
        <v>397</v>
      </c>
      <c r="B1761" s="1" t="s">
        <v>8893</v>
      </c>
      <c r="C1761" s="1" t="s">
        <v>8894</v>
      </c>
      <c r="D1761" s="1" t="s">
        <v>8895</v>
      </c>
      <c r="E1761" s="1" t="s">
        <v>8895</v>
      </c>
      <c r="F1761" s="1" t="s">
        <v>8896</v>
      </c>
      <c r="G1761" s="1" t="s">
        <v>8897</v>
      </c>
      <c r="H1761" s="1" t="str">
        <f>IFERROR(__xludf.DUMMYFUNCTION("GOOGLETRANSLATE(D1761,""EN"",""JA"")"),"調査実施予定国")</f>
        <v>調査実施予定国</v>
      </c>
      <c r="I1761" s="1" t="str">
        <f>IFERROR(__xludf.DUMMYFUNCTION("GOOGLETRANSLATE(E1761,""EN"",""JA"")"),"調査実施予定国")</f>
        <v>調査実施予定国</v>
      </c>
      <c r="J1761" s="1" t="str">
        <f>IFERROR(__xludf.DUMMYFUNCTION("GOOGLETRANSLATE(F1761,""EN"",""JA"")"),"IRB の承認を受けた研究予定施設の国名。")</f>
        <v>IRB の承認を受けた研究予定施設の国名。</v>
      </c>
      <c r="K1761" s="1" t="str">
        <f>IFERROR(__xludf.DUMMYFUNCTION("GOOGLETRANSLATE(G1761,""EN"",""JA"")"),"調査予定地国")</f>
        <v>調査予定地国</v>
      </c>
    </row>
    <row r="1762" ht="13.5" customHeight="1">
      <c r="A1762" s="1" t="s">
        <v>201</v>
      </c>
      <c r="B1762" s="1" t="s">
        <v>8898</v>
      </c>
      <c r="C1762" s="1" t="s">
        <v>8899</v>
      </c>
      <c r="D1762" s="1" t="s">
        <v>8900</v>
      </c>
      <c r="E1762" s="1" t="s">
        <v>8901</v>
      </c>
      <c r="F1762" s="1" t="s">
        <v>8902</v>
      </c>
      <c r="G1762" s="1" t="s">
        <v>8903</v>
      </c>
      <c r="H1762" s="1" t="str">
        <f>IFERROR(__xludf.DUMMYFUNCTION("GOOGLETRANSLATE(D1762,""EN"",""JA"")"),"第VIII因子阻害剤")</f>
        <v>第VIII因子阻害剤</v>
      </c>
      <c r="I1762" s="1" t="str">
        <f>IFERROR(__xludf.DUMMYFUNCTION("GOOGLETRANSLATE(E1762,""EN"",""JA"")"),"アロ抗体、第VIII因子阻害因子、第VIII因子抗体")</f>
        <v>アロ抗体、第VIII因子阻害因子、第VIII因子抗体</v>
      </c>
      <c r="J1762" s="1" t="str">
        <f>IFERROR(__xludf.DUMMYFUNCTION("GOOGLETRANSLATE(F1762,""EN"",""JA"")"),"生物学的標本中の第 VIII 因子阻害因子 (抗体) の測定。")</f>
        <v>生物学的標本中の第 VIII 因子阻害因子 (抗体) の測定。</v>
      </c>
      <c r="K1762" s="1" t="str">
        <f>IFERROR(__xludf.DUMMYFUNCTION("GOOGLETRANSLATE(G1762,""EN"",""JA"")"),"第VIII因子インヒビター測定")</f>
        <v>第VIII因子インヒビター測定</v>
      </c>
    </row>
    <row r="1763" ht="13.5" customHeight="1">
      <c r="A1763" s="1" t="s">
        <v>201</v>
      </c>
      <c r="B1763" s="1" t="s">
        <v>8904</v>
      </c>
      <c r="C1763" s="1" t="s">
        <v>8905</v>
      </c>
      <c r="D1763" s="1" t="s">
        <v>8906</v>
      </c>
      <c r="E1763" s="1" t="s">
        <v>8907</v>
      </c>
      <c r="F1763" s="1" t="s">
        <v>8908</v>
      </c>
      <c r="G1763" s="1" t="s">
        <v>8909</v>
      </c>
      <c r="H1763" s="1" t="str">
        <f>IFERROR(__xludf.DUMMYFUNCTION("GOOGLETRANSLATE(D1763,""EN"",""JA"")"),"因子IX阻害剤")</f>
        <v>因子IX阻害剤</v>
      </c>
      <c r="I1763" s="1" t="str">
        <f>IFERROR(__xludf.DUMMYFUNCTION("GOOGLETRANSLATE(E1763,""EN"",""JA"")"),"アロ抗体、第IX因子阻害剤、第IX因子抗体")</f>
        <v>アロ抗体、第IX因子阻害剤、第IX因子抗体</v>
      </c>
      <c r="J1763" s="1" t="str">
        <f>IFERROR(__xludf.DUMMYFUNCTION("GOOGLETRANSLATE(F1763,""EN"",""JA"")"),"生物学的標本中の第IX因子阻害剤（抗体）の測定。")</f>
        <v>生物学的標本中の第IX因子阻害剤（抗体）の測定。</v>
      </c>
      <c r="K1763" s="1" t="str">
        <f>IFERROR(__xludf.DUMMYFUNCTION("GOOGLETRANSLATE(G1763,""EN"",""JA"")"),"因子IX阻害薬測定")</f>
        <v>因子IX阻害薬測定</v>
      </c>
    </row>
    <row r="1764" ht="13.5" customHeight="1">
      <c r="A1764" s="1" t="s">
        <v>11</v>
      </c>
      <c r="B1764" s="1" t="s">
        <v>8910</v>
      </c>
      <c r="C1764" s="1" t="s">
        <v>8911</v>
      </c>
      <c r="D1764" s="1" t="s">
        <v>8912</v>
      </c>
      <c r="E1764" s="1" t="s">
        <v>8912</v>
      </c>
      <c r="F1764" s="1" t="s">
        <v>8913</v>
      </c>
      <c r="G1764" s="1" t="s">
        <v>8914</v>
      </c>
      <c r="H1764" s="1" t="str">
        <f>IFERROR(__xludf.DUMMYFUNCTION("GOOGLETRANSLATE(D1764,""EN"",""JA"")"),"第VIIa因子活性")</f>
        <v>第VIIa因子活性</v>
      </c>
      <c r="I1764" s="1" t="str">
        <f>IFERROR(__xludf.DUMMYFUNCTION("GOOGLETRANSLATE(E1764,""EN"",""JA"")"),"第VIIa因子活性")</f>
        <v>第VIIa因子活性</v>
      </c>
      <c r="J1764" s="1" t="str">
        <f>IFERROR(__xludf.DUMMYFUNCTION("GOOGLETRANSLATE(F1764,""EN"",""JA"")"),"生物標本中の凝固因子 VIIa の生物活性の測定。")</f>
        <v>生物標本中の凝固因子 VIIa の生物活性の測定。</v>
      </c>
      <c r="K1764" s="1" t="str">
        <f>IFERROR(__xludf.DUMMYFUNCTION("GOOGLETRANSLATE(G1764,""EN"",""JA"")"),"第VIIa因子活性測定")</f>
        <v>第VIIa因子活性測定</v>
      </c>
    </row>
    <row r="1765" ht="13.5" customHeight="1">
      <c r="A1765" s="1" t="s">
        <v>11</v>
      </c>
      <c r="B1765" s="1" t="s">
        <v>8915</v>
      </c>
      <c r="C1765" s="1" t="s">
        <v>8916</v>
      </c>
      <c r="D1765" s="1" t="s">
        <v>8917</v>
      </c>
      <c r="E1765" s="1" t="s">
        <v>8918</v>
      </c>
      <c r="F1765" s="1" t="s">
        <v>8919</v>
      </c>
      <c r="G1765" s="1" t="s">
        <v>8920</v>
      </c>
      <c r="H1765" s="1" t="str">
        <f>IFERROR(__xludf.DUMMYFUNCTION("GOOGLETRANSLATE(D1765,""EN"",""JA"")"),"第VIII因子活性")</f>
        <v>第VIII因子活性</v>
      </c>
      <c r="I1765" s="1" t="str">
        <f>IFERROR(__xludf.DUMMYFUNCTION("GOOGLETRANSLATE(E1765,""EN"",""JA"")"),"抗血友病因子活性; 第VIII因子活性; 第VIII因子:C")</f>
        <v>抗血友病因子活性; 第VIII因子活性; 第VIII因子:C</v>
      </c>
      <c r="J1765" s="1" t="str">
        <f>IFERROR(__xludf.DUMMYFUNCTION("GOOGLETRANSLATE(F1765,""EN"",""JA"")"),"生物標本中の凝固因子 VIII の生物活性の測定。")</f>
        <v>生物標本中の凝固因子 VIII の生物活性の測定。</v>
      </c>
      <c r="K1765" s="1" t="str">
        <f>IFERROR(__xludf.DUMMYFUNCTION("GOOGLETRANSLATE(G1765,""EN"",""JA"")"),"第VIII因子活性測定")</f>
        <v>第VIII因子活性測定</v>
      </c>
    </row>
    <row r="1766" ht="13.5" customHeight="1">
      <c r="A1766" s="1" t="s">
        <v>11</v>
      </c>
      <c r="B1766" s="1" t="s">
        <v>8921</v>
      </c>
      <c r="C1766" s="1" t="s">
        <v>8922</v>
      </c>
      <c r="D1766" s="1" t="s">
        <v>8923</v>
      </c>
      <c r="E1766" s="1" t="s">
        <v>8923</v>
      </c>
      <c r="F1766" s="1" t="s">
        <v>8924</v>
      </c>
      <c r="G1766" s="1" t="s">
        <v>8925</v>
      </c>
      <c r="H1766" s="1" t="str">
        <f>IFERROR(__xludf.DUMMYFUNCTION("GOOGLETRANSLATE(D1766,""EN"",""JA"")"),"第XIII因子活性")</f>
        <v>第XIII因子活性</v>
      </c>
      <c r="I1766" s="1" t="str">
        <f>IFERROR(__xludf.DUMMYFUNCTION("GOOGLETRANSLATE(E1766,""EN"",""JA"")"),"第XIII因子活性")</f>
        <v>第XIII因子活性</v>
      </c>
      <c r="J1766" s="1" t="str">
        <f>IFERROR(__xludf.DUMMYFUNCTION("GOOGLETRANSLATE(F1766,""EN"",""JA"")"),"生物標本中の凝固因子 XIII の生物活性の測定。")</f>
        <v>生物標本中の凝固因子 XIII の生物活性の測定。</v>
      </c>
      <c r="K1766" s="1" t="str">
        <f>IFERROR(__xludf.DUMMYFUNCTION("GOOGLETRANSLATE(G1766,""EN"",""JA"")"),"第XIII因子活性測定")</f>
        <v>第XIII因子活性測定</v>
      </c>
    </row>
    <row r="1767" ht="13.5" customHeight="1">
      <c r="A1767" s="1" t="s">
        <v>397</v>
      </c>
      <c r="B1767" s="1" t="s">
        <v>8926</v>
      </c>
      <c r="C1767" s="1" t="s">
        <v>8927</v>
      </c>
      <c r="D1767" s="1" t="s">
        <v>8928</v>
      </c>
      <c r="E1767" s="1" t="s">
        <v>8928</v>
      </c>
      <c r="F1767" s="1" t="s">
        <v>8929</v>
      </c>
      <c r="G1767" s="1" t="s">
        <v>8928</v>
      </c>
      <c r="H1767" s="1" t="str">
        <f>IFERROR(__xludf.DUMMYFUNCTION("GOOGLETRANSLATE(D1767,""EN"",""JA"")"),"FDA規制機器研究指標")</f>
        <v>FDA規制機器研究指標</v>
      </c>
      <c r="I1767" s="1" t="str">
        <f>IFERROR(__xludf.DUMMYFUNCTION("GOOGLETRANSLATE(E1767,""EN"",""JA"")"),"FDA規制機器研究指標")</f>
        <v>FDA規制機器研究指標</v>
      </c>
      <c r="J1767" s="1" t="str">
        <f>IFERROR(__xludf.DUMMYFUNCTION("GOOGLETRANSLATE(F1767,""EN"",""JA"")"),"研究に FDA 規制対象のデバイスが含まれるかどうかを示します。")</f>
        <v>研究に FDA 規制対象のデバイスが含まれるかどうかを示します。</v>
      </c>
      <c r="K1767" s="1" t="str">
        <f>IFERROR(__xludf.DUMMYFUNCTION("GOOGLETRANSLATE(G1767,""EN"",""JA"")"),"FDA規制機器研究指標")</f>
        <v>FDA規制機器研究指標</v>
      </c>
    </row>
    <row r="1768" ht="13.5" customHeight="1">
      <c r="A1768" s="1" t="s">
        <v>397</v>
      </c>
      <c r="B1768" s="1" t="s">
        <v>8930</v>
      </c>
      <c r="C1768" s="1" t="s">
        <v>8931</v>
      </c>
      <c r="D1768" s="1" t="s">
        <v>8932</v>
      </c>
      <c r="E1768" s="1" t="s">
        <v>8932</v>
      </c>
      <c r="F1768" s="1" t="s">
        <v>8933</v>
      </c>
      <c r="G1768" s="1" t="s">
        <v>8932</v>
      </c>
      <c r="H1768" s="1" t="str">
        <f>IFERROR(__xludf.DUMMYFUNCTION("GOOGLETRANSLATE(D1768,""EN"",""JA"")"),"FDA規制薬物研究指標")</f>
        <v>FDA規制薬物研究指標</v>
      </c>
      <c r="I1768" s="1" t="str">
        <f>IFERROR(__xludf.DUMMYFUNCTION("GOOGLETRANSLATE(E1768,""EN"",""JA"")"),"FDA規制薬物研究指標")</f>
        <v>FDA規制薬物研究指標</v>
      </c>
      <c r="J1768" s="1" t="str">
        <f>IFERROR(__xludf.DUMMYFUNCTION("GOOGLETRANSLATE(F1768,""EN"",""JA"")"),"研究に FDA 規制対象の薬剤が含まれるかどうかを示します。")</f>
        <v>研究に FDA 規制対象の薬剤が含まれるかどうかを示します。</v>
      </c>
      <c r="K1768" s="1" t="str">
        <f>IFERROR(__xludf.DUMMYFUNCTION("GOOGLETRANSLATE(G1768,""EN"",""JA"")"),"FDA規制薬物研究指標")</f>
        <v>FDA規制薬物研究指標</v>
      </c>
    </row>
    <row r="1769" ht="13.5" customHeight="1">
      <c r="A1769" s="1" t="s">
        <v>397</v>
      </c>
      <c r="B1769" s="1" t="s">
        <v>8934</v>
      </c>
      <c r="C1769" s="1" t="s">
        <v>8935</v>
      </c>
      <c r="D1769" s="1" t="s">
        <v>8936</v>
      </c>
      <c r="E1769" s="1" t="s">
        <v>8936</v>
      </c>
      <c r="F1769" s="1" t="s">
        <v>8937</v>
      </c>
      <c r="G1769" s="1" t="s">
        <v>8938</v>
      </c>
      <c r="H1769" s="1" t="str">
        <f>IFERROR(__xludf.DUMMYFUNCTION("GOOGLETRANSLATE(D1769,""EN"",""JA"")"),"FDA技術仕様")</f>
        <v>FDA技術仕様</v>
      </c>
      <c r="I1769" s="1" t="str">
        <f>IFERROR(__xludf.DUMMYFUNCTION("GOOGLETRANSLATE(E1769,""EN"",""JA"")"),"FDA技術仕様")</f>
        <v>FDA技術仕様</v>
      </c>
      <c r="J1769" s="1" t="str">
        <f>IFERROR(__xludf.DUMMYFUNCTION("GOOGLETRANSLATE(F1769,""EN"",""JA"")"),"研究提出に使用されている FDA 技術仕様の名前とバージョン。")</f>
        <v>研究提出に使用されている FDA 技術仕様の名前とバージョン。</v>
      </c>
      <c r="K1769" s="1" t="str">
        <f>IFERROR(__xludf.DUMMYFUNCTION("GOOGLETRANSLATE(G1769,""EN"",""JA"")"),"FDA技術仕様書の名称とバージョン")</f>
        <v>FDA技術仕様書の名称とバージョン</v>
      </c>
    </row>
    <row r="1770" ht="13.5" customHeight="1">
      <c r="A1770" s="1" t="s">
        <v>11</v>
      </c>
      <c r="B1770" s="1" t="s">
        <v>8939</v>
      </c>
      <c r="C1770" s="1" t="s">
        <v>8940</v>
      </c>
      <c r="D1770" s="1" t="s">
        <v>8941</v>
      </c>
      <c r="E1770" s="1" t="s">
        <v>8941</v>
      </c>
      <c r="F1770" s="1" t="s">
        <v>8942</v>
      </c>
      <c r="G1770" s="1" t="s">
        <v>8943</v>
      </c>
      <c r="H1770" s="1" t="str">
        <f>IFERROR(__xludf.DUMMYFUNCTION("GOOGLETRANSLATE(D1770,""EN"",""JA"")"),"フィブリン分解産物")</f>
        <v>フィブリン分解産物</v>
      </c>
      <c r="I1770" s="1" t="str">
        <f>IFERROR(__xludf.DUMMYFUNCTION("GOOGLETRANSLATE(E1770,""EN"",""JA"")"),"フィブリン分解産物")</f>
        <v>フィブリン分解産物</v>
      </c>
      <c r="J1770" s="1" t="str">
        <f>IFERROR(__xludf.DUMMYFUNCTION("GOOGLETRANSLATE(F1770,""EN"",""JA"")"),"生物標本中のフィブリン分解生成物の測定。")</f>
        <v>生物標本中のフィブリン分解生成物の測定。</v>
      </c>
      <c r="K1770" s="1" t="str">
        <f>IFERROR(__xludf.DUMMYFUNCTION("GOOGLETRANSLATE(G1770,""EN"",""JA"")"),"フィブリン分解産物測定")</f>
        <v>フィブリン分解産物測定</v>
      </c>
    </row>
    <row r="1771" ht="13.5" customHeight="1">
      <c r="A1771" s="1" t="s">
        <v>233</v>
      </c>
      <c r="B1771" s="1" t="s">
        <v>8944</v>
      </c>
      <c r="C1771" s="1" t="s">
        <v>8945</v>
      </c>
      <c r="D1771" s="1" t="s">
        <v>8946</v>
      </c>
      <c r="E1771" s="1" t="s">
        <v>8946</v>
      </c>
      <c r="F1771" s="1" t="s">
        <v>8947</v>
      </c>
      <c r="G1771" s="1" t="s">
        <v>8948</v>
      </c>
      <c r="H1771" s="1" t="str">
        <f>IFERROR(__xludf.DUMMYFUNCTION("GOOGLETRANSLATE(D1771,""EN"",""JA"")"),"FDG PET 5PSスコア")</f>
        <v>FDG PET 5PSスコア</v>
      </c>
      <c r="I1771" s="1" t="str">
        <f>IFERROR(__xludf.DUMMYFUNCTION("GOOGLETRANSLATE(E1771,""EN"",""JA"")"),"FDG PET 5PSスコア")</f>
        <v>FDG PET 5PSスコア</v>
      </c>
      <c r="J1771" s="1" t="str">
        <f>IFERROR(__xludf.DUMMYFUNCTION("GOOGLETRANSLATE(F1771,""EN"",""JA"")"),"この 5 段階スケールは、もともと Barrington ら (2014) が FDG-PET スキャンによるリンパ腫の治療に対する反応を評価するために考案したもので、その後、さまざまな固形腫瘍および非固形腫瘍の治療に対する反応を評価するために検証されてきました。")</f>
        <v>この 5 段階スケールは、もともと Barrington ら (2014) が FDG-PET スキャンによるリンパ腫の治療に対する反応を評価するために考案したもので、その後、さまざまな固形腫瘍および非固形腫瘍の治療に対する反応を評価するために検証されてきました。</v>
      </c>
      <c r="K1771" s="1" t="str">
        <f>IFERROR(__xludf.DUMMYFUNCTION("GOOGLETRANSLATE(G1771,""EN"",""JA"")"),"ロンドン・ドーヴィル基準点尺度")</f>
        <v>ロンドン・ドーヴィル基準点尺度</v>
      </c>
    </row>
    <row r="1772" ht="13.5" customHeight="1">
      <c r="A1772" s="1" t="s">
        <v>11</v>
      </c>
      <c r="B1772" s="1" t="s">
        <v>8949</v>
      </c>
      <c r="C1772" s="1" t="s">
        <v>8950</v>
      </c>
      <c r="D1772" s="1" t="s">
        <v>8951</v>
      </c>
      <c r="E1772" s="1" t="s">
        <v>8951</v>
      </c>
      <c r="F1772" s="1" t="s">
        <v>8952</v>
      </c>
      <c r="G1772" s="1" t="s">
        <v>8953</v>
      </c>
      <c r="H1772" s="1" t="str">
        <f>IFERROR(__xludf.DUMMYFUNCTION("GOOGLETRANSLATE(D1772,""EN"",""JA"")"),"カルシウム排泄率")</f>
        <v>カルシウム排泄率</v>
      </c>
      <c r="I1772" s="1" t="str">
        <f>IFERROR(__xludf.DUMMYFUNCTION("GOOGLETRANSLATE(E1772,""EN"",""JA"")"),"カルシウム排泄率")</f>
        <v>カルシウム排泄率</v>
      </c>
      <c r="J1772" s="1" t="str">
        <f>IFERROR(__xludf.DUMMYFUNCTION("GOOGLETRANSLATE(F1772,""EN"",""JA"")"),"血液と尿の両方におけるカルシウムとクレアチニンの濃度に基づいて計算されるカルシウムの分別排泄量の測定値。")</f>
        <v>血液と尿の両方におけるカルシウムとクレアチニンの濃度に基づいて計算されるカルシウムの分別排泄量の測定値。</v>
      </c>
      <c r="K1772" s="1" t="str">
        <f>IFERROR(__xludf.DUMMYFUNCTION("GOOGLETRANSLATE(G1772,""EN"",""JA"")"),"カルシウム排泄率")</f>
        <v>カルシウム排泄率</v>
      </c>
    </row>
    <row r="1773" ht="13.5" customHeight="1">
      <c r="A1773" s="1" t="s">
        <v>11</v>
      </c>
      <c r="B1773" s="1" t="s">
        <v>8954</v>
      </c>
      <c r="C1773" s="1" t="s">
        <v>8955</v>
      </c>
      <c r="D1773" s="1" t="s">
        <v>8956</v>
      </c>
      <c r="E1773" s="1" t="s">
        <v>8956</v>
      </c>
      <c r="F1773" s="1" t="s">
        <v>8957</v>
      </c>
      <c r="G1773" s="1" t="s">
        <v>8958</v>
      </c>
      <c r="H1773" s="1" t="str">
        <f>IFERROR(__xludf.DUMMYFUNCTION("GOOGLETRANSLATE(D1773,""EN"",""JA"")"),"塩化物排泄率")</f>
        <v>塩化物排泄率</v>
      </c>
      <c r="I1773" s="1" t="str">
        <f>IFERROR(__xludf.DUMMYFUNCTION("GOOGLETRANSLATE(E1773,""EN"",""JA"")"),"塩化物排泄率")</f>
        <v>塩化物排泄率</v>
      </c>
      <c r="J1773" s="1" t="str">
        <f>IFERROR(__xludf.DUMMYFUNCTION("GOOGLETRANSLATE(F1773,""EN"",""JA"")"),"血液と尿の両方における塩化物とクレアチニンの濃度に基づいて計算される塩化物分画排泄量の測定値。")</f>
        <v>血液と尿の両方における塩化物とクレアチニンの濃度に基づいて計算される塩化物分画排泄量の測定値。</v>
      </c>
      <c r="K1773" s="1" t="str">
        <f>IFERROR(__xludf.DUMMYFUNCTION("GOOGLETRANSLATE(G1773,""EN"",""JA"")"),"塩化物排泄率")</f>
        <v>塩化物排泄率</v>
      </c>
    </row>
    <row r="1774" ht="13.5" customHeight="1">
      <c r="A1774" s="1" t="s">
        <v>580</v>
      </c>
      <c r="B1774" s="1" t="s">
        <v>8959</v>
      </c>
      <c r="C1774" s="1" t="s">
        <v>8960</v>
      </c>
      <c r="D1774" s="1" t="s">
        <v>8961</v>
      </c>
      <c r="E1774" s="1" t="s">
        <v>8961</v>
      </c>
      <c r="F1774" s="1" t="s">
        <v>8962</v>
      </c>
      <c r="G1774" s="1" t="s">
        <v>8961</v>
      </c>
      <c r="H1774" s="1" t="str">
        <f>IFERROR(__xludf.DUMMYFUNCTION("GOOGLETRANSLATE(D1774,""EN"",""JA"")"),"0.05秒の強制呼気流量")</f>
        <v>0.05秒の強制呼気流量</v>
      </c>
      <c r="I1774" s="1" t="str">
        <f>IFERROR(__xludf.DUMMYFUNCTION("GOOGLETRANSLATE(E1774,""EN"",""JA"")"),"0.05秒の強制呼気流量")</f>
        <v>0.05秒の強制呼気流量</v>
      </c>
      <c r="J1774" s="1" t="str">
        <f>IFERROR(__xludf.DUMMYFUNCTION("GOOGLETRANSLATE(F1774,""EN"",""JA"")"),"強制呼気の最初の 0.05 秒間の強制呼気流量。")</f>
        <v>強制呼気の最初の 0.05 秒間の強制呼気流量。</v>
      </c>
      <c r="K1774" s="1" t="str">
        <f>IFERROR(__xludf.DUMMYFUNCTION("GOOGLETRANSLATE(G1774,""EN"",""JA"")"),"0.05秒の強制呼気流量")</f>
        <v>0.05秒の強制呼気流量</v>
      </c>
    </row>
    <row r="1775" ht="13.5" customHeight="1">
      <c r="A1775" s="1" t="s">
        <v>580</v>
      </c>
      <c r="B1775" s="1" t="s">
        <v>8963</v>
      </c>
      <c r="C1775" s="1" t="s">
        <v>8964</v>
      </c>
      <c r="D1775" s="1" t="s">
        <v>8965</v>
      </c>
      <c r="E1775" s="1" t="s">
        <v>8965</v>
      </c>
      <c r="F1775" s="1" t="s">
        <v>8966</v>
      </c>
      <c r="G1775" s="1" t="s">
        <v>8965</v>
      </c>
      <c r="H1775" s="1" t="str">
        <f>IFERROR(__xludf.DUMMYFUNCTION("GOOGLETRANSLATE(D1775,""EN"",""JA"")"),"0.1秒の強制呼気流量")</f>
        <v>0.1秒の強制呼気流量</v>
      </c>
      <c r="I1775" s="1" t="str">
        <f>IFERROR(__xludf.DUMMYFUNCTION("GOOGLETRANSLATE(E1775,""EN"",""JA"")"),"0.1秒の強制呼気流量")</f>
        <v>0.1秒の強制呼気流量</v>
      </c>
      <c r="J1775" s="1" t="str">
        <f>IFERROR(__xludf.DUMMYFUNCTION("GOOGLETRANSLATE(F1775,""EN"",""JA"")"),"強制呼気の最初の 0.1 秒間の強制呼気流量。")</f>
        <v>強制呼気の最初の 0.1 秒間の強制呼気流量。</v>
      </c>
      <c r="K1775" s="1" t="str">
        <f>IFERROR(__xludf.DUMMYFUNCTION("GOOGLETRANSLATE(G1775,""EN"",""JA"")"),"0.1秒の強制呼気流量")</f>
        <v>0.1秒の強制呼気流量</v>
      </c>
    </row>
    <row r="1776" ht="13.5" customHeight="1">
      <c r="A1776" s="1" t="s">
        <v>580</v>
      </c>
      <c r="B1776" s="1" t="s">
        <v>8967</v>
      </c>
      <c r="C1776" s="1" t="s">
        <v>8968</v>
      </c>
      <c r="D1776" s="1" t="s">
        <v>8969</v>
      </c>
      <c r="E1776" s="1" t="s">
        <v>8969</v>
      </c>
      <c r="F1776" s="1" t="s">
        <v>8970</v>
      </c>
      <c r="G1776" s="1" t="s">
        <v>8969</v>
      </c>
      <c r="H1776" s="1" t="str">
        <f>IFERROR(__xludf.DUMMYFUNCTION("GOOGLETRANSLATE(D1776,""EN"",""JA"")"),"0.2秒の強制呼気流量")</f>
        <v>0.2秒の強制呼気流量</v>
      </c>
      <c r="I1776" s="1" t="str">
        <f>IFERROR(__xludf.DUMMYFUNCTION("GOOGLETRANSLATE(E1776,""EN"",""JA"")"),"0.2秒の強制呼気流量")</f>
        <v>0.2秒の強制呼気流量</v>
      </c>
      <c r="J1776" s="1" t="str">
        <f>IFERROR(__xludf.DUMMYFUNCTION("GOOGLETRANSLATE(F1776,""EN"",""JA"")"),"強制呼気の最初の 0.2 秒間の強制呼気流量。")</f>
        <v>強制呼気の最初の 0.2 秒間の強制呼気流量。</v>
      </c>
      <c r="K1776" s="1" t="str">
        <f>IFERROR(__xludf.DUMMYFUNCTION("GOOGLETRANSLATE(G1776,""EN"",""JA"")"),"0.2秒の強制呼気流量")</f>
        <v>0.2秒の強制呼気流量</v>
      </c>
    </row>
    <row r="1777" ht="13.5" customHeight="1">
      <c r="A1777" s="1" t="s">
        <v>580</v>
      </c>
      <c r="B1777" s="1" t="s">
        <v>8971</v>
      </c>
      <c r="C1777" s="1" t="s">
        <v>8972</v>
      </c>
      <c r="D1777" s="1" t="s">
        <v>8973</v>
      </c>
      <c r="E1777" s="1" t="s">
        <v>8973</v>
      </c>
      <c r="F1777" s="1" t="s">
        <v>8974</v>
      </c>
      <c r="G1777" s="1" t="s">
        <v>8975</v>
      </c>
      <c r="H1777" s="1" t="str">
        <f>IFERROR(__xludf.DUMMYFUNCTION("GOOGLETRANSLATE(D1777,""EN"",""JA"")"),"強制呼気流量25～75%")</f>
        <v>強制呼気流量25～75%</v>
      </c>
      <c r="I1777" s="1" t="str">
        <f>IFERROR(__xludf.DUMMYFUNCTION("GOOGLETRANSLATE(E1777,""EN"",""JA"")"),"強制呼気流量25～75%")</f>
        <v>強制呼気流量25～75%</v>
      </c>
      <c r="J1777" s="1" t="str">
        <f>IFERROR(__xludf.DUMMYFUNCTION("GOOGLETRANSLATE(F1777,""EN"",""JA"")"),"努力肺活量の25～75%における平均努力呼気流量。(NCI)")</f>
        <v>努力肺活量の25～75%における平均努力呼気流量。(NCI)</v>
      </c>
      <c r="K1777" s="1" t="str">
        <f>IFERROR(__xludf.DUMMYFUNCTION("GOOGLETRANSLATE(G1777,""EN"",""JA"")"),"強制呼気流量25～75％")</f>
        <v>強制呼気流量25～75％</v>
      </c>
    </row>
    <row r="1778" ht="13.5" customHeight="1">
      <c r="A1778" s="1" t="s">
        <v>580</v>
      </c>
      <c r="B1778" s="1" t="s">
        <v>8976</v>
      </c>
      <c r="C1778" s="1" t="s">
        <v>8977</v>
      </c>
      <c r="D1778" s="1" t="s">
        <v>8978</v>
      </c>
      <c r="E1778" s="1" t="s">
        <v>8978</v>
      </c>
      <c r="F1778" s="1" t="s">
        <v>8979</v>
      </c>
      <c r="G1778" s="1" t="s">
        <v>8980</v>
      </c>
      <c r="H1778" s="1" t="str">
        <f>IFERROR(__xludf.DUMMYFUNCTION("GOOGLETRANSLATE(D1778,""EN"",""JA"")"),"FEF25-75の予測パーセント")</f>
        <v>FEF25-75の予測パーセント</v>
      </c>
      <c r="I1778" s="1" t="str">
        <f>IFERROR(__xludf.DUMMYFUNCTION("GOOGLETRANSLATE(E1778,""EN"",""JA"")"),"FEF25-75の予測パーセント")</f>
        <v>FEF25-75の予測パーセント</v>
      </c>
      <c r="J1778" s="1" t="str">
        <f>IFERROR(__xludf.DUMMYFUNCTION("GOOGLETRANSLATE(F1778,""EN"",""JA"")"),"予測正常値に対する、努力肺活量の25～75%における平均努力呼気流量の割合。(NCI)")</f>
        <v>予測正常値に対する、努力肺活量の25～75%における平均努力呼気流量の割合。(NCI)</v>
      </c>
      <c r="K1778" s="1" t="str">
        <f>IFERROR(__xludf.DUMMYFUNCTION("GOOGLETRANSLATE(G1778,""EN"",""JA"")"),"25～75％における予測強制呼気流量の割合")</f>
        <v>25～75％における予測強制呼気流量の割合</v>
      </c>
    </row>
    <row r="1779" ht="13.5" customHeight="1">
      <c r="A1779" s="1" t="s">
        <v>580</v>
      </c>
      <c r="B1779" s="1" t="s">
        <v>8981</v>
      </c>
      <c r="C1779" s="1" t="s">
        <v>8982</v>
      </c>
      <c r="D1779" s="1" t="s">
        <v>8983</v>
      </c>
      <c r="E1779" s="1" t="s">
        <v>8983</v>
      </c>
      <c r="F1779" s="1" t="s">
        <v>8984</v>
      </c>
      <c r="G1779" s="1" t="s">
        <v>8985</v>
      </c>
      <c r="H1779" s="1" t="str">
        <f>IFERROR(__xludf.DUMMYFUNCTION("GOOGLETRANSLATE(D1779,""EN"",""JA"")"),"強制呼気流量50％")</f>
        <v>強制呼気流量50％</v>
      </c>
      <c r="I1779" s="1" t="str">
        <f>IFERROR(__xludf.DUMMYFUNCTION("GOOGLETRANSLATE(E1779,""EN"",""JA"")"),"強制呼気流量50％")</f>
        <v>強制呼気流量50％</v>
      </c>
      <c r="J1779" s="1" t="str">
        <f>IFERROR(__xludf.DUMMYFUNCTION("GOOGLETRANSLATE(F1779,""EN"",""JA"")"),"努力肺活量の50%における平均努力呼気流量。(NCI)")</f>
        <v>努力肺活量の50%における平均努力呼気流量。(NCI)</v>
      </c>
      <c r="K1779" s="1" t="str">
        <f>IFERROR(__xludf.DUMMYFUNCTION("GOOGLETRANSLATE(G1779,""EN"",""JA"")"),"努力肺活量の50％における強制呼気流量")</f>
        <v>努力肺活量の50％における強制呼気流量</v>
      </c>
    </row>
    <row r="1780" ht="13.5" customHeight="1">
      <c r="A1780" s="1" t="s">
        <v>11</v>
      </c>
      <c r="B1780" s="1" t="s">
        <v>8986</v>
      </c>
      <c r="C1780" s="1" t="s">
        <v>8987</v>
      </c>
      <c r="D1780" s="1" t="s">
        <v>8988</v>
      </c>
      <c r="E1780" s="1" t="s">
        <v>8988</v>
      </c>
      <c r="F1780" s="1" t="s">
        <v>8989</v>
      </c>
      <c r="G1780" s="1" t="s">
        <v>8990</v>
      </c>
      <c r="H1780" s="1" t="str">
        <f>IFERROR(__xludf.DUMMYFUNCTION("GOOGLETRANSLATE(D1780,""EN"",""JA"")"),"カリウム排泄率")</f>
        <v>カリウム排泄率</v>
      </c>
      <c r="I1780" s="1" t="str">
        <f>IFERROR(__xludf.DUMMYFUNCTION("GOOGLETRANSLATE(E1780,""EN"",""JA"")"),"カリウム排泄率")</f>
        <v>カリウム排泄率</v>
      </c>
      <c r="J1780" s="1" t="str">
        <f>IFERROR(__xludf.DUMMYFUNCTION("GOOGLETRANSLATE(F1780,""EN"",""JA"")"),"血液と尿の両方におけるカリウムとクレアチニンの濃度に基づいて計算される、カリウムの分別排泄量の測定値。")</f>
        <v>血液と尿の両方におけるカリウムとクレアチニンの濃度に基づいて計算される、カリウムの分別排泄量の測定値。</v>
      </c>
      <c r="K1780" s="1" t="str">
        <f>IFERROR(__xludf.DUMMYFUNCTION("GOOGLETRANSLATE(G1780,""EN"",""JA"")"),"カリウム排泄率")</f>
        <v>カリウム排泄率</v>
      </c>
    </row>
    <row r="1781" ht="13.5" customHeight="1">
      <c r="A1781" s="1" t="s">
        <v>11</v>
      </c>
      <c r="B1781" s="1" t="s">
        <v>8991</v>
      </c>
      <c r="C1781" s="1" t="s">
        <v>8992</v>
      </c>
      <c r="D1781" s="1" t="s">
        <v>8993</v>
      </c>
      <c r="E1781" s="1" t="s">
        <v>8993</v>
      </c>
      <c r="F1781" s="1" t="s">
        <v>8994</v>
      </c>
      <c r="G1781" s="1" t="s">
        <v>8995</v>
      </c>
      <c r="H1781" s="1" t="str">
        <f>IFERROR(__xludf.DUMMYFUNCTION("GOOGLETRANSLATE(D1781,""EN"",""JA"")"),"マグネシウム排泄量")</f>
        <v>マグネシウム排泄量</v>
      </c>
      <c r="I1781" s="1" t="str">
        <f>IFERROR(__xludf.DUMMYFUNCTION("GOOGLETRANSLATE(E1781,""EN"",""JA"")"),"マグネシウム排泄量")</f>
        <v>マグネシウム排泄量</v>
      </c>
      <c r="J1781" s="1" t="str">
        <f>IFERROR(__xludf.DUMMYFUNCTION("GOOGLETRANSLATE(F1781,""EN"",""JA"")"),"血液と尿の両方におけるマグネシウムとクレアチニンの濃度に基づいて計算されるマグネシウムの分数排泄量の測定値。")</f>
        <v>血液と尿の両方におけるマグネシウムとクレアチニンの濃度に基づいて計算されるマグネシウムの分数排泄量の測定値。</v>
      </c>
      <c r="K1781" s="1" t="str">
        <f>IFERROR(__xludf.DUMMYFUNCTION("GOOGLETRANSLATE(G1781,""EN"",""JA"")"),"マグネシウムの排泄率")</f>
        <v>マグネシウムの排泄率</v>
      </c>
    </row>
    <row r="1782" ht="13.5" customHeight="1">
      <c r="A1782" s="1" t="s">
        <v>11</v>
      </c>
      <c r="B1782" s="1" t="s">
        <v>8996</v>
      </c>
      <c r="C1782" s="1" t="s">
        <v>8997</v>
      </c>
      <c r="D1782" s="1" t="s">
        <v>8998</v>
      </c>
      <c r="E1782" s="1" t="s">
        <v>8998</v>
      </c>
      <c r="F1782" s="1" t="s">
        <v>8999</v>
      </c>
      <c r="G1782" s="1" t="s">
        <v>9000</v>
      </c>
      <c r="H1782" s="1" t="str">
        <f>IFERROR(__xludf.DUMMYFUNCTION("GOOGLETRANSLATE(D1782,""EN"",""JA"")"),"3-メチルフェンタニル")</f>
        <v>3-メチルフェンタニル</v>
      </c>
      <c r="I1782" s="1" t="str">
        <f>IFERROR(__xludf.DUMMYFUNCTION("GOOGLETRANSLATE(E1782,""EN"",""JA"")"),"3-メチルフェンタニル")</f>
        <v>3-メチルフェンタニル</v>
      </c>
      <c r="J1782" s="1" t="str">
        <f>IFERROR(__xludf.DUMMYFUNCTION("GOOGLETRANSLATE(F1782,""EN"",""JA"")"),"生物標本中の 3-メチルフェンタニルの測定。")</f>
        <v>生物標本中の 3-メチルフェンタニルの測定。</v>
      </c>
      <c r="K1782" s="1" t="str">
        <f>IFERROR(__xludf.DUMMYFUNCTION("GOOGLETRANSLATE(G1782,""EN"",""JA"")"),"3-メチルフェンタニル測定")</f>
        <v>3-メチルフェンタニル測定</v>
      </c>
    </row>
    <row r="1783" ht="13.5" customHeight="1">
      <c r="A1783" s="1" t="s">
        <v>11</v>
      </c>
      <c r="B1783" s="1" t="s">
        <v>9001</v>
      </c>
      <c r="C1783" s="1" t="s">
        <v>9002</v>
      </c>
      <c r="D1783" s="1" t="s">
        <v>9003</v>
      </c>
      <c r="E1783" s="1" t="s">
        <v>9003</v>
      </c>
      <c r="F1783" s="1" t="s">
        <v>9004</v>
      </c>
      <c r="G1783" s="1" t="s">
        <v>9005</v>
      </c>
      <c r="H1783" s="1" t="str">
        <f>IFERROR(__xludf.DUMMYFUNCTION("GOOGLETRANSLATE(D1783,""EN"",""JA"")"),"ナトリウム排泄率")</f>
        <v>ナトリウム排泄率</v>
      </c>
      <c r="I1783" s="1" t="str">
        <f>IFERROR(__xludf.DUMMYFUNCTION("GOOGLETRANSLATE(E1783,""EN"",""JA"")"),"ナトリウム排泄率")</f>
        <v>ナトリウム排泄率</v>
      </c>
      <c r="J1783" s="1" t="str">
        <f>IFERROR(__xludf.DUMMYFUNCTION("GOOGLETRANSLATE(F1783,""EN"",""JA"")"),"血液と尿の両方におけるナトリウムとクレアチニンの濃度に基づいて計算されるナトリウムの分数排泄量の測定値。")</f>
        <v>血液と尿の両方におけるナトリウムとクレアチニンの濃度に基づいて計算されるナトリウムの分数排泄量の測定値。</v>
      </c>
      <c r="K1783" s="1" t="str">
        <f>IFERROR(__xludf.DUMMYFUNCTION("GOOGLETRANSLATE(G1783,""EN"",""JA"")"),"ナトリウム排泄率")</f>
        <v>ナトリウム排泄率</v>
      </c>
    </row>
    <row r="1784" ht="13.5" customHeight="1">
      <c r="A1784" s="1" t="s">
        <v>11</v>
      </c>
      <c r="B1784" s="1" t="s">
        <v>9006</v>
      </c>
      <c r="C1784" s="1" t="s">
        <v>9007</v>
      </c>
      <c r="D1784" s="1" t="s">
        <v>9008</v>
      </c>
      <c r="E1784" s="1" t="s">
        <v>9009</v>
      </c>
      <c r="F1784" s="1" t="s">
        <v>9010</v>
      </c>
      <c r="G1784" s="1" t="s">
        <v>9011</v>
      </c>
      <c r="H1784" s="1" t="str">
        <f>IFERROR(__xludf.DUMMYFUNCTION("GOOGLETRANSLATE(D1784,""EN"",""JA"")"),"アセチルフェンタニル")</f>
        <v>アセチルフェンタニル</v>
      </c>
      <c r="I1784" s="1" t="str">
        <f>IFERROR(__xludf.DUMMYFUNCTION("GOOGLETRANSLATE(E1784,""EN"",""JA"")"),"アセチルフェンタニル; アセチルフェンタニル")</f>
        <v>アセチルフェンタニル; アセチルフェンタニル</v>
      </c>
      <c r="J1784" s="1" t="str">
        <f>IFERROR(__xludf.DUMMYFUNCTION("GOOGLETRANSLATE(F1784,""EN"",""JA"")"),"生物標本中のアセチルフェンタニルの測定。")</f>
        <v>生物標本中のアセチルフェンタニルの測定。</v>
      </c>
      <c r="K1784" s="1" t="str">
        <f>IFERROR(__xludf.DUMMYFUNCTION("GOOGLETRANSLATE(G1784,""EN"",""JA"")"),"アセチルフェンタニル測定")</f>
        <v>アセチルフェンタニル測定</v>
      </c>
    </row>
    <row r="1785" ht="13.5" customHeight="1">
      <c r="A1785" s="1" t="s">
        <v>11</v>
      </c>
      <c r="B1785" s="1" t="s">
        <v>9012</v>
      </c>
      <c r="C1785" s="1" t="s">
        <v>9013</v>
      </c>
      <c r="D1785" s="1" t="s">
        <v>9014</v>
      </c>
      <c r="E1785" s="1" t="s">
        <v>9014</v>
      </c>
      <c r="F1785" s="1" t="s">
        <v>9015</v>
      </c>
      <c r="G1785" s="1" t="s">
        <v>9016</v>
      </c>
      <c r="H1785" s="1" t="str">
        <f>IFERROR(__xludf.DUMMYFUNCTION("GOOGLETRANSLATE(D1785,""EN"",""JA"")"),"アルファメチルフェンタニル")</f>
        <v>アルファメチルフェンタニル</v>
      </c>
      <c r="I1785" s="1" t="str">
        <f>IFERROR(__xludf.DUMMYFUNCTION("GOOGLETRANSLATE(E1785,""EN"",""JA"")"),"アルファメチルフェンタニル")</f>
        <v>アルファメチルフェンタニル</v>
      </c>
      <c r="J1785" s="1" t="str">
        <f>IFERROR(__xludf.DUMMYFUNCTION("GOOGLETRANSLATE(F1785,""EN"",""JA"")"),"生物標本中のアルファメチルフェンタニルの測定。")</f>
        <v>生物標本中のアルファメチルフェンタニルの測定。</v>
      </c>
      <c r="K1785" s="1" t="str">
        <f>IFERROR(__xludf.DUMMYFUNCTION("GOOGLETRANSLATE(G1785,""EN"",""JA"")"),"アルファメチルフェンタニル測定")</f>
        <v>アルファメチルフェンタニル測定</v>
      </c>
    </row>
    <row r="1786" ht="13.5" customHeight="1">
      <c r="A1786" s="1" t="s">
        <v>11</v>
      </c>
      <c r="B1786" s="1" t="s">
        <v>9017</v>
      </c>
      <c r="C1786" s="1" t="s">
        <v>9018</v>
      </c>
      <c r="D1786" s="1" t="s">
        <v>9019</v>
      </c>
      <c r="E1786" s="1" t="s">
        <v>9019</v>
      </c>
      <c r="F1786" s="1" t="s">
        <v>9020</v>
      </c>
      <c r="G1786" s="1" t="s">
        <v>9021</v>
      </c>
      <c r="H1786" s="1" t="str">
        <f>IFERROR(__xludf.DUMMYFUNCTION("GOOGLETRANSLATE(D1786,""EN"",""JA"")"),"ベータ-ヒドロキシチオフェンタニル")</f>
        <v>ベータ-ヒドロキシチオフェンタニル</v>
      </c>
      <c r="I1786" s="1" t="str">
        <f>IFERROR(__xludf.DUMMYFUNCTION("GOOGLETRANSLATE(E1786,""EN"",""JA"")"),"ベータ-ヒドロキシチオフェンタニル")</f>
        <v>ベータ-ヒドロキシチオフェンタニル</v>
      </c>
      <c r="J1786" s="1" t="str">
        <f>IFERROR(__xludf.DUMMYFUNCTION("GOOGLETRANSLATE(F1786,""EN"",""JA"")"),"生物標本中のβ-ヒドロキシチオフェンタニルの測定。")</f>
        <v>生物標本中のβ-ヒドロキシチオフェンタニルの測定。</v>
      </c>
      <c r="K1786" s="1" t="str">
        <f>IFERROR(__xludf.DUMMYFUNCTION("GOOGLETRANSLATE(G1786,""EN"",""JA"")"),"ベータ-ヒドロキシチオフェンタニル測定")</f>
        <v>ベータ-ヒドロキシチオフェンタニル測定</v>
      </c>
    </row>
    <row r="1787" ht="13.5" customHeight="1">
      <c r="A1787" s="1" t="s">
        <v>11</v>
      </c>
      <c r="B1787" s="1" t="s">
        <v>9022</v>
      </c>
      <c r="C1787" s="1" t="s">
        <v>9023</v>
      </c>
      <c r="D1787" s="1" t="s">
        <v>9024</v>
      </c>
      <c r="E1787" s="1" t="s">
        <v>9025</v>
      </c>
      <c r="F1787" s="1" t="s">
        <v>9026</v>
      </c>
      <c r="G1787" s="1" t="s">
        <v>9027</v>
      </c>
      <c r="H1787" s="1" t="str">
        <f>IFERROR(__xludf.DUMMYFUNCTION("GOOGLETRANSLATE(D1787,""EN"",""JA"")"),"ブチリルフェンタニル")</f>
        <v>ブチリルフェンタニル</v>
      </c>
      <c r="I1787" s="1" t="str">
        <f>IFERROR(__xludf.DUMMYFUNCTION("GOOGLETRANSLATE(E1787,""EN"",""JA"")"),"ブチリルフェンタニル; ブチリルフェンタニル; ブチリルフェンタニル")</f>
        <v>ブチリルフェンタニル; ブチリルフェンタニル; ブチリルフェンタニル</v>
      </c>
      <c r="J1787" s="1" t="str">
        <f>IFERROR(__xludf.DUMMYFUNCTION("GOOGLETRANSLATE(F1787,""EN"",""JA"")"),"生物標本中のブチリルフェンタニルの測定。")</f>
        <v>生物標本中のブチリルフェンタニルの測定。</v>
      </c>
      <c r="K1787" s="1" t="str">
        <f>IFERROR(__xludf.DUMMYFUNCTION("GOOGLETRANSLATE(G1787,""EN"",""JA"")"),"ブチリルフェンタニル測定")</f>
        <v>ブチリルフェンタニル測定</v>
      </c>
    </row>
    <row r="1788" ht="13.5" customHeight="1">
      <c r="A1788" s="1" t="s">
        <v>11</v>
      </c>
      <c r="B1788" s="1" t="s">
        <v>9028</v>
      </c>
      <c r="C1788" s="1" t="s">
        <v>9029</v>
      </c>
      <c r="D1788" s="1" t="s">
        <v>9030</v>
      </c>
      <c r="E1788" s="1" t="s">
        <v>9031</v>
      </c>
      <c r="F1788" s="1" t="s">
        <v>9032</v>
      </c>
      <c r="G1788" s="1" t="s">
        <v>9033</v>
      </c>
      <c r="H1788" s="1" t="str">
        <f>IFERROR(__xludf.DUMMYFUNCTION("GOOGLETRANSLATE(D1788,""EN"",""JA"")"),"フェンカムファミン")</f>
        <v>フェンカムファミン</v>
      </c>
      <c r="I1788" s="1" t="str">
        <f>IFERROR(__xludf.DUMMYFUNCTION("GOOGLETRANSLATE(E1788,""EN"",""JA"")"),"フェンカムファミン; フェンカムファミン")</f>
        <v>フェンカムファミン; フェンカムファミン</v>
      </c>
      <c r="J1788" s="1" t="str">
        <f>IFERROR(__xludf.DUMMYFUNCTION("GOOGLETRANSLATE(F1788,""EN"",""JA"")"),"生物標本中のフェンカムファミンの測定。")</f>
        <v>生物標本中のフェンカムファミンの測定。</v>
      </c>
      <c r="K1788" s="1" t="str">
        <f>IFERROR(__xludf.DUMMYFUNCTION("GOOGLETRANSLATE(G1788,""EN"",""JA"")"),"フェンカムファミン測定")</f>
        <v>フェンカムファミン測定</v>
      </c>
    </row>
    <row r="1789" ht="13.5" customHeight="1">
      <c r="A1789" s="1" t="s">
        <v>11</v>
      </c>
      <c r="B1789" s="1" t="s">
        <v>9034</v>
      </c>
      <c r="C1789" s="1" t="s">
        <v>9035</v>
      </c>
      <c r="D1789" s="1" t="s">
        <v>9036</v>
      </c>
      <c r="E1789" s="1" t="s">
        <v>9036</v>
      </c>
      <c r="F1789" s="1" t="s">
        <v>9037</v>
      </c>
      <c r="G1789" s="1" t="s">
        <v>9038</v>
      </c>
      <c r="H1789" s="1" t="str">
        <f>IFERROR(__xludf.DUMMYFUNCTION("GOOGLETRANSLATE(D1789,""EN"",""JA"")"),"フェンフルラミン")</f>
        <v>フェンフルラミン</v>
      </c>
      <c r="I1789" s="1" t="str">
        <f>IFERROR(__xludf.DUMMYFUNCTION("GOOGLETRANSLATE(E1789,""EN"",""JA"")"),"フェンフルラミン")</f>
        <v>フェンフルラミン</v>
      </c>
      <c r="J1789" s="1" t="str">
        <f>IFERROR(__xludf.DUMMYFUNCTION("GOOGLETRANSLATE(F1789,""EN"",""JA"")"),"生物標本中のフェンフルラミンの測定。")</f>
        <v>生物標本中のフェンフルラミンの測定。</v>
      </c>
      <c r="K1789" s="1" t="str">
        <f>IFERROR(__xludf.DUMMYFUNCTION("GOOGLETRANSLATE(G1789,""EN"",""JA"")"),"フェンフルラミン測定")</f>
        <v>フェンフルラミン測定</v>
      </c>
    </row>
    <row r="1790" ht="13.5" customHeight="1">
      <c r="A1790" s="1" t="s">
        <v>11</v>
      </c>
      <c r="B1790" s="1" t="s">
        <v>9039</v>
      </c>
      <c r="C1790" s="1" t="s">
        <v>9040</v>
      </c>
      <c r="D1790" s="1" t="s">
        <v>9041</v>
      </c>
      <c r="E1790" s="1" t="s">
        <v>9042</v>
      </c>
      <c r="F1790" s="1" t="s">
        <v>9043</v>
      </c>
      <c r="G1790" s="1" t="s">
        <v>9044</v>
      </c>
      <c r="H1790" s="1" t="str">
        <f>IFERROR(__xludf.DUMMYFUNCTION("GOOGLETRANSLATE(D1790,""EN"",""JA"")"),"フラニルフェンタニル")</f>
        <v>フラニルフェンタニル</v>
      </c>
      <c r="I1790" s="1" t="str">
        <f>IFERROR(__xludf.DUMMYFUNCTION("GOOGLETRANSLATE(E1790,""EN"",""JA"")"),"フラニルフェンタニル; フラニルフェンタニル")</f>
        <v>フラニルフェンタニル; フラニルフェンタニル</v>
      </c>
      <c r="J1790" s="1" t="str">
        <f>IFERROR(__xludf.DUMMYFUNCTION("GOOGLETRANSLATE(F1790,""EN"",""JA"")"),"生物標本中のフラニルフェンタニルの測定。")</f>
        <v>生物標本中のフラニルフェンタニルの測定。</v>
      </c>
      <c r="K1790" s="1" t="str">
        <f>IFERROR(__xludf.DUMMYFUNCTION("GOOGLETRANSLATE(G1790,""EN"",""JA"")"),"フラニルフェンタニル測定")</f>
        <v>フラニルフェンタニル測定</v>
      </c>
    </row>
    <row r="1791" ht="13.5" customHeight="1">
      <c r="A1791" s="1" t="s">
        <v>11</v>
      </c>
      <c r="B1791" s="1" t="s">
        <v>9045</v>
      </c>
      <c r="C1791" s="1" t="s">
        <v>9046</v>
      </c>
      <c r="D1791" s="1" t="s">
        <v>9047</v>
      </c>
      <c r="E1791" s="1" t="s">
        <v>9047</v>
      </c>
      <c r="F1791" s="1" t="s">
        <v>9048</v>
      </c>
      <c r="G1791" s="1" t="s">
        <v>9049</v>
      </c>
      <c r="H1791" s="1" t="str">
        <f>IFERROR(__xludf.DUMMYFUNCTION("GOOGLETRANSLATE(D1791,""EN"",""JA"")"),"パラフルオロフェンタニル")</f>
        <v>パラフルオロフェンタニル</v>
      </c>
      <c r="I1791" s="1" t="str">
        <f>IFERROR(__xludf.DUMMYFUNCTION("GOOGLETRANSLATE(E1791,""EN"",""JA"")"),"パラフルオロフェンタニル")</f>
        <v>パラフルオロフェンタニル</v>
      </c>
      <c r="J1791" s="1" t="str">
        <f>IFERROR(__xludf.DUMMYFUNCTION("GOOGLETRANSLATE(F1791,""EN"",""JA"")"),"生物標本中のパラフルオロフェンタニルの測定。")</f>
        <v>生物標本中のパラフルオロフェンタニルの測定。</v>
      </c>
      <c r="K1791" s="1" t="str">
        <f>IFERROR(__xludf.DUMMYFUNCTION("GOOGLETRANSLATE(G1791,""EN"",""JA"")"),"パラフルオロフェンタニル測定")</f>
        <v>パラフルオロフェンタニル測定</v>
      </c>
    </row>
    <row r="1792" ht="13.5" customHeight="1">
      <c r="A1792" s="1" t="s">
        <v>11</v>
      </c>
      <c r="B1792" s="1" t="s">
        <v>9050</v>
      </c>
      <c r="C1792" s="1" t="s">
        <v>9051</v>
      </c>
      <c r="D1792" s="1" t="s">
        <v>9052</v>
      </c>
      <c r="E1792" s="1" t="s">
        <v>9052</v>
      </c>
      <c r="F1792" s="1" t="s">
        <v>9053</v>
      </c>
      <c r="G1792" s="1" t="s">
        <v>9054</v>
      </c>
      <c r="H1792" s="1" t="str">
        <f>IFERROR(__xludf.DUMMYFUNCTION("GOOGLETRANSLATE(D1792,""EN"",""JA"")"),"フェンプロポレックス")</f>
        <v>フェンプロポレックス</v>
      </c>
      <c r="I1792" s="1" t="str">
        <f>IFERROR(__xludf.DUMMYFUNCTION("GOOGLETRANSLATE(E1792,""EN"",""JA"")"),"フェンプロポレックス")</f>
        <v>フェンプロポレックス</v>
      </c>
      <c r="J1792" s="1" t="str">
        <f>IFERROR(__xludf.DUMMYFUNCTION("GOOGLETRANSLATE(F1792,""EN"",""JA"")"),"生物標本中のフェンプロポレックスの測定。")</f>
        <v>生物標本中のフェンプロポレックスの測定。</v>
      </c>
      <c r="K1792" s="1" t="str">
        <f>IFERROR(__xludf.DUMMYFUNCTION("GOOGLETRANSLATE(G1792,""EN"",""JA"")"),"フェンプロポレックス測定")</f>
        <v>フェンプロポレックス測定</v>
      </c>
    </row>
    <row r="1793" ht="13.5" customHeight="1">
      <c r="A1793" s="1" t="s">
        <v>11</v>
      </c>
      <c r="B1793" s="1" t="s">
        <v>9055</v>
      </c>
      <c r="C1793" s="1" t="s">
        <v>9056</v>
      </c>
      <c r="D1793" s="1" t="s">
        <v>9057</v>
      </c>
      <c r="E1793" s="1" t="s">
        <v>9057</v>
      </c>
      <c r="F1793" s="1" t="s">
        <v>9058</v>
      </c>
      <c r="G1793" s="1" t="s">
        <v>9059</v>
      </c>
      <c r="H1793" s="1" t="str">
        <f>IFERROR(__xludf.DUMMYFUNCTION("GOOGLETRANSLATE(D1793,""EN"",""JA"")"),"フェンタニル")</f>
        <v>フェンタニル</v>
      </c>
      <c r="I1793" s="1" t="str">
        <f>IFERROR(__xludf.DUMMYFUNCTION("GOOGLETRANSLATE(E1793,""EN"",""JA"")"),"フェンタニル")</f>
        <v>フェンタニル</v>
      </c>
      <c r="J1793" s="1" t="str">
        <f>IFERROR(__xludf.DUMMYFUNCTION("GOOGLETRANSLATE(F1793,""EN"",""JA"")"),"生物標本中のフェンタニルの測定。")</f>
        <v>生物標本中のフェンタニルの測定。</v>
      </c>
      <c r="K1793" s="1" t="str">
        <f>IFERROR(__xludf.DUMMYFUNCTION("GOOGLETRANSLATE(G1793,""EN"",""JA"")"),"フェンタニル測定")</f>
        <v>フェンタニル測定</v>
      </c>
    </row>
    <row r="1794" ht="13.5" customHeight="1">
      <c r="A1794" s="1" t="s">
        <v>11</v>
      </c>
      <c r="B1794" s="1" t="s">
        <v>9060</v>
      </c>
      <c r="C1794" s="1" t="s">
        <v>9061</v>
      </c>
      <c r="D1794" s="1" t="s">
        <v>9062</v>
      </c>
      <c r="E1794" s="1" t="s">
        <v>9063</v>
      </c>
      <c r="F1794" s="1" t="s">
        <v>9064</v>
      </c>
      <c r="G1794" s="1" t="s">
        <v>9065</v>
      </c>
      <c r="H1794" s="1" t="str">
        <f>IFERROR(__xludf.DUMMYFUNCTION("GOOGLETRANSLATE(D1794,""EN"",""JA"")"),"バレリルフェンタニル")</f>
        <v>バレリルフェンタニル</v>
      </c>
      <c r="I1794" s="1" t="str">
        <f>IFERROR(__xludf.DUMMYFUNCTION("GOOGLETRANSLATE(E1794,""EN"",""JA"")"),"バレリルフェンタニル; バレリルフェンタニル")</f>
        <v>バレリルフェンタニル; バレリルフェンタニル</v>
      </c>
      <c r="J1794" s="1" t="str">
        <f>IFERROR(__xludf.DUMMYFUNCTION("GOOGLETRANSLATE(F1794,""EN"",""JA"")"),"生物標本中のバレリルフェンタニルの測定。")</f>
        <v>生物標本中のバレリルフェンタニルの測定。</v>
      </c>
      <c r="K1794" s="1" t="str">
        <f>IFERROR(__xludf.DUMMYFUNCTION("GOOGLETRANSLATE(G1794,""EN"",""JA"")"),"バレリルフェンタニル測定")</f>
        <v>バレリルフェンタニル測定</v>
      </c>
    </row>
    <row r="1795" ht="13.5" customHeight="1">
      <c r="A1795" s="1" t="s">
        <v>11</v>
      </c>
      <c r="B1795" s="1" t="s">
        <v>9066</v>
      </c>
      <c r="C1795" s="1" t="s">
        <v>9067</v>
      </c>
      <c r="D1795" s="1" t="s">
        <v>9068</v>
      </c>
      <c r="E1795" s="1" t="s">
        <v>9068</v>
      </c>
      <c r="F1795" s="1" t="s">
        <v>9069</v>
      </c>
      <c r="G1795" s="1" t="s">
        <v>9070</v>
      </c>
      <c r="H1795" s="1" t="str">
        <f>IFERROR(__xludf.DUMMYFUNCTION("GOOGLETRANSLATE(D1795,""EN"",""JA"")"),"赤血球プロトポルフィリン、遊離")</f>
        <v>赤血球プロトポルフィリン、遊離</v>
      </c>
      <c r="I1795" s="1" t="str">
        <f>IFERROR(__xludf.DUMMYFUNCTION("GOOGLETRANSLATE(E1795,""EN"",""JA"")"),"赤血球プロトポルフィリン、遊離")</f>
        <v>赤血球プロトポルフィリン、遊離</v>
      </c>
      <c r="J1795" s="1" t="str">
        <f>IFERROR(__xludf.DUMMYFUNCTION("GOOGLETRANSLATE(F1795,""EN"",""JA"")"),"生物学的標本中の遊離赤血球プロトポルフィリン（亜鉛結合プロトポルフィリンと非結合プロトポルフィリン）の測定。")</f>
        <v>生物学的標本中の遊離赤血球プロトポルフィリン（亜鉛結合プロトポルフィリンと非結合プロトポルフィリン）の測定。</v>
      </c>
      <c r="K1795" s="1" t="str">
        <f>IFERROR(__xludf.DUMMYFUNCTION("GOOGLETRANSLATE(G1795,""EN"",""JA"")"),"遊離赤血球プロトポルフィリン測定")</f>
        <v>遊離赤血球プロトポルフィリン測定</v>
      </c>
    </row>
    <row r="1796" ht="13.5" customHeight="1">
      <c r="A1796" s="1" t="s">
        <v>11</v>
      </c>
      <c r="B1796" s="1" t="s">
        <v>9071</v>
      </c>
      <c r="C1796" s="1" t="s">
        <v>9072</v>
      </c>
      <c r="D1796" s="1" t="s">
        <v>9073</v>
      </c>
      <c r="E1796" s="1" t="s">
        <v>9074</v>
      </c>
      <c r="F1796" s="1" t="s">
        <v>9075</v>
      </c>
      <c r="G1796" s="1" t="s">
        <v>9076</v>
      </c>
      <c r="H1796" s="1" t="str">
        <f>IFERROR(__xludf.DUMMYFUNCTION("GOOGLETRANSLATE(D1796,""EN"",""JA"")"),"リン排泄率")</f>
        <v>リン排泄率</v>
      </c>
      <c r="I1796" s="1" t="str">
        <f>IFERROR(__xludf.DUMMYFUNCTION("GOOGLETRANSLATE(E1796,""EN"",""JA"")"),"無機リン酸排泄率; リン排泄率")</f>
        <v>無機リン酸排泄率; リン排泄率</v>
      </c>
      <c r="J1796" s="1" t="str">
        <f>IFERROR(__xludf.DUMMYFUNCTION("GOOGLETRANSLATE(F1796,""EN"",""JA"")"),"血液と尿の両方におけるリンとクレアチニンの濃度に基づいて計算されるリンの分数排泄量の測定値。")</f>
        <v>血液と尿の両方におけるリンとクレアチニンの濃度に基づいて計算されるリンの分数排泄量の測定値。</v>
      </c>
      <c r="K1796" s="1" t="str">
        <f>IFERROR(__xludf.DUMMYFUNCTION("GOOGLETRANSLATE(G1796,""EN"",""JA"")"),"リン酸分画排泄")</f>
        <v>リン酸分画排泄</v>
      </c>
    </row>
    <row r="1797" ht="13.5" customHeight="1">
      <c r="A1797" s="1" t="s">
        <v>11</v>
      </c>
      <c r="B1797" s="1" t="s">
        <v>9077</v>
      </c>
      <c r="C1797" s="1" t="s">
        <v>9078</v>
      </c>
      <c r="D1797" s="1" t="s">
        <v>9079</v>
      </c>
      <c r="E1797" s="1" t="s">
        <v>9079</v>
      </c>
      <c r="F1797" s="1" t="s">
        <v>9080</v>
      </c>
      <c r="G1797" s="1" t="s">
        <v>9081</v>
      </c>
      <c r="H1797" s="1" t="str">
        <f>IFERROR(__xludf.DUMMYFUNCTION("GOOGLETRANSLATE(D1797,""EN"",""JA"")"),"フェリチン")</f>
        <v>フェリチン</v>
      </c>
      <c r="I1797" s="1" t="str">
        <f>IFERROR(__xludf.DUMMYFUNCTION("GOOGLETRANSLATE(E1797,""EN"",""JA"")"),"フェリチン")</f>
        <v>フェリチン</v>
      </c>
      <c r="J1797" s="1" t="str">
        <f>IFERROR(__xludf.DUMMYFUNCTION("GOOGLETRANSLATE(F1797,""EN"",""JA"")"),"生物標本中のフェリチンの測定。")</f>
        <v>生物標本中のフェリチンの測定。</v>
      </c>
      <c r="K1797" s="1" t="str">
        <f>IFERROR(__xludf.DUMMYFUNCTION("GOOGLETRANSLATE(G1797,""EN"",""JA"")"),"フェリチン測定")</f>
        <v>フェリチン測定</v>
      </c>
    </row>
    <row r="1798" ht="13.5" customHeight="1">
      <c r="A1798" s="1" t="s">
        <v>580</v>
      </c>
      <c r="B1798" s="1" t="s">
        <v>9082</v>
      </c>
      <c r="C1798" s="1" t="s">
        <v>9083</v>
      </c>
      <c r="D1798" s="1" t="s">
        <v>9084</v>
      </c>
      <c r="E1798" s="1" t="s">
        <v>9084</v>
      </c>
      <c r="F1798" s="1" t="s">
        <v>9085</v>
      </c>
      <c r="G1798" s="1" t="s">
        <v>9084</v>
      </c>
      <c r="H1798" s="1" t="str">
        <f>IFERROR(__xludf.DUMMYFUNCTION("GOOGLETRANSLATE(D1798,""EN"",""JA"")"),"強制呼気時間")</f>
        <v>強制呼気時間</v>
      </c>
      <c r="I1798" s="1" t="str">
        <f>IFERROR(__xludf.DUMMYFUNCTION("GOOGLETRANSLATE(E1798,""EN"",""JA"")"),"強制呼気時間")</f>
        <v>強制呼気時間</v>
      </c>
      <c r="J1798" s="1" t="str">
        <f>IFERROR(__xludf.DUMMYFUNCTION("GOOGLETRANSLATE(F1798,""EN"",""JA"")"),"肺から空気を完全に吐き出すのにかかる時間。")</f>
        <v>肺から空気を完全に吐き出すのにかかる時間。</v>
      </c>
      <c r="K1798" s="1" t="str">
        <f>IFERROR(__xludf.DUMMYFUNCTION("GOOGLETRANSLATE(G1798,""EN"",""JA"")"),"強制呼気時間")</f>
        <v>強制呼気時間</v>
      </c>
    </row>
    <row r="1799" ht="13.5" customHeight="1">
      <c r="A1799" s="1" t="s">
        <v>160</v>
      </c>
      <c r="B1799" s="1" t="s">
        <v>9086</v>
      </c>
      <c r="C1799" s="1" t="s">
        <v>9087</v>
      </c>
      <c r="D1799" s="1" t="s">
        <v>9088</v>
      </c>
      <c r="E1799" s="1" t="s">
        <v>9088</v>
      </c>
      <c r="F1799" s="1" t="s">
        <v>9089</v>
      </c>
      <c r="G1799" s="1" t="s">
        <v>9088</v>
      </c>
      <c r="H1799" s="1" t="str">
        <f>IFERROR(__xludf.DUMMYFUNCTION("GOOGLETRANSLATE(D1799,""EN"",""JA"")"),"後期胎児死亡数")</f>
        <v>後期胎児死亡数</v>
      </c>
      <c r="I1799" s="1" t="str">
        <f>IFERROR(__xludf.DUMMYFUNCTION("GOOGLETRANSLATE(E1799,""EN"",""JA"")"),"後期胎児死亡数")</f>
        <v>後期胎児死亡数</v>
      </c>
      <c r="J1799" s="1" t="str">
        <f>IFERROR(__xludf.DUMMYFUNCTION("GOOGLETRANSLATE(F1799,""EN"",""JA"")"),"女性被験者が経験した胎児死亡（妊娠16週0日から19週6日までの胎児死亡）の総数を測定します。")</f>
        <v>女性被験者が経験した胎児死亡（妊娠16週0日から19週6日までの胎児死亡）の総数を測定します。</v>
      </c>
      <c r="K1799" s="1" t="str">
        <f>IFERROR(__xludf.DUMMYFUNCTION("GOOGLETRANSLATE(G1799,""EN"",""JA"")"),"後期胎児死亡数")</f>
        <v>後期胎児死亡数</v>
      </c>
    </row>
    <row r="1800" ht="13.5" customHeight="1">
      <c r="A1800" s="1" t="s">
        <v>580</v>
      </c>
      <c r="B1800" s="1" t="s">
        <v>9090</v>
      </c>
      <c r="C1800" s="1" t="s">
        <v>9091</v>
      </c>
      <c r="D1800" s="1" t="s">
        <v>9092</v>
      </c>
      <c r="E1800" s="1" t="s">
        <v>9092</v>
      </c>
      <c r="F1800" s="1" t="s">
        <v>9093</v>
      </c>
      <c r="G1800" s="1" t="s">
        <v>9092</v>
      </c>
      <c r="H1800" s="1" t="str">
        <f>IFERROR(__xludf.DUMMYFUNCTION("GOOGLETRANSLATE(D1800,""EN"",""JA"")"),"0.05秒間の努力呼気量")</f>
        <v>0.05秒間の努力呼気量</v>
      </c>
      <c r="I1800" s="1" t="str">
        <f>IFERROR(__xludf.DUMMYFUNCTION("GOOGLETRANSLATE(E1800,""EN"",""JA"")"),"0.05秒間の努力呼気量")</f>
        <v>0.05秒間の努力呼気量</v>
      </c>
      <c r="J1800" s="1" t="str">
        <f>IFERROR(__xludf.DUMMYFUNCTION("GOOGLETRANSLATE(F1800,""EN"",""JA"")"),"最大限に吸入した後の最初の 0.05 秒間に強制的に吐き出すことができる空気の量。")</f>
        <v>最大限に吸入した後の最初の 0.05 秒間に強制的に吐き出すことができる空気の量。</v>
      </c>
      <c r="K1800" s="1" t="str">
        <f>IFERROR(__xludf.DUMMYFUNCTION("GOOGLETRANSLATE(G1800,""EN"",""JA"")"),"0.05秒間の努力呼気量")</f>
        <v>0.05秒間の努力呼気量</v>
      </c>
    </row>
    <row r="1801" ht="13.5" customHeight="1">
      <c r="A1801" s="1" t="s">
        <v>580</v>
      </c>
      <c r="B1801" s="1" t="s">
        <v>9094</v>
      </c>
      <c r="C1801" s="1" t="s">
        <v>9095</v>
      </c>
      <c r="D1801" s="1" t="s">
        <v>9096</v>
      </c>
      <c r="E1801" s="1" t="s">
        <v>9096</v>
      </c>
      <c r="F1801" s="1" t="s">
        <v>9097</v>
      </c>
      <c r="G1801" s="1" t="s">
        <v>9096</v>
      </c>
      <c r="H1801" s="1" t="str">
        <f>IFERROR(__xludf.DUMMYFUNCTION("GOOGLETRANSLATE(D1801,""EN"",""JA"")"),"0.1秒間の努力呼気量")</f>
        <v>0.1秒間の努力呼気量</v>
      </c>
      <c r="I1801" s="1" t="str">
        <f>IFERROR(__xludf.DUMMYFUNCTION("GOOGLETRANSLATE(E1801,""EN"",""JA"")"),"0.1秒間の努力呼気量")</f>
        <v>0.1秒間の努力呼気量</v>
      </c>
      <c r="J1801" s="1" t="str">
        <f>IFERROR(__xludf.DUMMYFUNCTION("GOOGLETRANSLATE(F1801,""EN"",""JA"")"),"最大限に吸入した後の最初の 0.1 秒間に強制的に吐き出すことができる空気の量。")</f>
        <v>最大限に吸入した後の最初の 0.1 秒間に強制的に吐き出すことができる空気の量。</v>
      </c>
      <c r="K1801" s="1" t="str">
        <f>IFERROR(__xludf.DUMMYFUNCTION("GOOGLETRANSLATE(G1801,""EN"",""JA"")"),"0.1秒間の努力呼気量")</f>
        <v>0.1秒間の努力呼気量</v>
      </c>
    </row>
    <row r="1802" ht="13.5" customHeight="1">
      <c r="A1802" s="1" t="s">
        <v>580</v>
      </c>
      <c r="B1802" s="1" t="s">
        <v>9098</v>
      </c>
      <c r="C1802" s="1" t="s">
        <v>9099</v>
      </c>
      <c r="D1802" s="1" t="s">
        <v>9100</v>
      </c>
      <c r="E1802" s="1" t="s">
        <v>9100</v>
      </c>
      <c r="F1802" s="1" t="s">
        <v>9101</v>
      </c>
      <c r="G1802" s="1" t="s">
        <v>9100</v>
      </c>
      <c r="H1802" s="1" t="str">
        <f>IFERROR(__xludf.DUMMYFUNCTION("GOOGLETRANSLATE(D1802,""EN"",""JA"")"),"0.2秒間の努力呼気量")</f>
        <v>0.2秒間の努力呼気量</v>
      </c>
      <c r="I1802" s="1" t="str">
        <f>IFERROR(__xludf.DUMMYFUNCTION("GOOGLETRANSLATE(E1802,""EN"",""JA"")"),"0.2秒間の努力呼気量")</f>
        <v>0.2秒間の努力呼気量</v>
      </c>
      <c r="J1802" s="1" t="str">
        <f>IFERROR(__xludf.DUMMYFUNCTION("GOOGLETRANSLATE(F1802,""EN"",""JA"")"),"最大限に吸入した後の最初の 0.2 秒間に強制的に吐き出すことができる空気の量。")</f>
        <v>最大限に吸入した後の最初の 0.2 秒間に強制的に吐き出すことができる空気の量。</v>
      </c>
      <c r="K1802" s="1" t="str">
        <f>IFERROR(__xludf.DUMMYFUNCTION("GOOGLETRANSLATE(G1802,""EN"",""JA"")"),"0.2秒間の努力呼気量")</f>
        <v>0.2秒間の努力呼気量</v>
      </c>
    </row>
    <row r="1803" ht="13.5" customHeight="1">
      <c r="A1803" s="1" t="s">
        <v>580</v>
      </c>
      <c r="B1803" s="1" t="s">
        <v>9102</v>
      </c>
      <c r="C1803" s="1" t="s">
        <v>9103</v>
      </c>
      <c r="D1803" s="1" t="s">
        <v>9104</v>
      </c>
      <c r="E1803" s="1" t="s">
        <v>9104</v>
      </c>
      <c r="F1803" s="1" t="s">
        <v>9105</v>
      </c>
      <c r="G1803" s="1" t="s">
        <v>9104</v>
      </c>
      <c r="H1803" s="1" t="str">
        <f>IFERROR(__xludf.DUMMYFUNCTION("GOOGLETRANSLATE(D1803,""EN"",""JA"")"),"0.5秒間の努力呼気量")</f>
        <v>0.5秒間の努力呼気量</v>
      </c>
      <c r="I1803" s="1" t="str">
        <f>IFERROR(__xludf.DUMMYFUNCTION("GOOGLETRANSLATE(E1803,""EN"",""JA"")"),"0.5秒間の努力呼気量")</f>
        <v>0.5秒間の努力呼気量</v>
      </c>
      <c r="J1803" s="1" t="str">
        <f>IFERROR(__xludf.DUMMYFUNCTION("GOOGLETRANSLATE(F1803,""EN"",""JA"")"),"最大限に吸入した後の最初の 0.5 秒間に強制的に吐き出すことができる空気の量。")</f>
        <v>最大限に吸入した後の最初の 0.5 秒間に強制的に吐き出すことができる空気の量。</v>
      </c>
      <c r="K1803" s="1" t="str">
        <f>IFERROR(__xludf.DUMMYFUNCTION("GOOGLETRANSLATE(G1803,""EN"",""JA"")"),"0.5秒間の努力呼気量")</f>
        <v>0.5秒間の努力呼気量</v>
      </c>
    </row>
    <row r="1804" ht="13.5" customHeight="1">
      <c r="A1804" s="1" t="s">
        <v>580</v>
      </c>
      <c r="B1804" s="1" t="s">
        <v>9106</v>
      </c>
      <c r="C1804" s="1" t="s">
        <v>9107</v>
      </c>
      <c r="D1804" s="1" t="s">
        <v>9108</v>
      </c>
      <c r="E1804" s="1" t="s">
        <v>9108</v>
      </c>
      <c r="F1804" s="1" t="s">
        <v>9109</v>
      </c>
      <c r="G1804" s="1" t="s">
        <v>9108</v>
      </c>
      <c r="H1804" s="1" t="str">
        <f>IFERROR(__xludf.DUMMYFUNCTION("GOOGLETRANSLATE(D1804,""EN"",""JA"")"),"0.75秒間の努力呼気量")</f>
        <v>0.75秒間の努力呼気量</v>
      </c>
      <c r="I1804" s="1" t="str">
        <f>IFERROR(__xludf.DUMMYFUNCTION("GOOGLETRANSLATE(E1804,""EN"",""JA"")"),"0.75秒間の努力呼気量")</f>
        <v>0.75秒間の努力呼気量</v>
      </c>
      <c r="J1804" s="1" t="str">
        <f>IFERROR(__xludf.DUMMYFUNCTION("GOOGLETRANSLATE(F1804,""EN"",""JA"")"),"最大限に吸入した後の最初の 0.75 秒間に強制的に吐き出すことができる空気の量。")</f>
        <v>最大限に吸入した後の最初の 0.75 秒間に強制的に吐き出すことができる空気の量。</v>
      </c>
      <c r="K1804" s="1" t="str">
        <f>IFERROR(__xludf.DUMMYFUNCTION("GOOGLETRANSLATE(G1804,""EN"",""JA"")"),"0.75秒間の努力呼気量")</f>
        <v>0.75秒間の努力呼気量</v>
      </c>
    </row>
    <row r="1805" ht="13.5" customHeight="1">
      <c r="A1805" s="1" t="s">
        <v>580</v>
      </c>
      <c r="B1805" s="1" t="s">
        <v>9110</v>
      </c>
      <c r="C1805" s="1" t="s">
        <v>9111</v>
      </c>
      <c r="D1805" s="1" t="s">
        <v>9112</v>
      </c>
      <c r="E1805" s="1" t="s">
        <v>9113</v>
      </c>
      <c r="F1805" s="1" t="s">
        <v>9114</v>
      </c>
      <c r="G1805" s="1" t="s">
        <v>9115</v>
      </c>
      <c r="H1805" s="1" t="str">
        <f>IFERROR(__xludf.DUMMYFUNCTION("GOOGLETRANSLATE(D1805,""EN"",""JA"")"),"PEFでのFEV")</f>
        <v>PEFでのFEV</v>
      </c>
      <c r="I1805" s="1" t="str">
        <f>IFERROR(__xludf.DUMMYFUNCTION("GOOGLETRANSLATE(E1805,""EN"",""JA"")"),"PEFにおけるFEV; 最大呼気流量における努力呼気量")</f>
        <v>PEFにおけるFEV; 最大呼気流量における努力呼気量</v>
      </c>
      <c r="J1805" s="1" t="str">
        <f>IFERROR(__xludf.DUMMYFUNCTION("GOOGLETRANSLATE(F1805,""EN"",""JA"")"),"呼気流量のピーク時に強制的に吐き出されるガスの量。")</f>
        <v>呼気流量のピーク時に強制的に吐き出されるガスの量。</v>
      </c>
      <c r="K1805" s="1" t="str">
        <f>IFERROR(__xludf.DUMMYFUNCTION("GOOGLETRANSLATE(G1805,""EN"",""JA"")"),"最大呼気流量における努力呼気量")</f>
        <v>最大呼気流量における努力呼気量</v>
      </c>
    </row>
    <row r="1806" ht="13.5" customHeight="1">
      <c r="A1806" s="1" t="s">
        <v>580</v>
      </c>
      <c r="B1806" s="1" t="s">
        <v>9116</v>
      </c>
      <c r="C1806" s="1" t="s">
        <v>9117</v>
      </c>
      <c r="D1806" s="1" t="s">
        <v>9118</v>
      </c>
      <c r="E1806" s="1" t="s">
        <v>9118</v>
      </c>
      <c r="F1806" s="1" t="s">
        <v>9119</v>
      </c>
      <c r="G1806" s="1" t="s">
        <v>9118</v>
      </c>
      <c r="H1806" s="1" t="str">
        <f>IFERROR(__xludf.DUMMYFUNCTION("GOOGLETRANSLATE(D1806,""EN"",""JA"")"),"1秒間の努力呼気量")</f>
        <v>1秒間の努力呼気量</v>
      </c>
      <c r="I1806" s="1" t="str">
        <f>IFERROR(__xludf.DUMMYFUNCTION("GOOGLETRANSLATE(E1806,""EN"",""JA"")"),"1秒間の努力呼気量")</f>
        <v>1秒間の努力呼気量</v>
      </c>
      <c r="J1806" s="1" t="str">
        <f>IFERROR(__xludf.DUMMYFUNCTION("GOOGLETRANSLATE(F1806,""EN"",""JA"")"),"最大限に吸入した後の最初の 1 秒間に強制的に吐き出すことができる空気の量。")</f>
        <v>最大限に吸入した後の最初の 1 秒間に強制的に吐き出すことができる空気の量。</v>
      </c>
      <c r="K1806" s="1" t="str">
        <f>IFERROR(__xludf.DUMMYFUNCTION("GOOGLETRANSLATE(G1806,""EN"",""JA"")"),"1秒間の努力呼気量")</f>
        <v>1秒間の努力呼気量</v>
      </c>
    </row>
    <row r="1807" ht="13.5" customHeight="1">
      <c r="A1807" s="1" t="s">
        <v>580</v>
      </c>
      <c r="B1807" s="1" t="s">
        <v>9120</v>
      </c>
      <c r="C1807" s="1" t="s">
        <v>9121</v>
      </c>
      <c r="D1807" s="1" t="s">
        <v>9122</v>
      </c>
      <c r="E1807" s="1" t="s">
        <v>9122</v>
      </c>
      <c r="F1807" s="1" t="s">
        <v>9123</v>
      </c>
      <c r="G1807" s="1" t="s">
        <v>9124</v>
      </c>
      <c r="H1807" s="1" t="str">
        <f>IFERROR(__xludf.DUMMYFUNCTION("GOOGLETRANSLATE(D1807,""EN"",""JA"")"),"FEV1/FVC")</f>
        <v>FEV1/FVC</v>
      </c>
      <c r="I1807" s="1" t="str">
        <f>IFERROR(__xludf.DUMMYFUNCTION("GOOGLETRANSLATE(E1807,""EN"",""JA"")"),"FEV1/FVC")</f>
        <v>FEV1/FVC</v>
      </c>
      <c r="J1807" s="1" t="str">
        <f>IFERROR(__xludf.DUMMYFUNCTION("GOOGLETRANSLATE(F1807,""EN"",""JA"")"),"強制肺活量操作中に観測された最大呼気量に対する、呼気の最初の 1 秒間の強制呼気量の相対的な測定値 (比率またはパーセンテージ)。")</f>
        <v>強制肺活量操作中に観測された最大呼気量に対する、呼気の最初の 1 秒間の強制呼気量の相対的な測定値 (比率またはパーセンテージ)。</v>
      </c>
      <c r="K1807" s="1" t="str">
        <f>IFERROR(__xludf.DUMMYFUNCTION("GOOGLETRANSLATE(G1807,""EN"",""JA"")"),"1秒間の努力呼気量と努力肺活量比の測定")</f>
        <v>1秒間の努力呼気量と努力肺活量比の測定</v>
      </c>
    </row>
    <row r="1808" ht="13.5" customHeight="1">
      <c r="A1808" s="1" t="s">
        <v>580</v>
      </c>
      <c r="B1808" s="1" t="s">
        <v>9125</v>
      </c>
      <c r="C1808" s="1" t="s">
        <v>9126</v>
      </c>
      <c r="D1808" s="1" t="s">
        <v>9127</v>
      </c>
      <c r="E1808" s="1" t="s">
        <v>9127</v>
      </c>
      <c r="F1808" s="1" t="s">
        <v>9128</v>
      </c>
      <c r="G1808" s="1" t="s">
        <v>9129</v>
      </c>
      <c r="H1808" s="1" t="str">
        <f>IFERROR(__xludf.DUMMYFUNCTION("GOOGLETRANSLATE(D1808,""EN"",""JA"")"),"FEV1/FVC6")</f>
        <v>FEV1/FVC6</v>
      </c>
      <c r="I1808" s="1" t="str">
        <f>IFERROR(__xludf.DUMMYFUNCTION("GOOGLETRANSLATE(E1808,""EN"",""JA"")"),"FEV1/FVC6")</f>
        <v>FEV1/FVC6</v>
      </c>
      <c r="J1808" s="1" t="str">
        <f>IFERROR(__xludf.DUMMYFUNCTION("GOOGLETRANSLATE(F1808,""EN"",""JA"")"),"強制肺活量法の最初の 6 秒間に観測された呼気量に対する、呼気の最初の 1 秒間の強制呼気量の相対的な測定値 (比率またはパーセンテージ)。")</f>
        <v>強制肺活量法の最初の 6 秒間に観測された呼気量に対する、呼気の最初の 1 秒間の強制呼気量の相対的な測定値 (比率またはパーセンテージ)。</v>
      </c>
      <c r="K1808" s="1" t="str">
        <f>IFERROR(__xludf.DUMMYFUNCTION("GOOGLETRANSLATE(G1808,""EN"",""JA"")"),"1秒間の努力呼気量から6秒間の努力肺活量まで")</f>
        <v>1秒間の努力呼気量から6秒間の努力肺活量まで</v>
      </c>
    </row>
    <row r="1809" ht="13.5" customHeight="1">
      <c r="A1809" s="1" t="s">
        <v>580</v>
      </c>
      <c r="B1809" s="1" t="s">
        <v>9130</v>
      </c>
      <c r="C1809" s="1" t="s">
        <v>9131</v>
      </c>
      <c r="D1809" s="1" t="s">
        <v>9132</v>
      </c>
      <c r="E1809" s="1" t="s">
        <v>9132</v>
      </c>
      <c r="F1809" s="1" t="s">
        <v>9133</v>
      </c>
      <c r="G1809" s="1" t="s">
        <v>9134</v>
      </c>
      <c r="H1809" s="1" t="str">
        <f>IFERROR(__xludf.DUMMYFUNCTION("GOOGLETRANSLATE(D1809,""EN"",""JA"")"),"予測FEV1/FVCの割合")</f>
        <v>予測FEV1/FVCの割合</v>
      </c>
      <c r="I1809" s="1" t="str">
        <f>IFERROR(__xludf.DUMMYFUNCTION("GOOGLETRANSLATE(E1809,""EN"",""JA"")"),"予測FEV1/FVCの割合")</f>
        <v>予測FEV1/FVCの割合</v>
      </c>
      <c r="J1809" s="1" t="str">
        <f>IFERROR(__xludf.DUMMYFUNCTION("GOOGLETRANSLATE(F1809,""EN"",""JA"")"),"予測される正常値に対する FEV1/FVC の測定値 (比率またはパーセンテージ)。")</f>
        <v>予測される正常値に対する FEV1/FVC の測定値 (比率またはパーセンテージ)。</v>
      </c>
      <c r="K1809" s="1" t="str">
        <f>IFERROR(__xludf.DUMMYFUNCTION("GOOGLETRANSLATE(G1809,""EN"",""JA"")"),"1秒間の予測強制呼気量の割合を強制肺活量で割った値")</f>
        <v>1秒間の予測強制呼気量の割合を強制肺活量で割った値</v>
      </c>
    </row>
    <row r="1810" ht="13.5" customHeight="1">
      <c r="A1810" s="1" t="s">
        <v>580</v>
      </c>
      <c r="B1810" s="1" t="s">
        <v>9135</v>
      </c>
      <c r="C1810" s="1" t="s">
        <v>9136</v>
      </c>
      <c r="D1810" s="1" t="s">
        <v>9137</v>
      </c>
      <c r="E1810" s="1" t="s">
        <v>9137</v>
      </c>
      <c r="F1810" s="1" t="s">
        <v>9138</v>
      </c>
      <c r="G1810" s="1" t="s">
        <v>9139</v>
      </c>
      <c r="H1810" s="1" t="str">
        <f>IFERROR(__xludf.DUMMYFUNCTION("GOOGLETRANSLATE(D1810,""EN"",""JA"")"),"予測FEV1の割合")</f>
        <v>予測FEV1の割合</v>
      </c>
      <c r="I1810" s="1" t="str">
        <f>IFERROR(__xludf.DUMMYFUNCTION("GOOGLETRANSLATE(E1810,""EN"",""JA"")"),"予測FEV1の割合")</f>
        <v>予測FEV1の割合</v>
      </c>
      <c r="J1810" s="1" t="str">
        <f>IFERROR(__xludf.DUMMYFUNCTION("GOOGLETRANSLATE(F1810,""EN"",""JA"")"),"予測される正常値の割合としての 1 秒間の強制呼気量。")</f>
        <v>予測される正常値の割合としての 1 秒間の強制呼気量。</v>
      </c>
      <c r="K1810" s="1" t="str">
        <f>IFERROR(__xludf.DUMMYFUNCTION("GOOGLETRANSLATE(G1810,""EN"",""JA"")"),"1秒間の予測強制呼気量の割合")</f>
        <v>1秒間の予測強制呼気量の割合</v>
      </c>
    </row>
    <row r="1811" ht="13.5" customHeight="1">
      <c r="A1811" s="1" t="s">
        <v>580</v>
      </c>
      <c r="B1811" s="1" t="s">
        <v>9140</v>
      </c>
      <c r="C1811" s="1" t="s">
        <v>9141</v>
      </c>
      <c r="D1811" s="1" t="s">
        <v>9142</v>
      </c>
      <c r="E1811" s="1" t="s">
        <v>9142</v>
      </c>
      <c r="F1811" s="1" t="s">
        <v>9143</v>
      </c>
      <c r="G1811" s="1" t="s">
        <v>9144</v>
      </c>
      <c r="H1811" s="1" t="str">
        <f>IFERROR(__xludf.DUMMYFUNCTION("GOOGLETRANSLATE(D1811,""EN"",""JA"")"),"FEV1の可逆性")</f>
        <v>FEV1の可逆性</v>
      </c>
      <c r="I1811" s="1" t="str">
        <f>IFERROR(__xludf.DUMMYFUNCTION("GOOGLETRANSLATE(E1811,""EN"",""JA"")"),"FEV1の可逆性")</f>
        <v>FEV1の可逆性</v>
      </c>
      <c r="J1811" s="1" t="str">
        <f>IFERROR(__xludf.DUMMYFUNCTION("GOOGLETRANSLATE(F1811,""EN"",""JA"")"),"気管支拡張薬投与後の FEV1 の変化を治療前の FEV1 値と比較したもの。")</f>
        <v>気管支拡張薬投与後の FEV1 の変化を治療前の FEV1 値と比較したもの。</v>
      </c>
      <c r="K1811" s="1" t="str">
        <f>IFERROR(__xludf.DUMMYFUNCTION("GOOGLETRANSLATE(G1811,""EN"",""JA"")"),"1秒間の努力呼気量の可逆性")</f>
        <v>1秒間の努力呼気量の可逆性</v>
      </c>
    </row>
    <row r="1812" ht="13.5" customHeight="1">
      <c r="A1812" s="1" t="s">
        <v>580</v>
      </c>
      <c r="B1812" s="1" t="s">
        <v>9145</v>
      </c>
      <c r="C1812" s="1" t="s">
        <v>9146</v>
      </c>
      <c r="D1812" s="1" t="s">
        <v>9147</v>
      </c>
      <c r="E1812" s="1" t="s">
        <v>9147</v>
      </c>
      <c r="F1812" s="1" t="s">
        <v>9148</v>
      </c>
      <c r="G1812" s="1" t="s">
        <v>9149</v>
      </c>
      <c r="H1812" s="1" t="str">
        <f>IFERROR(__xludf.DUMMYFUNCTION("GOOGLETRANSLATE(D1812,""EN"",""JA"")"),"FEV1/SVC")</f>
        <v>FEV1/SVC</v>
      </c>
      <c r="I1812" s="1" t="str">
        <f>IFERROR(__xludf.DUMMYFUNCTION("GOOGLETRANSLATE(E1812,""EN"",""JA"")"),"FEV1/SVC")</f>
        <v>FEV1/SVC</v>
      </c>
      <c r="J1812" s="1" t="str">
        <f>IFERROR(__xludf.DUMMYFUNCTION("GOOGLETRANSLATE(F1812,""EN"",""JA"")"),"ゆっくりとした肺活量動作中に観測された最大の呼気量に対する、呼気の最初の 1 秒間の強制呼気量の相対的な測定値 (比率またはパーセンテージ)。")</f>
        <v>ゆっくりとした肺活量動作中に観測された最大の呼気量に対する、呼気の最初の 1 秒間の強制呼気量の相対的な測定値 (比率またはパーセンテージ)。</v>
      </c>
      <c r="K1812" s="1" t="str">
        <f>IFERROR(__xludf.DUMMYFUNCTION("GOOGLETRANSLATE(G1812,""EN"",""JA"")"),"1秒間の努力呼気量と遅い肺活量比の測定")</f>
        <v>1秒間の努力呼気量と遅い肺活量比の測定</v>
      </c>
    </row>
    <row r="1813" ht="13.5" customHeight="1">
      <c r="A1813" s="1" t="s">
        <v>580</v>
      </c>
      <c r="B1813" s="1" t="s">
        <v>9150</v>
      </c>
      <c r="C1813" s="1" t="s">
        <v>9151</v>
      </c>
      <c r="D1813" s="1" t="s">
        <v>9152</v>
      </c>
      <c r="E1813" s="1" t="s">
        <v>9152</v>
      </c>
      <c r="F1813" s="1" t="s">
        <v>9153</v>
      </c>
      <c r="G1813" s="1" t="s">
        <v>9152</v>
      </c>
      <c r="H1813" s="1" t="str">
        <f>IFERROR(__xludf.DUMMYFUNCTION("GOOGLETRANSLATE(D1813,""EN"",""JA"")"),"3秒間の努力呼気量")</f>
        <v>3秒間の努力呼気量</v>
      </c>
      <c r="I1813" s="1" t="str">
        <f>IFERROR(__xludf.DUMMYFUNCTION("GOOGLETRANSLATE(E1813,""EN"",""JA"")"),"3秒間の努力呼気量")</f>
        <v>3秒間の努力呼気量</v>
      </c>
      <c r="J1813" s="1" t="str">
        <f>IFERROR(__xludf.DUMMYFUNCTION("GOOGLETRANSLATE(F1813,""EN"",""JA"")"),"最大限に吸入した後の最初の 3 秒間に強制的に吐き出すことができる空気の量。")</f>
        <v>最大限に吸入した後の最初の 3 秒間に強制的に吐き出すことができる空気の量。</v>
      </c>
      <c r="K1813" s="1" t="str">
        <f>IFERROR(__xludf.DUMMYFUNCTION("GOOGLETRANSLATE(G1813,""EN"",""JA"")"),"3秒間の努力呼気量")</f>
        <v>3秒間の努力呼気量</v>
      </c>
    </row>
    <row r="1814" ht="13.5" customHeight="1">
      <c r="A1814" s="1" t="s">
        <v>580</v>
      </c>
      <c r="B1814" s="1" t="s">
        <v>9154</v>
      </c>
      <c r="C1814" s="1" t="s">
        <v>9155</v>
      </c>
      <c r="D1814" s="1" t="s">
        <v>9156</v>
      </c>
      <c r="E1814" s="1" t="s">
        <v>9156</v>
      </c>
      <c r="F1814" s="1" t="s">
        <v>9157</v>
      </c>
      <c r="G1814" s="1" t="s">
        <v>9158</v>
      </c>
      <c r="H1814" s="1" t="str">
        <f>IFERROR(__xludf.DUMMYFUNCTION("GOOGLETRANSLATE(D1814,""EN"",""JA"")"),"FEV3/FVC")</f>
        <v>FEV3/FVC</v>
      </c>
      <c r="I1814" s="1" t="str">
        <f>IFERROR(__xludf.DUMMYFUNCTION("GOOGLETRANSLATE(E1814,""EN"",""JA"")"),"FEV3/FVC")</f>
        <v>FEV3/FVC</v>
      </c>
      <c r="J1814" s="1" t="str">
        <f>IFERROR(__xludf.DUMMYFUNCTION("GOOGLETRANSLATE(F1814,""EN"",""JA"")"),"強制肺活量操作中に観測された最大呼気量に対する、呼気の最初の 3 秒間の強制呼気量の相対的な測定値 (比率またはパーセンテージ)。")</f>
        <v>強制肺活量操作中に観測された最大呼気量に対する、呼気の最初の 3 秒間の強制呼気量の相対的な測定値 (比率またはパーセンテージ)。</v>
      </c>
      <c r="K1814" s="1" t="str">
        <f>IFERROR(__xludf.DUMMYFUNCTION("GOOGLETRANSLATE(G1814,""EN"",""JA"")"),"3秒間の努力呼気量と努力肺活量比の測定")</f>
        <v>3秒間の努力呼気量と努力肺活量比の測定</v>
      </c>
    </row>
    <row r="1815" ht="13.5" customHeight="1">
      <c r="A1815" s="1" t="s">
        <v>580</v>
      </c>
      <c r="B1815" s="1" t="s">
        <v>9159</v>
      </c>
      <c r="C1815" s="1" t="s">
        <v>9160</v>
      </c>
      <c r="D1815" s="1" t="s">
        <v>9161</v>
      </c>
      <c r="E1815" s="1" t="s">
        <v>9161</v>
      </c>
      <c r="F1815" s="1" t="s">
        <v>9162</v>
      </c>
      <c r="G1815" s="1" t="s">
        <v>9163</v>
      </c>
      <c r="H1815" s="1" t="str">
        <f>IFERROR(__xludf.DUMMYFUNCTION("GOOGLETRANSLATE(D1815,""EN"",""JA"")"),"予測FEV3の割合")</f>
        <v>予測FEV3の割合</v>
      </c>
      <c r="I1815" s="1" t="str">
        <f>IFERROR(__xludf.DUMMYFUNCTION("GOOGLETRANSLATE(E1815,""EN"",""JA"")"),"予測FEV3の割合")</f>
        <v>予測FEV3の割合</v>
      </c>
      <c r="J1815" s="1" t="str">
        <f>IFERROR(__xludf.DUMMYFUNCTION("GOOGLETRANSLATE(F1815,""EN"",""JA"")"),"予測される正常値の割合としての 3 秒間の強制呼気量。")</f>
        <v>予測される正常値の割合としての 3 秒間の強制呼気量。</v>
      </c>
      <c r="K1815" s="1" t="str">
        <f>IFERROR(__xludf.DUMMYFUNCTION("GOOGLETRANSLATE(G1815,""EN"",""JA"")"),"3秒間の予測強制呼気量の割合")</f>
        <v>3秒間の予測強制呼気量の割合</v>
      </c>
    </row>
    <row r="1816" ht="13.5" customHeight="1">
      <c r="A1816" s="1" t="s">
        <v>580</v>
      </c>
      <c r="B1816" s="1" t="s">
        <v>9164</v>
      </c>
      <c r="C1816" s="1" t="s">
        <v>9165</v>
      </c>
      <c r="D1816" s="1" t="s">
        <v>9166</v>
      </c>
      <c r="E1816" s="1" t="s">
        <v>9166</v>
      </c>
      <c r="F1816" s="1" t="s">
        <v>9167</v>
      </c>
      <c r="G1816" s="1" t="s">
        <v>9166</v>
      </c>
      <c r="H1816" s="1" t="str">
        <f>IFERROR(__xludf.DUMMYFUNCTION("GOOGLETRANSLATE(D1816,""EN"",""JA"")"),"6秒間の努力呼気量")</f>
        <v>6秒間の努力呼気量</v>
      </c>
      <c r="I1816" s="1" t="str">
        <f>IFERROR(__xludf.DUMMYFUNCTION("GOOGLETRANSLATE(E1816,""EN"",""JA"")"),"6秒間の努力呼気量")</f>
        <v>6秒間の努力呼気量</v>
      </c>
      <c r="J1816" s="1" t="str">
        <f>IFERROR(__xludf.DUMMYFUNCTION("GOOGLETRANSLATE(F1816,""EN"",""JA"")"),"最大限に吸入した後の最初の 6 秒間に強制的に吐き出すことができる空気の量。")</f>
        <v>最大限に吸入した後の最初の 6 秒間に強制的に吐き出すことができる空気の量。</v>
      </c>
      <c r="K1816" s="1" t="str">
        <f>IFERROR(__xludf.DUMMYFUNCTION("GOOGLETRANSLATE(G1816,""EN"",""JA"")"),"6秒間の努力呼気量")</f>
        <v>6秒間の努力呼気量</v>
      </c>
    </row>
    <row r="1817" ht="13.5" customHeight="1">
      <c r="A1817" s="1" t="s">
        <v>580</v>
      </c>
      <c r="B1817" s="1" t="s">
        <v>9168</v>
      </c>
      <c r="C1817" s="1" t="s">
        <v>9169</v>
      </c>
      <c r="D1817" s="1" t="s">
        <v>9170</v>
      </c>
      <c r="E1817" s="1" t="s">
        <v>9170</v>
      </c>
      <c r="F1817" s="1" t="s">
        <v>9171</v>
      </c>
      <c r="G1817" s="1" t="s">
        <v>9172</v>
      </c>
      <c r="H1817" s="1" t="str">
        <f>IFERROR(__xludf.DUMMYFUNCTION("GOOGLETRANSLATE(D1817,""EN"",""JA"")"),"予測FEV6の割合")</f>
        <v>予測FEV6の割合</v>
      </c>
      <c r="I1817" s="1" t="str">
        <f>IFERROR(__xludf.DUMMYFUNCTION("GOOGLETRANSLATE(E1817,""EN"",""JA"")"),"予測FEV6の割合")</f>
        <v>予測FEV6の割合</v>
      </c>
      <c r="J1817" s="1" t="str">
        <f>IFERROR(__xludf.DUMMYFUNCTION("GOOGLETRANSLATE(F1817,""EN"",""JA"")"),"予測される正常値の割合としての 6 秒間の強制呼気量。")</f>
        <v>予測される正常値の割合としての 6 秒間の強制呼気量。</v>
      </c>
      <c r="K1817" s="1" t="str">
        <f>IFERROR(__xludf.DUMMYFUNCTION("GOOGLETRANSLATE(G1817,""EN"",""JA"")"),"6秒間の予測強制呼気量の割合")</f>
        <v>6秒間の予測強制呼気量の割合</v>
      </c>
    </row>
    <row r="1818" ht="13.5" customHeight="1">
      <c r="A1818" s="1" t="s">
        <v>11</v>
      </c>
      <c r="B1818" s="1" t="s">
        <v>9173</v>
      </c>
      <c r="C1818" s="1" t="s">
        <v>9174</v>
      </c>
      <c r="D1818" s="1" t="s">
        <v>9175</v>
      </c>
      <c r="E1818" s="1" t="s">
        <v>9176</v>
      </c>
      <c r="F1818" s="1" t="s">
        <v>9177</v>
      </c>
      <c r="G1818" s="1" t="s">
        <v>9178</v>
      </c>
      <c r="H1818" s="1" t="str">
        <f>IFERROR(__xludf.DUMMYFUNCTION("GOOGLETRANSLATE(D1818,""EN"",""JA"")"),"線維芽細胞増殖因子19")</f>
        <v>線維芽細胞増殖因子19</v>
      </c>
      <c r="I1818" s="1" t="str">
        <f>IFERROR(__xludf.DUMMYFUNCTION("GOOGLETRANSLATE(E1818,""EN"",""JA"")"),"FGF 19; 線維芽細胞増殖因子19")</f>
        <v>FGF 19; 線維芽細胞増殖因子19</v>
      </c>
      <c r="J1818" s="1" t="str">
        <f>IFERROR(__xludf.DUMMYFUNCTION("GOOGLETRANSLATE(F1818,""EN"",""JA"")"),"生物標本中の線維芽細胞増殖因子 19 の測定。")</f>
        <v>生物標本中の線維芽細胞増殖因子 19 の測定。</v>
      </c>
      <c r="K1818" s="1" t="str">
        <f>IFERROR(__xludf.DUMMYFUNCTION("GOOGLETRANSLATE(G1818,""EN"",""JA"")"),"線維芽細胞増殖因子19の測定")</f>
        <v>線維芽細胞増殖因子19の測定</v>
      </c>
    </row>
    <row r="1819" ht="13.5" customHeight="1">
      <c r="A1819" s="1" t="s">
        <v>11</v>
      </c>
      <c r="B1819" s="1" t="s">
        <v>9179</v>
      </c>
      <c r="C1819" s="1" t="s">
        <v>9180</v>
      </c>
      <c r="D1819" s="1" t="s">
        <v>9181</v>
      </c>
      <c r="E1819" s="1" t="s">
        <v>9182</v>
      </c>
      <c r="F1819" s="1" t="s">
        <v>9183</v>
      </c>
      <c r="G1819" s="1" t="s">
        <v>9184</v>
      </c>
      <c r="H1819" s="1" t="str">
        <f>IFERROR(__xludf.DUMMYFUNCTION("GOOGLETRANSLATE(D1819,""EN"",""JA"")"),"線維芽細胞増殖因子21")</f>
        <v>線維芽細胞増殖因子21</v>
      </c>
      <c r="I1819" s="1" t="str">
        <f>IFERROR(__xludf.DUMMYFUNCTION("GOOGLETRANSLATE(E1819,""EN"",""JA"")"),"FGF 21; 線維芽細胞成長因子21")</f>
        <v>FGF 21; 線維芽細胞成長因子21</v>
      </c>
      <c r="J1819" s="1" t="str">
        <f>IFERROR(__xludf.DUMMYFUNCTION("GOOGLETRANSLATE(F1819,""EN"",""JA"")"),"生物標本中の線維芽細胞増殖因子 21 の測定。")</f>
        <v>生物標本中の線維芽細胞増殖因子 21 の測定。</v>
      </c>
      <c r="K1819" s="1" t="str">
        <f>IFERROR(__xludf.DUMMYFUNCTION("GOOGLETRANSLATE(G1819,""EN"",""JA"")"),"線維芽細胞増殖因子21の測定")</f>
        <v>線維芽細胞増殖因子21の測定</v>
      </c>
    </row>
    <row r="1820" ht="13.5" customHeight="1">
      <c r="A1820" s="1" t="s">
        <v>11</v>
      </c>
      <c r="B1820" s="1" t="s">
        <v>9185</v>
      </c>
      <c r="C1820" s="1" t="s">
        <v>9186</v>
      </c>
      <c r="D1820" s="1" t="s">
        <v>9187</v>
      </c>
      <c r="E1820" s="1" t="s">
        <v>9188</v>
      </c>
      <c r="F1820" s="1" t="s">
        <v>9189</v>
      </c>
      <c r="G1820" s="1" t="s">
        <v>9190</v>
      </c>
      <c r="H1820" s="1" t="str">
        <f>IFERROR(__xludf.DUMMYFUNCTION("GOOGLETRANSLATE(D1820,""EN"",""JA"")"),"線維芽細胞増殖因子23")</f>
        <v>線維芽細胞増殖因子23</v>
      </c>
      <c r="I1820" s="1" t="str">
        <f>IFERROR(__xludf.DUMMYFUNCTION("GOOGLETRANSLATE(E1820,""EN"",""JA"")"),"線維芽細胞増殖因子23; フォスファトニン")</f>
        <v>線維芽細胞増殖因子23; フォスファトニン</v>
      </c>
      <c r="J1820" s="1" t="str">
        <f>IFERROR(__xludf.DUMMYFUNCTION("GOOGLETRANSLATE(F1820,""EN"",""JA"")"),"生物標本中の総線維芽細胞増殖因子 23 の測定。")</f>
        <v>生物標本中の総線維芽細胞増殖因子 23 の測定。</v>
      </c>
      <c r="K1820" s="1" t="str">
        <f>IFERROR(__xludf.DUMMYFUNCTION("GOOGLETRANSLATE(G1820,""EN"",""JA"")"),"線維芽細胞増殖因子23の測定")</f>
        <v>線維芽細胞増殖因子23の測定</v>
      </c>
    </row>
    <row r="1821" ht="13.5" customHeight="1">
      <c r="A1821" s="1" t="s">
        <v>11</v>
      </c>
      <c r="B1821" s="1" t="s">
        <v>9191</v>
      </c>
      <c r="C1821" s="1" t="s">
        <v>9192</v>
      </c>
      <c r="D1821" s="1" t="s">
        <v>9193</v>
      </c>
      <c r="E1821" s="1" t="s">
        <v>9193</v>
      </c>
      <c r="F1821" s="1" t="s">
        <v>9194</v>
      </c>
      <c r="G1821" s="1" t="s">
        <v>9195</v>
      </c>
      <c r="H1821" s="1" t="str">
        <f>IFERROR(__xludf.DUMMYFUNCTION("GOOGLETRANSLATE(D1821,""EN"",""JA"")"),"線維芽細胞増殖因子23、C末端")</f>
        <v>線維芽細胞増殖因子23、C末端</v>
      </c>
      <c r="I1821" s="1" t="str">
        <f>IFERROR(__xludf.DUMMYFUNCTION("GOOGLETRANSLATE(E1821,""EN"",""JA"")"),"線維芽細胞増殖因子23、C末端")</f>
        <v>線維芽細胞増殖因子23、C末端</v>
      </c>
      <c r="J1821" s="1" t="str">
        <f>IFERROR(__xludf.DUMMYFUNCTION("GOOGLETRANSLATE(F1821,""EN"",""JA"")"),"生物標本中の C 末端線維芽細胞増殖因子 23 の測定。")</f>
        <v>生物標本中の C 末端線維芽細胞増殖因子 23 の測定。</v>
      </c>
      <c r="K1821" s="1" t="str">
        <f>IFERROR(__xludf.DUMMYFUNCTION("GOOGLETRANSLATE(G1821,""EN"",""JA"")"),"C末端線維芽細胞増殖因子23の測定")</f>
        <v>C末端線維芽細胞増殖因子23の測定</v>
      </c>
    </row>
    <row r="1822" ht="13.5" customHeight="1">
      <c r="A1822" s="1" t="s">
        <v>11</v>
      </c>
      <c r="B1822" s="1" t="s">
        <v>9196</v>
      </c>
      <c r="C1822" s="1" t="s">
        <v>9197</v>
      </c>
      <c r="D1822" s="1" t="s">
        <v>9198</v>
      </c>
      <c r="E1822" s="1" t="s">
        <v>9198</v>
      </c>
      <c r="F1822" s="1" t="s">
        <v>9199</v>
      </c>
      <c r="G1822" s="1" t="s">
        <v>9200</v>
      </c>
      <c r="H1822" s="1" t="str">
        <f>IFERROR(__xludf.DUMMYFUNCTION("GOOGLETRANSLATE(D1822,""EN"",""JA"")"),"線維芽細胞増殖因子23（無傷）")</f>
        <v>線維芽細胞増殖因子23（無傷）</v>
      </c>
      <c r="I1822" s="1" t="str">
        <f>IFERROR(__xludf.DUMMYFUNCTION("GOOGLETRANSLATE(E1822,""EN"",""JA"")"),"線維芽細胞増殖因子23（無傷）")</f>
        <v>線維芽細胞増殖因子23（無傷）</v>
      </c>
      <c r="J1822" s="1" t="str">
        <f>IFERROR(__xludf.DUMMYFUNCTION("GOOGLETRANSLATE(F1822,""EN"",""JA"")"),"生物標本中の完全な線維芽細胞増殖因子 23 の測定。")</f>
        <v>生物標本中の完全な線維芽細胞増殖因子 23 の測定。</v>
      </c>
      <c r="K1822" s="1" t="str">
        <f>IFERROR(__xludf.DUMMYFUNCTION("GOOGLETRANSLATE(G1822,""EN"",""JA"")"),"完全線維芽細胞増殖因子23の測定")</f>
        <v>完全線維芽細胞増殖因子23の測定</v>
      </c>
    </row>
    <row r="1823" ht="13.5" customHeight="1">
      <c r="A1823" s="1" t="s">
        <v>11</v>
      </c>
      <c r="B1823" s="1" t="s">
        <v>9201</v>
      </c>
      <c r="C1823" s="1" t="s">
        <v>9202</v>
      </c>
      <c r="D1823" s="1" t="s">
        <v>9203</v>
      </c>
      <c r="E1823" s="1" t="s">
        <v>9204</v>
      </c>
      <c r="F1823" s="1" t="s">
        <v>9205</v>
      </c>
      <c r="G1823" s="1" t="s">
        <v>9206</v>
      </c>
      <c r="H1823" s="1" t="str">
        <f>IFERROR(__xludf.DUMMYFUNCTION("GOOGLETRANSLATE(D1823,""EN"",""JA"")"),"線維芽細胞成長因子9")</f>
        <v>線維芽細胞成長因子9</v>
      </c>
      <c r="I1823" s="1" t="str">
        <f>IFERROR(__xludf.DUMMYFUNCTION("GOOGLETRANSLATE(E1823,""EN"",""JA"")"),"FGF 9; 線維芽細胞成長因子9")</f>
        <v>FGF 9; 線維芽細胞成長因子9</v>
      </c>
      <c r="J1823" s="1" t="str">
        <f>IFERROR(__xludf.DUMMYFUNCTION("GOOGLETRANSLATE(F1823,""EN"",""JA"")"),"生物標本中の線維芽細胞増殖因子 9 の測定。")</f>
        <v>生物標本中の線維芽細胞増殖因子 9 の測定。</v>
      </c>
      <c r="K1823" s="1" t="str">
        <f>IFERROR(__xludf.DUMMYFUNCTION("GOOGLETRANSLATE(G1823,""EN"",""JA"")"),"線維芽細胞増殖因子9の測定")</f>
        <v>線維芽細胞増殖因子9の測定</v>
      </c>
    </row>
    <row r="1824" ht="13.5" customHeight="1">
      <c r="A1824" s="1" t="s">
        <v>11</v>
      </c>
      <c r="B1824" s="1" t="s">
        <v>9207</v>
      </c>
      <c r="C1824" s="1" t="s">
        <v>9208</v>
      </c>
      <c r="D1824" s="1" t="s">
        <v>9209</v>
      </c>
      <c r="E1824" s="1" t="s">
        <v>9210</v>
      </c>
      <c r="F1824" s="1" t="s">
        <v>9211</v>
      </c>
      <c r="G1824" s="1" t="s">
        <v>9212</v>
      </c>
      <c r="H1824" s="1" t="str">
        <f>IFERROR(__xludf.DUMMYFUNCTION("GOOGLETRANSLATE(D1824,""EN"",""JA"")"),"線維芽細胞増殖因子基本形")</f>
        <v>線維芽細胞増殖因子基本形</v>
      </c>
      <c r="I1824" s="1" t="str">
        <f>IFERROR(__xludf.DUMMYFUNCTION("GOOGLETRANSLATE(E1824,""EN"",""JA"")"),"FGF2; 線維芽細胞増殖因子基本型")</f>
        <v>FGF2; 線維芽細胞増殖因子基本型</v>
      </c>
      <c r="J1824" s="1" t="str">
        <f>IFERROR(__xludf.DUMMYFUNCTION("GOOGLETRANSLATE(F1824,""EN"",""JA"")"),"生物標本中の線維芽細胞増殖因子の基本形態の測定。")</f>
        <v>生物標本中の線維芽細胞増殖因子の基本形態の測定。</v>
      </c>
      <c r="K1824" s="1" t="str">
        <f>IFERROR(__xludf.DUMMYFUNCTION("GOOGLETRANSLATE(G1824,""EN"",""JA"")"),"線維芽細胞増殖因子基本形態測定")</f>
        <v>線維芽細胞増殖因子基本形態測定</v>
      </c>
    </row>
    <row r="1825" ht="13.5" customHeight="1">
      <c r="A1825" s="1" t="s">
        <v>11</v>
      </c>
      <c r="B1825" s="1" t="s">
        <v>9213</v>
      </c>
      <c r="C1825" s="1" t="s">
        <v>9214</v>
      </c>
      <c r="D1825" s="1" t="s">
        <v>9215</v>
      </c>
      <c r="E1825" s="1" t="s">
        <v>9216</v>
      </c>
      <c r="F1825" s="1" t="s">
        <v>9217</v>
      </c>
      <c r="G1825" s="1" t="s">
        <v>9218</v>
      </c>
      <c r="H1825" s="1" t="str">
        <f>IFERROR(__xludf.DUMMYFUNCTION("GOOGLETRANSLATE(D1825,""EN"",""JA"")"),"線維症4指数")</f>
        <v>線維症4指数</v>
      </c>
      <c r="I1825" s="1" t="str">
        <f>IFERROR(__xludf.DUMMYFUNCTION("GOOGLETRANSLATE(E1825,""EN"",""JA"")"),"FIB4; 線維症4指数")</f>
        <v>FIB4; 線維症4指数</v>
      </c>
      <c r="J1825" s="1" t="str">
        <f>IFERROR(__xludf.DUMMYFUNCTION("GOOGLETRANSLATE(F1825,""EN"",""JA"")"),"年齢、アラニンアミノトランスフェラーゼ、アスパラギン酸アミノトランスフェラーゼ、血小板数を考慮した複数の血液検査パラメータの評価を通じて肝臓病変を評価するスコアリング システム。")</f>
        <v>年齢、アラニンアミノトランスフェラーゼ、アスパラギン酸アミノトランスフェラーゼ、血小板数を考慮した複数の血液検査パラメータの評価を通じて肝臓病変を評価するスコアリング システム。</v>
      </c>
      <c r="K1825" s="1" t="str">
        <f>IFERROR(__xludf.DUMMYFUNCTION("GOOGLETRANSLATE(G1825,""EN"",""JA"")"),"線維症4スコア")</f>
        <v>線維症4スコア</v>
      </c>
    </row>
    <row r="1826" ht="13.5" customHeight="1">
      <c r="A1826" s="1" t="s">
        <v>134</v>
      </c>
      <c r="B1826" s="1" t="s">
        <v>9219</v>
      </c>
      <c r="C1826" s="1" t="s">
        <v>9220</v>
      </c>
      <c r="D1826" s="1" t="s">
        <v>9221</v>
      </c>
      <c r="E1826" s="1" t="s">
        <v>9221</v>
      </c>
      <c r="F1826" s="1" t="s">
        <v>9222</v>
      </c>
      <c r="G1826" s="1" t="s">
        <v>9223</v>
      </c>
      <c r="H1826" s="1" t="str">
        <f>IFERROR(__xludf.DUMMYFUNCTION("GOOGLETRANSLATE(D1826,""EN"",""JA"")"),"線維芽細胞")</f>
        <v>線維芽細胞</v>
      </c>
      <c r="I1826" s="1" t="str">
        <f>IFERROR(__xludf.DUMMYFUNCTION("GOOGLETRANSLATE(E1826,""EN"",""JA"")"),"線維芽細胞")</f>
        <v>線維芽細胞</v>
      </c>
      <c r="J1826" s="1" t="str">
        <f>IFERROR(__xludf.DUMMYFUNCTION("GOOGLETRANSLATE(F1826,""EN"",""JA"")"),"生物標本中の線維芽細胞の測定。")</f>
        <v>生物標本中の線維芽細胞の測定。</v>
      </c>
      <c r="K1826" s="1" t="str">
        <f>IFERROR(__xludf.DUMMYFUNCTION("GOOGLETRANSLATE(G1826,""EN"",""JA"")"),"線維芽細胞数")</f>
        <v>線維芽細胞数</v>
      </c>
    </row>
    <row r="1827" ht="13.5" customHeight="1">
      <c r="A1827" s="1" t="s">
        <v>11</v>
      </c>
      <c r="B1827" s="1" t="s">
        <v>9224</v>
      </c>
      <c r="C1827" s="1" t="s">
        <v>9225</v>
      </c>
      <c r="D1827" s="1" t="s">
        <v>9226</v>
      </c>
      <c r="E1827" s="1" t="s">
        <v>9227</v>
      </c>
      <c r="F1827" s="1" t="s">
        <v>9228</v>
      </c>
      <c r="G1827" s="1" t="s">
        <v>9229</v>
      </c>
      <c r="H1827" s="1" t="str">
        <f>IFERROR(__xludf.DUMMYFUNCTION("GOOGLETRANSLATE(D1827,""EN"",""JA"")"),"植物繊維")</f>
        <v>植物繊維</v>
      </c>
      <c r="I1827" s="1" t="str">
        <f>IFERROR(__xludf.DUMMYFUNCTION("GOOGLETRANSLATE(E1827,""EN"",""JA"")"),"植物繊維; 植物繊維")</f>
        <v>植物繊維; 植物繊維</v>
      </c>
      <c r="J1827" s="1" t="str">
        <f>IFERROR(__xludf.DUMMYFUNCTION("GOOGLETRANSLATE(F1827,""EN"",""JA"")"),"生物標本中の植物繊維の測定。")</f>
        <v>生物標本中の植物繊維の測定。</v>
      </c>
      <c r="K1827" s="1" t="str">
        <f>IFERROR(__xludf.DUMMYFUNCTION("GOOGLETRANSLATE(G1827,""EN"",""JA"")"),"植物繊維の測定")</f>
        <v>植物繊維の測定</v>
      </c>
    </row>
    <row r="1828" ht="13.5" customHeight="1">
      <c r="A1828" s="1" t="s">
        <v>6439</v>
      </c>
      <c r="B1828" s="1" t="s">
        <v>9230</v>
      </c>
      <c r="C1828" s="1" t="s">
        <v>9231</v>
      </c>
      <c r="D1828" s="1" t="s">
        <v>9232</v>
      </c>
      <c r="E1828" s="1" t="s">
        <v>9232</v>
      </c>
      <c r="F1828" s="1" t="s">
        <v>9233</v>
      </c>
      <c r="G1828" s="1" t="s">
        <v>9232</v>
      </c>
      <c r="H1828" s="1" t="str">
        <f>IFERROR(__xludf.DUMMYFUNCTION("GOOGLETRANSLATE(D1828,""EN"",""JA"")"),"線維性病変指標")</f>
        <v>線維性病変指標</v>
      </c>
      <c r="I1828" s="1" t="str">
        <f>IFERROR(__xludf.DUMMYFUNCTION("GOOGLETRANSLATE(E1828,""EN"",""JA"")"),"線維性病変指標")</f>
        <v>線維性病変指標</v>
      </c>
      <c r="J1828" s="1" t="str">
        <f>IFERROR(__xludf.DUMMYFUNCTION("GOOGLETRANSLATE(F1828,""EN"",""JA"")"),"線維性病変が存在するかどうかを示します。")</f>
        <v>線維性病変が存在するかどうかを示します。</v>
      </c>
      <c r="K1828" s="1" t="str">
        <f>IFERROR(__xludf.DUMMYFUNCTION("GOOGLETRANSLATE(G1828,""EN"",""JA"")"),"線維性病変指標")</f>
        <v>線維性病変指標</v>
      </c>
    </row>
    <row r="1829" ht="13.5" customHeight="1">
      <c r="A1829" s="1" t="s">
        <v>11</v>
      </c>
      <c r="B1829" s="1" t="s">
        <v>9234</v>
      </c>
      <c r="C1829" s="1" t="s">
        <v>9235</v>
      </c>
      <c r="D1829" s="1" t="s">
        <v>9236</v>
      </c>
      <c r="E1829" s="1" t="s">
        <v>9237</v>
      </c>
      <c r="F1829" s="1" t="s">
        <v>9238</v>
      </c>
      <c r="G1829" s="1" t="s">
        <v>9239</v>
      </c>
      <c r="H1829" s="1" t="str">
        <f>IFERROR(__xludf.DUMMYFUNCTION("GOOGLETRANSLATE(D1829,""EN"",""JA"")"),"フィブリンモノマー")</f>
        <v>フィブリンモノマー</v>
      </c>
      <c r="I1829" s="1" t="str">
        <f>IFERROR(__xludf.DUMMYFUNCTION("GOOGLETRANSLATE(E1829,""EN"",""JA"")"),"フィブリンモノマー; 可溶性フィブリンモノマー")</f>
        <v>フィブリンモノマー; 可溶性フィブリンモノマー</v>
      </c>
      <c r="J1829" s="1" t="str">
        <f>IFERROR(__xludf.DUMMYFUNCTION("GOOGLETRANSLATE(F1829,""EN"",""JA"")"),"生物標本中のフィブリンモノマーの測定。")</f>
        <v>生物標本中のフィブリンモノマーの測定。</v>
      </c>
      <c r="K1829" s="1" t="str">
        <f>IFERROR(__xludf.DUMMYFUNCTION("GOOGLETRANSLATE(G1829,""EN"",""JA"")"),"フィブリンモノマー測定")</f>
        <v>フィブリンモノマー測定</v>
      </c>
    </row>
    <row r="1830" ht="13.5" customHeight="1">
      <c r="A1830" s="1" t="s">
        <v>11</v>
      </c>
      <c r="B1830" s="1" t="s">
        <v>9240</v>
      </c>
      <c r="C1830" s="1" t="s">
        <v>9241</v>
      </c>
      <c r="D1830" s="1" t="s">
        <v>9242</v>
      </c>
      <c r="E1830" s="1" t="s">
        <v>9243</v>
      </c>
      <c r="F1830" s="1" t="s">
        <v>9244</v>
      </c>
      <c r="G1830" s="1" t="s">
        <v>9245</v>
      </c>
      <c r="H1830" s="1" t="str">
        <f>IFERROR(__xludf.DUMMYFUNCTION("GOOGLETRANSLATE(D1830,""EN"",""JA"")"),"フィブリノーゲン")</f>
        <v>フィブリノーゲン</v>
      </c>
      <c r="I1830" s="1" t="str">
        <f>IFERROR(__xludf.DUMMYFUNCTION("GOOGLETRANSLATE(E1830,""EN"",""JA"")"),"フィブリノーゲン; フィブリノーゲン抗原")</f>
        <v>フィブリノーゲン; フィブリノーゲン抗原</v>
      </c>
      <c r="J1830" s="1" t="str">
        <f>IFERROR(__xludf.DUMMYFUNCTION("GOOGLETRANSLATE(F1830,""EN"",""JA"")"),"生物学的標本中の総フィブリノーゲン（機能性および非機能性）の測定値。")</f>
        <v>生物学的標本中の総フィブリノーゲン（機能性および非機能性）の測定値。</v>
      </c>
      <c r="K1830" s="1" t="str">
        <f>IFERROR(__xludf.DUMMYFUNCTION("GOOGLETRANSLATE(G1830,""EN"",""JA"")"),"フィブリノーゲン測定")</f>
        <v>フィブリノーゲン測定</v>
      </c>
    </row>
    <row r="1831" ht="13.5" customHeight="1">
      <c r="A1831" s="1" t="s">
        <v>11</v>
      </c>
      <c r="B1831" s="1" t="s">
        <v>9246</v>
      </c>
      <c r="C1831" s="1" t="s">
        <v>9247</v>
      </c>
      <c r="D1831" s="1" t="s">
        <v>9248</v>
      </c>
      <c r="E1831" s="1" t="s">
        <v>9248</v>
      </c>
      <c r="F1831" s="1" t="s">
        <v>9249</v>
      </c>
      <c r="G1831" s="1" t="s">
        <v>9250</v>
      </c>
      <c r="H1831" s="1" t="str">
        <f>IFERROR(__xludf.DUMMYFUNCTION("GOOGLETRANSLATE(D1831,""EN"",""JA"")"),"フィブリノーゲン、機能性")</f>
        <v>フィブリノーゲン、機能性</v>
      </c>
      <c r="I1831" s="1" t="str">
        <f>IFERROR(__xludf.DUMMYFUNCTION("GOOGLETRANSLATE(E1831,""EN"",""JA"")"),"フィブリノーゲン、機能性")</f>
        <v>フィブリノーゲン、機能性</v>
      </c>
      <c r="J1831" s="1" t="str">
        <f>IFERROR(__xludf.DUMMYFUNCTION("GOOGLETRANSLATE(F1831,""EN"",""JA"")"),"生物学的標本中の機能性フィブリノーゲン（フィブリンに変換可能なフィブリノーゲン）の測定。")</f>
        <v>生物学的標本中の機能性フィブリノーゲン（フィブリンに変換可能なフィブリノーゲン）の測定。</v>
      </c>
      <c r="K1831" s="1" t="str">
        <f>IFERROR(__xludf.DUMMYFUNCTION("GOOGLETRANSLATE(G1831,""EN"",""JA"")"),"機能性フィブリノーゲン測定")</f>
        <v>機能性フィブリノーゲン測定</v>
      </c>
    </row>
    <row r="1832" ht="13.5" customHeight="1">
      <c r="A1832" s="1" t="s">
        <v>134</v>
      </c>
      <c r="B1832" s="1" t="s">
        <v>9251</v>
      </c>
      <c r="C1832" s="1" t="s">
        <v>9252</v>
      </c>
      <c r="D1832" s="1" t="s">
        <v>9253</v>
      </c>
      <c r="E1832" s="1" t="s">
        <v>9253</v>
      </c>
      <c r="F1832" s="1" t="s">
        <v>9254</v>
      </c>
      <c r="G1832" s="1" t="s">
        <v>9255</v>
      </c>
      <c r="H1832" s="1" t="str">
        <f>IFERROR(__xludf.DUMMYFUNCTION("GOOGLETRANSLATE(D1832,""EN"",""JA"")"),"線維症")</f>
        <v>線維症</v>
      </c>
      <c r="I1832" s="1" t="str">
        <f>IFERROR(__xludf.DUMMYFUNCTION("GOOGLETRANSLATE(E1832,""EN"",""JA"")"),"線維症")</f>
        <v>線維症</v>
      </c>
      <c r="J1832" s="1" t="str">
        <f>IFERROR(__xludf.DUMMYFUNCTION("GOOGLETRANSLATE(F1832,""EN"",""JA"")"),"生物標本における線維化の評価。")</f>
        <v>生物標本における線維化の評価。</v>
      </c>
      <c r="K1832" s="1" t="str">
        <f>IFERROR(__xludf.DUMMYFUNCTION("GOOGLETRANSLATE(G1832,""EN"",""JA"")"),"線維症評価")</f>
        <v>線維症評価</v>
      </c>
    </row>
    <row r="1833" ht="13.5" customHeight="1">
      <c r="A1833" s="1" t="s">
        <v>11</v>
      </c>
      <c r="B1833" s="1" t="s">
        <v>9256</v>
      </c>
      <c r="C1833" s="1" t="s">
        <v>9257</v>
      </c>
      <c r="D1833" s="1" t="s">
        <v>9258</v>
      </c>
      <c r="E1833" s="1" t="s">
        <v>9259</v>
      </c>
      <c r="F1833" s="1" t="s">
        <v>9260</v>
      </c>
      <c r="G1833" s="1" t="s">
        <v>9261</v>
      </c>
      <c r="H1833" s="1" t="str">
        <f>IFERROR(__xludf.DUMMYFUNCTION("GOOGLETRANSLATE(D1833,""EN"",""JA"")"),"フィコリン3")</f>
        <v>フィコリン3</v>
      </c>
      <c r="I1833" s="1" t="str">
        <f>IFERROR(__xludf.DUMMYFUNCTION("GOOGLETRANSLATE(E1833,""EN"",""JA"")"),"FCN3; フィコリン-3")</f>
        <v>FCN3; フィコリン-3</v>
      </c>
      <c r="J1833" s="1" t="str">
        <f>IFERROR(__xludf.DUMMYFUNCTION("GOOGLETRANSLATE(F1833,""EN"",""JA"")"),"生物標本中のフィコリン-3の測定。")</f>
        <v>生物標本中のフィコリン-3の測定。</v>
      </c>
      <c r="K1833" s="1" t="str">
        <f>IFERROR(__xludf.DUMMYFUNCTION("GOOGLETRANSLATE(G1833,""EN"",""JA"")"),"フィコリン3測定")</f>
        <v>フィコリン3測定</v>
      </c>
    </row>
    <row r="1834" ht="13.5" customHeight="1">
      <c r="A1834" s="1" t="s">
        <v>580</v>
      </c>
      <c r="B1834" s="1" t="s">
        <v>9262</v>
      </c>
      <c r="C1834" s="1" t="s">
        <v>9263</v>
      </c>
      <c r="D1834" s="1" t="s">
        <v>9264</v>
      </c>
      <c r="E1834" s="1" t="s">
        <v>9264</v>
      </c>
      <c r="F1834" s="1" t="s">
        <v>9265</v>
      </c>
      <c r="G1834" s="1" t="s">
        <v>9264</v>
      </c>
      <c r="H1834" s="1" t="str">
        <f>IFERROR(__xludf.DUMMYFUNCTION("GOOGLETRANSLATE(D1834,""EN"",""JA"")"),"強制吸気流量25%")</f>
        <v>強制吸気流量25%</v>
      </c>
      <c r="I1834" s="1" t="str">
        <f>IFERROR(__xludf.DUMMYFUNCTION("GOOGLETRANSLATE(E1834,""EN"",""JA"")"),"強制吸気流量25%")</f>
        <v>強制吸気流量25%</v>
      </c>
      <c r="J1834" s="1" t="str">
        <f>IFERROR(__xludf.DUMMYFUNCTION("GOOGLETRANSLATE(F1834,""EN"",""JA"")"),"吸気流量曲線上で総空気量の 25 パーセントが吸入された点における強制吸気流量。")</f>
        <v>吸気流量曲線上で総空気量の 25 パーセントが吸入された点における強制吸気流量。</v>
      </c>
      <c r="K1834" s="1" t="str">
        <f>IFERROR(__xludf.DUMMYFUNCTION("GOOGLETRANSLATE(G1834,""EN"",""JA"")"),"強制吸気流量25%")</f>
        <v>強制吸気流量25%</v>
      </c>
    </row>
    <row r="1835" ht="13.5" customHeight="1">
      <c r="A1835" s="1" t="s">
        <v>580</v>
      </c>
      <c r="B1835" s="1" t="s">
        <v>9266</v>
      </c>
      <c r="C1835" s="1" t="s">
        <v>9267</v>
      </c>
      <c r="D1835" s="1" t="s">
        <v>9268</v>
      </c>
      <c r="E1835" s="1" t="s">
        <v>9268</v>
      </c>
      <c r="F1835" s="1" t="s">
        <v>9269</v>
      </c>
      <c r="G1835" s="1" t="s">
        <v>9268</v>
      </c>
      <c r="H1835" s="1" t="str">
        <f>IFERROR(__xludf.DUMMYFUNCTION("GOOGLETRANSLATE(D1835,""EN"",""JA"")"),"強制吸気流量50%")</f>
        <v>強制吸気流量50%</v>
      </c>
      <c r="I1835" s="1" t="str">
        <f>IFERROR(__xludf.DUMMYFUNCTION("GOOGLETRANSLATE(E1835,""EN"",""JA"")"),"強制吸気流量50%")</f>
        <v>強制吸気流量50%</v>
      </c>
      <c r="J1835" s="1" t="str">
        <f>IFERROR(__xludf.DUMMYFUNCTION("GOOGLETRANSLATE(F1835,""EN"",""JA"")"),"吸気流量曲線上で総空気量の 50 パーセントが吸入された点における強制吸気流量。")</f>
        <v>吸気流量曲線上で総空気量の 50 パーセントが吸入された点における強制吸気流量。</v>
      </c>
      <c r="K1835" s="1" t="str">
        <f>IFERROR(__xludf.DUMMYFUNCTION("GOOGLETRANSLATE(G1835,""EN"",""JA"")"),"強制吸気流量50%")</f>
        <v>強制吸気流量50%</v>
      </c>
    </row>
    <row r="1836" ht="13.5" customHeight="1">
      <c r="A1836" s="1" t="s">
        <v>580</v>
      </c>
      <c r="B1836" s="1" t="s">
        <v>9270</v>
      </c>
      <c r="C1836" s="1" t="s">
        <v>9271</v>
      </c>
      <c r="D1836" s="1" t="s">
        <v>9272</v>
      </c>
      <c r="E1836" s="1" t="s">
        <v>9272</v>
      </c>
      <c r="F1836" s="1" t="s">
        <v>9273</v>
      </c>
      <c r="G1836" s="1" t="s">
        <v>9272</v>
      </c>
      <c r="H1836" s="1" t="str">
        <f>IFERROR(__xludf.DUMMYFUNCTION("GOOGLETRANSLATE(D1836,""EN"",""JA"")"),"強制吸気流量75%")</f>
        <v>強制吸気流量75%</v>
      </c>
      <c r="I1836" s="1" t="str">
        <f>IFERROR(__xludf.DUMMYFUNCTION("GOOGLETRANSLATE(E1836,""EN"",""JA"")"),"強制吸気流量75%")</f>
        <v>強制吸気流量75%</v>
      </c>
      <c r="J1836" s="1" t="str">
        <f>IFERROR(__xludf.DUMMYFUNCTION("GOOGLETRANSLATE(F1836,""EN"",""JA"")"),"吸気流量曲線上で総空気量の 75 パーセントが吸入された点における強制吸気流量。")</f>
        <v>吸気流量曲線上で総空気量の 75 パーセントが吸入された点における強制吸気流量。</v>
      </c>
      <c r="K1836" s="1" t="str">
        <f>IFERROR(__xludf.DUMMYFUNCTION("GOOGLETRANSLATE(G1836,""EN"",""JA"")"),"強制吸気流量75%")</f>
        <v>強制吸気流量75%</v>
      </c>
    </row>
    <row r="1837" ht="13.5" customHeight="1">
      <c r="A1837" s="1" t="s">
        <v>580</v>
      </c>
      <c r="B1837" s="1" t="s">
        <v>9274</v>
      </c>
      <c r="C1837" s="1" t="s">
        <v>9275</v>
      </c>
      <c r="D1837" s="1" t="s">
        <v>9276</v>
      </c>
      <c r="E1837" s="1" t="s">
        <v>9276</v>
      </c>
      <c r="F1837" s="1" t="s">
        <v>9277</v>
      </c>
      <c r="G1837" s="1" t="s">
        <v>9276</v>
      </c>
      <c r="H1837" s="1" t="str">
        <f>IFERROR(__xludf.DUMMYFUNCTION("GOOGLETRANSLATE(D1837,""EN"",""JA"")"),"最大強制吸気流量")</f>
        <v>最大強制吸気流量</v>
      </c>
      <c r="I1837" s="1" t="str">
        <f>IFERROR(__xludf.DUMMYFUNCTION("GOOGLETRANSLATE(E1837,""EN"",""JA"")"),"最大強制吸気流量")</f>
        <v>最大強制吸気流量</v>
      </c>
      <c r="J1837" s="1" t="str">
        <f>IFERROR(__xludf.DUMMYFUNCTION("GOOGLETRANSLATE(F1837,""EN"",""JA"")"),"強制吸気動作中に達成される吸入空気の最速速度。")</f>
        <v>強制吸気動作中に達成される吸入空気の最速速度。</v>
      </c>
      <c r="K1837" s="1" t="str">
        <f>IFERROR(__xludf.DUMMYFUNCTION("GOOGLETRANSLATE(G1837,""EN"",""JA"")"),"最大強制吸気流量")</f>
        <v>最大強制吸気流量</v>
      </c>
    </row>
    <row r="1838" ht="13.5" customHeight="1">
      <c r="A1838" s="1" t="s">
        <v>580</v>
      </c>
      <c r="B1838" s="1" t="s">
        <v>9278</v>
      </c>
      <c r="C1838" s="1" t="s">
        <v>9279</v>
      </c>
      <c r="D1838" s="1" t="s">
        <v>9280</v>
      </c>
      <c r="E1838" s="1" t="s">
        <v>9280</v>
      </c>
      <c r="F1838" s="1" t="s">
        <v>9281</v>
      </c>
      <c r="G1838" s="1" t="s">
        <v>9282</v>
      </c>
      <c r="H1838" s="1" t="str">
        <f>IFERROR(__xludf.DUMMYFUNCTION("GOOGLETRANSLATE(D1838,""EN"",""JA"")"),"予測FIFmaxの割合")</f>
        <v>予測FIFmaxの割合</v>
      </c>
      <c r="I1838" s="1" t="str">
        <f>IFERROR(__xludf.DUMMYFUNCTION("GOOGLETRANSLATE(E1838,""EN"",""JA"")"),"予測FIFmaxの割合")</f>
        <v>予測FIFmaxの割合</v>
      </c>
      <c r="J1838" s="1" t="str">
        <f>IFERROR(__xludf.DUMMYFUNCTION("GOOGLETRANSLATE(F1838,""EN"",""JA"")"),"強制吸気動作中に達成される吸入空気の最速速度を、同様の特性を持つ健康な個人の予測結果値のパーセンテージとして表します。")</f>
        <v>強制吸気動作中に達成される吸入空気の最速速度を、同様の特性を持つ健康な個人の予測結果値のパーセンテージとして表します。</v>
      </c>
      <c r="K1838" s="1" t="str">
        <f>IFERROR(__xludf.DUMMYFUNCTION("GOOGLETRANSLATE(G1838,""EN"",""JA"")"),"予測強制吸気流量最大値のパーセント")</f>
        <v>予測強制吸気流量最大値のパーセント</v>
      </c>
    </row>
    <row r="1839" ht="13.5" customHeight="1">
      <c r="A1839" s="1" t="s">
        <v>129</v>
      </c>
      <c r="B1839" s="1" t="s">
        <v>9283</v>
      </c>
      <c r="C1839" s="1" t="s">
        <v>9284</v>
      </c>
      <c r="D1839" s="1" t="s">
        <v>9285</v>
      </c>
      <c r="E1839" s="1" t="s">
        <v>9285</v>
      </c>
      <c r="F1839" s="1" t="s">
        <v>9286</v>
      </c>
      <c r="G1839" s="1" t="s">
        <v>9285</v>
      </c>
      <c r="H1839" s="1" t="str">
        <f>IFERROR(__xludf.DUMMYFUNCTION("GOOGLETRANSLATE(D1839,""EN"",""JA"")"),"吸入酸素分率")</f>
        <v>吸入酸素分率</v>
      </c>
      <c r="I1839" s="1" t="str">
        <f>IFERROR(__xludf.DUMMYFUNCTION("GOOGLETRANSLATE(E1839,""EN"",""JA"")"),"吸入酸素分率")</f>
        <v>吸入酸素分率</v>
      </c>
      <c r="J1839" s="1" t="str">
        <f>IFERROR(__xludf.DUMMYFUNCTION("GOOGLETRANSLATE(F1839,""EN"",""JA"")"),"吸入したガス中の酸素の体積分率の測定。")</f>
        <v>吸入したガス中の酸素の体積分率の測定。</v>
      </c>
      <c r="K1839" s="1" t="str">
        <f>IFERROR(__xludf.DUMMYFUNCTION("GOOGLETRANSLATE(G1839,""EN"",""JA"")"),"吸入酸素分率")</f>
        <v>吸入酸素分率</v>
      </c>
    </row>
    <row r="1840" ht="13.5" customHeight="1">
      <c r="A1840" s="1" t="s">
        <v>580</v>
      </c>
      <c r="B1840" s="1" t="s">
        <v>9283</v>
      </c>
      <c r="C1840" s="1" t="s">
        <v>9284</v>
      </c>
      <c r="D1840" s="1" t="s">
        <v>9285</v>
      </c>
      <c r="E1840" s="1" t="s">
        <v>9285</v>
      </c>
      <c r="F1840" s="1" t="s">
        <v>9286</v>
      </c>
      <c r="G1840" s="1" t="s">
        <v>9285</v>
      </c>
      <c r="H1840" s="1" t="str">
        <f>IFERROR(__xludf.DUMMYFUNCTION("GOOGLETRANSLATE(D1840,""EN"",""JA"")"),"吸入酸素分率")</f>
        <v>吸入酸素分率</v>
      </c>
      <c r="I1840" s="1" t="str">
        <f>IFERROR(__xludf.DUMMYFUNCTION("GOOGLETRANSLATE(E1840,""EN"",""JA"")"),"吸入酸素分率")</f>
        <v>吸入酸素分率</v>
      </c>
      <c r="J1840" s="1" t="str">
        <f>IFERROR(__xludf.DUMMYFUNCTION("GOOGLETRANSLATE(F1840,""EN"",""JA"")"),"吸入したガス中の酸素の体積分率の測定。")</f>
        <v>吸入したガス中の酸素の体積分率の測定。</v>
      </c>
      <c r="K1840" s="1" t="str">
        <f>IFERROR(__xludf.DUMMYFUNCTION("GOOGLETRANSLATE(G1840,""EN"",""JA"")"),"吸入酸素分率")</f>
        <v>吸入酸素分率</v>
      </c>
    </row>
    <row r="1841" ht="13.5" customHeight="1">
      <c r="A1841" s="1" t="s">
        <v>11</v>
      </c>
      <c r="B1841" s="1" t="s">
        <v>9283</v>
      </c>
      <c r="C1841" s="1" t="s">
        <v>9284</v>
      </c>
      <c r="D1841" s="1" t="s">
        <v>9285</v>
      </c>
      <c r="E1841" s="1" t="s">
        <v>9285</v>
      </c>
      <c r="F1841" s="1" t="s">
        <v>9286</v>
      </c>
      <c r="G1841" s="1" t="s">
        <v>9285</v>
      </c>
      <c r="H1841" s="1" t="str">
        <f>IFERROR(__xludf.DUMMYFUNCTION("GOOGLETRANSLATE(D1841,""EN"",""JA"")"),"吸入酸素分率")</f>
        <v>吸入酸素分率</v>
      </c>
      <c r="I1841" s="1" t="str">
        <f>IFERROR(__xludf.DUMMYFUNCTION("GOOGLETRANSLATE(E1841,""EN"",""JA"")"),"吸入酸素分率")</f>
        <v>吸入酸素分率</v>
      </c>
      <c r="J1841" s="1" t="str">
        <f>IFERROR(__xludf.DUMMYFUNCTION("GOOGLETRANSLATE(F1841,""EN"",""JA"")"),"吸入したガス中の酸素の体積分率の測定。")</f>
        <v>吸入したガス中の酸素の体積分率の測定。</v>
      </c>
      <c r="K1841" s="1" t="str">
        <f>IFERROR(__xludf.DUMMYFUNCTION("GOOGLETRANSLATE(G1841,""EN"",""JA"")"),"吸入酸素分率")</f>
        <v>吸入酸素分率</v>
      </c>
    </row>
    <row r="1842" ht="13.5" customHeight="1">
      <c r="A1842" s="1" t="s">
        <v>67</v>
      </c>
      <c r="B1842" s="1" t="s">
        <v>9287</v>
      </c>
      <c r="C1842" s="1" t="s">
        <v>9288</v>
      </c>
      <c r="D1842" s="1" t="s">
        <v>9289</v>
      </c>
      <c r="E1842" s="1" t="s">
        <v>9289</v>
      </c>
      <c r="F1842" s="1" t="s">
        <v>9290</v>
      </c>
      <c r="G1842" s="1" t="s">
        <v>9291</v>
      </c>
      <c r="H1842" s="1" t="str">
        <f>IFERROR(__xludf.DUMMYFUNCTION("GOOGLETRANSLATE(D1842,""EN"",""JA"")"),"フィルミクテス/バクテロイデス比")</f>
        <v>フィルミクテス/バクテロイデス比</v>
      </c>
      <c r="I1842" s="1" t="str">
        <f>IFERROR(__xludf.DUMMYFUNCTION("GOOGLETRANSLATE(E1842,""EN"",""JA"")"),"フィルミクテス/バクテロイデス比")</f>
        <v>フィルミクテス/バクテロイデス比</v>
      </c>
      <c r="J1842" s="1" t="str">
        <f>IFERROR(__xludf.DUMMYFUNCTION("GOOGLETRANSLATE(F1842,""EN"",""JA"")"),"生物標本における Firmicutes 門のメンバーと Bacteroidetes 門のメンバーの比率の測定。")</f>
        <v>生物標本における Firmicutes 門のメンバーと Bacteroidetes 門のメンバーの比率の測定。</v>
      </c>
      <c r="K1842" s="1" t="str">
        <f>IFERROR(__xludf.DUMMYFUNCTION("GOOGLETRANSLATE(G1842,""EN"",""JA"")"),"フィルミクテス属とバクテロイデス属の比率測定")</f>
        <v>フィルミクテス属とバクテロイデス属の比率測定</v>
      </c>
    </row>
    <row r="1843" ht="13.5" customHeight="1">
      <c r="A1843" s="1" t="s">
        <v>580</v>
      </c>
      <c r="B1843" s="1" t="s">
        <v>9292</v>
      </c>
      <c r="C1843" s="1" t="s">
        <v>9293</v>
      </c>
      <c r="D1843" s="1" t="s">
        <v>9294</v>
      </c>
      <c r="E1843" s="1" t="s">
        <v>9294</v>
      </c>
      <c r="F1843" s="1" t="s">
        <v>9295</v>
      </c>
      <c r="G1843" s="1" t="s">
        <v>9294</v>
      </c>
      <c r="H1843" s="1" t="str">
        <f>IFERROR(__xludf.DUMMYFUNCTION("GOOGLETRANSLATE(D1843,""EN"",""JA"")"),"1秒間の努力吸気量")</f>
        <v>1秒間の努力吸気量</v>
      </c>
      <c r="I1843" s="1" t="str">
        <f>IFERROR(__xludf.DUMMYFUNCTION("GOOGLETRANSLATE(E1843,""EN"",""JA"")"),"1秒間の努力吸気量")</f>
        <v>1秒間の努力吸気量</v>
      </c>
      <c r="J1843" s="1" t="str">
        <f>IFERROR(__xludf.DUMMYFUNCTION("GOOGLETRANSLATE(F1843,""EN"",""JA"")"),"最大限に吐き出した後に最初の 1 秒間に被験者が吸い込むことができる空気の量。")</f>
        <v>最大限に吐き出した後に最初の 1 秒間に被験者が吸い込むことができる空気の量。</v>
      </c>
      <c r="K1843" s="1" t="str">
        <f>IFERROR(__xludf.DUMMYFUNCTION("GOOGLETRANSLATE(G1843,""EN"",""JA"")"),"1秒間の努力吸気量")</f>
        <v>1秒間の努力吸気量</v>
      </c>
    </row>
    <row r="1844" ht="13.5" customHeight="1">
      <c r="A1844" s="1" t="s">
        <v>580</v>
      </c>
      <c r="B1844" s="1" t="s">
        <v>9296</v>
      </c>
      <c r="C1844" s="1" t="s">
        <v>9297</v>
      </c>
      <c r="D1844" s="1" t="s">
        <v>9298</v>
      </c>
      <c r="E1844" s="1" t="s">
        <v>9298</v>
      </c>
      <c r="F1844" s="1" t="s">
        <v>9299</v>
      </c>
      <c r="G1844" s="1" t="s">
        <v>9300</v>
      </c>
      <c r="H1844" s="1" t="str">
        <f>IFERROR(__xludf.DUMMYFUNCTION("GOOGLETRANSLATE(D1844,""EN"",""JA"")"),"FIV1予測値の割合")</f>
        <v>FIV1予測値の割合</v>
      </c>
      <c r="I1844" s="1" t="str">
        <f>IFERROR(__xludf.DUMMYFUNCTION("GOOGLETRANSLATE(E1844,""EN"",""JA"")"),"FIV1予測値の割合")</f>
        <v>FIV1予測値の割合</v>
      </c>
      <c r="J1844" s="1" t="str">
        <f>IFERROR(__xludf.DUMMYFUNCTION("GOOGLETRANSLATE(F1844,""EN"",""JA"")"),"最大限に呼気した後の最初の 1 秒間の吸入中に被験者が呼吸できる空気の量を、予測される正常値の割合として表します。")</f>
        <v>最大限に呼気した後の最初の 1 秒間の吸入中に被験者が呼吸できる空気の量を、予測される正常値の割合として表します。</v>
      </c>
      <c r="K1844" s="1" t="str">
        <f>IFERROR(__xludf.DUMMYFUNCTION("GOOGLETRANSLATE(G1844,""EN"",""JA"")"),"1秒間の予測強制吸気量の割合")</f>
        <v>1秒間の予測強制吸気量の割合</v>
      </c>
    </row>
    <row r="1845" ht="13.5" customHeight="1">
      <c r="A1845" s="1" t="s">
        <v>580</v>
      </c>
      <c r="B1845" s="1" t="s">
        <v>9301</v>
      </c>
      <c r="C1845" s="1" t="s">
        <v>9302</v>
      </c>
      <c r="D1845" s="1" t="s">
        <v>9303</v>
      </c>
      <c r="E1845" s="1" t="s">
        <v>9303</v>
      </c>
      <c r="F1845" s="1" t="s">
        <v>9304</v>
      </c>
      <c r="G1845" s="1" t="s">
        <v>9303</v>
      </c>
      <c r="H1845" s="1" t="str">
        <f>IFERROR(__xludf.DUMMYFUNCTION("GOOGLETRANSLATE(D1845,""EN"",""JA"")"),"努力吸気肺活量")</f>
        <v>努力吸気肺活量</v>
      </c>
      <c r="I1845" s="1" t="str">
        <f>IFERROR(__xludf.DUMMYFUNCTION("GOOGLETRANSLATE(E1845,""EN"",""JA"")"),"努力吸気肺活量")</f>
        <v>努力吸気肺活量</v>
      </c>
      <c r="J1845" s="1" t="str">
        <f>IFERROR(__xludf.DUMMYFUNCTION("GOOGLETRANSLATE(F1845,""EN"",""JA"")"),"最大呼気量から、その直後の全吸気量から強制吸入時の全肺容量までの肺容量の差。")</f>
        <v>最大呼気量から、その直後の全吸気量から強制吸入時の全肺容量までの肺容量の差。</v>
      </c>
      <c r="K1845" s="1" t="str">
        <f>IFERROR(__xludf.DUMMYFUNCTION("GOOGLETRANSLATE(G1845,""EN"",""JA"")"),"努力吸気肺活量")</f>
        <v>努力吸気肺活量</v>
      </c>
    </row>
    <row r="1846" ht="13.5" customHeight="1">
      <c r="A1846" s="1" t="s">
        <v>11</v>
      </c>
      <c r="B1846" s="1" t="s">
        <v>9305</v>
      </c>
      <c r="C1846" s="1" t="s">
        <v>9306</v>
      </c>
      <c r="D1846" s="1" t="s">
        <v>9307</v>
      </c>
      <c r="E1846" s="1" t="s">
        <v>9308</v>
      </c>
      <c r="F1846" s="1" t="s">
        <v>9309</v>
      </c>
      <c r="G1846" s="1" t="s">
        <v>9310</v>
      </c>
      <c r="H1846" s="1" t="str">
        <f>IFERROR(__xludf.DUMMYFUNCTION("GOOGLETRANSLATE(D1846,""EN"",""JA"")"),"第IX因子活性実測値/対照値")</f>
        <v>第IX因子活性実測値/対照値</v>
      </c>
      <c r="I1846" s="1" t="str">
        <f>IFERROR(__xludf.DUMMYFUNCTION("GOOGLETRANSLATE(E1846,""EN"",""JA"")"),"第IX因子活性の実際値/対照値; 第IX因子活性の実際値/第IX因子活性の対照値; 第IX因子活性の実際値/正常値")</f>
        <v>第IX因子活性の実際値/対照値; 第IX因子活性の実際値/第IX因子活性の対照値; 第IX因子活性の実際値/正常値</v>
      </c>
      <c r="J1846" s="1" t="str">
        <f>IFERROR(__xludf.DUMMYFUNCTION("GOOGLETRANSLATE(F1846,""EN"",""JA"")"),"被験者の検体中の第 IX 因子依存性凝固の生物学的活性を、対照検体中の同じ活性と比較した相対的な測定値 (比率またはパーセンテージ)。")</f>
        <v>被験者の検体中の第 IX 因子依存性凝固の生物学的活性を、対照検体中の同じ活性と比較した相対的な測定値 (比率またはパーセンテージ)。</v>
      </c>
      <c r="K1846" s="1" t="str">
        <f>IFERROR(__xludf.DUMMYFUNCTION("GOOGLETRANSLATE(G1846,""EN"",""JA"")"),"第IX因子活性実測値と対照値比の測定")</f>
        <v>第IX因子活性実測値と対照値比の測定</v>
      </c>
    </row>
    <row r="1847" ht="13.5" customHeight="1">
      <c r="A1847" s="1" t="s">
        <v>67</v>
      </c>
      <c r="B1847" s="1" t="s">
        <v>9311</v>
      </c>
      <c r="C1847" s="1" t="s">
        <v>9312</v>
      </c>
      <c r="D1847" s="1" t="s">
        <v>9313</v>
      </c>
      <c r="E1847" s="1" t="s">
        <v>9313</v>
      </c>
      <c r="F1847" s="1" t="s">
        <v>9314</v>
      </c>
      <c r="G1847" s="1" t="s">
        <v>9315</v>
      </c>
      <c r="H1847" s="1" t="str">
        <f>IFERROR(__xludf.DUMMYFUNCTION("GOOGLETRANSLATE(D1847,""EN"",""JA"")"),"鞭毛虫")</f>
        <v>鞭毛虫</v>
      </c>
      <c r="I1847" s="1" t="str">
        <f>IFERROR(__xludf.DUMMYFUNCTION("GOOGLETRANSLATE(E1847,""EN"",""JA"")"),"鞭毛虫")</f>
        <v>鞭毛虫</v>
      </c>
      <c r="J1847" s="1" t="str">
        <f>IFERROR(__xludf.DUMMYFUNCTION("GOOGLETRANSLATE(F1847,""EN"",""JA"")"),"生物標本中の鞭毛生物（鞭毛を持つ原生動物）の測定。")</f>
        <v>生物標本中の鞭毛生物（鞭毛を持つ原生動物）の測定。</v>
      </c>
      <c r="K1847" s="1" t="str">
        <f>IFERROR(__xludf.DUMMYFUNCTION("GOOGLETRANSLATE(G1847,""EN"",""JA"")"),"鞭毛虫測定")</f>
        <v>鞭毛虫測定</v>
      </c>
    </row>
    <row r="1848" ht="13.5" customHeight="1">
      <c r="A1848" s="1" t="s">
        <v>1970</v>
      </c>
      <c r="B1848" s="1" t="s">
        <v>9316</v>
      </c>
      <c r="C1848" s="1" t="s">
        <v>9317</v>
      </c>
      <c r="D1848" s="1" t="s">
        <v>9318</v>
      </c>
      <c r="E1848" s="1" t="s">
        <v>9318</v>
      </c>
      <c r="F1848" s="1" t="s">
        <v>9319</v>
      </c>
      <c r="G1848" s="1" t="s">
        <v>9320</v>
      </c>
      <c r="H1848" s="1" t="str">
        <f>IFERROR(__xludf.DUMMYFUNCTION("GOOGLETRANSLATE(D1848,""EN"",""JA"")"),"フレアサイズ")</f>
        <v>フレアサイズ</v>
      </c>
      <c r="I1848" s="1" t="str">
        <f>IFERROR(__xludf.DUMMYFUNCTION("GOOGLETRANSLATE(E1848,""EN"",""JA"")"),"フレアサイズ")</f>
        <v>フレアサイズ</v>
      </c>
      <c r="J1848" s="1" t="str">
        <f>IFERROR(__xludf.DUMMYFUNCTION("GOOGLETRANSLATE(F1848,""EN"",""JA"")"),"皮膚への抗原刺激部位の周囲に形成される赤みの領域の大きさ。")</f>
        <v>皮膚への抗原刺激部位の周囲に形成される赤みの領域の大きさ。</v>
      </c>
      <c r="K1848" s="1" t="str">
        <f>IFERROR(__xludf.DUMMYFUNCTION("GOOGLETRANSLATE(G1848,""EN"",""JA"")"),"抗原性皮膚フレアサイズ測定")</f>
        <v>抗原性皮膚フレアサイズ測定</v>
      </c>
    </row>
    <row r="1849" ht="13.5" customHeight="1">
      <c r="A1849" s="1" t="s">
        <v>7009</v>
      </c>
      <c r="B1849" s="1" t="s">
        <v>9321</v>
      </c>
      <c r="C1849" s="1" t="s">
        <v>9322</v>
      </c>
      <c r="D1849" s="1" t="s">
        <v>9323</v>
      </c>
      <c r="E1849" s="1" t="s">
        <v>9323</v>
      </c>
      <c r="F1849" s="1" t="s">
        <v>9324</v>
      </c>
      <c r="G1849" s="1" t="s">
        <v>9323</v>
      </c>
      <c r="H1849" s="1" t="str">
        <f>IFERROR(__xludf.DUMMYFUNCTION("GOOGLETRANSLATE(D1849,""EN"",""JA"")"),"フラグ付き変異存在インジケーター")</f>
        <v>フラグ付き変異存在インジケーター</v>
      </c>
      <c r="I1849" s="1" t="str">
        <f>IFERROR(__xludf.DUMMYFUNCTION("GOOGLETRANSLATE(E1849,""EN"",""JA"")"),"フラグ付き変異存在インジケーター")</f>
        <v>フラグ付き変異存在インジケーター</v>
      </c>
      <c r="J1849" s="1" t="str">
        <f>IFERROR(__xludf.DUMMYFUNCTION("GOOGLETRANSLATE(F1849,""EN"",""JA"")"),"事前に指定された興味のある突然変異が被験者内に存在するかどうかを示します。")</f>
        <v>事前に指定された興味のある突然変異が被験者内に存在するかどうかを示します。</v>
      </c>
      <c r="K1849" s="1" t="str">
        <f>IFERROR(__xludf.DUMMYFUNCTION("GOOGLETRANSLATE(G1849,""EN"",""JA"")"),"フラグ付き変異存在インジケーター")</f>
        <v>フラグ付き変異存在インジケーター</v>
      </c>
    </row>
    <row r="1850" ht="13.5" customHeight="1">
      <c r="A1850" s="1" t="s">
        <v>11</v>
      </c>
      <c r="B1850" s="1" t="s">
        <v>9325</v>
      </c>
      <c r="C1850" s="1" t="s">
        <v>9326</v>
      </c>
      <c r="D1850" s="1" t="s">
        <v>9327</v>
      </c>
      <c r="E1850" s="1" t="s">
        <v>9327</v>
      </c>
      <c r="F1850" s="1" t="s">
        <v>9328</v>
      </c>
      <c r="G1850" s="1" t="s">
        <v>9329</v>
      </c>
      <c r="H1850" s="1" t="str">
        <f>IFERROR(__xludf.DUMMYFUNCTION("GOOGLETRANSLATE(D1850,""EN"",""JA"")"),"フルニトラゼパム")</f>
        <v>フルニトラゼパム</v>
      </c>
      <c r="I1850" s="1" t="str">
        <f>IFERROR(__xludf.DUMMYFUNCTION("GOOGLETRANSLATE(E1850,""EN"",""JA"")"),"フルニトラゼパム")</f>
        <v>フルニトラゼパム</v>
      </c>
      <c r="J1850" s="1" t="str">
        <f>IFERROR(__xludf.DUMMYFUNCTION("GOOGLETRANSLATE(F1850,""EN"",""JA"")"),"生物学的標本中に存在するフルニトラゼパムの測定。")</f>
        <v>生物学的標本中に存在するフルニトラゼパムの測定。</v>
      </c>
      <c r="K1850" s="1" t="str">
        <f>IFERROR(__xludf.DUMMYFUNCTION("GOOGLETRANSLATE(G1850,""EN"",""JA"")"),"フルニトラゼパム測定")</f>
        <v>フルニトラゼパム測定</v>
      </c>
    </row>
    <row r="1851" ht="13.5" customHeight="1">
      <c r="A1851" s="1" t="s">
        <v>1970</v>
      </c>
      <c r="B1851" s="1" t="s">
        <v>9330</v>
      </c>
      <c r="C1851" s="1" t="s">
        <v>9331</v>
      </c>
      <c r="D1851" s="1" t="s">
        <v>9332</v>
      </c>
      <c r="E1851" s="1" t="s">
        <v>9332</v>
      </c>
      <c r="F1851" s="1" t="s">
        <v>9333</v>
      </c>
      <c r="G1851" s="1" t="s">
        <v>9334</v>
      </c>
      <c r="H1851" s="1" t="str">
        <f>IFERROR(__xludf.DUMMYFUNCTION("GOOGLETRANSLATE(D1851,""EN"",""JA"")"),"フレア最長直径")</f>
        <v>フレア最長直径</v>
      </c>
      <c r="I1851" s="1" t="str">
        <f>IFERROR(__xludf.DUMMYFUNCTION("GOOGLETRANSLATE(E1851,""EN"",""JA"")"),"フレア最長直径")</f>
        <v>フレア最長直径</v>
      </c>
      <c r="J1851" s="1" t="str">
        <f>IFERROR(__xludf.DUMMYFUNCTION("GOOGLETRANSLATE(F1851,""EN"",""JA"")"),"皮膚への抗原刺激部位の周囲に形成される赤みの領域の最長直径。")</f>
        <v>皮膚への抗原刺激部位の周囲に形成される赤みの領域の最長直径。</v>
      </c>
      <c r="K1851" s="1" t="str">
        <f>IFERROR(__xludf.DUMMYFUNCTION("GOOGLETRANSLATE(G1851,""EN"",""JA"")"),"抗原性皮膚フレアの最長径測定")</f>
        <v>抗原性皮膚フレアの最長径測定</v>
      </c>
    </row>
    <row r="1852" ht="13.5" customHeight="1">
      <c r="A1852" s="1" t="s">
        <v>1970</v>
      </c>
      <c r="B1852" s="1" t="s">
        <v>9335</v>
      </c>
      <c r="C1852" s="1" t="s">
        <v>9336</v>
      </c>
      <c r="D1852" s="1" t="s">
        <v>9337</v>
      </c>
      <c r="E1852" s="1" t="s">
        <v>9337</v>
      </c>
      <c r="F1852" s="1" t="s">
        <v>9338</v>
      </c>
      <c r="G1852" s="1" t="s">
        <v>9339</v>
      </c>
      <c r="H1852" s="1" t="str">
        <f>IFERROR(__xludf.DUMMYFUNCTION("GOOGLETRANSLATE(D1852,""EN"",""JA"")"),"フレア平均直径")</f>
        <v>フレア平均直径</v>
      </c>
      <c r="I1852" s="1" t="str">
        <f>IFERROR(__xludf.DUMMYFUNCTION("GOOGLETRANSLATE(E1852,""EN"",""JA"")"),"フレア平均直径")</f>
        <v>フレア平均直径</v>
      </c>
      <c r="J1852" s="1" t="str">
        <f>IFERROR(__xludf.DUMMYFUNCTION("GOOGLETRANSLATE(F1852,""EN"",""JA"")"),"皮膚への抗原刺激部位の周囲に形成される赤みの領域の平均直径。")</f>
        <v>皮膚への抗原刺激部位の周囲に形成される赤みの領域の平均直径。</v>
      </c>
      <c r="K1852" s="1" t="str">
        <f>IFERROR(__xludf.DUMMYFUNCTION("GOOGLETRANSLATE(G1852,""EN"",""JA"")"),"抗原性皮膚フレアの平均直径測定")</f>
        <v>抗原性皮膚フレアの平均直径測定</v>
      </c>
    </row>
    <row r="1853" ht="13.5" customHeight="1">
      <c r="A1853" s="1" t="s">
        <v>11</v>
      </c>
      <c r="B1853" s="1" t="s">
        <v>9340</v>
      </c>
      <c r="C1853" s="1" t="s">
        <v>9341</v>
      </c>
      <c r="D1853" s="1" t="s">
        <v>9342</v>
      </c>
      <c r="E1853" s="1" t="s">
        <v>9342</v>
      </c>
      <c r="F1853" s="1" t="s">
        <v>9343</v>
      </c>
      <c r="G1853" s="1" t="s">
        <v>9344</v>
      </c>
      <c r="H1853" s="1" t="str">
        <f>IFERROR(__xludf.DUMMYFUNCTION("GOOGLETRANSLATE(D1853,""EN"",""JA"")"),"フルラゼパム")</f>
        <v>フルラゼパム</v>
      </c>
      <c r="I1853" s="1" t="str">
        <f>IFERROR(__xludf.DUMMYFUNCTION("GOOGLETRANSLATE(E1853,""EN"",""JA"")"),"フルラゼパム")</f>
        <v>フルラゼパム</v>
      </c>
      <c r="J1853" s="1" t="str">
        <f>IFERROR(__xludf.DUMMYFUNCTION("GOOGLETRANSLATE(F1853,""EN"",""JA"")"),"生物学的標本中に存在するフルラゼパムの測定。")</f>
        <v>生物学的標本中に存在するフルラゼパムの測定。</v>
      </c>
      <c r="K1853" s="1" t="str">
        <f>IFERROR(__xludf.DUMMYFUNCTION("GOOGLETRANSLATE(G1853,""EN"",""JA"")"),"フルラゼパム測定")</f>
        <v>フルラゼパム測定</v>
      </c>
    </row>
    <row r="1854" ht="13.5" customHeight="1">
      <c r="A1854" s="1" t="s">
        <v>11</v>
      </c>
      <c r="B1854" s="1" t="s">
        <v>9345</v>
      </c>
      <c r="C1854" s="1" t="s">
        <v>9346</v>
      </c>
      <c r="D1854" s="1" t="s">
        <v>9347</v>
      </c>
      <c r="E1854" s="1" t="s">
        <v>9348</v>
      </c>
      <c r="F1854" s="1" t="s">
        <v>9349</v>
      </c>
      <c r="G1854" s="1" t="s">
        <v>9350</v>
      </c>
      <c r="H1854" s="1" t="str">
        <f>IFERROR(__xludf.DUMMYFUNCTION("GOOGLETRANSLATE(D1854,""EN"",""JA"")"),"FMS様受容体チロシンキナーゼ3")</f>
        <v>FMS様受容体チロシンキナーゼ3</v>
      </c>
      <c r="I1854" s="1" t="str">
        <f>IFERROR(__xludf.DUMMYFUNCTION("GOOGLETRANSLATE(E1854,""EN"",""JA"")"),"FMS様受容体チロシンキナーゼ3; 可溶性CD135")</f>
        <v>FMS様受容体チロシンキナーゼ3; 可溶性CD135</v>
      </c>
      <c r="J1854" s="1" t="str">
        <f>IFERROR(__xludf.DUMMYFUNCTION("GOOGLETRANSLATE(F1854,""EN"",""JA"")"),"生物標本中の FMS 様受容体チロシンキナーゼ 3 の測定。")</f>
        <v>生物標本中の FMS 様受容体チロシンキナーゼ 3 の測定。</v>
      </c>
      <c r="K1854" s="1" t="str">
        <f>IFERROR(__xludf.DUMMYFUNCTION("GOOGLETRANSLATE(G1854,""EN"",""JA"")"),"FMS様受容体チロシンキナーゼ3の測定")</f>
        <v>FMS様受容体チロシンキナーゼ3の測定</v>
      </c>
    </row>
    <row r="1855" ht="13.5" customHeight="1">
      <c r="A1855" s="1" t="s">
        <v>11</v>
      </c>
      <c r="B1855" s="1" t="s">
        <v>9351</v>
      </c>
      <c r="C1855" s="1" t="s">
        <v>9352</v>
      </c>
      <c r="D1855" s="1" t="s">
        <v>9353</v>
      </c>
      <c r="E1855" s="1" t="s">
        <v>9353</v>
      </c>
      <c r="F1855" s="1" t="s">
        <v>9354</v>
      </c>
      <c r="G1855" s="1" t="s">
        <v>9355</v>
      </c>
      <c r="H1855" s="1" t="str">
        <f>IFERROR(__xludf.DUMMYFUNCTION("GOOGLETRANSLATE(D1855,""EN"",""JA"")"),"FMS様チロシンキナーゼ3リガンド")</f>
        <v>FMS様チロシンキナーゼ3リガンド</v>
      </c>
      <c r="I1855" s="1" t="str">
        <f>IFERROR(__xludf.DUMMYFUNCTION("GOOGLETRANSLATE(E1855,""EN"",""JA"")"),"FMS様チロシンキナーゼ3リガンド")</f>
        <v>FMS様チロシンキナーゼ3リガンド</v>
      </c>
      <c r="J1855" s="1" t="str">
        <f>IFERROR(__xludf.DUMMYFUNCTION("GOOGLETRANSLATE(F1855,""EN"",""JA"")"),"生物標本中の FMS 様チロシンキナーゼ 3 リガンドの測定。")</f>
        <v>生物標本中の FMS 様チロシンキナーゼ 3 リガンドの測定。</v>
      </c>
      <c r="K1855" s="1" t="str">
        <f>IFERROR(__xludf.DUMMYFUNCTION("GOOGLETRANSLATE(G1855,""EN"",""JA"")"),"FMS様チロシンキナーゼ3リガンド測定")</f>
        <v>FMS様チロシンキナーゼ3リガンド測定</v>
      </c>
    </row>
    <row r="1856" ht="13.5" customHeight="1">
      <c r="A1856" s="1" t="s">
        <v>870</v>
      </c>
      <c r="B1856" s="1" t="s">
        <v>9356</v>
      </c>
      <c r="C1856" s="1" t="s">
        <v>9357</v>
      </c>
      <c r="D1856" s="1" t="s">
        <v>9358</v>
      </c>
      <c r="E1856" s="1" t="s">
        <v>9358</v>
      </c>
      <c r="F1856" s="1" t="s">
        <v>9359</v>
      </c>
      <c r="G1856" s="1" t="s">
        <v>9360</v>
      </c>
      <c r="H1856" s="1" t="str">
        <f>IFERROR(__xludf.DUMMYFUNCTION("GOOGLETRANSLATE(D1856,""EN"",""JA"")"),"変動％")</f>
        <v>変動％</v>
      </c>
      <c r="I1856" s="1" t="str">
        <f>IFERROR(__xludf.DUMMYFUNCTION("GOOGLETRANSLATE(E1856,""EN"",""JA"")"),"変動％")</f>
        <v>変動％</v>
      </c>
      <c r="J1856" s="1" t="str">
        <f>IFERROR(__xludf.DUMMYFUNCTION("GOOGLETRANSLATE(F1856,""EN"",""JA"")"),"投与時間と Tau 間の、Cavg に標準化された Cmin と Cmax の差。")</f>
        <v>投与時間と Tau 間の、Cavg に標準化された Cmin と Cmax の差。</v>
      </c>
      <c r="K1856" s="1" t="str">
        <f>IFERROR(__xludf.DUMMYFUNCTION("GOOGLETRANSLATE(G1856,""EN"",""JA"")"),"投与時間とタウ濃度の変動")</f>
        <v>投与時間とタウ濃度の変動</v>
      </c>
    </row>
    <row r="1857" ht="13.5" customHeight="1">
      <c r="A1857" s="1" t="s">
        <v>11</v>
      </c>
      <c r="B1857" s="1" t="s">
        <v>9361</v>
      </c>
      <c r="C1857" s="1" t="s">
        <v>9362</v>
      </c>
      <c r="D1857" s="1" t="s">
        <v>9363</v>
      </c>
      <c r="E1857" s="1" t="s">
        <v>9363</v>
      </c>
      <c r="F1857" s="1" t="s">
        <v>9364</v>
      </c>
      <c r="G1857" s="1" t="s">
        <v>9365</v>
      </c>
      <c r="H1857" s="1" t="str">
        <f>IFERROR(__xludf.DUMMYFUNCTION("GOOGLETRANSLATE(D1857,""EN"",""JA"")"),"推定体液量")</f>
        <v>推定体液量</v>
      </c>
      <c r="I1857" s="1" t="str">
        <f>IFERROR(__xludf.DUMMYFUNCTION("GOOGLETRANSLATE(E1857,""EN"",""JA"")"),"推定体液量")</f>
        <v>推定体液量</v>
      </c>
      <c r="J1857" s="1" t="str">
        <f>IFERROR(__xludf.DUMMYFUNCTION("GOOGLETRANSLATE(F1857,""EN"",""JA"")"),"一定期間内に排出される液体の総量の推定値。")</f>
        <v>一定期間内に排出される液体の総量の推定値。</v>
      </c>
      <c r="K1857" s="1" t="str">
        <f>IFERROR(__xludf.DUMMYFUNCTION("GOOGLETRANSLATE(G1857,""EN"",""JA"")"),"推定体液量")</f>
        <v>推定体液量</v>
      </c>
    </row>
    <row r="1858" ht="13.5" customHeight="1">
      <c r="A1858" s="1" t="s">
        <v>1997</v>
      </c>
      <c r="B1858" s="1" t="s">
        <v>9366</v>
      </c>
      <c r="C1858" s="1" t="s">
        <v>9367</v>
      </c>
      <c r="D1858" s="1" t="s">
        <v>9368</v>
      </c>
      <c r="E1858" s="1" t="s">
        <v>9368</v>
      </c>
      <c r="F1858" s="1" t="s">
        <v>9369</v>
      </c>
      <c r="G1858" s="1" t="s">
        <v>9370</v>
      </c>
      <c r="H1858" s="1" t="str">
        <f>IFERROR(__xludf.DUMMYFUNCTION("GOOGLETRANSLATE(D1858,""EN"",""JA"")"),"流体")</f>
        <v>流体</v>
      </c>
      <c r="I1858" s="1" t="str">
        <f>IFERROR(__xludf.DUMMYFUNCTION("GOOGLETRANSLATE(E1858,""EN"",""JA"")"),"流体")</f>
        <v>流体</v>
      </c>
      <c r="J1858" s="1" t="str">
        <f>IFERROR(__xludf.DUMMYFUNCTION("GOOGLETRANSLATE(F1858,""EN"",""JA"")"),"生物学的標本または場所内の体液の評価。")</f>
        <v>生物学的標本または場所内の体液の評価。</v>
      </c>
      <c r="K1858" s="1" t="str">
        <f>IFERROR(__xludf.DUMMYFUNCTION("GOOGLETRANSLATE(G1858,""EN"",""JA"")"),"体液評価")</f>
        <v>体液評価</v>
      </c>
    </row>
    <row r="1859" ht="13.5" customHeight="1">
      <c r="A1859" s="1" t="s">
        <v>11</v>
      </c>
      <c r="B1859" s="1" t="s">
        <v>9371</v>
      </c>
      <c r="C1859" s="1" t="s">
        <v>9372</v>
      </c>
      <c r="D1859" s="1" t="s">
        <v>9373</v>
      </c>
      <c r="E1859" s="1" t="s">
        <v>9373</v>
      </c>
      <c r="F1859" s="1" t="s">
        <v>9374</v>
      </c>
      <c r="G1859" s="1" t="s">
        <v>9373</v>
      </c>
      <c r="H1859" s="1" t="str">
        <f>IFERROR(__xludf.DUMMYFUNCTION("GOOGLETRANSLATE(D1859,""EN"",""JA"")"),"体液排出")</f>
        <v>体液排出</v>
      </c>
      <c r="I1859" s="1" t="str">
        <f>IFERROR(__xludf.DUMMYFUNCTION("GOOGLETRANSLATE(E1859,""EN"",""JA"")"),"体液排出")</f>
        <v>体液排出</v>
      </c>
      <c r="J1859" s="1" t="str">
        <f>IFERROR(__xludf.DUMMYFUNCTION("GOOGLETRANSLATE(F1859,""EN"",""JA"")"),"一定期間内に排出される液体の総量の測定値。")</f>
        <v>一定期間内に排出される液体の総量の測定値。</v>
      </c>
      <c r="K1859" s="1" t="str">
        <f>IFERROR(__xludf.DUMMYFUNCTION("GOOGLETRANSLATE(G1859,""EN"",""JA"")"),"体液排出")</f>
        <v>体液排出</v>
      </c>
    </row>
    <row r="1860" ht="13.5" customHeight="1">
      <c r="A1860" s="1" t="s">
        <v>11</v>
      </c>
      <c r="B1860" s="1" t="s">
        <v>9375</v>
      </c>
      <c r="C1860" s="1" t="s">
        <v>9376</v>
      </c>
      <c r="D1860" s="1" t="s">
        <v>9377</v>
      </c>
      <c r="E1860" s="1" t="s">
        <v>9377</v>
      </c>
      <c r="F1860" s="1" t="s">
        <v>9378</v>
      </c>
      <c r="G1860" s="1" t="s">
        <v>9379</v>
      </c>
      <c r="H1860" s="1" t="str">
        <f>IFERROR(__xludf.DUMMYFUNCTION("GOOGLETRANSLATE(D1860,""EN"",""JA"")"),"フッ化物")</f>
        <v>フッ化物</v>
      </c>
      <c r="I1860" s="1" t="str">
        <f>IFERROR(__xludf.DUMMYFUNCTION("GOOGLETRANSLATE(E1860,""EN"",""JA"")"),"フッ化物")</f>
        <v>フッ化物</v>
      </c>
      <c r="J1860" s="1" t="str">
        <f>IFERROR(__xludf.DUMMYFUNCTION("GOOGLETRANSLATE(F1860,""EN"",""JA"")"),"生物標本中のフッ化物の測定。")</f>
        <v>生物標本中のフッ化物の測定。</v>
      </c>
      <c r="K1860" s="1" t="str">
        <f>IFERROR(__xludf.DUMMYFUNCTION("GOOGLETRANSLATE(G1860,""EN"",""JA"")"),"フッ素測定")</f>
        <v>フッ素測定</v>
      </c>
    </row>
    <row r="1861" ht="13.5" customHeight="1">
      <c r="A1861" s="1" t="s">
        <v>11</v>
      </c>
      <c r="B1861" s="1" t="s">
        <v>9380</v>
      </c>
      <c r="C1861" s="1" t="s">
        <v>9381</v>
      </c>
      <c r="D1861" s="1" t="s">
        <v>9382</v>
      </c>
      <c r="E1861" s="1" t="s">
        <v>9382</v>
      </c>
      <c r="F1861" s="1" t="s">
        <v>9383</v>
      </c>
      <c r="G1861" s="1" t="s">
        <v>9384</v>
      </c>
      <c r="H1861" s="1" t="str">
        <f>IFERROR(__xludf.DUMMYFUNCTION("GOOGLETRANSLATE(D1861,""EN"",""JA"")"),"フルオキセチン")</f>
        <v>フルオキセチン</v>
      </c>
      <c r="I1861" s="1" t="str">
        <f>IFERROR(__xludf.DUMMYFUNCTION("GOOGLETRANSLATE(E1861,""EN"",""JA"")"),"フルオキセチン")</f>
        <v>フルオキセチン</v>
      </c>
      <c r="J1861" s="1" t="str">
        <f>IFERROR(__xludf.DUMMYFUNCTION("GOOGLETRANSLATE(F1861,""EN"",""JA"")"),"生物学的標本中に存在するフルオキセチン薬物の測定。")</f>
        <v>生物学的標本中に存在するフルオキセチン薬物の測定。</v>
      </c>
      <c r="K1861" s="1" t="str">
        <f>IFERROR(__xludf.DUMMYFUNCTION("GOOGLETRANSLATE(G1861,""EN"",""JA"")"),"フルオキセチン測定")</f>
        <v>フルオキセチン測定</v>
      </c>
    </row>
    <row r="1862" ht="13.5" customHeight="1">
      <c r="A1862" s="1" t="s">
        <v>11</v>
      </c>
      <c r="B1862" s="1" t="s">
        <v>9385</v>
      </c>
      <c r="C1862" s="1" t="s">
        <v>9386</v>
      </c>
      <c r="D1862" s="1" t="s">
        <v>9387</v>
      </c>
      <c r="E1862" s="1" t="s">
        <v>9387</v>
      </c>
      <c r="F1862" s="1" t="s">
        <v>9388</v>
      </c>
      <c r="G1862" s="1" t="s">
        <v>9389</v>
      </c>
      <c r="H1862" s="1" t="str">
        <f>IFERROR(__xludf.DUMMYFUNCTION("GOOGLETRANSLATE(D1862,""EN"",""JA"")"),"ノルフルオキセチン")</f>
        <v>ノルフルオキセチン</v>
      </c>
      <c r="I1862" s="1" t="str">
        <f>IFERROR(__xludf.DUMMYFUNCTION("GOOGLETRANSLATE(E1862,""EN"",""JA"")"),"ノルフルオキセチン")</f>
        <v>ノルフルオキセチン</v>
      </c>
      <c r="J1862" s="1" t="str">
        <f>IFERROR(__xludf.DUMMYFUNCTION("GOOGLETRANSLATE(F1862,""EN"",""JA"")"),"生物標本中のノルフルオキセチンの測定。")</f>
        <v>生物標本中のノルフルオキセチンの測定。</v>
      </c>
      <c r="K1862" s="1" t="str">
        <f>IFERROR(__xludf.DUMMYFUNCTION("GOOGLETRANSLATE(G1862,""EN"",""JA"")"),"ノルフルオキセチン測定")</f>
        <v>ノルフルオキセチン測定</v>
      </c>
    </row>
    <row r="1863" ht="13.5" customHeight="1">
      <c r="A1863" s="1" t="s">
        <v>11</v>
      </c>
      <c r="B1863" s="1" t="s">
        <v>9390</v>
      </c>
      <c r="C1863" s="1" t="s">
        <v>9391</v>
      </c>
      <c r="D1863" s="1" t="s">
        <v>9392</v>
      </c>
      <c r="E1863" s="1" t="s">
        <v>9392</v>
      </c>
      <c r="F1863" s="1" t="s">
        <v>9393</v>
      </c>
      <c r="G1863" s="1" t="s">
        <v>9394</v>
      </c>
      <c r="H1863" s="1" t="str">
        <f>IFERROR(__xludf.DUMMYFUNCTION("GOOGLETRANSLATE(D1863,""EN"",""JA"")"),"フルフェナジン")</f>
        <v>フルフェナジン</v>
      </c>
      <c r="I1863" s="1" t="str">
        <f>IFERROR(__xludf.DUMMYFUNCTION("GOOGLETRANSLATE(E1863,""EN"",""JA"")"),"フルフェナジン")</f>
        <v>フルフェナジン</v>
      </c>
      <c r="J1863" s="1" t="str">
        <f>IFERROR(__xludf.DUMMYFUNCTION("GOOGLETRANSLATE(F1863,""EN"",""JA"")"),"生物標本中のフルフェナジンの測定。")</f>
        <v>生物標本中のフルフェナジンの測定。</v>
      </c>
      <c r="K1863" s="1" t="str">
        <f>IFERROR(__xludf.DUMMYFUNCTION("GOOGLETRANSLATE(G1863,""EN"",""JA"")"),"フルフェナジン測定")</f>
        <v>フルフェナジン測定</v>
      </c>
    </row>
    <row r="1864" ht="13.5" customHeight="1">
      <c r="A1864" s="1" t="s">
        <v>11</v>
      </c>
      <c r="B1864" s="1" t="s">
        <v>9395</v>
      </c>
      <c r="C1864" s="1" t="s">
        <v>9396</v>
      </c>
      <c r="D1864" s="1" t="s">
        <v>9397</v>
      </c>
      <c r="E1864" s="1" t="s">
        <v>9397</v>
      </c>
      <c r="F1864" s="1" t="s">
        <v>9398</v>
      </c>
      <c r="G1864" s="1" t="s">
        <v>9399</v>
      </c>
      <c r="H1864" s="1" t="str">
        <f>IFERROR(__xludf.DUMMYFUNCTION("GOOGLETRANSLATE(D1864,""EN"",""JA"")"),"フルボキサミン")</f>
        <v>フルボキサミン</v>
      </c>
      <c r="I1864" s="1" t="str">
        <f>IFERROR(__xludf.DUMMYFUNCTION("GOOGLETRANSLATE(E1864,""EN"",""JA"")"),"フルボキサミン")</f>
        <v>フルボキサミン</v>
      </c>
      <c r="J1864" s="1" t="str">
        <f>IFERROR(__xludf.DUMMYFUNCTION("GOOGLETRANSLATE(F1864,""EN"",""JA"")"),"生物学的標本中に存在するフルボキサミンの測定。")</f>
        <v>生物学的標本中に存在するフルボキサミンの測定。</v>
      </c>
      <c r="K1864" s="1" t="str">
        <f>IFERROR(__xludf.DUMMYFUNCTION("GOOGLETRANSLATE(G1864,""EN"",""JA"")"),"フルボキサミン測定")</f>
        <v>フルボキサミン測定</v>
      </c>
    </row>
    <row r="1865" ht="13.5" customHeight="1">
      <c r="A1865" s="1" t="s">
        <v>11</v>
      </c>
      <c r="B1865" s="1" t="s">
        <v>9400</v>
      </c>
      <c r="C1865" s="1" t="s">
        <v>9401</v>
      </c>
      <c r="D1865" s="1" t="s">
        <v>9402</v>
      </c>
      <c r="E1865" s="1" t="s">
        <v>9402</v>
      </c>
      <c r="F1865" s="1" t="s">
        <v>9403</v>
      </c>
      <c r="G1865" s="1" t="s">
        <v>9404</v>
      </c>
      <c r="H1865" s="1" t="str">
        <f>IFERROR(__xludf.DUMMYFUNCTION("GOOGLETRANSLATE(D1865,""EN"",""JA"")"),"フルオキシメステロン")</f>
        <v>フルオキシメステロン</v>
      </c>
      <c r="I1865" s="1" t="str">
        <f>IFERROR(__xludf.DUMMYFUNCTION("GOOGLETRANSLATE(E1865,""EN"",""JA"")"),"フルオキシメステロン")</f>
        <v>フルオキシメステロン</v>
      </c>
      <c r="J1865" s="1" t="str">
        <f>IFERROR(__xludf.DUMMYFUNCTION("GOOGLETRANSLATE(F1865,""EN"",""JA"")"),"生物学的標本中のフルオキシメステロンの測定。")</f>
        <v>生物学的標本中のフルオキシメステロンの測定。</v>
      </c>
      <c r="K1865" s="1" t="str">
        <f>IFERROR(__xludf.DUMMYFUNCTION("GOOGLETRANSLATE(G1865,""EN"",""JA"")"),"フルオキシメステロン測定")</f>
        <v>フルオキシメステロン測定</v>
      </c>
    </row>
    <row r="1866" ht="13.5" customHeight="1">
      <c r="A1866" s="1" t="s">
        <v>870</v>
      </c>
      <c r="B1866" s="1" t="s">
        <v>9405</v>
      </c>
      <c r="C1866" s="1" t="s">
        <v>9406</v>
      </c>
      <c r="D1866" s="1" t="s">
        <v>9407</v>
      </c>
      <c r="E1866" s="1" t="s">
        <v>9407</v>
      </c>
      <c r="F1866" s="1" t="s">
        <v>9408</v>
      </c>
      <c r="G1866" s="1" t="s">
        <v>9407</v>
      </c>
      <c r="H1866" s="1" t="str">
        <f>IFERROR(__xludf.DUMMYFUNCTION("GOOGLETRANSLATE(D1866,""EN"",""JA"")"),"代謝される投与量の割合")</f>
        <v>代謝される投与量の割合</v>
      </c>
      <c r="I1866" s="1" t="str">
        <f>IFERROR(__xludf.DUMMYFUNCTION("GOOGLETRANSLATE(E1866,""EN"",""JA"")"),"代謝される投与量の割合")</f>
        <v>代謝される投与量の割合</v>
      </c>
      <c r="J1866" s="1" t="str">
        <f>IFERROR(__xludf.DUMMYFUNCTION("GOOGLETRANSLATE(F1866,""EN"",""JA"")"),"生物学的に利用可能な投与量のうち代謝された部分。")</f>
        <v>生物学的に利用可能な投与量のうち代謝された部分。</v>
      </c>
      <c r="K1866" s="1" t="str">
        <f>IFERROR(__xludf.DUMMYFUNCTION("GOOGLETRANSLATE(G1866,""EN"",""JA"")"),"代謝される投与量の割合")</f>
        <v>代謝される投与量の割合</v>
      </c>
    </row>
    <row r="1867" ht="13.5" customHeight="1">
      <c r="A1867" s="1" t="s">
        <v>160</v>
      </c>
      <c r="B1867" s="1" t="s">
        <v>9409</v>
      </c>
      <c r="C1867" s="1" t="s">
        <v>9410</v>
      </c>
      <c r="D1867" s="1" t="s">
        <v>9411</v>
      </c>
      <c r="E1867" s="1" t="s">
        <v>9411</v>
      </c>
      <c r="F1867" s="1" t="s">
        <v>9412</v>
      </c>
      <c r="G1867" s="1" t="s">
        <v>9411</v>
      </c>
      <c r="H1867" s="1" t="str">
        <f>IFERROR(__xludf.DUMMYFUNCTION("GOOGLETRANSLATE(D1867,""EN"",""JA"")"),"初回月経開始日")</f>
        <v>初回月経開始日</v>
      </c>
      <c r="I1867" s="1" t="str">
        <f>IFERROR(__xludf.DUMMYFUNCTION("GOOGLETRANSLATE(E1867,""EN"",""JA"")"),"初回月経開始日")</f>
        <v>初回月経開始日</v>
      </c>
      <c r="J1867" s="1" t="str">
        <f>IFERROR(__xludf.DUMMYFUNCTION("GOOGLETRANSLATE(F1867,""EN"",""JA"")"),"最初の月経周期の初日の日付。")</f>
        <v>最初の月経周期の初日の日付。</v>
      </c>
      <c r="K1867" s="1" t="str">
        <f>IFERROR(__xludf.DUMMYFUNCTION("GOOGLETRANSLATE(G1867,""EN"",""JA"")"),"初回月経開始日")</f>
        <v>初回月経開始日</v>
      </c>
    </row>
    <row r="1868" ht="13.5" customHeight="1">
      <c r="A1868" s="1" t="s">
        <v>67</v>
      </c>
      <c r="B1868" s="1" t="s">
        <v>9413</v>
      </c>
      <c r="C1868" s="1" t="s">
        <v>9414</v>
      </c>
      <c r="D1868" s="1" t="s">
        <v>9415</v>
      </c>
      <c r="E1868" s="1" t="s">
        <v>9415</v>
      </c>
      <c r="F1868" s="1" t="s">
        <v>9416</v>
      </c>
      <c r="G1868" s="1" t="s">
        <v>9417</v>
      </c>
      <c r="H1868" s="1" t="str">
        <f>IFERROR(__xludf.DUMMYFUNCTION("GOOGLETRANSLATE(D1868,""EN"",""JA"")"),"フソバクテリウム・ヌクレアタム")</f>
        <v>フソバクテリウム・ヌクレアタム</v>
      </c>
      <c r="I1868" s="1" t="str">
        <f>IFERROR(__xludf.DUMMYFUNCTION("GOOGLETRANSLATE(E1868,""EN"",""JA"")"),"フソバクテリウム・ヌクレアタム")</f>
        <v>フソバクテリウム・ヌクレアタム</v>
      </c>
      <c r="J1868" s="1" t="str">
        <f>IFERROR(__xludf.DUMMYFUNCTION("GOOGLETRANSLATE(F1868,""EN"",""JA"")"),"生物標本中の Fusobacterium nucleatum の測定。")</f>
        <v>生物標本中の Fusobacterium nucleatum の測定。</v>
      </c>
      <c r="K1868" s="1" t="str">
        <f>IFERROR(__xludf.DUMMYFUNCTION("GOOGLETRANSLATE(G1868,""EN"",""JA"")"),"フソバクテリウム・ヌクレアタム測定")</f>
        <v>フソバクテリウム・ヌクレアタム測定</v>
      </c>
    </row>
    <row r="1869" ht="13.5" customHeight="1">
      <c r="A1869" s="1" t="s">
        <v>11</v>
      </c>
      <c r="B1869" s="1" t="s">
        <v>9418</v>
      </c>
      <c r="C1869" s="1" t="s">
        <v>9419</v>
      </c>
      <c r="D1869" s="1" t="s">
        <v>9420</v>
      </c>
      <c r="E1869" s="1" t="s">
        <v>9420</v>
      </c>
      <c r="F1869" s="1" t="s">
        <v>9421</v>
      </c>
      <c r="G1869" s="1" t="s">
        <v>9422</v>
      </c>
      <c r="H1869" s="1" t="str">
        <f>IFERROR(__xludf.DUMMYFUNCTION("GOOGLETRANSLATE(D1869,""EN"",""JA"")"),"フルニトラゼパムおよび/または代謝物")</f>
        <v>フルニトラゼパムおよび/または代謝物</v>
      </c>
      <c r="I1869" s="1" t="str">
        <f>IFERROR(__xludf.DUMMYFUNCTION("GOOGLETRANSLATE(E1869,""EN"",""JA"")"),"フルニトラゼパムおよび/または代謝物")</f>
        <v>フルニトラゼパムおよび/または代謝物</v>
      </c>
      <c r="J1869" s="1" t="str">
        <f>IFERROR(__xludf.DUMMYFUNCTION("GOOGLETRANSLATE(F1869,""EN"",""JA"")"),"フルニトラゼパムとその代謝物の両方を測定できるアッセイのために、生物学的標本中に存在するフルニトラゼパムおよび/またはその代謝物の測定。")</f>
        <v>フルニトラゼパムとその代謝物の両方を測定できるアッセイのために、生物学的標本中に存在するフルニトラゼパムおよび/またはその代謝物の測定。</v>
      </c>
      <c r="K1869" s="1" t="str">
        <f>IFERROR(__xludf.DUMMYFUNCTION("GOOGLETRANSLATE(G1869,""EN"",""JA"")"),"フルニトラゼパムおよび/または代謝物の測定")</f>
        <v>フルニトラゼパムおよび/または代謝物の測定</v>
      </c>
    </row>
    <row r="1870" ht="13.5" customHeight="1">
      <c r="A1870" s="1" t="s">
        <v>1034</v>
      </c>
      <c r="B1870" s="1" t="s">
        <v>9423</v>
      </c>
      <c r="C1870" s="1" t="s">
        <v>9424</v>
      </c>
      <c r="D1870" s="1" t="s">
        <v>9425</v>
      </c>
      <c r="E1870" s="1" t="s">
        <v>9425</v>
      </c>
      <c r="F1870" s="1" t="s">
        <v>9426</v>
      </c>
      <c r="G1870" s="1" t="s">
        <v>9425</v>
      </c>
      <c r="H1870" s="1" t="str">
        <f>IFERROR(__xludf.DUMMYFUNCTION("GOOGLETRANSLATE(D1870,""EN"",""JA"")"),"泉門閉鎖インジケーター")</f>
        <v>泉門閉鎖インジケーター</v>
      </c>
      <c r="I1870" s="1" t="str">
        <f>IFERROR(__xludf.DUMMYFUNCTION("GOOGLETRANSLATE(E1870,""EN"",""JA"")"),"泉門閉鎖インジケーター")</f>
        <v>泉門閉鎖インジケーター</v>
      </c>
      <c r="J1870" s="1" t="str">
        <f>IFERROR(__xludf.DUMMYFUNCTION("GOOGLETRANSLATE(F1870,""EN"",""JA"")"),"泉門が閉じているかどうかを示します。")</f>
        <v>泉門が閉じているかどうかを示します。</v>
      </c>
      <c r="K1870" s="1" t="str">
        <f>IFERROR(__xludf.DUMMYFUNCTION("GOOGLETRANSLATE(G1870,""EN"",""JA"")"),"泉門閉鎖インジケーター")</f>
        <v>泉門閉鎖インジケーター</v>
      </c>
    </row>
    <row r="1871" ht="13.5" customHeight="1">
      <c r="A1871" s="1" t="s">
        <v>134</v>
      </c>
      <c r="B1871" s="1" t="s">
        <v>9427</v>
      </c>
      <c r="C1871" s="1" t="s">
        <v>9428</v>
      </c>
      <c r="D1871" s="1" t="s">
        <v>9429</v>
      </c>
      <c r="E1871" s="1" t="s">
        <v>9429</v>
      </c>
      <c r="F1871" s="1" t="s">
        <v>9430</v>
      </c>
      <c r="G1871" s="1" t="s">
        <v>9431</v>
      </c>
      <c r="H1871" s="1" t="str">
        <f>IFERROR(__xludf.DUMMYFUNCTION("GOOGLETRANSLATE(D1871,""EN"",""JA"")"),"葉酸加水分解酵素1")</f>
        <v>葉酸加水分解酵素1</v>
      </c>
      <c r="I1871" s="1" t="str">
        <f>IFERROR(__xludf.DUMMYFUNCTION("GOOGLETRANSLATE(E1871,""EN"",""JA"")"),"葉酸加水分解酵素1")</f>
        <v>葉酸加水分解酵素1</v>
      </c>
      <c r="J1871" s="1" t="str">
        <f>IFERROR(__xludf.DUMMYFUNCTION("GOOGLETRANSLATE(F1871,""EN"",""JA"")"),"生物標本中の葉酸加水分解酵素 1 の測定。")</f>
        <v>生物標本中の葉酸加水分解酵素 1 の測定。</v>
      </c>
      <c r="K1871" s="1" t="str">
        <f>IFERROR(__xludf.DUMMYFUNCTION("GOOGLETRANSLATE(G1871,""EN"",""JA"")"),"葉酸加水分解酵素1の測定")</f>
        <v>葉酸加水分解酵素1の測定</v>
      </c>
    </row>
    <row r="1872" ht="13.5" customHeight="1">
      <c r="A1872" s="1" t="s">
        <v>11</v>
      </c>
      <c r="B1872" s="1" t="s">
        <v>9432</v>
      </c>
      <c r="C1872" s="1" t="s">
        <v>9433</v>
      </c>
      <c r="D1872" s="1" t="s">
        <v>9434</v>
      </c>
      <c r="E1872" s="1" t="s">
        <v>9434</v>
      </c>
      <c r="F1872" s="1" t="s">
        <v>9435</v>
      </c>
      <c r="G1872" s="1" t="s">
        <v>9436</v>
      </c>
      <c r="H1872" s="1" t="str">
        <f>IFERROR(__xludf.DUMMYFUNCTION("GOOGLETRANSLATE(D1872,""EN"",""JA"")"),"葉酸加水分解酵素mRNA")</f>
        <v>葉酸加水分解酵素mRNA</v>
      </c>
      <c r="I1872" s="1" t="str">
        <f>IFERROR(__xludf.DUMMYFUNCTION("GOOGLETRANSLATE(E1872,""EN"",""JA"")"),"葉酸加水分解酵素mRNA")</f>
        <v>葉酸加水分解酵素mRNA</v>
      </c>
      <c r="J1872" s="1" t="str">
        <f>IFERROR(__xludf.DUMMYFUNCTION("GOOGLETRANSLATE(F1872,""EN"",""JA"")"),"生物標本中の葉酸加水分解酵素 mRNA の測定。")</f>
        <v>生物標本中の葉酸加水分解酵素 mRNA の測定。</v>
      </c>
      <c r="K1872" s="1" t="str">
        <f>IFERROR(__xludf.DUMMYFUNCTION("GOOGLETRANSLATE(G1872,""EN"",""JA"")"),"葉酸加水分解酵素mRNA測定")</f>
        <v>葉酸加水分解酵素mRNA測定</v>
      </c>
    </row>
    <row r="1873" ht="13.5" customHeight="1">
      <c r="A1873" s="1" t="s">
        <v>11</v>
      </c>
      <c r="B1873" s="1" t="s">
        <v>9437</v>
      </c>
      <c r="C1873" s="1" t="s">
        <v>9438</v>
      </c>
      <c r="D1873" s="1" t="s">
        <v>9439</v>
      </c>
      <c r="E1873" s="1" t="s">
        <v>9440</v>
      </c>
      <c r="F1873" s="1" t="s">
        <v>9441</v>
      </c>
      <c r="G1873" s="1" t="s">
        <v>9442</v>
      </c>
      <c r="H1873" s="1" t="str">
        <f>IFERROR(__xludf.DUMMYFUNCTION("GOOGLETRANSLATE(D1873,""EN"",""JA"")"),"ホルムアルデヒド")</f>
        <v>ホルムアルデヒド</v>
      </c>
      <c r="I1873" s="1" t="str">
        <f>IFERROR(__xludf.DUMMYFUNCTION("GOOGLETRANSLATE(E1873,""EN"",""JA"")"),"ホルムアルデヒド; ギ酸アルデヒド; メタナール")</f>
        <v>ホルムアルデヒド; ギ酸アルデヒド; メタナール</v>
      </c>
      <c r="J1873" s="1" t="str">
        <f>IFERROR(__xludf.DUMMYFUNCTION("GOOGLETRANSLATE(F1873,""EN"",""JA"")"),"標本中のホルムアルデヒドの測定。")</f>
        <v>標本中のホルムアルデヒドの測定。</v>
      </c>
      <c r="K1873" s="1" t="str">
        <f>IFERROR(__xludf.DUMMYFUNCTION("GOOGLETRANSLATE(G1873,""EN"",""JA"")"),"ホルムアルデヒド測定")</f>
        <v>ホルムアルデヒド測定</v>
      </c>
    </row>
    <row r="1874" ht="13.5" customHeight="1">
      <c r="A1874" s="1" t="s">
        <v>134</v>
      </c>
      <c r="B1874" s="1" t="s">
        <v>9443</v>
      </c>
      <c r="C1874" s="1" t="s">
        <v>9444</v>
      </c>
      <c r="D1874" s="1" t="s">
        <v>9445</v>
      </c>
      <c r="E1874" s="1" t="s">
        <v>9446</v>
      </c>
      <c r="F1874" s="1" t="s">
        <v>9447</v>
      </c>
      <c r="G1874" s="1" t="s">
        <v>9448</v>
      </c>
      <c r="H1874" s="1" t="str">
        <f>IFERROR(__xludf.DUMMYFUNCTION("GOOGLETRANSLATE(D1874,""EN"",""JA"")"),"フォークヘッドボックスプロテイン3")</f>
        <v>フォークヘッドボックスプロテイン3</v>
      </c>
      <c r="I1874" s="1" t="str">
        <f>IFERROR(__xludf.DUMMYFUNCTION("GOOGLETRANSLATE(E1874,""EN"",""JA"")"),"AIID; DIETER; フォークヘッドボックスP3; フォークヘッドボックスタンパク質3; IPEX; JM2; PIDX; SCURFIN; XPID")</f>
        <v>AIID; DIETER; フォークヘッドボックスP3; フォークヘッドボックスタンパク質3; IPEX; JM2; PIDX; SCURFIN; XPID</v>
      </c>
      <c r="J1874" s="1" t="str">
        <f>IFERROR(__xludf.DUMMYFUNCTION("GOOGLETRANSLATE(F1874,""EN"",""JA"")"),"生物標本中のフォークヘッドボックスタンパク質 3 の測定。")</f>
        <v>生物標本中のフォークヘッドボックスタンパク質 3 の測定。</v>
      </c>
      <c r="K1874" s="1" t="str">
        <f>IFERROR(__xludf.DUMMYFUNCTION("GOOGLETRANSLATE(G1874,""EN"",""JA"")"),"フォークヘッドボックスタンパク質P3測定")</f>
        <v>フォークヘッドボックスタンパク質P3測定</v>
      </c>
    </row>
    <row r="1875" ht="13.5" customHeight="1">
      <c r="A1875" s="1" t="s">
        <v>11</v>
      </c>
      <c r="B1875" s="1" t="s">
        <v>9449</v>
      </c>
      <c r="C1875" s="1" t="s">
        <v>9450</v>
      </c>
      <c r="D1875" s="1" t="s">
        <v>9451</v>
      </c>
      <c r="E1875" s="1" t="s">
        <v>9451</v>
      </c>
      <c r="F1875" s="1" t="s">
        <v>9452</v>
      </c>
      <c r="G1875" s="1" t="s">
        <v>9453</v>
      </c>
      <c r="H1875" s="1" t="str">
        <f>IFERROR(__xludf.DUMMYFUNCTION("GOOGLETRANSLATE(D1875,""EN"",""JA"")"),"プロトポルフィリン、遊離")</f>
        <v>プロトポルフィリン、遊離</v>
      </c>
      <c r="I1875" s="1" t="str">
        <f>IFERROR(__xludf.DUMMYFUNCTION("GOOGLETRANSLATE(E1875,""EN"",""JA"")"),"プロトポルフィリン、遊離")</f>
        <v>プロトポルフィリン、遊離</v>
      </c>
      <c r="J1875" s="1" t="str">
        <f>IFERROR(__xludf.DUMMYFUNCTION("GOOGLETRANSLATE(F1875,""EN"",""JA"")"),"生物標本中の遊離プロトポルフィリン（ヘモグロビン中の鉄に結合していないもの）の測定。")</f>
        <v>生物標本中の遊離プロトポルフィリン（ヘモグロビン中の鉄に結合していないもの）の測定。</v>
      </c>
      <c r="K1875" s="1" t="str">
        <f>IFERROR(__xludf.DUMMYFUNCTION("GOOGLETRANSLATE(G1875,""EN"",""JA"")"),"遊離プロトポルフィリン測定")</f>
        <v>遊離プロトポルフィリン測定</v>
      </c>
    </row>
    <row r="1876" ht="13.5" customHeight="1">
      <c r="A1876" s="1" t="s">
        <v>580</v>
      </c>
      <c r="B1876" s="1" t="s">
        <v>9454</v>
      </c>
      <c r="C1876" s="1" t="s">
        <v>9455</v>
      </c>
      <c r="D1876" s="1" t="s">
        <v>9456</v>
      </c>
      <c r="E1876" s="1" t="s">
        <v>9456</v>
      </c>
      <c r="F1876" s="1" t="s">
        <v>9457</v>
      </c>
      <c r="G1876" s="1" t="s">
        <v>9456</v>
      </c>
      <c r="H1876" s="1" t="str">
        <f>IFERROR(__xludf.DUMMYFUNCTION("GOOGLETRANSLATE(D1876,""EN"",""JA"")"),"機能的残気量")</f>
        <v>機能的残気量</v>
      </c>
      <c r="I1876" s="1" t="str">
        <f>IFERROR(__xludf.DUMMYFUNCTION("GOOGLETRANSLATE(E1876,""EN"",""JA"")"),"機能的残気量")</f>
        <v>機能的残気量</v>
      </c>
      <c r="J1876" s="1" t="str">
        <f>IFERROR(__xludf.DUMMYFUNCTION("GOOGLETRANSLATE(F1876,""EN"",""JA"")"),"通常の呼気後に肺に残る空気の量。(NCI)")</f>
        <v>通常の呼気後に肺に残る空気の量。(NCI)</v>
      </c>
      <c r="K1876" s="1" t="str">
        <f>IFERROR(__xludf.DUMMYFUNCTION("GOOGLETRANSLATE(G1876,""EN"",""JA"")"),"機能的残気量")</f>
        <v>機能的残気量</v>
      </c>
    </row>
    <row r="1877" ht="13.5" customHeight="1">
      <c r="A1877" s="1" t="s">
        <v>580</v>
      </c>
      <c r="B1877" s="1" t="s">
        <v>9458</v>
      </c>
      <c r="C1877" s="1" t="s">
        <v>9459</v>
      </c>
      <c r="D1877" s="1" t="s">
        <v>9460</v>
      </c>
      <c r="E1877" s="1" t="s">
        <v>9460</v>
      </c>
      <c r="F1877" s="1" t="s">
        <v>9461</v>
      </c>
      <c r="G1877" s="1" t="s">
        <v>9462</v>
      </c>
      <c r="H1877" s="1" t="str">
        <f>IFERROR(__xludf.DUMMYFUNCTION("GOOGLETRANSLATE(D1877,""EN"",""JA"")"),"予測FRCの割合")</f>
        <v>予測FRCの割合</v>
      </c>
      <c r="I1877" s="1" t="str">
        <f>IFERROR(__xludf.DUMMYFUNCTION("GOOGLETRANSLATE(E1877,""EN"",""JA"")"),"予測FRCの割合")</f>
        <v>予測FRCの割合</v>
      </c>
      <c r="J1877" s="1" t="str">
        <f>IFERROR(__xludf.DUMMYFUNCTION("GOOGLETRANSLATE(F1877,""EN"",""JA"")"),"予測される正常値の割合としての機能的残気量。")</f>
        <v>予測される正常値の割合としての機能的残気量。</v>
      </c>
      <c r="K1877" s="1" t="str">
        <f>IFERROR(__xludf.DUMMYFUNCTION("GOOGLETRANSLATE(G1877,""EN"",""JA"")"),"予測機能的残気量の割合")</f>
        <v>予測機能的残気量の割合</v>
      </c>
    </row>
    <row r="1878" ht="13.5" customHeight="1">
      <c r="A1878" s="1" t="s">
        <v>870</v>
      </c>
      <c r="B1878" s="1" t="s">
        <v>9463</v>
      </c>
      <c r="C1878" s="1" t="s">
        <v>9464</v>
      </c>
      <c r="D1878" s="1" t="s">
        <v>9465</v>
      </c>
      <c r="E1878" s="1" t="s">
        <v>9465</v>
      </c>
      <c r="F1878" s="1" t="s">
        <v>9466</v>
      </c>
      <c r="G1878" s="1" t="s">
        <v>9465</v>
      </c>
      <c r="H1878" s="1" t="str">
        <f>IFERROR(__xludf.DUMMYFUNCTION("GOOGLETRANSLATE(D1878,""EN"",""JA"")"),"相対的バイオアベイラビリティ")</f>
        <v>相対的バイオアベイラビリティ</v>
      </c>
      <c r="I1878" s="1" t="str">
        <f>IFERROR(__xludf.DUMMYFUNCTION("GOOGLETRANSLATE(E1878,""EN"",""JA"")"),"相対的バイオアベイラビリティ")</f>
        <v>相対的バイオアベイラビリティ</v>
      </c>
      <c r="J1878" s="1" t="str">
        <f>IFERROR(__xludf.DUMMYFUNCTION("GOOGLETRANSLATE(F1878,""EN"",""JA"")"),"対照投与経路または対照製剤と比較して、全身循環に到達する治療用量の割合。試験製剤投与後の体内の薬物量（曲線下面積）を対照製剤で割った比率。")</f>
        <v>対照投与経路または対照製剤と比較して、全身循環に到達する治療用量の割合。試験製剤投与後の体内の薬物量（曲線下面積）を対照製剤で割った比率。</v>
      </c>
      <c r="K1878" s="1" t="str">
        <f>IFERROR(__xludf.DUMMYFUNCTION("GOOGLETRANSLATE(G1878,""EN"",""JA"")"),"相対的バイオアベイラビリティ")</f>
        <v>相対的バイオアベイラビリティ</v>
      </c>
    </row>
    <row r="1879" ht="13.5" customHeight="1">
      <c r="A1879" s="1" t="s">
        <v>870</v>
      </c>
      <c r="B1879" s="1" t="s">
        <v>9467</v>
      </c>
      <c r="C1879" s="1" t="s">
        <v>9468</v>
      </c>
      <c r="D1879" s="1" t="s">
        <v>9469</v>
      </c>
      <c r="E1879" s="1" t="s">
        <v>9469</v>
      </c>
      <c r="F1879" s="1" t="s">
        <v>9470</v>
      </c>
      <c r="G1879" s="1" t="s">
        <v>9471</v>
      </c>
      <c r="H1879" s="1" t="str">
        <f>IFERROR(__xludf.DUMMYFUNCTION("GOOGLETRANSLATE(D1879,""EN"",""JA"")"),"T1からT2へのFract Excr")</f>
        <v>T1からT2へのFract Excr</v>
      </c>
      <c r="I1879" s="1" t="str">
        <f>IFERROR(__xludf.DUMMYFUNCTION("GOOGLETRANSLATE(E1879,""EN"",""JA"")"),"T1からT2へのFract Excr")</f>
        <v>T1からT2へのFract Excr</v>
      </c>
      <c r="J1879" s="1" t="str">
        <f>IFERROR(__xludf.DUMMYFUNCTION("GOOGLETRANSLATE(F1879,""EN"",""JA"")"),"T1 と T2 の間の間隔で、PPSPEC で指定された標本タイプから回収される投与線量の割合。")</f>
        <v>T1 と T2 の間の間隔で、PPSPEC で指定された標本タイプから回収される投与線量の割合。</v>
      </c>
      <c r="K1879" s="1" t="str">
        <f>IFERROR(__xludf.DUMMYFUNCTION("GOOGLETRANSLATE(G1879,""EN"",""JA"")"),"T1からT2への分別排泄")</f>
        <v>T1からT2への分別排泄</v>
      </c>
    </row>
    <row r="1880" ht="13.5" customHeight="1">
      <c r="A1880" s="1" t="s">
        <v>11</v>
      </c>
      <c r="B1880" s="1" t="s">
        <v>9472</v>
      </c>
      <c r="C1880" s="1" t="s">
        <v>9473</v>
      </c>
      <c r="D1880" s="1" t="s">
        <v>9474</v>
      </c>
      <c r="E1880" s="1" t="s">
        <v>9474</v>
      </c>
      <c r="F1880" s="1" t="s">
        <v>9475</v>
      </c>
      <c r="G1880" s="1" t="s">
        <v>9474</v>
      </c>
      <c r="H1880" s="1" t="str">
        <f>IFERROR(__xludf.DUMMYFUNCTION("GOOGLETRANSLATE(D1880,""EN"",""JA"")"),"鉄吸収率")</f>
        <v>鉄吸収率</v>
      </c>
      <c r="I1880" s="1" t="str">
        <f>IFERROR(__xludf.DUMMYFUNCTION("GOOGLETRANSLATE(E1880,""EN"",""JA"")"),"鉄吸収率")</f>
        <v>鉄吸収率</v>
      </c>
      <c r="J1880" s="1" t="str">
        <f>IFERROR(__xludf.DUMMYFUNCTION("GOOGLETRANSLATE(F1880,""EN"",""JA"")"),"利用可能な鉄の総量に対する、組織または細胞に吸収された鉄の相対的な測定値（比率またはパーセンテージ）。")</f>
        <v>利用可能な鉄の総量に対する、組織または細胞に吸収された鉄の相対的な測定値（比率またはパーセンテージ）。</v>
      </c>
      <c r="K1880" s="1" t="str">
        <f>IFERROR(__xludf.DUMMYFUNCTION("GOOGLETRANSLATE(G1880,""EN"",""JA"")"),"鉄吸収率")</f>
        <v>鉄吸収率</v>
      </c>
    </row>
    <row r="1881" ht="13.5" customHeight="1">
      <c r="A1881" s="1" t="s">
        <v>129</v>
      </c>
      <c r="B1881" s="1" t="s">
        <v>9476</v>
      </c>
      <c r="C1881" s="1" t="s">
        <v>9477</v>
      </c>
      <c r="D1881" s="1" t="s">
        <v>9478</v>
      </c>
      <c r="E1881" s="1" t="s">
        <v>9478</v>
      </c>
      <c r="F1881" s="1" t="s">
        <v>9479</v>
      </c>
      <c r="G1881" s="1" t="s">
        <v>9478</v>
      </c>
      <c r="H1881" s="1" t="str">
        <f>IFERROR(__xludf.DUMMYFUNCTION("GOOGLETRANSLATE(D1881,""EN"",""JA"")"),"ボディフレームサイズ")</f>
        <v>ボディフレームサイズ</v>
      </c>
      <c r="I1881" s="1" t="str">
        <f>IFERROR(__xludf.DUMMYFUNCTION("GOOGLETRANSLATE(E1881,""EN"",""JA"")"),"ボディフレームサイズ")</f>
        <v>ボディフレームサイズ</v>
      </c>
      <c r="J1881" s="1" t="str">
        <f>IFERROR(__xludf.DUMMYFUNCTION("GOOGLETRANSLATE(F1881,""EN"",""JA"")"),"手首の周囲または肘の幅の測定値に基づいて、人の体格を小さい、中くらいの、大きいに分類すること。(NCI)")</f>
        <v>手首の周囲または肘の幅の測定値に基づいて、人の体格を小さい、中くらいの、大きいに分類すること。(NCI)</v>
      </c>
      <c r="K1881" s="1" t="str">
        <f>IFERROR(__xludf.DUMMYFUNCTION("GOOGLETRANSLATE(G1881,""EN"",""JA"")"),"ボディフレームサイズ")</f>
        <v>ボディフレームサイズ</v>
      </c>
    </row>
    <row r="1882" ht="13.5" customHeight="1">
      <c r="A1882" s="1" t="s">
        <v>11</v>
      </c>
      <c r="B1882" s="1" t="s">
        <v>9480</v>
      </c>
      <c r="C1882" s="1" t="s">
        <v>9481</v>
      </c>
      <c r="D1882" s="1" t="s">
        <v>9482</v>
      </c>
      <c r="E1882" s="1" t="s">
        <v>9482</v>
      </c>
      <c r="F1882" s="1" t="s">
        <v>9483</v>
      </c>
      <c r="G1882" s="1" t="s">
        <v>9484</v>
      </c>
      <c r="H1882" s="1" t="str">
        <f>IFERROR(__xludf.DUMMYFUNCTION("GOOGLETRANSLATE(D1882,""EN"",""JA"")"),"グリコフェリチン")</f>
        <v>グリコフェリチン</v>
      </c>
      <c r="I1882" s="1" t="str">
        <f>IFERROR(__xludf.DUMMYFUNCTION("GOOGLETRANSLATE(E1882,""EN"",""JA"")"),"グリコフェリチン")</f>
        <v>グリコフェリチン</v>
      </c>
      <c r="J1882" s="1" t="str">
        <f>IFERROR(__xludf.DUMMYFUNCTION("GOOGLETRANSLATE(F1882,""EN"",""JA"")"),"生物標本中の糖化フェリチンの測定。")</f>
        <v>生物標本中の糖化フェリチンの測定。</v>
      </c>
      <c r="K1882" s="1" t="str">
        <f>IFERROR(__xludf.DUMMYFUNCTION("GOOGLETRANSLATE(G1882,""EN"",""JA"")"),"グリコフェリチン測定")</f>
        <v>グリコフェリチン測定</v>
      </c>
    </row>
    <row r="1883" ht="13.5" customHeight="1">
      <c r="A1883" s="1" t="s">
        <v>11</v>
      </c>
      <c r="B1883" s="1" t="s">
        <v>9485</v>
      </c>
      <c r="C1883" s="1" t="s">
        <v>9486</v>
      </c>
      <c r="D1883" s="1" t="s">
        <v>9487</v>
      </c>
      <c r="E1883" s="1" t="s">
        <v>9487</v>
      </c>
      <c r="F1883" s="1" t="s">
        <v>9488</v>
      </c>
      <c r="G1883" s="1" t="s">
        <v>9489</v>
      </c>
      <c r="H1883" s="1" t="str">
        <f>IFERROR(__xludf.DUMMYFUNCTION("GOOGLETRANSLATE(D1883,""EN"",""JA"")"),"グリコフェリチン/フェリチン")</f>
        <v>グリコフェリチン/フェリチン</v>
      </c>
      <c r="I1883" s="1" t="str">
        <f>IFERROR(__xludf.DUMMYFUNCTION("GOOGLETRANSLATE(E1883,""EN"",""JA"")"),"グリコフェリチン/フェリチン")</f>
        <v>グリコフェリチン/フェリチン</v>
      </c>
      <c r="J1883" s="1" t="str">
        <f>IFERROR(__xludf.DUMMYFUNCTION("GOOGLETRANSLATE(F1883,""EN"",""JA"")"),"生物標本中の総フェリチンに対する糖化フェリチンの相対的な測定値（比率またはパーセンテージ）。")</f>
        <v>生物標本中の総フェリチンに対する糖化フェリチンの相対的な測定値（比率またはパーセンテージ）。</v>
      </c>
      <c r="K1883" s="1" t="str">
        <f>IFERROR(__xludf.DUMMYFUNCTION("GOOGLETRANSLATE(G1883,""EN"",""JA"")"),"グリコフェリチンとフェリチンの比測定")</f>
        <v>グリコフェリチンとフェリチンの比測定</v>
      </c>
    </row>
    <row r="1884" ht="13.5" customHeight="1">
      <c r="A1884" s="1" t="s">
        <v>11</v>
      </c>
      <c r="B1884" s="1" t="s">
        <v>9490</v>
      </c>
      <c r="C1884" s="1" t="s">
        <v>9491</v>
      </c>
      <c r="D1884" s="1" t="s">
        <v>9492</v>
      </c>
      <c r="E1884" s="1" t="s">
        <v>9492</v>
      </c>
      <c r="F1884" s="1" t="s">
        <v>9493</v>
      </c>
      <c r="G1884" s="1" t="s">
        <v>9494</v>
      </c>
      <c r="H1884" s="1" t="str">
        <f>IFERROR(__xludf.DUMMYFUNCTION("GOOGLETRANSLATE(D1884,""EN"",""JA"")"),"グリコシル化フェリチン")</f>
        <v>グリコシル化フェリチン</v>
      </c>
      <c r="I1884" s="1" t="str">
        <f>IFERROR(__xludf.DUMMYFUNCTION("GOOGLETRANSLATE(E1884,""EN"",""JA"")"),"グリコシル化フェリチン")</f>
        <v>グリコシル化フェリチン</v>
      </c>
      <c r="J1884" s="1" t="str">
        <f>IFERROR(__xludf.DUMMYFUNCTION("GOOGLETRANSLATE(F1884,""EN"",""JA"")"),"生物標本中のグリコシル化フェリチンの測定。")</f>
        <v>生物標本中のグリコシル化フェリチンの測定。</v>
      </c>
      <c r="K1884" s="1" t="str">
        <f>IFERROR(__xludf.DUMMYFUNCTION("GOOGLETRANSLATE(G1884,""EN"",""JA"")"),"グリコシル化フェリチン測定")</f>
        <v>グリコシル化フェリチン測定</v>
      </c>
    </row>
    <row r="1885" ht="13.5" customHeight="1">
      <c r="A1885" s="1" t="s">
        <v>11</v>
      </c>
      <c r="B1885" s="1" t="s">
        <v>9495</v>
      </c>
      <c r="C1885" s="1" t="s">
        <v>9496</v>
      </c>
      <c r="D1885" s="1" t="s">
        <v>9497</v>
      </c>
      <c r="E1885" s="1" t="s">
        <v>9497</v>
      </c>
      <c r="F1885" s="1" t="s">
        <v>9498</v>
      </c>
      <c r="G1885" s="1" t="s">
        <v>9499</v>
      </c>
      <c r="H1885" s="1" t="str">
        <f>IFERROR(__xludf.DUMMYFUNCTION("GOOGLETRANSLATE(D1885,""EN"",""JA"")"),"グリコシル化フェリチン/フェリチン")</f>
        <v>グリコシル化フェリチン/フェリチン</v>
      </c>
      <c r="I1885" s="1" t="str">
        <f>IFERROR(__xludf.DUMMYFUNCTION("GOOGLETRANSLATE(E1885,""EN"",""JA"")"),"グリコシル化フェリチン/フェリチン")</f>
        <v>グリコシル化フェリチン/フェリチン</v>
      </c>
      <c r="J1885" s="1" t="str">
        <f>IFERROR(__xludf.DUMMYFUNCTION("GOOGLETRANSLATE(F1885,""EN"",""JA"")"),"生物標本中のグリコシル化フェリチンと総フェリチンの相対的な測定値（比率またはパーセンテージ）。")</f>
        <v>生物標本中のグリコシル化フェリチンと総フェリチンの相対的な測定値（比率またはパーセンテージ）。</v>
      </c>
      <c r="K1885" s="1" t="str">
        <f>IFERROR(__xludf.DUMMYFUNCTION("GOOGLETRANSLATE(G1885,""EN"",""JA"")"),"グリコシル化フェリチンとフェリチンの比測定")</f>
        <v>グリコシル化フェリチンとフェリチンの比測定</v>
      </c>
    </row>
    <row r="1886" ht="13.5" customHeight="1">
      <c r="A1886" s="1" t="s">
        <v>601</v>
      </c>
      <c r="B1886" s="1" t="s">
        <v>9500</v>
      </c>
      <c r="C1886" s="1" t="s">
        <v>9501</v>
      </c>
      <c r="D1886" s="1" t="s">
        <v>9502</v>
      </c>
      <c r="E1886" s="1" t="s">
        <v>9502</v>
      </c>
      <c r="F1886" s="1" t="s">
        <v>9503</v>
      </c>
      <c r="G1886" s="1" t="s">
        <v>9502</v>
      </c>
      <c r="H1886" s="1" t="str">
        <f>IFERROR(__xludf.DUMMYFUNCTION("GOOGLETRANSLATE(D1886,""EN"",""JA"")"),"生殖能力の状態")</f>
        <v>生殖能力の状態</v>
      </c>
      <c r="I1886" s="1" t="str">
        <f>IFERROR(__xludf.DUMMYFUNCTION("GOOGLETRANSLATE(E1886,""EN"",""JA"")"),"生殖能力の状態")</f>
        <v>生殖能力の状態</v>
      </c>
      <c r="J1886" s="1" t="str">
        <f>IFERROR(__xludf.DUMMYFUNCTION("GOOGLETRANSLATE(F1886,""EN"",""JA"")"),"子孫を産む能力に関する個人の地位。")</f>
        <v>子孫を産む能力に関する個人の地位。</v>
      </c>
      <c r="K1886" s="1" t="str">
        <f>IFERROR(__xludf.DUMMYFUNCTION("GOOGLETRANSLATE(G1886,""EN"",""JA"")"),"生殖能力の状態")</f>
        <v>生殖能力の状態</v>
      </c>
    </row>
    <row r="1887" ht="13.5" customHeight="1">
      <c r="A1887" s="1" t="s">
        <v>11</v>
      </c>
      <c r="B1887" s="1" t="s">
        <v>9504</v>
      </c>
      <c r="C1887" s="1" t="s">
        <v>9505</v>
      </c>
      <c r="D1887" s="1" t="s">
        <v>9506</v>
      </c>
      <c r="E1887" s="1" t="s">
        <v>9507</v>
      </c>
      <c r="F1887" s="1" t="s">
        <v>9508</v>
      </c>
      <c r="G1887" s="1" t="s">
        <v>9509</v>
      </c>
      <c r="H1887" s="1" t="str">
        <f>IFERROR(__xludf.DUMMYFUNCTION("GOOGLETRANSLATE(D1887,""EN"",""JA"")"),"フェリチン重鎖")</f>
        <v>フェリチン重鎖</v>
      </c>
      <c r="I1887" s="1" t="str">
        <f>IFERROR(__xludf.DUMMYFUNCTION("GOOGLETRANSLATE(E1887,""EN"",""JA"")"),"アポフェリチン;フェリチン重鎖; FTH; FTH1")</f>
        <v>アポフェリチン;フェリチン重鎖; FTH; FTH1</v>
      </c>
      <c r="J1887" s="1" t="str">
        <f>IFERROR(__xludf.DUMMYFUNCTION("GOOGLETRANSLATE(F1887,""EN"",""JA"")"),"生物標本中のフェリチン重鎖の測定。")</f>
        <v>生物標本中のフェリチン重鎖の測定。</v>
      </c>
      <c r="K1887" s="1" t="str">
        <f>IFERROR(__xludf.DUMMYFUNCTION("GOOGLETRANSLATE(G1887,""EN"",""JA"")"),"フェリチン重鎖測定")</f>
        <v>フェリチン重鎖測定</v>
      </c>
    </row>
    <row r="1888" ht="13.5" customHeight="1">
      <c r="A1888" s="1" t="s">
        <v>11</v>
      </c>
      <c r="B1888" s="1" t="s">
        <v>9510</v>
      </c>
      <c r="C1888" s="1" t="s">
        <v>9511</v>
      </c>
      <c r="D1888" s="1" t="s">
        <v>9512</v>
      </c>
      <c r="E1888" s="1" t="s">
        <v>9513</v>
      </c>
      <c r="F1888" s="1" t="s">
        <v>9514</v>
      </c>
      <c r="G1888" s="1" t="s">
        <v>9515</v>
      </c>
      <c r="H1888" s="1" t="str">
        <f>IFERROR(__xludf.DUMMYFUNCTION("GOOGLETRANSLATE(D1888,""EN"",""JA"")"),"フェリチン軽鎖")</f>
        <v>フェリチン軽鎖</v>
      </c>
      <c r="I1888" s="1" t="str">
        <f>IFERROR(__xludf.DUMMYFUNCTION("GOOGLETRANSLATE(E1888,""EN"",""JA"")"),"フェリチン軽鎖; FTL; Lアポフェリチン")</f>
        <v>フェリチン軽鎖; FTL; Lアポフェリチン</v>
      </c>
      <c r="J1888" s="1" t="str">
        <f>IFERROR(__xludf.DUMMYFUNCTION("GOOGLETRANSLATE(F1888,""EN"",""JA"")"),"生物標本中のフェリチン軽鎖の測定。")</f>
        <v>生物標本中のフェリチン軽鎖の測定。</v>
      </c>
      <c r="K1888" s="1" t="str">
        <f>IFERROR(__xludf.DUMMYFUNCTION("GOOGLETRANSLATE(G1888,""EN"",""JA"")"),"フェリチン軽鎖測定")</f>
        <v>フェリチン軽鎖測定</v>
      </c>
    </row>
    <row r="1889" ht="13.5" customHeight="1">
      <c r="A1889" s="1" t="s">
        <v>11</v>
      </c>
      <c r="B1889" s="1" t="s">
        <v>9516</v>
      </c>
      <c r="C1889" s="1" t="s">
        <v>9517</v>
      </c>
      <c r="D1889" s="1" t="s">
        <v>9518</v>
      </c>
      <c r="E1889" s="1" t="s">
        <v>9519</v>
      </c>
      <c r="F1889" s="1" t="s">
        <v>9520</v>
      </c>
      <c r="G1889" s="1" t="s">
        <v>9521</v>
      </c>
      <c r="H1889" s="1" t="str">
        <f>IFERROR(__xludf.DUMMYFUNCTION("GOOGLETRANSLATE(D1889,""EN"",""JA"")"),"フルクトサミン")</f>
        <v>フルクトサミン</v>
      </c>
      <c r="I1889" s="1" t="str">
        <f>IFERROR(__xludf.DUMMYFUNCTION("GOOGLETRANSLATE(E1889,""EN"",""JA"")"),"フルクトサミン; 糖化血清タンパク質")</f>
        <v>フルクトサミン; 糖化血清タンパク質</v>
      </c>
      <c r="J1889" s="1" t="str">
        <f>IFERROR(__xludf.DUMMYFUNCTION("GOOGLETRANSLATE(F1889,""EN"",""JA"")"),"生物標本中のフルクトサミンの測定。")</f>
        <v>生物標本中のフルクトサミンの測定。</v>
      </c>
      <c r="K1889" s="1" t="str">
        <f>IFERROR(__xludf.DUMMYFUNCTION("GOOGLETRANSLATE(G1889,""EN"",""JA"")"),"フルクトサミン測定")</f>
        <v>フルクトサミン測定</v>
      </c>
    </row>
    <row r="1890" ht="13.5" customHeight="1">
      <c r="A1890" s="1" t="s">
        <v>11</v>
      </c>
      <c r="B1890" s="1" t="s">
        <v>9522</v>
      </c>
      <c r="C1890" s="1" t="s">
        <v>9523</v>
      </c>
      <c r="D1890" s="1" t="s">
        <v>9524</v>
      </c>
      <c r="E1890" s="1" t="s">
        <v>9524</v>
      </c>
      <c r="F1890" s="1" t="s">
        <v>9525</v>
      </c>
      <c r="G1890" s="1" t="s">
        <v>9526</v>
      </c>
      <c r="H1890" s="1" t="str">
        <f>IFERROR(__xludf.DUMMYFUNCTION("GOOGLETRANSLATE(D1890,""EN"",""JA"")"),"フルクトース")</f>
        <v>フルクトース</v>
      </c>
      <c r="I1890" s="1" t="str">
        <f>IFERROR(__xludf.DUMMYFUNCTION("GOOGLETRANSLATE(E1890,""EN"",""JA"")"),"フルクトース")</f>
        <v>フルクトース</v>
      </c>
      <c r="J1890" s="1" t="str">
        <f>IFERROR(__xludf.DUMMYFUNCTION("GOOGLETRANSLATE(F1890,""EN"",""JA"")"),"生物標本中の果糖の測定。")</f>
        <v>生物標本中の果糖の測定。</v>
      </c>
      <c r="K1890" s="1" t="str">
        <f>IFERROR(__xludf.DUMMYFUNCTION("GOOGLETRANSLATE(G1890,""EN"",""JA"")"),"フルクトース測定")</f>
        <v>フルクトース測定</v>
      </c>
    </row>
    <row r="1891" ht="13.5" customHeight="1">
      <c r="A1891" s="1" t="s">
        <v>11</v>
      </c>
      <c r="B1891" s="1" t="s">
        <v>9527</v>
      </c>
      <c r="C1891" s="1" t="s">
        <v>9528</v>
      </c>
      <c r="D1891" s="1" t="s">
        <v>9529</v>
      </c>
      <c r="E1891" s="1" t="s">
        <v>9529</v>
      </c>
      <c r="F1891" s="1" t="s">
        <v>9530</v>
      </c>
      <c r="G1891" s="1" t="s">
        <v>9531</v>
      </c>
      <c r="H1891" s="1" t="str">
        <f>IFERROR(__xludf.DUMMYFUNCTION("GOOGLETRANSLATE(D1891,""EN"",""JA"")"),"総タンパク質に対するフルクトサミン補正")</f>
        <v>総タンパク質に対するフルクトサミン補正</v>
      </c>
      <c r="I1891" s="1" t="str">
        <f>IFERROR(__xludf.DUMMYFUNCTION("GOOGLETRANSLATE(E1891,""EN"",""JA"")"),"総タンパク質に対するフルクトサミン補正")</f>
        <v>総タンパク質に対するフルクトサミン補正</v>
      </c>
      <c r="J1891" s="1" t="str">
        <f>IFERROR(__xludf.DUMMYFUNCTION("GOOGLETRANSLATE(F1891,""EN"",""JA"")"),"生物標本中の総タンパク質を補正したフルクトサミンの測定値。")</f>
        <v>生物標本中の総タンパク質を補正したフルクトサミンの測定値。</v>
      </c>
      <c r="K1891" s="1" t="str">
        <f>IFERROR(__xludf.DUMMYFUNCTION("GOOGLETRANSLATE(G1891,""EN"",""JA"")"),"総タンパク質測定におけるフルクトサミン補正")</f>
        <v>総タンパク質測定におけるフルクトサミン補正</v>
      </c>
    </row>
    <row r="1892" ht="13.5" customHeight="1">
      <c r="A1892" s="1" t="s">
        <v>11</v>
      </c>
      <c r="B1892" s="1" t="s">
        <v>9532</v>
      </c>
      <c r="C1892" s="1" t="s">
        <v>9533</v>
      </c>
      <c r="D1892" s="1" t="s">
        <v>9534</v>
      </c>
      <c r="E1892" s="1" t="s">
        <v>9534</v>
      </c>
      <c r="F1892" s="1" t="s">
        <v>9535</v>
      </c>
      <c r="G1892" s="1" t="s">
        <v>9536</v>
      </c>
      <c r="H1892" s="1" t="str">
        <f>IFERROR(__xludf.DUMMYFUNCTION("GOOGLETRANSLATE(D1892,""EN"",""JA"")"),"フルラゼパムおよび/または代謝物")</f>
        <v>フルラゼパムおよび/または代謝物</v>
      </c>
      <c r="I1892" s="1" t="str">
        <f>IFERROR(__xludf.DUMMYFUNCTION("GOOGLETRANSLATE(E1892,""EN"",""JA"")"),"フルラゼパムおよび/または代謝物")</f>
        <v>フルラゼパムおよび/または代謝物</v>
      </c>
      <c r="J1892" s="1" t="str">
        <f>IFERROR(__xludf.DUMMYFUNCTION("GOOGLETRANSLATE(F1892,""EN"",""JA"")"),"フルラゼパムとその代謝物の両方を測定できるアッセイのために、生物学的標本中に存在するフルラゼパムおよび/またはその代謝物の測定。")</f>
        <v>フルラゼパムとその代謝物の両方を測定できるアッセイのために、生物学的標本中に存在するフルラゼパムおよび/またはその代謝物の測定。</v>
      </c>
      <c r="K1892" s="1" t="str">
        <f>IFERROR(__xludf.DUMMYFUNCTION("GOOGLETRANSLATE(G1892,""EN"",""JA"")"),"フルラゼパムおよび/または代謝物の測定")</f>
        <v>フルラゼパムおよび/または代謝物の測定</v>
      </c>
    </row>
    <row r="1893" ht="13.5" customHeight="1">
      <c r="A1893" s="1" t="s">
        <v>11</v>
      </c>
      <c r="B1893" s="1" t="s">
        <v>9537</v>
      </c>
      <c r="C1893" s="1" t="s">
        <v>9538</v>
      </c>
      <c r="D1893" s="1" t="s">
        <v>9539</v>
      </c>
      <c r="E1893" s="1" t="s">
        <v>9539</v>
      </c>
      <c r="F1893" s="1" t="s">
        <v>9540</v>
      </c>
      <c r="G1893" s="1" t="s">
        <v>9541</v>
      </c>
      <c r="H1893" s="1" t="str">
        <f>IFERROR(__xludf.DUMMYFUNCTION("GOOGLETRANSLATE(D1893,""EN"",""JA"")"),"卵胞刺激ホルモン")</f>
        <v>卵胞刺激ホルモン</v>
      </c>
      <c r="I1893" s="1" t="str">
        <f>IFERROR(__xludf.DUMMYFUNCTION("GOOGLETRANSLATE(E1893,""EN"",""JA"")"),"卵胞刺激ホルモン")</f>
        <v>卵胞刺激ホルモン</v>
      </c>
      <c r="J1893" s="1" t="str">
        <f>IFERROR(__xludf.DUMMYFUNCTION("GOOGLETRANSLATE(F1893,""EN"",""JA"")"),"生物学的標本中の卵胞刺激ホルモン (FSH) の測定。")</f>
        <v>生物学的標本中の卵胞刺激ホルモン (FSH) の測定。</v>
      </c>
      <c r="K1893" s="1" t="str">
        <f>IFERROR(__xludf.DUMMYFUNCTION("GOOGLETRANSLATE(G1893,""EN"",""JA"")"),"卵胞刺激ホルモン測定")</f>
        <v>卵胞刺激ホルモン測定</v>
      </c>
    </row>
    <row r="1894" ht="13.5" customHeight="1">
      <c r="A1894" s="1" t="s">
        <v>160</v>
      </c>
      <c r="B1894" s="1" t="s">
        <v>9542</v>
      </c>
      <c r="C1894" s="1" t="s">
        <v>9543</v>
      </c>
      <c r="D1894" s="1" t="s">
        <v>9544</v>
      </c>
      <c r="E1894" s="1" t="s">
        <v>9544</v>
      </c>
      <c r="F1894" s="1" t="s">
        <v>9545</v>
      </c>
      <c r="G1894" s="1" t="s">
        <v>9544</v>
      </c>
      <c r="H1894" s="1" t="str">
        <f>IFERROR(__xludf.DUMMYFUNCTION("GOOGLETRANSLATE(D1894,""EN"",""JA"")"),"初性交年齢")</f>
        <v>初性交年齢</v>
      </c>
      <c r="I1894" s="1" t="str">
        <f>IFERROR(__xludf.DUMMYFUNCTION("GOOGLETRANSLATE(E1894,""EN"",""JA"")"),"初性交年齢")</f>
        <v>初性交年齢</v>
      </c>
      <c r="J1894" s="1" t="str">
        <f>IFERROR(__xludf.DUMMYFUNCTION("GOOGLETRANSLATE(F1894,""EN"",""JA"")"),"初めて性交を行った年齢。")</f>
        <v>初めて性交を行った年齢。</v>
      </c>
      <c r="K1894" s="1" t="str">
        <f>IFERROR(__xludf.DUMMYFUNCTION("GOOGLETRANSLATE(G1894,""EN"",""JA"")"),"初性交年齢")</f>
        <v>初性交年齢</v>
      </c>
    </row>
    <row r="1895" ht="13.5" customHeight="1">
      <c r="A1895" s="1" t="s">
        <v>160</v>
      </c>
      <c r="B1895" s="1" t="s">
        <v>9546</v>
      </c>
      <c r="C1895" s="1" t="s">
        <v>9547</v>
      </c>
      <c r="D1895" s="1" t="s">
        <v>9548</v>
      </c>
      <c r="E1895" s="1" t="s">
        <v>9548</v>
      </c>
      <c r="F1895" s="1" t="s">
        <v>9549</v>
      </c>
      <c r="G1895" s="1" t="s">
        <v>9548</v>
      </c>
      <c r="H1895" s="1" t="str">
        <f>IFERROR(__xludf.DUMMYFUNCTION("GOOGLETRANSLATE(D1895,""EN"",""JA"")"),"初オーラルセックス年齢")</f>
        <v>初オーラルセックス年齢</v>
      </c>
      <c r="I1895" s="1" t="str">
        <f>IFERROR(__xludf.DUMMYFUNCTION("GOOGLETRANSLATE(E1895,""EN"",""JA"")"),"初オーラルセックス年齢")</f>
        <v>初オーラルセックス年齢</v>
      </c>
      <c r="J1895" s="1" t="str">
        <f>IFERROR(__xludf.DUMMYFUNCTION("GOOGLETRANSLATE(F1895,""EN"",""JA"")"),"初めてオーラルセックスを経験した年齢。")</f>
        <v>初めてオーラルセックスを経験した年齢。</v>
      </c>
      <c r="K1895" s="1" t="str">
        <f>IFERROR(__xludf.DUMMYFUNCTION("GOOGLETRANSLATE(G1895,""EN"",""JA"")"),"初オーラルセックス年齢")</f>
        <v>初オーラルセックス年齢</v>
      </c>
    </row>
    <row r="1896" ht="13.5" customHeight="1">
      <c r="A1896" s="1" t="s">
        <v>129</v>
      </c>
      <c r="B1896" s="1" t="s">
        <v>9550</v>
      </c>
      <c r="C1896" s="1" t="s">
        <v>9551</v>
      </c>
      <c r="D1896" s="1" t="s">
        <v>9552</v>
      </c>
      <c r="E1896" s="1" t="s">
        <v>9552</v>
      </c>
      <c r="F1896" s="1" t="s">
        <v>9553</v>
      </c>
      <c r="G1896" s="1" t="s">
        <v>9552</v>
      </c>
      <c r="H1896" s="1" t="str">
        <f>IFERROR(__xludf.DUMMYFUNCTION("GOOGLETRANSLATE(D1896,""EN"",""JA"")"),"胎児の推定体重")</f>
        <v>胎児の推定体重</v>
      </c>
      <c r="I1896" s="1" t="str">
        <f>IFERROR(__xludf.DUMMYFUNCTION("GOOGLETRANSLATE(E1896,""EN"",""JA"")"),"胎児の推定体重")</f>
        <v>胎児の推定体重</v>
      </c>
      <c r="J1896" s="1" t="str">
        <f>IFERROR(__xludf.DUMMYFUNCTION("GOOGLETRANSLATE(F1896,""EN"",""JA"")"),"胎児の体重のおおよその判定。")</f>
        <v>胎児の体重のおおよその判定。</v>
      </c>
      <c r="K1896" s="1" t="str">
        <f>IFERROR(__xludf.DUMMYFUNCTION("GOOGLETRANSLATE(G1896,""EN"",""JA"")"),"胎児の推定体重")</f>
        <v>胎児の推定体重</v>
      </c>
    </row>
    <row r="1897" ht="13.5" customHeight="1">
      <c r="A1897" s="1" t="s">
        <v>129</v>
      </c>
      <c r="B1897" s="1" t="s">
        <v>9554</v>
      </c>
      <c r="C1897" s="1" t="s">
        <v>9555</v>
      </c>
      <c r="D1897" s="1" t="s">
        <v>9556</v>
      </c>
      <c r="E1897" s="1" t="s">
        <v>9556</v>
      </c>
      <c r="F1897" s="1" t="s">
        <v>9557</v>
      </c>
      <c r="G1897" s="1" t="s">
        <v>9556</v>
      </c>
      <c r="H1897" s="1" t="str">
        <f>IFERROR(__xludf.DUMMYFUNCTION("GOOGLETRANSLATE(D1897,""EN"",""JA"")"),"胎児の頭囲")</f>
        <v>胎児の頭囲</v>
      </c>
      <c r="I1897" s="1" t="str">
        <f>IFERROR(__xludf.DUMMYFUNCTION("GOOGLETRANSLATE(E1897,""EN"",""JA"")"),"胎児の頭囲")</f>
        <v>胎児の頭囲</v>
      </c>
      <c r="J1897" s="1" t="str">
        <f>IFERROR(__xludf.DUMMYFUNCTION("GOOGLETRANSLATE(F1897,""EN"",""JA"")"),"胎児の頭の最も広い部分での円周の測定値。")</f>
        <v>胎児の頭の最も広い部分での円周の測定値。</v>
      </c>
      <c r="K1897" s="1" t="str">
        <f>IFERROR(__xludf.DUMMYFUNCTION("GOOGLETRANSLATE(G1897,""EN"",""JA"")"),"胎児の頭囲")</f>
        <v>胎児の頭囲</v>
      </c>
    </row>
    <row r="1898" ht="13.5" customHeight="1">
      <c r="A1898" s="1" t="s">
        <v>129</v>
      </c>
      <c r="B1898" s="1" t="s">
        <v>9558</v>
      </c>
      <c r="C1898" s="1" t="s">
        <v>9559</v>
      </c>
      <c r="D1898" s="1" t="s">
        <v>9560</v>
      </c>
      <c r="E1898" s="1" t="s">
        <v>9561</v>
      </c>
      <c r="F1898" s="1" t="s">
        <v>9562</v>
      </c>
      <c r="G1898" s="1" t="s">
        <v>9560</v>
      </c>
      <c r="H1898" s="1" t="str">
        <f>IFERROR(__xludf.DUMMYFUNCTION("GOOGLETRANSLATE(D1898,""EN"",""JA"")"),"胎児心拍数")</f>
        <v>胎児心拍数</v>
      </c>
      <c r="I1898" s="1" t="str">
        <f>IFERROR(__xludf.DUMMYFUNCTION("GOOGLETRANSLATE(E1898,""EN"",""JA"")"),"胎児心拍数; 胎児心拍数")</f>
        <v>胎児心拍数; 胎児心拍数</v>
      </c>
      <c r="J1898" s="1" t="str">
        <f>IFERROR(__xludf.DUMMYFUNCTION("GOOGLETRANSLATE(F1898,""EN"",""JA"")"),"単位時間あたりの胎児の心拍数。")</f>
        <v>単位時間あたりの胎児の心拍数。</v>
      </c>
      <c r="K1898" s="1" t="str">
        <f>IFERROR(__xludf.DUMMYFUNCTION("GOOGLETRANSLATE(G1898,""EN"",""JA"")"),"胎児心拍数")</f>
        <v>胎児心拍数</v>
      </c>
    </row>
    <row r="1899" ht="13.5" customHeight="1">
      <c r="A1899" s="1" t="s">
        <v>129</v>
      </c>
      <c r="B1899" s="1" t="s">
        <v>9563</v>
      </c>
      <c r="C1899" s="1" t="s">
        <v>9564</v>
      </c>
      <c r="D1899" s="1" t="s">
        <v>9565</v>
      </c>
      <c r="E1899" s="1" t="s">
        <v>9565</v>
      </c>
      <c r="F1899" s="1" t="s">
        <v>9566</v>
      </c>
      <c r="G1899" s="1" t="s">
        <v>9565</v>
      </c>
      <c r="H1899" s="1" t="str">
        <f>IFERROR(__xludf.DUMMYFUNCTION("GOOGLETRANSLATE(D1899,""EN"",""JA"")"),"胎児下顎長")</f>
        <v>胎児下顎長</v>
      </c>
      <c r="I1899" s="1" t="str">
        <f>IFERROR(__xludf.DUMMYFUNCTION("GOOGLETRANSLATE(E1899,""EN"",""JA"")"),"胎児下顎長")</f>
        <v>胎児下顎長</v>
      </c>
      <c r="J1899" s="1" t="str">
        <f>IFERROR(__xludf.DUMMYFUNCTION("GOOGLETRANSLATE(F1899,""EN"",""JA"")"),"胎児の下顎の長さの測定値。")</f>
        <v>胎児の下顎の長さの測定値。</v>
      </c>
      <c r="K1899" s="1" t="str">
        <f>IFERROR(__xludf.DUMMYFUNCTION("GOOGLETRANSLATE(G1899,""EN"",""JA"")"),"胎児下顎長")</f>
        <v>胎児下顎長</v>
      </c>
    </row>
    <row r="1900" ht="13.5" customHeight="1">
      <c r="A1900" s="1" t="s">
        <v>129</v>
      </c>
      <c r="B1900" s="1" t="s">
        <v>9567</v>
      </c>
      <c r="C1900" s="1" t="s">
        <v>9568</v>
      </c>
      <c r="D1900" s="1" t="s">
        <v>9569</v>
      </c>
      <c r="E1900" s="1" t="s">
        <v>9570</v>
      </c>
      <c r="F1900" s="1" t="s">
        <v>9571</v>
      </c>
      <c r="G1900" s="1" t="s">
        <v>9569</v>
      </c>
      <c r="H1900" s="1" t="str">
        <f>IFERROR(__xludf.DUMMYFUNCTION("GOOGLETRANSLATE(D1900,""EN"",""JA"")"),"胎児の矢状腹部径")</f>
        <v>胎児の矢状腹部径</v>
      </c>
      <c r="I1900" s="1" t="str">
        <f>IFERROR(__xludf.DUMMYFUNCTION("GOOGLETRANSLATE(E1900,""EN"",""JA"")"),"胎児SAD; 胎児矢状腹部径")</f>
        <v>胎児SAD; 胎児矢状腹部径</v>
      </c>
      <c r="J1900" s="1" t="str">
        <f>IFERROR(__xludf.DUMMYFUNCTION("GOOGLETRANSLATE(F1900,""EN"",""JA"")"),"胎児の腹部矢状面の直径の測定値。")</f>
        <v>胎児の腹部矢状面の直径の測定値。</v>
      </c>
      <c r="K1900" s="1" t="str">
        <f>IFERROR(__xludf.DUMMYFUNCTION("GOOGLETRANSLATE(G1900,""EN"",""JA"")"),"胎児の矢状腹部径")</f>
        <v>胎児の矢状腹部径</v>
      </c>
    </row>
    <row r="1901" ht="13.5" customHeight="1">
      <c r="A1901" s="1" t="s">
        <v>601</v>
      </c>
      <c r="B1901" s="1" t="s">
        <v>9572</v>
      </c>
      <c r="C1901" s="1" t="s">
        <v>9573</v>
      </c>
      <c r="D1901" s="1" t="s">
        <v>9574</v>
      </c>
      <c r="E1901" s="1" t="s">
        <v>9574</v>
      </c>
      <c r="F1901" s="1" t="s">
        <v>9575</v>
      </c>
      <c r="G1901" s="1" t="s">
        <v>9574</v>
      </c>
      <c r="H1901" s="1" t="str">
        <f>IFERROR(__xludf.DUMMYFUNCTION("GOOGLETRANSLATE(D1901,""EN"",""JA"")"),"フルタイム学生指標")</f>
        <v>フルタイム学生指標</v>
      </c>
      <c r="I1901" s="1" t="str">
        <f>IFERROR(__xludf.DUMMYFUNCTION("GOOGLETRANSLATE(E1901,""EN"",""JA"")"),"フルタイム学生指標")</f>
        <v>フルタイム学生指標</v>
      </c>
      <c r="J1901" s="1" t="str">
        <f>IFERROR(__xludf.DUMMYFUNCTION("GOOGLETRANSLATE(F1901,""EN"",""JA"")"),"対象者がフルタイムの学生であるかどうかを示します。")</f>
        <v>対象者がフルタイムの学生であるかどうかを示します。</v>
      </c>
      <c r="K1901" s="1" t="str">
        <f>IFERROR(__xludf.DUMMYFUNCTION("GOOGLETRANSLATE(G1901,""EN"",""JA"")"),"フルタイム学生指標")</f>
        <v>フルタイム学生指標</v>
      </c>
    </row>
    <row r="1902" ht="13.5" customHeight="1">
      <c r="A1902" s="1" t="s">
        <v>129</v>
      </c>
      <c r="B1902" s="1" t="s">
        <v>9576</v>
      </c>
      <c r="C1902" s="1" t="s">
        <v>9577</v>
      </c>
      <c r="D1902" s="1" t="s">
        <v>9578</v>
      </c>
      <c r="E1902" s="1" t="s">
        <v>9578</v>
      </c>
      <c r="F1902" s="1" t="s">
        <v>9579</v>
      </c>
      <c r="G1902" s="1" t="s">
        <v>9578</v>
      </c>
      <c r="H1902" s="1" t="str">
        <f>IFERROR(__xludf.DUMMYFUNCTION("GOOGLETRANSLATE(D1902,""EN"",""JA"")"),"在胎週数別胎児サイズカテゴリー")</f>
        <v>在胎週数別胎児サイズカテゴリー</v>
      </c>
      <c r="I1902" s="1" t="str">
        <f>IFERROR(__xludf.DUMMYFUNCTION("GOOGLETRANSLATE(E1902,""EN"",""JA"")"),"在胎週数別胎児サイズカテゴリー")</f>
        <v>在胎週数別胎児サイズカテゴリー</v>
      </c>
      <c r="J1902" s="1" t="str">
        <f>IFERROR(__xludf.DUMMYFUNCTION("GOOGLETRANSLATE(F1902,""EN"",""JA"")"),"胎児の大きさと妊娠期間と参照集団との関係を評価し、カテゴリとして表現します。")</f>
        <v>胎児の大きさと妊娠期間と参照集団との関係を評価し、カテゴリとして表現します。</v>
      </c>
      <c r="K1902" s="1" t="str">
        <f>IFERROR(__xludf.DUMMYFUNCTION("GOOGLETRANSLATE(G1902,""EN"",""JA"")"),"在胎週数別胎児サイズカテゴリー")</f>
        <v>在胎週数別胎児サイズカテゴリー</v>
      </c>
    </row>
    <row r="1903" ht="13.5" customHeight="1">
      <c r="A1903" s="1" t="s">
        <v>129</v>
      </c>
      <c r="B1903" s="1" t="s">
        <v>9580</v>
      </c>
      <c r="C1903" s="1" t="s">
        <v>9581</v>
      </c>
      <c r="D1903" s="1" t="s">
        <v>9582</v>
      </c>
      <c r="E1903" s="1" t="s">
        <v>9583</v>
      </c>
      <c r="F1903" s="1" t="s">
        <v>9584</v>
      </c>
      <c r="G1903" s="1" t="s">
        <v>9585</v>
      </c>
      <c r="H1903" s="1" t="str">
        <f>IFERROR(__xludf.DUMMYFUNCTION("GOOGLETRANSLATE(D1903,""EN"",""JA"")"),"妊娠週数に対する胎児体重のパーセンタイル")</f>
        <v>妊娠週数に対する胎児体重のパーセンタイル</v>
      </c>
      <c r="I1903" s="1" t="str">
        <f>IFERROR(__xludf.DUMMYFUNCTION("GOOGLETRANSLATE(E1903,""EN"",""JA"")"),"妊娠週数に対する胎児体重のパーセンタイル; 妊娠週数に対する胎児体重のパーセンタイル")</f>
        <v>妊娠週数に対する胎児体重のパーセンタイル; 妊娠週数に対する胎児体重のパーセンタイル</v>
      </c>
      <c r="J1903" s="1" t="str">
        <f>IFERROR(__xludf.DUMMYFUNCTION("GOOGLETRANSLATE(F1903,""EN"",""JA"")"),"胎児の体重と妊娠期間と参照母集団との関係を評価し、パーセンタイルで表します。")</f>
        <v>胎児の体重と妊娠期間と参照母集団との関係を評価し、パーセンタイルで表します。</v>
      </c>
      <c r="K1903" s="1" t="str">
        <f>IFERROR(__xludf.DUMMYFUNCTION("GOOGLETRANSLATE(G1903,""EN"",""JA"")"),"在胎週数に対する胎児体重のパーセンタイル")</f>
        <v>在胎週数に対する胎児体重のパーセンタイル</v>
      </c>
    </row>
    <row r="1904" ht="13.5" customHeight="1">
      <c r="A1904" s="1" t="s">
        <v>870</v>
      </c>
      <c r="B1904" s="1" t="s">
        <v>9586</v>
      </c>
      <c r="C1904" s="1" t="s">
        <v>9587</v>
      </c>
      <c r="D1904" s="1" t="s">
        <v>9588</v>
      </c>
      <c r="E1904" s="1" t="s">
        <v>9588</v>
      </c>
      <c r="F1904" s="1" t="s">
        <v>9589</v>
      </c>
      <c r="G1904" s="1" t="s">
        <v>9588</v>
      </c>
      <c r="H1904" s="1" t="str">
        <f>IFERROR(__xludf.DUMMYFUNCTION("GOOGLETRANSLATE(D1904,""EN"",""JA"")"),"非結合分率")</f>
        <v>非結合分率</v>
      </c>
      <c r="I1904" s="1" t="str">
        <f>IFERROR(__xludf.DUMMYFUNCTION("GOOGLETRANSLATE(E1904,""EN"",""JA"")"),"非結合分率")</f>
        <v>非結合分率</v>
      </c>
      <c r="J1904" s="1" t="str">
        <f>IFERROR(__xludf.DUMMYFUNCTION("GOOGLETRANSLATE(F1904,""EN"",""JA"")"),"遊離物質濃度の総濃度に対する割合または比率。(NCI)")</f>
        <v>遊離物質濃度の総濃度に対する割合または比率。(NCI)</v>
      </c>
      <c r="K1904" s="1" t="str">
        <f>IFERROR(__xludf.DUMMYFUNCTION("GOOGLETRANSLATE(G1904,""EN"",""JA"")"),"非結合分率")</f>
        <v>非結合分率</v>
      </c>
    </row>
    <row r="1905" ht="13.5" customHeight="1">
      <c r="A1905" s="1" t="s">
        <v>9590</v>
      </c>
      <c r="B1905" s="1" t="s">
        <v>9591</v>
      </c>
      <c r="C1905" s="1" t="s">
        <v>9592</v>
      </c>
      <c r="D1905" s="1" t="s">
        <v>9593</v>
      </c>
      <c r="E1905" s="1" t="s">
        <v>9593</v>
      </c>
      <c r="F1905" s="1" t="s">
        <v>9594</v>
      </c>
      <c r="G1905" s="1" t="s">
        <v>9593</v>
      </c>
      <c r="H1905" s="1" t="str">
        <f>IFERROR(__xludf.DUMMYFUNCTION("GOOGLETRANSLATE(D1905,""EN"",""JA"")"),"フォローアップの可用性ステータス")</f>
        <v>フォローアップの可用性ステータス</v>
      </c>
      <c r="I1905" s="1" t="str">
        <f>IFERROR(__xludf.DUMMYFUNCTION("GOOGLETRANSLATE(E1905,""EN"",""JA"")"),"フォローアップの可用性ステータス")</f>
        <v>フォローアップの可用性ステータス</v>
      </c>
      <c r="J1905" s="1" t="str">
        <f>IFERROR(__xludf.DUMMYFUNCTION("GOOGLETRANSLATE(F1905,""EN"",""JA"")"),"被験者が研究治療を受けなくなった後に健康状態に関する情報を提供できる状態または条件。")</f>
        <v>被験者が研究治療を受けなくなった後に健康状態に関する情報を提供できる状態または条件。</v>
      </c>
      <c r="K1905" s="1" t="str">
        <f>IFERROR(__xludf.DUMMYFUNCTION("GOOGLETRANSLATE(G1905,""EN"",""JA"")"),"フォローアップの可用性ステータス")</f>
        <v>フォローアップの可用性ステータス</v>
      </c>
    </row>
    <row r="1906" ht="13.5" customHeight="1">
      <c r="A1906" s="1" t="s">
        <v>160</v>
      </c>
      <c r="B1906" s="1" t="s">
        <v>9595</v>
      </c>
      <c r="C1906" s="1" t="s">
        <v>9596</v>
      </c>
      <c r="D1906" s="1" t="s">
        <v>9597</v>
      </c>
      <c r="E1906" s="1" t="s">
        <v>9597</v>
      </c>
      <c r="F1906" s="1" t="s">
        <v>9598</v>
      </c>
      <c r="G1906" s="1" t="s">
        <v>9597</v>
      </c>
      <c r="H1906" s="1" t="str">
        <f>IFERROR(__xludf.DUMMYFUNCTION("GOOGLETRANSLATE(D1906,""EN"",""JA"")"),"満期出産数")</f>
        <v>満期出産数</v>
      </c>
      <c r="I1906" s="1" t="str">
        <f>IFERROR(__xludf.DUMMYFUNCTION("GOOGLETRANSLATE(E1906,""EN"",""JA"")"),"満期出産数")</f>
        <v>満期出産数</v>
      </c>
      <c r="J1906" s="1" t="str">
        <f>IFERROR(__xludf.DUMMYFUNCTION("GOOGLETRANSLATE(F1906,""EN"",""JA"")"),"新生児の妊娠期間が 39 週 0 日から 40 週 6 日までの間の出生イベント (生存および死亡の両方) の総数の測定値。")</f>
        <v>新生児の妊娠期間が 39 週 0 日から 40 週 6 日までの間の出生イベント (生存および死亡の両方) の総数の測定値。</v>
      </c>
      <c r="K1906" s="1" t="str">
        <f>IFERROR(__xludf.DUMMYFUNCTION("GOOGLETRANSLATE(G1906,""EN"",""JA"")"),"満期出産数")</f>
        <v>満期出産数</v>
      </c>
    </row>
    <row r="1907" ht="13.5" customHeight="1">
      <c r="A1907" s="1" t="s">
        <v>160</v>
      </c>
      <c r="B1907" s="1" t="s">
        <v>9599</v>
      </c>
      <c r="C1907" s="1" t="s">
        <v>9600</v>
      </c>
      <c r="D1907" s="1" t="s">
        <v>9601</v>
      </c>
      <c r="E1907" s="1" t="s">
        <v>9601</v>
      </c>
      <c r="F1907" s="1" t="s">
        <v>9602</v>
      </c>
      <c r="G1907" s="1" t="s">
        <v>9601</v>
      </c>
      <c r="H1907" s="1" t="str">
        <f>IFERROR(__xludf.DUMMYFUNCTION("GOOGLETRANSLATE(D1907,""EN"",""JA"")"),"子宮底高")</f>
        <v>子宮底高</v>
      </c>
      <c r="I1907" s="1" t="str">
        <f>IFERROR(__xludf.DUMMYFUNCTION("GOOGLETRANSLATE(E1907,""EN"",""JA"")"),"子宮底高")</f>
        <v>子宮底高</v>
      </c>
      <c r="J1907" s="1" t="str">
        <f>IFERROR(__xludf.DUMMYFUNCTION("GOOGLETRANSLATE(F1907,""EN"",""JA"")"),"恥骨結合と触知可能な子宮の上部の間の距離の測定値。")</f>
        <v>恥骨結合と触知可能な子宮の上部の間の距離の測定値。</v>
      </c>
      <c r="K1907" s="1" t="str">
        <f>IFERROR(__xludf.DUMMYFUNCTION("GOOGLETRANSLATE(G1907,""EN"",""JA"")"),"子宮底高")</f>
        <v>子宮底高</v>
      </c>
    </row>
    <row r="1908" ht="13.5" customHeight="1">
      <c r="A1908" s="1" t="s">
        <v>11</v>
      </c>
      <c r="B1908" s="1" t="s">
        <v>9603</v>
      </c>
      <c r="C1908" s="1" t="s">
        <v>9604</v>
      </c>
      <c r="D1908" s="1" t="s">
        <v>9605</v>
      </c>
      <c r="E1908" s="1" t="s">
        <v>9606</v>
      </c>
      <c r="F1908" s="1" t="s">
        <v>9607</v>
      </c>
      <c r="G1908" s="1" t="s">
        <v>9608</v>
      </c>
      <c r="H1908" s="1" t="str">
        <f>IFERROR(__xludf.DUMMYFUNCTION("GOOGLETRANSLATE(D1908,""EN"",""JA"")"),"菌類")</f>
        <v>菌類</v>
      </c>
      <c r="I1908" s="1" t="str">
        <f>IFERROR(__xludf.DUMMYFUNCTION("GOOGLETRANSLATE(E1908,""EN"",""JA"")"),"菌類")</f>
        <v>菌類</v>
      </c>
      <c r="J1908" s="1" t="str">
        <f>IFERROR(__xludf.DUMMYFUNCTION("GOOGLETRANSLATE(F1908,""EN"",""JA"")"),"生物標本内の真菌の測定。")</f>
        <v>生物標本内の真菌の測定。</v>
      </c>
      <c r="K1908" s="1" t="str">
        <f>IFERROR(__xludf.DUMMYFUNCTION("GOOGLETRANSLATE(G1908,""EN"",""JA"")"),"真菌測定")</f>
        <v>真菌測定</v>
      </c>
    </row>
    <row r="1909" ht="13.5" customHeight="1">
      <c r="A1909" s="1" t="s">
        <v>67</v>
      </c>
      <c r="B1909" s="1" t="s">
        <v>9603</v>
      </c>
      <c r="C1909" s="1" t="s">
        <v>9604</v>
      </c>
      <c r="D1909" s="1" t="s">
        <v>9605</v>
      </c>
      <c r="E1909" s="1" t="s">
        <v>9606</v>
      </c>
      <c r="F1909" s="1" t="s">
        <v>9607</v>
      </c>
      <c r="G1909" s="1" t="s">
        <v>9608</v>
      </c>
      <c r="H1909" s="1" t="str">
        <f>IFERROR(__xludf.DUMMYFUNCTION("GOOGLETRANSLATE(D1909,""EN"",""JA"")"),"菌類")</f>
        <v>菌類</v>
      </c>
      <c r="I1909" s="1" t="str">
        <f>IFERROR(__xludf.DUMMYFUNCTION("GOOGLETRANSLATE(E1909,""EN"",""JA"")"),"菌類")</f>
        <v>菌類</v>
      </c>
      <c r="J1909" s="1" t="str">
        <f>IFERROR(__xludf.DUMMYFUNCTION("GOOGLETRANSLATE(F1909,""EN"",""JA"")"),"生物標本内の真菌の測定。")</f>
        <v>生物標本内の真菌の測定。</v>
      </c>
      <c r="K1909" s="1" t="str">
        <f>IFERROR(__xludf.DUMMYFUNCTION("GOOGLETRANSLATE(G1909,""EN"",""JA"")"),"真菌測定")</f>
        <v>真菌測定</v>
      </c>
    </row>
    <row r="1910" ht="13.5" customHeight="1">
      <c r="A1910" s="1" t="s">
        <v>11</v>
      </c>
      <c r="B1910" s="1" t="s">
        <v>9609</v>
      </c>
      <c r="C1910" s="1" t="s">
        <v>9610</v>
      </c>
      <c r="D1910" s="1" t="s">
        <v>9611</v>
      </c>
      <c r="E1910" s="1" t="s">
        <v>9611</v>
      </c>
      <c r="F1910" s="1" t="s">
        <v>9612</v>
      </c>
      <c r="G1910" s="1" t="s">
        <v>9613</v>
      </c>
      <c r="H1910" s="1" t="str">
        <f>IFERROR(__xludf.DUMMYFUNCTION("GOOGLETRANSLATE(D1910,""EN"",""JA"")"),"糸状菌")</f>
        <v>糸状菌</v>
      </c>
      <c r="I1910" s="1" t="str">
        <f>IFERROR(__xludf.DUMMYFUNCTION("GOOGLETRANSLATE(E1910,""EN"",""JA"")"),"糸状菌")</f>
        <v>糸状菌</v>
      </c>
      <c r="J1910" s="1" t="str">
        <f>IFERROR(__xludf.DUMMYFUNCTION("GOOGLETRANSLATE(F1910,""EN"",""JA"")"),"生物標本中の糸状菌の測定。")</f>
        <v>生物標本中の糸状菌の測定。</v>
      </c>
      <c r="K1910" s="1" t="str">
        <f>IFERROR(__xludf.DUMMYFUNCTION("GOOGLETRANSLATE(G1910,""EN"",""JA"")"),"糸状菌数")</f>
        <v>糸状菌数</v>
      </c>
    </row>
    <row r="1911" ht="13.5" customHeight="1">
      <c r="A1911" s="1" t="s">
        <v>67</v>
      </c>
      <c r="B1911" s="1" t="s">
        <v>9609</v>
      </c>
      <c r="C1911" s="1" t="s">
        <v>9610</v>
      </c>
      <c r="D1911" s="1" t="s">
        <v>9611</v>
      </c>
      <c r="E1911" s="1" t="s">
        <v>9611</v>
      </c>
      <c r="F1911" s="1" t="s">
        <v>9612</v>
      </c>
      <c r="G1911" s="1" t="s">
        <v>9613</v>
      </c>
      <c r="H1911" s="1" t="str">
        <f>IFERROR(__xludf.DUMMYFUNCTION("GOOGLETRANSLATE(D1911,""EN"",""JA"")"),"糸状菌")</f>
        <v>糸状菌</v>
      </c>
      <c r="I1911" s="1" t="str">
        <f>IFERROR(__xludf.DUMMYFUNCTION("GOOGLETRANSLATE(E1911,""EN"",""JA"")"),"糸状菌")</f>
        <v>糸状菌</v>
      </c>
      <c r="J1911" s="1" t="str">
        <f>IFERROR(__xludf.DUMMYFUNCTION("GOOGLETRANSLATE(F1911,""EN"",""JA"")"),"生物標本中の糸状菌の測定。")</f>
        <v>生物標本中の糸状菌の測定。</v>
      </c>
      <c r="K1911" s="1" t="str">
        <f>IFERROR(__xludf.DUMMYFUNCTION("GOOGLETRANSLATE(G1911,""EN"",""JA"")"),"糸状菌数")</f>
        <v>糸状菌数</v>
      </c>
    </row>
    <row r="1912" ht="13.5" customHeight="1">
      <c r="A1912" s="1" t="s">
        <v>11</v>
      </c>
      <c r="B1912" s="1" t="s">
        <v>9614</v>
      </c>
      <c r="C1912" s="1" t="s">
        <v>9615</v>
      </c>
      <c r="D1912" s="1" t="s">
        <v>9616</v>
      </c>
      <c r="E1912" s="1" t="s">
        <v>9616</v>
      </c>
      <c r="F1912" s="1" t="s">
        <v>9617</v>
      </c>
      <c r="G1912" s="1" t="s">
        <v>9618</v>
      </c>
      <c r="H1912" s="1" t="str">
        <f>IFERROR(__xludf.DUMMYFUNCTION("GOOGLETRANSLATE(D1912,""EN"",""JA"")"),"真菌、酵母様")</f>
        <v>真菌、酵母様</v>
      </c>
      <c r="I1912" s="1" t="str">
        <f>IFERROR(__xludf.DUMMYFUNCTION("GOOGLETRANSLATE(E1912,""EN"",""JA"")"),"真菌、酵母様")</f>
        <v>真菌、酵母様</v>
      </c>
      <c r="J1912" s="1" t="str">
        <f>IFERROR(__xludf.DUMMYFUNCTION("GOOGLETRANSLATE(F1912,""EN"",""JA"")"),"生物標本中の酵母様真菌の測定。")</f>
        <v>生物標本中の酵母様真菌の測定。</v>
      </c>
      <c r="K1912" s="1" t="str">
        <f>IFERROR(__xludf.DUMMYFUNCTION("GOOGLETRANSLATE(G1912,""EN"",""JA"")"),"酵母様真菌数")</f>
        <v>酵母様真菌数</v>
      </c>
    </row>
    <row r="1913" ht="13.5" customHeight="1">
      <c r="A1913" s="1" t="s">
        <v>67</v>
      </c>
      <c r="B1913" s="1" t="s">
        <v>9614</v>
      </c>
      <c r="C1913" s="1" t="s">
        <v>9615</v>
      </c>
      <c r="D1913" s="1" t="s">
        <v>9616</v>
      </c>
      <c r="E1913" s="1" t="s">
        <v>9616</v>
      </c>
      <c r="F1913" s="1" t="s">
        <v>9617</v>
      </c>
      <c r="G1913" s="1" t="s">
        <v>9618</v>
      </c>
      <c r="H1913" s="1" t="str">
        <f>IFERROR(__xludf.DUMMYFUNCTION("GOOGLETRANSLATE(D1913,""EN"",""JA"")"),"真菌、酵母様")</f>
        <v>真菌、酵母様</v>
      </c>
      <c r="I1913" s="1" t="str">
        <f>IFERROR(__xludf.DUMMYFUNCTION("GOOGLETRANSLATE(E1913,""EN"",""JA"")"),"真菌、酵母様")</f>
        <v>真菌、酵母様</v>
      </c>
      <c r="J1913" s="1" t="str">
        <f>IFERROR(__xludf.DUMMYFUNCTION("GOOGLETRANSLATE(F1913,""EN"",""JA"")"),"生物標本中の酵母様真菌の測定。")</f>
        <v>生物標本中の酵母様真菌の測定。</v>
      </c>
      <c r="K1913" s="1" t="str">
        <f>IFERROR(__xludf.DUMMYFUNCTION("GOOGLETRANSLATE(G1913,""EN"",""JA"")"),"酵母様真菌数")</f>
        <v>酵母様真菌数</v>
      </c>
    </row>
    <row r="1914" ht="13.5" customHeight="1">
      <c r="A1914" s="1" t="s">
        <v>11</v>
      </c>
      <c r="B1914" s="1" t="s">
        <v>9619</v>
      </c>
      <c r="C1914" s="1" t="s">
        <v>9620</v>
      </c>
      <c r="D1914" s="1" t="s">
        <v>9621</v>
      </c>
      <c r="E1914" s="1" t="s">
        <v>9621</v>
      </c>
      <c r="F1914" s="1" t="s">
        <v>9622</v>
      </c>
      <c r="G1914" s="1" t="s">
        <v>9623</v>
      </c>
      <c r="H1914" s="1" t="str">
        <f>IFERROR(__xludf.DUMMYFUNCTION("GOOGLETRANSLATE(D1914,""EN"",""JA"")"),"フラザボル")</f>
        <v>フラザボル</v>
      </c>
      <c r="I1914" s="1" t="str">
        <f>IFERROR(__xludf.DUMMYFUNCTION("GOOGLETRANSLATE(E1914,""EN"",""JA"")"),"フラザボル")</f>
        <v>フラザボル</v>
      </c>
      <c r="J1914" s="1" t="str">
        <f>IFERROR(__xludf.DUMMYFUNCTION("GOOGLETRANSLATE(F1914,""EN"",""JA"")"),"生物標本中のフラザボルの測定。")</f>
        <v>生物標本中のフラザボルの測定。</v>
      </c>
      <c r="K1914" s="1" t="str">
        <f>IFERROR(__xludf.DUMMYFUNCTION("GOOGLETRANSLATE(G1914,""EN"",""JA"")"),"フラザボル測定")</f>
        <v>フラザボル測定</v>
      </c>
    </row>
    <row r="1915" ht="13.5" customHeight="1">
      <c r="A1915" s="1" t="s">
        <v>11</v>
      </c>
      <c r="B1915" s="1" t="s">
        <v>9624</v>
      </c>
      <c r="C1915" s="1" t="s">
        <v>9625</v>
      </c>
      <c r="D1915" s="1" t="s">
        <v>9626</v>
      </c>
      <c r="E1915" s="1" t="s">
        <v>9627</v>
      </c>
      <c r="F1915" s="1" t="s">
        <v>9628</v>
      </c>
      <c r="G1915" s="1" t="s">
        <v>9629</v>
      </c>
      <c r="H1915" s="1" t="str">
        <f>IFERROR(__xludf.DUMMYFUNCTION("GOOGLETRANSLATE(D1915,""EN"",""JA"")"),"第V因子活性実測値/対照値")</f>
        <v>第V因子活性実測値/対照値</v>
      </c>
      <c r="I1915" s="1" t="str">
        <f>IFERROR(__xludf.DUMMYFUNCTION("GOOGLETRANSLATE(E1915,""EN"",""JA"")"),"第V因子活性実測値/対照値; 第V因子活性実測値/第V因子活性対照値; 第V因子活性実測値/正常値")</f>
        <v>第V因子活性実測値/対照値; 第V因子活性実測値/第V因子活性対照値; 第V因子活性実測値/正常値</v>
      </c>
      <c r="J1915" s="1" t="str">
        <f>IFERROR(__xludf.DUMMYFUNCTION("GOOGLETRANSLATE(F1915,""EN"",""JA"")"),"被験者の検体中の第 V 因子依存性凝固の生物学的活性を、対照検体中の同じ活性と比較した相対的な測定値 (比率またはパーセンテージ)。")</f>
        <v>被験者の検体中の第 V 因子依存性凝固の生物学的活性を、対照検体中の同じ活性と比較した相対的な測定値 (比率またはパーセンテージ)。</v>
      </c>
      <c r="K1915" s="1" t="str">
        <f>IFERROR(__xludf.DUMMYFUNCTION("GOOGLETRANSLATE(G1915,""EN"",""JA"")"),"第V因子活性実測値と対照値比の測定")</f>
        <v>第V因子活性実測値と対照値比の測定</v>
      </c>
    </row>
    <row r="1916" ht="13.5" customHeight="1">
      <c r="A1916" s="1" t="s">
        <v>580</v>
      </c>
      <c r="B1916" s="1" t="s">
        <v>9630</v>
      </c>
      <c r="C1916" s="1" t="s">
        <v>9631</v>
      </c>
      <c r="D1916" s="1" t="s">
        <v>9632</v>
      </c>
      <c r="E1916" s="1" t="s">
        <v>9632</v>
      </c>
      <c r="F1916" s="1" t="s">
        <v>9633</v>
      </c>
      <c r="G1916" s="1" t="s">
        <v>9632</v>
      </c>
      <c r="H1916" s="1" t="str">
        <f>IFERROR(__xludf.DUMMYFUNCTION("GOOGLETRANSLATE(D1916,""EN"",""JA"")"),"努力肺活量")</f>
        <v>努力肺活量</v>
      </c>
      <c r="I1916" s="1" t="str">
        <f>IFERROR(__xludf.DUMMYFUNCTION("GOOGLETRANSLATE(E1916,""EN"",""JA"")"),"努力肺活量")</f>
        <v>努力肺活量</v>
      </c>
      <c r="J1916" s="1" t="str">
        <f>IFERROR(__xludf.DUMMYFUNCTION("GOOGLETRANSLATE(F1916,""EN"",""JA"")"),"最大限に吸入した後に強制的に吐き出すことができる空気の量。")</f>
        <v>最大限に吸入した後に強制的に吐き出すことができる空気の量。</v>
      </c>
      <c r="K1916" s="1" t="str">
        <f>IFERROR(__xludf.DUMMYFUNCTION("GOOGLETRANSLATE(G1916,""EN"",""JA"")"),"努力肺活量")</f>
        <v>努力肺活量</v>
      </c>
    </row>
    <row r="1917" ht="13.5" customHeight="1">
      <c r="A1917" s="1" t="s">
        <v>580</v>
      </c>
      <c r="B1917" s="1" t="s">
        <v>9634</v>
      </c>
      <c r="C1917" s="1" t="s">
        <v>9635</v>
      </c>
      <c r="D1917" s="1" t="s">
        <v>9636</v>
      </c>
      <c r="E1917" s="1" t="s">
        <v>9636</v>
      </c>
      <c r="F1917" s="1" t="s">
        <v>9167</v>
      </c>
      <c r="G1917" s="1" t="s">
        <v>9636</v>
      </c>
      <c r="H1917" s="1" t="str">
        <f>IFERROR(__xludf.DUMMYFUNCTION("GOOGLETRANSLATE(D1917,""EN"",""JA"")"),"6秒間の努力肺活量")</f>
        <v>6秒間の努力肺活量</v>
      </c>
      <c r="I1917" s="1" t="str">
        <f>IFERROR(__xludf.DUMMYFUNCTION("GOOGLETRANSLATE(E1917,""EN"",""JA"")"),"6秒間の努力肺活量")</f>
        <v>6秒間の努力肺活量</v>
      </c>
      <c r="J1917" s="1" t="str">
        <f>IFERROR(__xludf.DUMMYFUNCTION("GOOGLETRANSLATE(F1917,""EN"",""JA"")"),"最大限に吸入した後の最初の 6 秒間に強制的に吐き出すことができる空気の量。")</f>
        <v>最大限に吸入した後の最初の 6 秒間に強制的に吐き出すことができる空気の量。</v>
      </c>
      <c r="K1917" s="1" t="str">
        <f>IFERROR(__xludf.DUMMYFUNCTION("GOOGLETRANSLATE(G1917,""EN"",""JA"")"),"6秒間の努力肺活量")</f>
        <v>6秒間の努力肺活量</v>
      </c>
    </row>
    <row r="1918" ht="13.5" customHeight="1">
      <c r="A1918" s="1" t="s">
        <v>580</v>
      </c>
      <c r="B1918" s="1" t="s">
        <v>9637</v>
      </c>
      <c r="C1918" s="1" t="s">
        <v>9638</v>
      </c>
      <c r="D1918" s="1" t="s">
        <v>9639</v>
      </c>
      <c r="E1918" s="1" t="s">
        <v>9639</v>
      </c>
      <c r="F1918" s="1" t="s">
        <v>9640</v>
      </c>
      <c r="G1918" s="1" t="s">
        <v>9639</v>
      </c>
      <c r="H1918" s="1" t="str">
        <f>IFERROR(__xludf.DUMMYFUNCTION("GOOGLETRANSLATE(D1918,""EN"",""JA"")"),"予測努力肺活量の割合")</f>
        <v>予測努力肺活量の割合</v>
      </c>
      <c r="I1918" s="1" t="str">
        <f>IFERROR(__xludf.DUMMYFUNCTION("GOOGLETRANSLATE(E1918,""EN"",""JA"")"),"予測努力肺活量の割合")</f>
        <v>予測努力肺活量の割合</v>
      </c>
      <c r="J1918" s="1" t="str">
        <f>IFERROR(__xludf.DUMMYFUNCTION("GOOGLETRANSLATE(F1918,""EN"",""JA"")"),"予測される正常値の割合としての努力肺活量。")</f>
        <v>予測される正常値の割合としての努力肺活量。</v>
      </c>
      <c r="K1918" s="1" t="str">
        <f>IFERROR(__xludf.DUMMYFUNCTION("GOOGLETRANSLATE(G1918,""EN"",""JA"")"),"予測努力肺活量の割合")</f>
        <v>予測努力肺活量の割合</v>
      </c>
    </row>
    <row r="1919" ht="13.5" customHeight="1">
      <c r="A1919" s="1" t="s">
        <v>11</v>
      </c>
      <c r="B1919" s="1" t="s">
        <v>9641</v>
      </c>
      <c r="C1919" s="1" t="s">
        <v>9642</v>
      </c>
      <c r="D1919" s="1" t="s">
        <v>9643</v>
      </c>
      <c r="E1919" s="1" t="s">
        <v>9644</v>
      </c>
      <c r="F1919" s="1" t="s">
        <v>9645</v>
      </c>
      <c r="G1919" s="1" t="s">
        <v>9646</v>
      </c>
      <c r="H1919" s="1" t="str">
        <f>IFERROR(__xludf.DUMMYFUNCTION("GOOGLETRANSLATE(D1919,""EN"",""JA"")"),"第VII因子活性実測値/対照値")</f>
        <v>第VII因子活性実測値/対照値</v>
      </c>
      <c r="I1919" s="1" t="str">
        <f>IFERROR(__xludf.DUMMYFUNCTION("GOOGLETRANSLATE(E1919,""EN"",""JA"")"),"第 VII 因子活性の実際値/コントロール; 第 VII 因子活性の実際値/第 VII 因子活性コントロール; 第 VII 因子活性の実際値/正常")</f>
        <v>第 VII 因子活性の実際値/コントロール; 第 VII 因子活性の実際値/第 VII 因子活性コントロール; 第 VII 因子活性の実際値/正常</v>
      </c>
      <c r="J1919" s="1" t="str">
        <f>IFERROR(__xludf.DUMMYFUNCTION("GOOGLETRANSLATE(F1919,""EN"",""JA"")"),"被験者の検体中の第 VII 因子依存性凝固の生物学的活性を、対照検体中の同じ活性と比較した相対的な測定値 (比率またはパーセンテージ)。")</f>
        <v>被験者の検体中の第 VII 因子依存性凝固の生物学的活性を、対照検体中の同じ活性と比較した相対的な測定値 (比率またはパーセンテージ)。</v>
      </c>
      <c r="K1919" s="1" t="str">
        <f>IFERROR(__xludf.DUMMYFUNCTION("GOOGLETRANSLATE(G1919,""EN"",""JA"")"),"第VII因子活性実測値と対照値比の測定")</f>
        <v>第VII因子活性実測値と対照値比の測定</v>
      </c>
    </row>
    <row r="1920" ht="13.5" customHeight="1">
      <c r="A1920" s="1" t="s">
        <v>11</v>
      </c>
      <c r="B1920" s="1" t="s">
        <v>9647</v>
      </c>
      <c r="C1920" s="1" t="s">
        <v>9648</v>
      </c>
      <c r="D1920" s="1" t="s">
        <v>9649</v>
      </c>
      <c r="E1920" s="1" t="s">
        <v>9650</v>
      </c>
      <c r="F1920" s="1" t="s">
        <v>9651</v>
      </c>
      <c r="G1920" s="1" t="s">
        <v>9652</v>
      </c>
      <c r="H1920" s="1" t="str">
        <f>IFERROR(__xludf.DUMMYFUNCTION("GOOGLETRANSLATE(D1920,""EN"",""JA"")"),"第VIII因子活性実測値/対照値")</f>
        <v>第VIII因子活性実測値/対照値</v>
      </c>
      <c r="I1920" s="1" t="str">
        <f>IFERROR(__xludf.DUMMYFUNCTION("GOOGLETRANSLATE(E1920,""EN"",""JA"")"),"第VIII因子活性の実際/コントロール; 第VIII因子活性の実際/第VIII因子活性コントロール; 第VIII因子活性の実際/正常")</f>
        <v>第VIII因子活性の実際/コントロール; 第VIII因子活性の実際/第VIII因子活性コントロール; 第VIII因子活性の実際/正常</v>
      </c>
      <c r="J1920" s="1" t="str">
        <f>IFERROR(__xludf.DUMMYFUNCTION("GOOGLETRANSLATE(F1920,""EN"",""JA"")"),"被験者の検体中の第 VIII 因子依存性凝固の生物学的活性を、対照検体中の同じ活性と比較した相対的な測定値 (比率またはパーセンテージ)。")</f>
        <v>被験者の検体中の第 VIII 因子依存性凝固の生物学的活性を、対照検体中の同じ活性と比較した相対的な測定値 (比率またはパーセンテージ)。</v>
      </c>
      <c r="K1920" s="1" t="str">
        <f>IFERROR(__xludf.DUMMYFUNCTION("GOOGLETRANSLATE(G1920,""EN"",""JA"")"),"第VIII因子活性実測値と対照値の比測定")</f>
        <v>第VIII因子活性実測値と対照値の比測定</v>
      </c>
    </row>
    <row r="1921" ht="13.5" customHeight="1">
      <c r="A1921" s="1" t="s">
        <v>11</v>
      </c>
      <c r="B1921" s="1" t="s">
        <v>9653</v>
      </c>
      <c r="C1921" s="1" t="s">
        <v>9654</v>
      </c>
      <c r="D1921" s="1" t="s">
        <v>9655</v>
      </c>
      <c r="E1921" s="1" t="s">
        <v>9656</v>
      </c>
      <c r="F1921" s="1" t="s">
        <v>9657</v>
      </c>
      <c r="G1921" s="1" t="s">
        <v>9658</v>
      </c>
      <c r="H1921" s="1" t="str">
        <f>IFERROR(__xludf.DUMMYFUNCTION("GOOGLETRANSLATE(D1921,""EN"",""JA"")"),"因子X活動の実際/制御")</f>
        <v>因子X活動の実際/制御</v>
      </c>
      <c r="I1921" s="1" t="str">
        <f>IFERROR(__xludf.DUMMYFUNCTION("GOOGLETRANSLATE(E1921,""EN"",""JA"")"),"因子X活動の実際/コントロール; 因子X活動の実際/因子X活動コントロール; 因子X活動の実際/正常")</f>
        <v>因子X活動の実際/コントロール; 因子X活動の実際/因子X活動コントロール; 因子X活動の実際/正常</v>
      </c>
      <c r="J1921" s="1" t="str">
        <f>IFERROR(__xludf.DUMMYFUNCTION("GOOGLETRANSLATE(F1921,""EN"",""JA"")"),"被験者の検体中の第 X 因子依存性凝固の生物学的活性を、対照検体中の同じ活性と比較した相対的な測定値 (比率またはパーセンテージ)。")</f>
        <v>被験者の検体中の第 X 因子依存性凝固の生物学的活性を、対照検体中の同じ活性と比較した相対的な測定値 (比率またはパーセンテージ)。</v>
      </c>
      <c r="K1921" s="1" t="str">
        <f>IFERROR(__xludf.DUMMYFUNCTION("GOOGLETRANSLATE(G1921,""EN"",""JA"")"),"因子X活性実測値/制御値測定")</f>
        <v>因子X活性実測値/制御値測定</v>
      </c>
    </row>
    <row r="1922" ht="13.5" customHeight="1">
      <c r="A1922" s="1" t="s">
        <v>11</v>
      </c>
      <c r="B1922" s="1" t="s">
        <v>9659</v>
      </c>
      <c r="C1922" s="1" t="s">
        <v>9660</v>
      </c>
      <c r="D1922" s="1" t="s">
        <v>9661</v>
      </c>
      <c r="E1922" s="1" t="s">
        <v>9662</v>
      </c>
      <c r="F1922" s="1" t="s">
        <v>9663</v>
      </c>
      <c r="G1922" s="1" t="s">
        <v>9664</v>
      </c>
      <c r="H1922" s="1" t="str">
        <f>IFERROR(__xludf.DUMMYFUNCTION("GOOGLETRANSLATE(D1922,""EN"",""JA"")"),"ファクターX 実測値/コントロール値")</f>
        <v>ファクターX 実測値/コントロール値</v>
      </c>
      <c r="I1922" s="1" t="str">
        <f>IFERROR(__xludf.DUMMYFUNCTION("GOOGLETRANSLATE(E1922,""EN"",""JA"")"),"因子X実際/コントロール; 因子X実際/正常")</f>
        <v>因子X実際/コントロール; 因子X実際/正常</v>
      </c>
      <c r="J1922" s="1" t="str">
        <f>IFERROR(__xludf.DUMMYFUNCTION("GOOGLETRANSLATE(F1922,""EN"",""JA"")"),"対照標本と比較した被験者の標本中の第 X 因子の相対的な測定値 (比率またはパーセンテージ)。")</f>
        <v>対照標本と比較した被験者の標本中の第 X 因子の相対的な測定値 (比率またはパーセンテージ)。</v>
      </c>
      <c r="K1922" s="1" t="str">
        <f>IFERROR(__xludf.DUMMYFUNCTION("GOOGLETRANSLATE(G1922,""EN"",""JA"")"),"ファクターX実効対制御比測定")</f>
        <v>ファクターX実効対制御比測定</v>
      </c>
    </row>
    <row r="1923" ht="13.5" customHeight="1">
      <c r="A1923" s="1" t="s">
        <v>11</v>
      </c>
      <c r="B1923" s="1" t="s">
        <v>9665</v>
      </c>
      <c r="C1923" s="1" t="s">
        <v>9666</v>
      </c>
      <c r="D1923" s="1" t="s">
        <v>9667</v>
      </c>
      <c r="E1923" s="1" t="s">
        <v>9668</v>
      </c>
      <c r="F1923" s="1" t="s">
        <v>9669</v>
      </c>
      <c r="G1923" s="1" t="s">
        <v>9670</v>
      </c>
      <c r="H1923" s="1" t="str">
        <f>IFERROR(__xludf.DUMMYFUNCTION("GOOGLETRANSLATE(D1923,""EN"",""JA"")"),"第XIV因子活性実測値/対照値")</f>
        <v>第XIV因子活性実測値/対照値</v>
      </c>
      <c r="I1923" s="1" t="str">
        <f>IFERROR(__xludf.DUMMYFUNCTION("GOOGLETRANSLATE(E1923,""EN"",""JA"")"),"第XIV因子活性実測値/対照値; 第XIV因子活性実測値/第XIV因子活性対照値; 第XIV因子活性実測値/正常値; プロテインC活性実測値/対照値")</f>
        <v>第XIV因子活性実測値/対照値; 第XIV因子活性実測値/第XIV因子活性対照値; 第XIV因子活性実測値/正常値; プロテインC活性実測値/対照値</v>
      </c>
      <c r="J1923" s="1" t="str">
        <f>IFERROR(__xludf.DUMMYFUNCTION("GOOGLETRANSLATE(F1923,""EN"",""JA"")"),"被験者の検体中の第 XIV 因子依存性凝固の生物学的活性を、対照検体中の同じ活性と比較した相対的な測定値 (比率またはパーセンテージ)。")</f>
        <v>被験者の検体中の第 XIV 因子依存性凝固の生物学的活性を、対照検体中の同じ活性と比較した相対的な測定値 (比率またはパーセンテージ)。</v>
      </c>
      <c r="K1923" s="1" t="str">
        <f>IFERROR(__xludf.DUMMYFUNCTION("GOOGLETRANSLATE(G1923,""EN"",""JA"")"),"第XIV因子活性実測値と対照値比の測定")</f>
        <v>第XIV因子活性実測値と対照値比の測定</v>
      </c>
    </row>
    <row r="1924" ht="13.5" customHeight="1">
      <c r="A1924" s="1" t="s">
        <v>11</v>
      </c>
      <c r="B1924" s="1" t="s">
        <v>9671</v>
      </c>
      <c r="C1924" s="1" t="s">
        <v>9672</v>
      </c>
      <c r="D1924" s="1" t="s">
        <v>9673</v>
      </c>
      <c r="E1924" s="1" t="s">
        <v>9674</v>
      </c>
      <c r="F1924" s="1" t="s">
        <v>9675</v>
      </c>
      <c r="G1924" s="1" t="s">
        <v>9676</v>
      </c>
      <c r="H1924" s="1" t="str">
        <f>IFERROR(__xludf.DUMMYFUNCTION("GOOGLETRANSLATE(D1924,""EN"",""JA"")"),"第XIV因子実測値/対照値")</f>
        <v>第XIV因子実測値/対照値</v>
      </c>
      <c r="I1924" s="1" t="str">
        <f>IFERROR(__xludf.DUMMYFUNCTION("GOOGLETRANSLATE(E1924,""EN"",""JA"")"),"第XIV因子 実測値/対照値; プロテインC 実測値/対照値")</f>
        <v>第XIV因子 実測値/対照値; プロテインC 実測値/対照値</v>
      </c>
      <c r="J1924" s="1" t="str">
        <f>IFERROR(__xludf.DUMMYFUNCTION("GOOGLETRANSLATE(F1924,""EN"",""JA"")"),"対照標本と比較した被験者の標本中の第 XIV 因子の相対的な測定値 (比率またはパーセンテージ)。")</f>
        <v>対照標本と比較した被験者の標本中の第 XIV 因子の相対的な測定値 (比率またはパーセンテージ)。</v>
      </c>
      <c r="K1924" s="1" t="str">
        <f>IFERROR(__xludf.DUMMYFUNCTION("GOOGLETRANSLATE(G1924,""EN"",""JA"")"),"第XIV因子実測値と対照値比の測定")</f>
        <v>第XIV因子実測値と対照値比の測定</v>
      </c>
    </row>
    <row r="1925" ht="13.5" customHeight="1">
      <c r="A1925" s="1" t="s">
        <v>11</v>
      </c>
      <c r="B1925" s="1" t="s">
        <v>9677</v>
      </c>
      <c r="C1925" s="1" t="s">
        <v>9678</v>
      </c>
      <c r="D1925" s="1" t="s">
        <v>9679</v>
      </c>
      <c r="E1925" s="1" t="s">
        <v>9679</v>
      </c>
      <c r="F1925" s="1" t="s">
        <v>9680</v>
      </c>
      <c r="G1925" s="1" t="s">
        <v>9681</v>
      </c>
      <c r="H1925" s="1" t="str">
        <f>IFERROR(__xludf.DUMMYFUNCTION("GOOGLETRANSLATE(D1925,""EN"",""JA"")"),"グルコース-6-リン酸脱水素酵素")</f>
        <v>グルコース-6-リン酸脱水素酵素</v>
      </c>
      <c r="I1925" s="1" t="str">
        <f>IFERROR(__xludf.DUMMYFUNCTION("GOOGLETRANSLATE(E1925,""EN"",""JA"")"),"グルコース-6-リン酸脱水素酵素")</f>
        <v>グルコース-6-リン酸脱水素酵素</v>
      </c>
      <c r="J1925" s="1" t="str">
        <f>IFERROR(__xludf.DUMMYFUNCTION("GOOGLETRANSLATE(F1925,""EN"",""JA"")"),"生物標本中のグルコース-6-リン酸デヒドロゲナーゼの測定。")</f>
        <v>生物標本中のグルコース-6-リン酸デヒドロゲナーゼの測定。</v>
      </c>
      <c r="K1925" s="1" t="str">
        <f>IFERROR(__xludf.DUMMYFUNCTION("GOOGLETRANSLATE(G1925,""EN"",""JA"")"),"グルコース-6-リン酸脱水素酵素測定")</f>
        <v>グルコース-6-リン酸脱水素酵素測定</v>
      </c>
    </row>
    <row r="1926" ht="13.5" customHeight="1">
      <c r="A1926" s="1" t="s">
        <v>11</v>
      </c>
      <c r="B1926" s="1" t="s">
        <v>9682</v>
      </c>
      <c r="C1926" s="1" t="s">
        <v>9683</v>
      </c>
      <c r="D1926" s="1" t="s">
        <v>9684</v>
      </c>
      <c r="E1926" s="1" t="s">
        <v>9684</v>
      </c>
      <c r="F1926" s="1" t="s">
        <v>9685</v>
      </c>
      <c r="G1926" s="1" t="s">
        <v>9686</v>
      </c>
      <c r="H1926" s="1" t="str">
        <f>IFERROR(__xludf.DUMMYFUNCTION("GOOGLETRANSLATE(D1926,""EN"",""JA"")"),"グルコース-6-リン酸脱水素酵素作用")</f>
        <v>グルコース-6-リン酸脱水素酵素作用</v>
      </c>
      <c r="I1926" s="1" t="str">
        <f>IFERROR(__xludf.DUMMYFUNCTION("GOOGLETRANSLATE(E1926,""EN"",""JA"")"),"グルコース-6-リン酸脱水素酵素作用")</f>
        <v>グルコース-6-リン酸脱水素酵素作用</v>
      </c>
      <c r="J1926" s="1" t="str">
        <f>IFERROR(__xludf.DUMMYFUNCTION("GOOGLETRANSLATE(F1926,""EN"",""JA"")"),"生物標本中のグルコース-6-リン酸デヒドロゲナーゼの生物活性の測定。")</f>
        <v>生物標本中のグルコース-6-リン酸デヒドロゲナーゼの生物活性の測定。</v>
      </c>
      <c r="K1926" s="1" t="str">
        <f>IFERROR(__xludf.DUMMYFUNCTION("GOOGLETRANSLATE(G1926,""EN"",""JA"")"),"グルコース-6-リン酸脱水素酵素活性")</f>
        <v>グルコース-6-リン酸脱水素酵素活性</v>
      </c>
    </row>
    <row r="1927" ht="13.5" customHeight="1">
      <c r="A1927" s="1" t="s">
        <v>11</v>
      </c>
      <c r="B1927" s="1" t="s">
        <v>9687</v>
      </c>
      <c r="C1927" s="1" t="s">
        <v>9688</v>
      </c>
      <c r="D1927" s="1" t="s">
        <v>9689</v>
      </c>
      <c r="E1927" s="1" t="s">
        <v>9689</v>
      </c>
      <c r="F1927" s="1" t="s">
        <v>9690</v>
      </c>
      <c r="G1927" s="1" t="s">
        <v>9691</v>
      </c>
      <c r="H1927" s="1" t="str">
        <f>IFERROR(__xludf.DUMMYFUNCTION("GOOGLETRANSLATE(D1927,""EN"",""JA"")"),"G6PD欠損赤血球")</f>
        <v>G6PD欠損赤血球</v>
      </c>
      <c r="I1927" s="1" t="str">
        <f>IFERROR(__xludf.DUMMYFUNCTION("GOOGLETRANSLATE(E1927,""EN"",""JA"")"),"G6PD欠損赤血球")</f>
        <v>G6PD欠損赤血球</v>
      </c>
      <c r="J1927" s="1" t="str">
        <f>IFERROR(__xludf.DUMMYFUNCTION("GOOGLETRANSLATE(F1927,""EN"",""JA"")"),"生物標本中のグルコース-6-リン酸脱水素酵素欠損赤血球の測定。")</f>
        <v>生物標本中のグルコース-6-リン酸脱水素酵素欠損赤血球の測定。</v>
      </c>
      <c r="K1927" s="1" t="str">
        <f>IFERROR(__xludf.DUMMYFUNCTION("GOOGLETRANSLATE(G1927,""EN"",""JA"")"),"G6PD欠損赤血球数")</f>
        <v>G6PD欠損赤血球数</v>
      </c>
    </row>
    <row r="1928" ht="13.5" customHeight="1">
      <c r="A1928" s="1" t="s">
        <v>11</v>
      </c>
      <c r="B1928" s="1" t="s">
        <v>9692</v>
      </c>
      <c r="C1928" s="1" t="s">
        <v>9693</v>
      </c>
      <c r="D1928" s="1" t="s">
        <v>9694</v>
      </c>
      <c r="E1928" s="1" t="s">
        <v>9694</v>
      </c>
      <c r="F1928" s="1" t="s">
        <v>9695</v>
      </c>
      <c r="G1928" s="1" t="s">
        <v>9696</v>
      </c>
      <c r="H1928" s="1" t="str">
        <f>IFERROR(__xludf.DUMMYFUNCTION("GOOGLETRANSLATE(D1928,""EN"",""JA"")"),"G6PD欠損赤血球/赤血球")</f>
        <v>G6PD欠損赤血球/赤血球</v>
      </c>
      <c r="I1928" s="1" t="str">
        <f>IFERROR(__xludf.DUMMYFUNCTION("GOOGLETRANSLATE(E1928,""EN"",""JA"")"),"G6PD欠損赤血球/赤血球")</f>
        <v>G6PD欠損赤血球/赤血球</v>
      </c>
      <c r="J1928" s="1" t="str">
        <f>IFERROR(__xludf.DUMMYFUNCTION("GOOGLETRANSLATE(F1928,""EN"",""JA"")"),"生物標本中の総赤血球数に対する G6PD 欠損赤血球数の相対的な測定値 (比率またはパーセンテージ)。")</f>
        <v>生物標本中の総赤血球数に対する G6PD 欠損赤血球数の相対的な測定値 (比率またはパーセンテージ)。</v>
      </c>
      <c r="K1928" s="1" t="str">
        <f>IFERROR(__xludf.DUMMYFUNCTION("GOOGLETRANSLATE(G1928,""EN"",""JA"")"),"G6PD欠損赤血球対赤血球比測定")</f>
        <v>G6PD欠損赤血球対赤血球比測定</v>
      </c>
    </row>
    <row r="1929" ht="13.5" customHeight="1">
      <c r="A1929" s="1" t="s">
        <v>11</v>
      </c>
      <c r="B1929" s="1" t="s">
        <v>9697</v>
      </c>
      <c r="C1929" s="1" t="s">
        <v>9698</v>
      </c>
      <c r="D1929" s="1" t="s">
        <v>9699</v>
      </c>
      <c r="E1929" s="1" t="s">
        <v>9700</v>
      </c>
      <c r="F1929" s="1" t="s">
        <v>9701</v>
      </c>
      <c r="G1929" s="1" t="s">
        <v>9702</v>
      </c>
      <c r="H1929" s="1" t="str">
        <f>IFERROR(__xludf.DUMMYFUNCTION("GOOGLETRANSLATE(D1929,""EN"",""JA"")"),"酸性α-グルコシダーゼ")</f>
        <v>酸性α-グルコシダーゼ</v>
      </c>
      <c r="I1929" s="1" t="str">
        <f>IFERROR(__xludf.DUMMYFUNCTION("GOOGLETRANSLATE(E1929,""EN"",""JA"")"),"酸性α-グルコシダーゼ; 酸性マルターゼ; α-1,4-グルコシダーゼ")</f>
        <v>酸性α-グルコシダーゼ; 酸性マルターゼ; α-1,4-グルコシダーゼ</v>
      </c>
      <c r="J1929" s="1" t="str">
        <f>IFERROR(__xludf.DUMMYFUNCTION("GOOGLETRANSLATE(F1929,""EN"",""JA"")"),"生物標本中の酸性アルファグルコシダーゼの測定。")</f>
        <v>生物標本中の酸性アルファグルコシダーゼの測定。</v>
      </c>
      <c r="K1929" s="1" t="str">
        <f>IFERROR(__xludf.DUMMYFUNCTION("GOOGLETRANSLATE(G1929,""EN"",""JA"")"),"酸性α-グルコシダーゼ測定")</f>
        <v>酸性α-グルコシダーゼ測定</v>
      </c>
    </row>
    <row r="1930" ht="13.5" customHeight="1">
      <c r="A1930" s="1" t="s">
        <v>11</v>
      </c>
      <c r="B1930" s="1" t="s">
        <v>9703</v>
      </c>
      <c r="C1930" s="1" t="s">
        <v>9704</v>
      </c>
      <c r="D1930" s="1" t="s">
        <v>9705</v>
      </c>
      <c r="E1930" s="1" t="s">
        <v>9706</v>
      </c>
      <c r="F1930" s="1" t="s">
        <v>9707</v>
      </c>
      <c r="G1930" s="1" t="s">
        <v>9708</v>
      </c>
      <c r="H1930" s="1" t="str">
        <f>IFERROR(__xludf.DUMMYFUNCTION("GOOGLETRANSLATE(D1930,""EN"",""JA"")"),"グルタミン酸脱炭酸酵素1")</f>
        <v>グルタミン酸脱炭酸酵素1</v>
      </c>
      <c r="I1930" s="1" t="str">
        <f>IFERROR(__xludf.DUMMYFUNCTION("GOOGLETRANSLATE(E1930,""EN"",""JA"")"),"グルタミン酸脱炭酸酵素1; グルタミン酸脱炭酸酵素67")</f>
        <v>グルタミン酸脱炭酸酵素1; グルタミン酸脱炭酸酵素67</v>
      </c>
      <c r="J1930" s="1" t="str">
        <f>IFERROR(__xludf.DUMMYFUNCTION("GOOGLETRANSLATE(F1930,""EN"",""JA"")"),"生物標本中のグルタミン酸脱炭酸酵素 1 の測定。")</f>
        <v>生物標本中のグルタミン酸脱炭酸酵素 1 の測定。</v>
      </c>
      <c r="K1930" s="1" t="str">
        <f>IFERROR(__xludf.DUMMYFUNCTION("GOOGLETRANSLATE(G1930,""EN"",""JA"")"),"グルタミン酸脱炭酸酵素1の測定")</f>
        <v>グルタミン酸脱炭酸酵素1の測定</v>
      </c>
    </row>
    <row r="1931" ht="13.5" customHeight="1">
      <c r="A1931" s="1" t="s">
        <v>11</v>
      </c>
      <c r="B1931" s="1" t="s">
        <v>9709</v>
      </c>
      <c r="C1931" s="1" t="s">
        <v>9710</v>
      </c>
      <c r="D1931" s="1" t="s">
        <v>9711</v>
      </c>
      <c r="E1931" s="1" t="s">
        <v>9712</v>
      </c>
      <c r="F1931" s="1" t="s">
        <v>9713</v>
      </c>
      <c r="G1931" s="1" t="s">
        <v>9714</v>
      </c>
      <c r="H1931" s="1" t="str">
        <f>IFERROR(__xludf.DUMMYFUNCTION("GOOGLETRANSLATE(D1931,""EN"",""JA"")"),"グルタミン酸脱炭酸酵素2")</f>
        <v>グルタミン酸脱炭酸酵素2</v>
      </c>
      <c r="I1931" s="1" t="str">
        <f>IFERROR(__xludf.DUMMYFUNCTION("GOOGLETRANSLATE(E1931,""EN"",""JA"")"),"グルタミン酸脱炭酸酵素2; グルタミン酸脱炭酸酵素65")</f>
        <v>グルタミン酸脱炭酸酵素2; グルタミン酸脱炭酸酵素65</v>
      </c>
      <c r="J1931" s="1" t="str">
        <f>IFERROR(__xludf.DUMMYFUNCTION("GOOGLETRANSLATE(F1931,""EN"",""JA"")"),"生物標本中のグルタミン酸脱炭酸酵素 2 の測定。")</f>
        <v>生物標本中のグルタミン酸脱炭酸酵素 2 の測定。</v>
      </c>
      <c r="K1931" s="1" t="str">
        <f>IFERROR(__xludf.DUMMYFUNCTION("GOOGLETRANSLATE(G1931,""EN"",""JA"")"),"グルタミン酸脱炭酸酵素2の測定")</f>
        <v>グルタミン酸脱炭酸酵素2の測定</v>
      </c>
    </row>
    <row r="1932" ht="13.5" customHeight="1">
      <c r="A1932" s="1" t="s">
        <v>11</v>
      </c>
      <c r="B1932" s="1" t="s">
        <v>9715</v>
      </c>
      <c r="C1932" s="1" t="s">
        <v>9716</v>
      </c>
      <c r="D1932" s="1" t="s">
        <v>9717</v>
      </c>
      <c r="E1932" s="1" t="s">
        <v>9717</v>
      </c>
      <c r="F1932" s="1" t="s">
        <v>9718</v>
      </c>
      <c r="G1932" s="1" t="s">
        <v>9719</v>
      </c>
      <c r="H1932" s="1" t="str">
        <f>IFERROR(__xludf.DUMMYFUNCTION("GOOGLETRANSLATE(D1932,""EN"",""JA"")"),"ガラクトース")</f>
        <v>ガラクトース</v>
      </c>
      <c r="I1932" s="1" t="str">
        <f>IFERROR(__xludf.DUMMYFUNCTION("GOOGLETRANSLATE(E1932,""EN"",""JA"")"),"ガラクトース")</f>
        <v>ガラクトース</v>
      </c>
      <c r="J1932" s="1" t="str">
        <f>IFERROR(__xludf.DUMMYFUNCTION("GOOGLETRANSLATE(F1932,""EN"",""JA"")"),"生物標本中のガラクトースの測定。")</f>
        <v>生物標本中のガラクトースの測定。</v>
      </c>
      <c r="K1932" s="1" t="str">
        <f>IFERROR(__xludf.DUMMYFUNCTION("GOOGLETRANSLATE(G1932,""EN"",""JA"")"),"ガラクトース測定")</f>
        <v>ガラクトース測定</v>
      </c>
    </row>
    <row r="1933" ht="13.5" customHeight="1">
      <c r="A1933" s="1" t="s">
        <v>11</v>
      </c>
      <c r="B1933" s="1" t="s">
        <v>9720</v>
      </c>
      <c r="C1933" s="1" t="s">
        <v>9721</v>
      </c>
      <c r="D1933" s="1" t="s">
        <v>9722</v>
      </c>
      <c r="E1933" s="1" t="s">
        <v>9722</v>
      </c>
      <c r="F1933" s="1" t="s">
        <v>9723</v>
      </c>
      <c r="G1933" s="1" t="s">
        <v>9724</v>
      </c>
      <c r="H1933" s="1" t="str">
        <f>IFERROR(__xludf.DUMMYFUNCTION("GOOGLETRANSLATE(D1933,""EN"",""JA"")"),"ガラクトース-1-リン酸")</f>
        <v>ガラクトース-1-リン酸</v>
      </c>
      <c r="I1933" s="1" t="str">
        <f>IFERROR(__xludf.DUMMYFUNCTION("GOOGLETRANSLATE(E1933,""EN"",""JA"")"),"ガラクトース-1-リン酸")</f>
        <v>ガラクトース-1-リン酸</v>
      </c>
      <c r="J1933" s="1" t="str">
        <f>IFERROR(__xludf.DUMMYFUNCTION("GOOGLETRANSLATE(F1933,""EN"",""JA"")"),"生物標本中のガラクトース-1-リン酸の測定。")</f>
        <v>生物標本中のガラクトース-1-リン酸の測定。</v>
      </c>
      <c r="K1933" s="1" t="str">
        <f>IFERROR(__xludf.DUMMYFUNCTION("GOOGLETRANSLATE(G1933,""EN"",""JA"")"),"ガラクトース-1-リン酸測定")</f>
        <v>ガラクトース-1-リン酸測定</v>
      </c>
    </row>
    <row r="1934" ht="13.5" customHeight="1">
      <c r="A1934" s="1" t="s">
        <v>11</v>
      </c>
      <c r="B1934" s="1" t="s">
        <v>9725</v>
      </c>
      <c r="C1934" s="1" t="s">
        <v>9726</v>
      </c>
      <c r="D1934" s="1" t="s">
        <v>9727</v>
      </c>
      <c r="E1934" s="1" t="s">
        <v>9728</v>
      </c>
      <c r="F1934" s="1" t="s">
        <v>9729</v>
      </c>
      <c r="G1934" s="1" t="s">
        <v>9730</v>
      </c>
      <c r="H1934" s="1" t="str">
        <f>IFERROR(__xludf.DUMMYFUNCTION("GOOGLETRANSLATE(D1934,""EN"",""JA"")"),"ガラクトース-1-ホスホウリジルトランスフェラーゼ")</f>
        <v>ガラクトース-1-ホスホウリジルトランスフェラーゼ</v>
      </c>
      <c r="I1934" s="1" t="str">
        <f>IFERROR(__xludf.DUMMYFUNCTION("GOOGLETRANSLATE(E1934,""EN"",""JA"")"),"G1PUT; ガラクトース1リン酸ウリジルトランスフェラーゼ; ガラクトース-1-リン酸ウリジルトランスフェラーゼ; ガラクトース-1-リン酸ウリジルトランスフェラーゼ; GALT")</f>
        <v>G1PUT; ガラクトース1リン酸ウリジルトランスフェラーゼ; ガラクトース-1-リン酸ウリジルトランスフェラーゼ; ガラクトース-1-リン酸ウリジルトランスフェラーゼ; GALT</v>
      </c>
      <c r="J1934" s="1" t="str">
        <f>IFERROR(__xludf.DUMMYFUNCTION("GOOGLETRANSLATE(F1934,""EN"",""JA"")"),"生物標本中のガラクトース-1-リン酸ウリジルトランスフェラーゼの測定。")</f>
        <v>生物標本中のガラクトース-1-リン酸ウリジルトランスフェラーゼの測定。</v>
      </c>
      <c r="K1934" s="1" t="str">
        <f>IFERROR(__xludf.DUMMYFUNCTION("GOOGLETRANSLATE(G1934,""EN"",""JA"")"),"ガラクトース-1-リン酸ウリジルトランスフェラーゼ測定")</f>
        <v>ガラクトース-1-リン酸ウリジルトランスフェラーゼ測定</v>
      </c>
    </row>
    <row r="1935" ht="13.5" customHeight="1">
      <c r="A1935" s="1" t="s">
        <v>11</v>
      </c>
      <c r="B1935" s="1" t="s">
        <v>9731</v>
      </c>
      <c r="C1935" s="1" t="s">
        <v>9732</v>
      </c>
      <c r="D1935" s="1" t="s">
        <v>9733</v>
      </c>
      <c r="E1935" s="1" t="s">
        <v>9733</v>
      </c>
      <c r="F1935" s="1" t="s">
        <v>9734</v>
      </c>
      <c r="G1935" s="1" t="s">
        <v>9735</v>
      </c>
      <c r="H1935" s="1" t="str">
        <f>IFERROR(__xludf.DUMMYFUNCTION("GOOGLETRANSLATE(D1935,""EN"",""JA"")"),"ガラニン")</f>
        <v>ガラニン</v>
      </c>
      <c r="I1935" s="1" t="str">
        <f>IFERROR(__xludf.DUMMYFUNCTION("GOOGLETRANSLATE(E1935,""EN"",""JA"")"),"ガラニン")</f>
        <v>ガラニン</v>
      </c>
      <c r="J1935" s="1" t="str">
        <f>IFERROR(__xludf.DUMMYFUNCTION("GOOGLETRANSLATE(F1935,""EN"",""JA"")"),"生物標本中のガラニンの測定。")</f>
        <v>生物標本中のガラニンの測定。</v>
      </c>
      <c r="K1935" s="1" t="str">
        <f>IFERROR(__xludf.DUMMYFUNCTION("GOOGLETRANSLATE(G1935,""EN"",""JA"")"),"ガラニン測定")</f>
        <v>ガラニン測定</v>
      </c>
    </row>
    <row r="1936" ht="13.5" customHeight="1">
      <c r="A1936" s="1" t="s">
        <v>11</v>
      </c>
      <c r="B1936" s="1" t="s">
        <v>9736</v>
      </c>
      <c r="C1936" s="1" t="s">
        <v>9737</v>
      </c>
      <c r="D1936" s="1" t="s">
        <v>9738</v>
      </c>
      <c r="E1936" s="1" t="s">
        <v>9738</v>
      </c>
      <c r="F1936" s="1" t="s">
        <v>9739</v>
      </c>
      <c r="G1936" s="1" t="s">
        <v>9740</v>
      </c>
      <c r="H1936" s="1" t="str">
        <f>IFERROR(__xludf.DUMMYFUNCTION("GOOGLETRANSLATE(D1936,""EN"",""JA"")"),"ガラクトースムタロターゼ")</f>
        <v>ガラクトースムタロターゼ</v>
      </c>
      <c r="I1936" s="1" t="str">
        <f>IFERROR(__xludf.DUMMYFUNCTION("GOOGLETRANSLATE(E1936,""EN"",""JA"")"),"ガラクトースムタロターゼ")</f>
        <v>ガラクトースムタロターゼ</v>
      </c>
      <c r="J1936" s="1" t="str">
        <f>IFERROR(__xludf.DUMMYFUNCTION("GOOGLETRANSLATE(F1936,""EN"",""JA"")"),"生物標本中のガラクトースムタロターゼの測定。")</f>
        <v>生物標本中のガラクトースムタロターゼの測定。</v>
      </c>
      <c r="K1936" s="1" t="str">
        <f>IFERROR(__xludf.DUMMYFUNCTION("GOOGLETRANSLATE(G1936,""EN"",""JA"")"),"ガラクトースムタロターゼ測定")</f>
        <v>ガラクトースムタロターゼ測定</v>
      </c>
    </row>
    <row r="1937" ht="13.5" customHeight="1">
      <c r="A1937" s="1" t="s">
        <v>11</v>
      </c>
      <c r="B1937" s="1" t="s">
        <v>9741</v>
      </c>
      <c r="C1937" s="1" t="s">
        <v>9742</v>
      </c>
      <c r="D1937" s="1" t="s">
        <v>9743</v>
      </c>
      <c r="E1937" s="1" t="s">
        <v>9744</v>
      </c>
      <c r="F1937" s="1" t="s">
        <v>9745</v>
      </c>
      <c r="G1937" s="1" t="s">
        <v>9746</v>
      </c>
      <c r="H1937" s="1" t="str">
        <f>IFERROR(__xludf.DUMMYFUNCTION("GOOGLETRANSLATE(D1937,""EN"",""JA"")"),"ガンマアミノ酪酸")</f>
        <v>ガンマアミノ酪酸</v>
      </c>
      <c r="I1937" s="1" t="str">
        <f>IFERROR(__xludf.DUMMYFUNCTION("GOOGLETRANSLATE(E1937,""EN"",""JA"")"),"GABA; ガンマアミノ酪酸; ガンマアミノ酪酸")</f>
        <v>GABA; ガンマアミノ酪酸; ガンマアミノ酪酸</v>
      </c>
      <c r="J1937" s="1" t="str">
        <f>IFERROR(__xludf.DUMMYFUNCTION("GOOGLETRANSLATE(F1937,""EN"",""JA"")"),"生物標本中のγ-アミノ酪酸の測定。")</f>
        <v>生物標本中のγ-アミノ酪酸の測定。</v>
      </c>
      <c r="K1937" s="1" t="str">
        <f>IFERROR(__xludf.DUMMYFUNCTION("GOOGLETRANSLATE(G1937,""EN"",""JA"")"),"ガンマアミノ酪酸測定")</f>
        <v>ガンマアミノ酪酸測定</v>
      </c>
    </row>
    <row r="1938" ht="13.5" customHeight="1">
      <c r="A1938" s="1" t="s">
        <v>11</v>
      </c>
      <c r="B1938" s="1" t="s">
        <v>9747</v>
      </c>
      <c r="C1938" s="1" t="s">
        <v>9748</v>
      </c>
      <c r="D1938" s="1" t="s">
        <v>9749</v>
      </c>
      <c r="E1938" s="1" t="s">
        <v>9750</v>
      </c>
      <c r="F1938" s="1" t="s">
        <v>9751</v>
      </c>
      <c r="G1938" s="1" t="s">
        <v>9752</v>
      </c>
      <c r="H1938" s="1" t="str">
        <f>IFERROR(__xludf.DUMMYFUNCTION("GOOGLETRANSLATE(D1938,""EN"",""JA"")"),"グリセルアルデヒド-3-リン酸脱水素酵素")</f>
        <v>グリセルアルデヒド-3-リン酸脱水素酵素</v>
      </c>
      <c r="I1938" s="1" t="str">
        <f>IFERROR(__xludf.DUMMYFUNCTION("GOOGLETRANSLATE(E1938,""EN"",""JA"")"),"GAPDH; グリセルアルデヒド3リン酸脱水素酵素; グリセルアルデヒド-3-リン酸脱水素酵素")</f>
        <v>GAPDH; グリセルアルデヒド3リン酸脱水素酵素; グリセルアルデヒド-3-リン酸脱水素酵素</v>
      </c>
      <c r="J1938" s="1" t="str">
        <f>IFERROR(__xludf.DUMMYFUNCTION("GOOGLETRANSLATE(F1938,""EN"",""JA"")"),"生物標本中のグリセルアルデヒド-3-リン酸デヒドロゲナーゼの測定。")</f>
        <v>生物標本中のグリセルアルデヒド-3-リン酸デヒドロゲナーゼの測定。</v>
      </c>
      <c r="K1938" s="1" t="str">
        <f>IFERROR(__xludf.DUMMYFUNCTION("GOOGLETRANSLATE(G1938,""EN"",""JA"")"),"グリセルアルデヒド-3-リン酸脱水素酵素測定")</f>
        <v>グリセルアルデヒド-3-リン酸脱水素酵素測定</v>
      </c>
    </row>
    <row r="1939" ht="13.5" customHeight="1">
      <c r="A1939" s="1" t="s">
        <v>67</v>
      </c>
      <c r="B1939" s="1" t="s">
        <v>9753</v>
      </c>
      <c r="C1939" s="1" t="s">
        <v>9754</v>
      </c>
      <c r="D1939" s="1" t="s">
        <v>9755</v>
      </c>
      <c r="E1939" s="1" t="s">
        <v>9755</v>
      </c>
      <c r="F1939" s="1" t="s">
        <v>9756</v>
      </c>
      <c r="G1939" s="1" t="s">
        <v>9757</v>
      </c>
      <c r="H1939" s="1" t="str">
        <f>IFERROR(__xludf.DUMMYFUNCTION("GOOGLETRANSLATE(D1939,""EN"",""JA"")"),"ガードネレラ")</f>
        <v>ガードネレラ</v>
      </c>
      <c r="I1939" s="1" t="str">
        <f>IFERROR(__xludf.DUMMYFUNCTION("GOOGLETRANSLATE(E1939,""EN"",""JA"")"),"ガードネレラ")</f>
        <v>ガードネレラ</v>
      </c>
      <c r="J1939" s="1" t="str">
        <f>IFERROR(__xludf.DUMMYFUNCTION("GOOGLETRANSLATE(F1939,""EN"",""JA"")"),"生物標本において、種レベルには割り当てられていないが、ガードネレラ属レベルに割り当てられている生物の測定値。")</f>
        <v>生物標本において、種レベルには割り当てられていないが、ガードネレラ属レベルに割り当てられている生物の測定値。</v>
      </c>
      <c r="K1939" s="1" t="str">
        <f>IFERROR(__xludf.DUMMYFUNCTION("GOOGLETRANSLATE(G1939,""EN"",""JA"")"),"ガードネレラ測定")</f>
        <v>ガードネレラ測定</v>
      </c>
    </row>
    <row r="1940" ht="13.5" customHeight="1">
      <c r="A1940" s="1" t="s">
        <v>67</v>
      </c>
      <c r="B1940" s="1" t="s">
        <v>9758</v>
      </c>
      <c r="C1940" s="1" t="s">
        <v>9759</v>
      </c>
      <c r="D1940" s="1" t="s">
        <v>9760</v>
      </c>
      <c r="E1940" s="1" t="s">
        <v>9760</v>
      </c>
      <c r="F1940" s="1" t="s">
        <v>9761</v>
      </c>
      <c r="G1940" s="1" t="s">
        <v>9762</v>
      </c>
      <c r="H1940" s="1" t="str">
        <f>IFERROR(__xludf.DUMMYFUNCTION("GOOGLETRANSLATE(D1940,""EN"",""JA"")"),"A群連鎖球菌")</f>
        <v>A群連鎖球菌</v>
      </c>
      <c r="I1940" s="1" t="str">
        <f>IFERROR(__xludf.DUMMYFUNCTION("GOOGLETRANSLATE(E1940,""EN"",""JA"")"),"A群連鎖球菌")</f>
        <v>A群連鎖球菌</v>
      </c>
      <c r="J1940" s="1" t="str">
        <f>IFERROR(__xludf.DUMMYFUNCTION("GOOGLETRANSLATE(F1940,""EN"",""JA"")"),"生物標本中の連鎖球菌グループAの測定。")</f>
        <v>生物標本中の連鎖球菌グループAの測定。</v>
      </c>
      <c r="K1940" s="1" t="str">
        <f>IFERROR(__xludf.DUMMYFUNCTION("GOOGLETRANSLATE(G1940,""EN"",""JA"")"),"A群連鎖球菌測定")</f>
        <v>A群連鎖球菌測定</v>
      </c>
    </row>
    <row r="1941" ht="13.5" customHeight="1">
      <c r="A1941" s="1" t="s">
        <v>11</v>
      </c>
      <c r="B1941" s="1" t="s">
        <v>9763</v>
      </c>
      <c r="C1941" s="1" t="s">
        <v>9764</v>
      </c>
      <c r="D1941" s="1" t="s">
        <v>9765</v>
      </c>
      <c r="E1941" s="1" t="s">
        <v>9765</v>
      </c>
      <c r="F1941" s="1" t="s">
        <v>9766</v>
      </c>
      <c r="G1941" s="1" t="s">
        <v>9767</v>
      </c>
      <c r="H1941" s="1" t="str">
        <f>IFERROR(__xludf.DUMMYFUNCTION("GOOGLETRANSLATE(D1941,""EN"",""JA"")"),"ガストリン")</f>
        <v>ガストリン</v>
      </c>
      <c r="I1941" s="1" t="str">
        <f>IFERROR(__xludf.DUMMYFUNCTION("GOOGLETRANSLATE(E1941,""EN"",""JA"")"),"ガストリン")</f>
        <v>ガストリン</v>
      </c>
      <c r="J1941" s="1" t="str">
        <f>IFERROR(__xludf.DUMMYFUNCTION("GOOGLETRANSLATE(F1941,""EN"",""JA"")"),"生物標本中のガストリンホルモンの測定。")</f>
        <v>生物標本中のガストリンホルモンの測定。</v>
      </c>
      <c r="K1941" s="1" t="str">
        <f>IFERROR(__xludf.DUMMYFUNCTION("GOOGLETRANSLATE(G1941,""EN"",""JA"")"),"ガストリン測定")</f>
        <v>ガストリン測定</v>
      </c>
    </row>
    <row r="1942" ht="13.5" customHeight="1">
      <c r="A1942" s="1" t="s">
        <v>11</v>
      </c>
      <c r="B1942" s="1" t="s">
        <v>9768</v>
      </c>
      <c r="C1942" s="1" t="s">
        <v>9769</v>
      </c>
      <c r="D1942" s="1" t="s">
        <v>9770</v>
      </c>
      <c r="E1942" s="1" t="s">
        <v>9770</v>
      </c>
      <c r="F1942" s="1" t="s">
        <v>9771</v>
      </c>
      <c r="G1942" s="1" t="s">
        <v>9772</v>
      </c>
      <c r="H1942" s="1" t="str">
        <f>IFERROR(__xludf.DUMMYFUNCTION("GOOGLETRANSLATE(D1942,""EN"",""JA"")"),"ガンマトコフェロール")</f>
        <v>ガンマトコフェロール</v>
      </c>
      <c r="I1942" s="1" t="str">
        <f>IFERROR(__xludf.DUMMYFUNCTION("GOOGLETRANSLATE(E1942,""EN"",""JA"")"),"ガンマトコフェロール")</f>
        <v>ガンマトコフェロール</v>
      </c>
      <c r="J1942" s="1" t="str">
        <f>IFERROR(__xludf.DUMMYFUNCTION("GOOGLETRANSLATE(F1942,""EN"",""JA"")"),"生物標本中のガンマトコフェロールの測定。")</f>
        <v>生物標本中のガンマトコフェロールの測定。</v>
      </c>
      <c r="K1942" s="1" t="str">
        <f>IFERROR(__xludf.DUMMYFUNCTION("GOOGLETRANSLATE(G1942,""EN"",""JA"")"),"ガンマトコフェロール測定")</f>
        <v>ガンマトコフェロール測定</v>
      </c>
    </row>
    <row r="1943" ht="13.5" customHeight="1">
      <c r="A1943" s="1" t="s">
        <v>580</v>
      </c>
      <c r="B1943" s="1" t="s">
        <v>9773</v>
      </c>
      <c r="C1943" s="1" t="s">
        <v>9774</v>
      </c>
      <c r="D1943" s="1" t="s">
        <v>9775</v>
      </c>
      <c r="E1943" s="1" t="s">
        <v>9775</v>
      </c>
      <c r="F1943" s="1" t="s">
        <v>9776</v>
      </c>
      <c r="G1943" s="1" t="s">
        <v>9775</v>
      </c>
      <c r="H1943" s="1" t="str">
        <f>IFERROR(__xludf.DUMMYFUNCTION("GOOGLETRANSLATE(D1943,""EN"",""JA"")"),"気道コンダクタンス")</f>
        <v>気道コンダクタンス</v>
      </c>
      <c r="I1943" s="1" t="str">
        <f>IFERROR(__xludf.DUMMYFUNCTION("GOOGLETRANSLATE(E1943,""EN"",""JA"")"),"気道コンダクタンス")</f>
        <v>気道コンダクタンス</v>
      </c>
      <c r="J1943" s="1" t="str">
        <f>IFERROR(__xludf.DUMMYFUNCTION("GOOGLETRANSLATE(F1943,""EN"",""JA"")"),"気道内の瞬間的な空気流量。気道の任意の部分と肺胞間の圧力差として表されます。これは気道抵抗 (Raw) の逆数です。")</f>
        <v>気道内の瞬間的な空気流量。気道の任意の部分と肺胞間の圧力差として表されます。これは気道抵抗 (Raw) の逆数です。</v>
      </c>
      <c r="K1943" s="1" t="str">
        <f>IFERROR(__xludf.DUMMYFUNCTION("GOOGLETRANSLATE(G1943,""EN"",""JA"")"),"気道コンダクタンス")</f>
        <v>気道コンダクタンス</v>
      </c>
    </row>
    <row r="1944" ht="13.5" customHeight="1">
      <c r="A1944" s="1" t="s">
        <v>11</v>
      </c>
      <c r="B1944" s="1" t="s">
        <v>9777</v>
      </c>
      <c r="C1944" s="1" t="s">
        <v>9778</v>
      </c>
      <c r="D1944" s="1" t="s">
        <v>9779</v>
      </c>
      <c r="E1944" s="1" t="s">
        <v>9780</v>
      </c>
      <c r="F1944" s="1" t="s">
        <v>9781</v>
      </c>
      <c r="G1944" s="1" t="s">
        <v>9782</v>
      </c>
      <c r="H1944" s="1" t="str">
        <f>IFERROR(__xludf.DUMMYFUNCTION("GOOGLETRANSLATE(D1944,""EN"",""JA"")"),"グロボトリアオシルセラミド")</f>
        <v>グロボトリアオシルセラミド</v>
      </c>
      <c r="I1944" s="1" t="str">
        <f>IFERROR(__xludf.DUMMYFUNCTION("GOOGLETRANSLATE(E1944,""EN"",""JA"")"),"Gb3; GL-3; GL3; グロボトリアオシルセラミド; sCD77; 可溶性CD77")</f>
        <v>Gb3; GL-3; GL3; グロボトリアオシルセラミド; sCD77; 可溶性CD77</v>
      </c>
      <c r="J1944" s="1" t="str">
        <f>IFERROR(__xludf.DUMMYFUNCTION("GOOGLETRANSLATE(F1944,""EN"",""JA"")"),"生物標本中のグロボトリアオシルセラミドの測定。")</f>
        <v>生物標本中のグロボトリアオシルセラミドの測定。</v>
      </c>
      <c r="K1944" s="1" t="str">
        <f>IFERROR(__xludf.DUMMYFUNCTION("GOOGLETRANSLATE(G1944,""EN"",""JA"")"),"グロボトリアオシルセラミド測定")</f>
        <v>グロボトリアオシルセラミド測定</v>
      </c>
    </row>
    <row r="1945" ht="13.5" customHeight="1">
      <c r="A1945" s="1" t="s">
        <v>11</v>
      </c>
      <c r="B1945" s="1" t="s">
        <v>9783</v>
      </c>
      <c r="C1945" s="1" t="s">
        <v>9784</v>
      </c>
      <c r="D1945" s="1" t="s">
        <v>9785</v>
      </c>
      <c r="E1945" s="1" t="s">
        <v>9786</v>
      </c>
      <c r="F1945" s="1" t="s">
        <v>9787</v>
      </c>
      <c r="G1945" s="1" t="s">
        <v>9788</v>
      </c>
      <c r="H1945" s="1" t="str">
        <f>IFERROR(__xludf.DUMMYFUNCTION("GOOGLETRANSLATE(D1945,""EN"",""JA"")"),"グルコシルセラミダーゼベータ")</f>
        <v>グルコシルセラミダーゼベータ</v>
      </c>
      <c r="I1945" s="1" t="str">
        <f>IFERROR(__xludf.DUMMYFUNCTION("GOOGLETRANSLATE(E1945,""EN"",""JA"")"),"ベータグルコセレブロシダーゼ; GBA; グルコセレブロシダーゼベータ; グルコシルセラミダーゼ; グルコシルセラミダーゼベータ")</f>
        <v>ベータグルコセレブロシダーゼ; GBA; グルコセレブロシダーゼベータ; グルコシルセラミダーゼ; グルコシルセラミダーゼベータ</v>
      </c>
      <c r="J1945" s="1" t="str">
        <f>IFERROR(__xludf.DUMMYFUNCTION("GOOGLETRANSLATE(F1945,""EN"",""JA"")"),"生物標本中のグルコシルセラミダーゼベータの測定。")</f>
        <v>生物標本中のグルコシルセラミダーゼベータの測定。</v>
      </c>
      <c r="K1945" s="1" t="str">
        <f>IFERROR(__xludf.DUMMYFUNCTION("GOOGLETRANSLATE(G1945,""EN"",""JA"")"),"グルコシルセラミダーゼβ測定")</f>
        <v>グルコシルセラミダーゼβ測定</v>
      </c>
    </row>
    <row r="1946" ht="13.5" customHeight="1">
      <c r="A1946" s="1" t="s">
        <v>11</v>
      </c>
      <c r="B1946" s="1" t="s">
        <v>9789</v>
      </c>
      <c r="C1946" s="1" t="s">
        <v>9790</v>
      </c>
      <c r="D1946" s="1" t="s">
        <v>9791</v>
      </c>
      <c r="E1946" s="1" t="s">
        <v>9791</v>
      </c>
      <c r="F1946" s="1" t="s">
        <v>9792</v>
      </c>
      <c r="G1946" s="1" t="s">
        <v>9793</v>
      </c>
      <c r="H1946" s="1" t="str">
        <f>IFERROR(__xludf.DUMMYFUNCTION("GOOGLETRANSLATE(D1946,""EN"",""JA"")"),"グアニル酸結合タンパク質1")</f>
        <v>グアニル酸結合タンパク質1</v>
      </c>
      <c r="I1946" s="1" t="str">
        <f>IFERROR(__xludf.DUMMYFUNCTION("GOOGLETRANSLATE(E1946,""EN"",""JA"")"),"グアニル酸結合タンパク質1")</f>
        <v>グアニル酸結合タンパク質1</v>
      </c>
      <c r="J1946" s="1" t="str">
        <f>IFERROR(__xludf.DUMMYFUNCTION("GOOGLETRANSLATE(F1946,""EN"",""JA"")"),"生物標本中のグアニル酸結合タンパク質 1 の測定。")</f>
        <v>生物標本中のグアニル酸結合タンパク質 1 の測定。</v>
      </c>
      <c r="K1946" s="1" t="str">
        <f>IFERROR(__xludf.DUMMYFUNCTION("GOOGLETRANSLATE(G1946,""EN"",""JA"")"),"グアニル酸結合タンパク質1の測定")</f>
        <v>グアニル酸結合タンパク質1の測定</v>
      </c>
    </row>
    <row r="1947" ht="13.5" customHeight="1">
      <c r="A1947" s="1" t="s">
        <v>11</v>
      </c>
      <c r="B1947" s="1" t="s">
        <v>9794</v>
      </c>
      <c r="C1947" s="1" t="s">
        <v>9795</v>
      </c>
      <c r="D1947" s="1" t="s">
        <v>9796</v>
      </c>
      <c r="E1947" s="1" t="s">
        <v>9796</v>
      </c>
      <c r="F1947" s="1" t="s">
        <v>9797</v>
      </c>
      <c r="G1947" s="1" t="s">
        <v>9798</v>
      </c>
      <c r="H1947" s="1" t="str">
        <f>IFERROR(__xludf.DUMMYFUNCTION("GOOGLETRANSLATE(D1947,""EN"",""JA"")"),"グアニル酸結合タンパク質2")</f>
        <v>グアニル酸結合タンパク質2</v>
      </c>
      <c r="I1947" s="1" t="str">
        <f>IFERROR(__xludf.DUMMYFUNCTION("GOOGLETRANSLATE(E1947,""EN"",""JA"")"),"グアニル酸結合タンパク質2")</f>
        <v>グアニル酸結合タンパク質2</v>
      </c>
      <c r="J1947" s="1" t="str">
        <f>IFERROR(__xludf.DUMMYFUNCTION("GOOGLETRANSLATE(F1947,""EN"",""JA"")"),"生物標本中のグアニル酸結合タンパク質 2 の測定。")</f>
        <v>生物標本中のグアニル酸結合タンパク質 2 の測定。</v>
      </c>
      <c r="K1947" s="1" t="str">
        <f>IFERROR(__xludf.DUMMYFUNCTION("GOOGLETRANSLATE(G1947,""EN"",""JA"")"),"グアニル酸結合タンパク質2の測定")</f>
        <v>グアニル酸結合タンパク質2の測定</v>
      </c>
    </row>
    <row r="1948" ht="13.5" customHeight="1">
      <c r="A1948" s="1" t="s">
        <v>67</v>
      </c>
      <c r="B1948" s="1" t="s">
        <v>9799</v>
      </c>
      <c r="C1948" s="1" t="s">
        <v>9800</v>
      </c>
      <c r="D1948" s="1" t="s">
        <v>9801</v>
      </c>
      <c r="E1948" s="1" t="s">
        <v>9801</v>
      </c>
      <c r="F1948" s="1" t="s">
        <v>9802</v>
      </c>
      <c r="G1948" s="1" t="s">
        <v>9803</v>
      </c>
      <c r="H1948" s="1" t="str">
        <f>IFERROR(__xludf.DUMMYFUNCTION("GOOGLETRANSLATE(D1948,""EN"",""JA"")"),"B群連鎖球菌")</f>
        <v>B群連鎖球菌</v>
      </c>
      <c r="I1948" s="1" t="str">
        <f>IFERROR(__xludf.DUMMYFUNCTION("GOOGLETRANSLATE(E1948,""EN"",""JA"")"),"B群連鎖球菌")</f>
        <v>B群連鎖球菌</v>
      </c>
      <c r="J1948" s="1" t="str">
        <f>IFERROR(__xludf.DUMMYFUNCTION("GOOGLETRANSLATE(F1948,""EN"",""JA"")"),"生物標本中のB群連鎖球菌の測定。")</f>
        <v>生物標本中のB群連鎖球菌の測定。</v>
      </c>
      <c r="K1948" s="1" t="str">
        <f>IFERROR(__xludf.DUMMYFUNCTION("GOOGLETRANSLATE(G1948,""EN"",""JA"")"),"B群連鎖球菌測定")</f>
        <v>B群連鎖球菌測定</v>
      </c>
    </row>
    <row r="1949" ht="13.5" customHeight="1">
      <c r="A1949" s="1" t="s">
        <v>11</v>
      </c>
      <c r="B1949" s="1" t="s">
        <v>9804</v>
      </c>
      <c r="C1949" s="1" t="s">
        <v>9805</v>
      </c>
      <c r="D1949" s="1" t="s">
        <v>9806</v>
      </c>
      <c r="E1949" s="1" t="s">
        <v>9807</v>
      </c>
      <c r="F1949" s="1" t="s">
        <v>9808</v>
      </c>
      <c r="G1949" s="1" t="s">
        <v>9809</v>
      </c>
      <c r="H1949" s="1" t="str">
        <f>IFERROR(__xludf.DUMMYFUNCTION("GOOGLETRANSLATE(D1949,""EN"",""JA"")"),"グリコケノデオキシコール酸")</f>
        <v>グリコケノデオキシコール酸</v>
      </c>
      <c r="I1949" s="1" t="str">
        <f>IFERROR(__xludf.DUMMYFUNCTION("GOOGLETRANSLATE(E1949,""EN"",""JA"")"),"グリコケノデオキシコール酸")</f>
        <v>グリコケノデオキシコール酸</v>
      </c>
      <c r="J1949" s="1" t="str">
        <f>IFERROR(__xludf.DUMMYFUNCTION("GOOGLETRANSLATE(F1949,""EN"",""JA"")"),"生物標本中のグリコケノデオキシコール酸の測定。")</f>
        <v>生物標本中のグリコケノデオキシコール酸の測定。</v>
      </c>
      <c r="K1949" s="1" t="str">
        <f>IFERROR(__xludf.DUMMYFUNCTION("GOOGLETRANSLATE(G1949,""EN"",""JA"")"),"グリコケノデオキシコール酸測定")</f>
        <v>グリコケノデオキシコール酸測定</v>
      </c>
    </row>
    <row r="1950" ht="13.5" customHeight="1">
      <c r="A1950" s="1" t="s">
        <v>11</v>
      </c>
      <c r="B1950" s="1" t="s">
        <v>9810</v>
      </c>
      <c r="C1950" s="1" t="s">
        <v>9811</v>
      </c>
      <c r="D1950" s="1" t="s">
        <v>9812</v>
      </c>
      <c r="E1950" s="1" t="s">
        <v>9813</v>
      </c>
      <c r="F1950" s="1" t="s">
        <v>9814</v>
      </c>
      <c r="G1950" s="1" t="s">
        <v>9815</v>
      </c>
      <c r="H1950" s="1" t="str">
        <f>IFERROR(__xludf.DUMMYFUNCTION("GOOGLETRANSLATE(D1950,""EN"",""JA"")"),"グリココール酸")</f>
        <v>グリココール酸</v>
      </c>
      <c r="I1950" s="1" t="str">
        <f>IFERROR(__xludf.DUMMYFUNCTION("GOOGLETRANSLATE(E1950,""EN"",""JA"")"),"コリルグリシン; グリココール酸; グリココール酸")</f>
        <v>コリルグリシン; グリココール酸; グリココール酸</v>
      </c>
      <c r="J1950" s="1" t="str">
        <f>IFERROR(__xludf.DUMMYFUNCTION("GOOGLETRANSLATE(F1950,""EN"",""JA"")"),"生物標本中のグリココール酸の測定。")</f>
        <v>生物標本中のグリココール酸の測定。</v>
      </c>
      <c r="K1950" s="1" t="str">
        <f>IFERROR(__xludf.DUMMYFUNCTION("GOOGLETRANSLATE(G1950,""EN"",""JA"")"),"グリココール酸測定")</f>
        <v>グリココール酸測定</v>
      </c>
    </row>
    <row r="1951" ht="13.5" customHeight="1">
      <c r="A1951" s="1" t="s">
        <v>90</v>
      </c>
      <c r="B1951" s="1" t="s">
        <v>9816</v>
      </c>
      <c r="C1951" s="1" t="s">
        <v>9817</v>
      </c>
      <c r="D1951" s="1" t="s">
        <v>9818</v>
      </c>
      <c r="E1951" s="1" t="s">
        <v>9818</v>
      </c>
      <c r="F1951" s="1" t="s">
        <v>9819</v>
      </c>
      <c r="G1951" s="1" t="s">
        <v>9820</v>
      </c>
      <c r="H1951" s="1" t="str">
        <f>IFERROR(__xludf.DUMMYFUNCTION("GOOGLETRANSLATE(D1951,""EN"",""JA"")"),"地球周方向の歪み")</f>
        <v>地球周方向の歪み</v>
      </c>
      <c r="I1951" s="1" t="str">
        <f>IFERROR(__xludf.DUMMYFUNCTION("GOOGLETRANSLATE(E1951,""EN"",""JA"")"),"地球周方向の歪み")</f>
        <v>地球周方向の歪み</v>
      </c>
      <c r="J1951" s="1" t="str">
        <f>IFERROR(__xludf.DUMMYFUNCTION("GOOGLETRANSLATE(F1951,""EN"",""JA"")"),"自動化されたアルゴリズムを使用して、心室または心房の全体的な心筋の円周方向の歪みを測定します。")</f>
        <v>自動化されたアルゴリズムを使用して、心室または心房の全体的な心筋の円周方向の歪みを測定します。</v>
      </c>
      <c r="K1951" s="1" t="str">
        <f>IFERROR(__xludf.DUMMYFUNCTION("GOOGLETRANSLATE(G1951,""EN"",""JA"")"),"地球周方向ひずみ測定")</f>
        <v>地球周方向ひずみ測定</v>
      </c>
    </row>
    <row r="1952" ht="13.5" customHeight="1">
      <c r="A1952" s="1" t="s">
        <v>90</v>
      </c>
      <c r="B1952" s="1" t="s">
        <v>9821</v>
      </c>
      <c r="C1952" s="1" t="s">
        <v>9822</v>
      </c>
      <c r="D1952" s="1" t="s">
        <v>9823</v>
      </c>
      <c r="E1952" s="1" t="s">
        <v>9824</v>
      </c>
      <c r="F1952" s="1" t="s">
        <v>9825</v>
      </c>
      <c r="G1952" s="1" t="s">
        <v>9826</v>
      </c>
      <c r="H1952" s="1" t="str">
        <f>IFERROR(__xludf.DUMMYFUNCTION("GOOGLETRANSLATE(D1952,""EN"",""JA"")"),"地球周方向ひずみ、Cal")</f>
        <v>地球周方向ひずみ、Cal</v>
      </c>
      <c r="I1952" s="1" t="str">
        <f>IFERROR(__xludf.DUMMYFUNCTION("GOOGLETRANSLATE(E1952,""EN"",""JA"")"),"全体円周ひずみ、Cal; 全体円周ひずみ、計算値")</f>
        <v>全体円周ひずみ、Cal; 全体円周ひずみ、計算値</v>
      </c>
      <c r="J1952" s="1" t="str">
        <f>IFERROR(__xludf.DUMMYFUNCTION("GOOGLETRANSLATE(F1952,""EN"",""JA"")"),"収集されたセグメントの円周方向の歪みを平均化することにより、心室または心房の全体的な心筋の円周方向の歪みを計算します。")</f>
        <v>収集されたセグメントの円周方向の歪みを平均化することにより、心室または心房の全体的な心筋の円周方向の歪みを計算します。</v>
      </c>
      <c r="K1952" s="1" t="str">
        <f>IFERROR(__xludf.DUMMYFUNCTION("GOOGLETRANSLATE(G1952,""EN"",""JA"")"),"計算されたグローバル円周方向ひずみ測定")</f>
        <v>計算されたグローバル円周方向ひずみ測定</v>
      </c>
    </row>
    <row r="1953" ht="13.5" customHeight="1">
      <c r="A1953" s="1" t="s">
        <v>11</v>
      </c>
      <c r="B1953" s="1" t="s">
        <v>9827</v>
      </c>
      <c r="C1953" s="1" t="s">
        <v>9828</v>
      </c>
      <c r="D1953" s="1" t="s">
        <v>9829</v>
      </c>
      <c r="E1953" s="1" t="s">
        <v>9829</v>
      </c>
      <c r="F1953" s="1" t="s">
        <v>9830</v>
      </c>
      <c r="G1953" s="1" t="s">
        <v>9831</v>
      </c>
      <c r="H1953" s="1" t="str">
        <f>IFERROR(__xludf.DUMMYFUNCTION("GOOGLETRANSLATE(D1953,""EN"",""JA"")"),"顆粒球コロニー刺激因子")</f>
        <v>顆粒球コロニー刺激因子</v>
      </c>
      <c r="I1953" s="1" t="str">
        <f>IFERROR(__xludf.DUMMYFUNCTION("GOOGLETRANSLATE(E1953,""EN"",""JA"")"),"顆粒球コロニー刺激因子")</f>
        <v>顆粒球コロニー刺激因子</v>
      </c>
      <c r="J1953" s="1" t="str">
        <f>IFERROR(__xludf.DUMMYFUNCTION("GOOGLETRANSLATE(F1953,""EN"",""JA"")"),"生物標本中の顆粒球コロニー刺激因子の測定。")</f>
        <v>生物標本中の顆粒球コロニー刺激因子の測定。</v>
      </c>
      <c r="K1953" s="1" t="str">
        <f>IFERROR(__xludf.DUMMYFUNCTION("GOOGLETRANSLATE(G1953,""EN"",""JA"")"),"顆粒球コロニー刺激因子測定")</f>
        <v>顆粒球コロニー刺激因子測定</v>
      </c>
    </row>
    <row r="1954" ht="13.5" customHeight="1">
      <c r="A1954" s="1" t="s">
        <v>11</v>
      </c>
      <c r="B1954" s="1" t="s">
        <v>9832</v>
      </c>
      <c r="C1954" s="1" t="s">
        <v>9833</v>
      </c>
      <c r="D1954" s="1" t="s">
        <v>9834</v>
      </c>
      <c r="E1954" s="1" t="s">
        <v>9835</v>
      </c>
      <c r="F1954" s="1" t="s">
        <v>9836</v>
      </c>
      <c r="G1954" s="1" t="s">
        <v>9837</v>
      </c>
      <c r="H1954" s="1" t="str">
        <f>IFERROR(__xludf.DUMMYFUNCTION("GOOGLETRANSLATE(D1954,""EN"",""JA"")"),"グアニンデアミナーゼ")</f>
        <v>グアニンデアミナーゼ</v>
      </c>
      <c r="I1954" s="1" t="str">
        <f>IFERROR(__xludf.DUMMYFUNCTION("GOOGLETRANSLATE(E1954,""EN"",""JA"")"),"グアナーゼ; グアニンアミノヒドロラーゼ; グアニンデアミナーゼ")</f>
        <v>グアナーゼ; グアニンアミノヒドロラーゼ; グアニンデアミナーゼ</v>
      </c>
      <c r="J1954" s="1" t="str">
        <f>IFERROR(__xludf.DUMMYFUNCTION("GOOGLETRANSLATE(F1954,""EN"",""JA"")"),"生物標本中のグアニンデアミナーゼの測定。")</f>
        <v>生物標本中のグアニンデアミナーゼの測定。</v>
      </c>
      <c r="K1954" s="1" t="str">
        <f>IFERROR(__xludf.DUMMYFUNCTION("GOOGLETRANSLATE(G1954,""EN"",""JA"")"),"グアニンデアミナーゼ測定")</f>
        <v>グアニンデアミナーゼ測定</v>
      </c>
    </row>
    <row r="1955" ht="13.5" customHeight="1">
      <c r="A1955" s="1" t="s">
        <v>11</v>
      </c>
      <c r="B1955" s="1" t="s">
        <v>9838</v>
      </c>
      <c r="C1955" s="1" t="s">
        <v>9839</v>
      </c>
      <c r="D1955" s="1" t="s">
        <v>9840</v>
      </c>
      <c r="E1955" s="1" t="s">
        <v>9841</v>
      </c>
      <c r="F1955" s="1" t="s">
        <v>9842</v>
      </c>
      <c r="G1955" s="1" t="s">
        <v>9843</v>
      </c>
      <c r="H1955" s="1" t="str">
        <f>IFERROR(__xludf.DUMMYFUNCTION("GOOGLETRANSLATE(D1955,""EN"",""JA"")"),"成長分化因子11")</f>
        <v>成長分化因子11</v>
      </c>
      <c r="I1955" s="1" t="str">
        <f>IFERROR(__xludf.DUMMYFUNCTION("GOOGLETRANSLATE(E1955,""EN"",""JA"")"),"BMP-11; 骨形成タンパク質11; 成長分化因子11")</f>
        <v>BMP-11; 骨形成タンパク質11; 成長分化因子11</v>
      </c>
      <c r="J1955" s="1" t="str">
        <f>IFERROR(__xludf.DUMMYFUNCTION("GOOGLETRANSLATE(F1955,""EN"",""JA"")"),"生物標本中の成長分化因子 11 の測定。")</f>
        <v>生物標本中の成長分化因子 11 の測定。</v>
      </c>
      <c r="K1955" s="1" t="str">
        <f>IFERROR(__xludf.DUMMYFUNCTION("GOOGLETRANSLATE(G1955,""EN"",""JA"")"),"成長分化因子11の測定")</f>
        <v>成長分化因子11の測定</v>
      </c>
    </row>
    <row r="1956" ht="13.5" customHeight="1">
      <c r="A1956" s="1" t="s">
        <v>11</v>
      </c>
      <c r="B1956" s="1" t="s">
        <v>9844</v>
      </c>
      <c r="C1956" s="1" t="s">
        <v>9845</v>
      </c>
      <c r="D1956" s="1" t="s">
        <v>9846</v>
      </c>
      <c r="E1956" s="1" t="s">
        <v>9847</v>
      </c>
      <c r="F1956" s="1" t="s">
        <v>9848</v>
      </c>
      <c r="G1956" s="1" t="s">
        <v>9849</v>
      </c>
      <c r="H1956" s="1" t="str">
        <f>IFERROR(__xludf.DUMMYFUNCTION("GOOGLETRANSLATE(D1956,""EN"",""JA"")"),"成長分化因子15")</f>
        <v>成長分化因子15</v>
      </c>
      <c r="I1956" s="1" t="str">
        <f>IFERROR(__xludf.DUMMYFUNCTION("GOOGLETRANSLATE(E1956,""EN"",""JA"")"),"GDF-15; 成長分化因子15; マクロファージ阻害サイトカイン-1; MIC-1")</f>
        <v>GDF-15; 成長分化因子15; マクロファージ阻害サイトカイン-1; MIC-1</v>
      </c>
      <c r="J1956" s="1" t="str">
        <f>IFERROR(__xludf.DUMMYFUNCTION("GOOGLETRANSLATE(F1956,""EN"",""JA"")"),"生物標本中の成長分化因子 15 の測定。")</f>
        <v>生物標本中の成長分化因子 15 の測定。</v>
      </c>
      <c r="K1956" s="1" t="str">
        <f>IFERROR(__xludf.DUMMYFUNCTION("GOOGLETRANSLATE(G1956,""EN"",""JA"")"),"成長分化因子15の測定")</f>
        <v>成長分化因子15の測定</v>
      </c>
    </row>
    <row r="1957" ht="13.5" customHeight="1">
      <c r="A1957" s="1" t="s">
        <v>11</v>
      </c>
      <c r="B1957" s="1" t="s">
        <v>9850</v>
      </c>
      <c r="C1957" s="1" t="s">
        <v>9851</v>
      </c>
      <c r="D1957" s="1" t="s">
        <v>9852</v>
      </c>
      <c r="E1957" s="1" t="s">
        <v>9853</v>
      </c>
      <c r="F1957" s="1" t="s">
        <v>9854</v>
      </c>
      <c r="G1957" s="1" t="s">
        <v>9855</v>
      </c>
      <c r="H1957" s="1" t="str">
        <f>IFERROR(__xludf.DUMMYFUNCTION("GOOGLETRANSLATE(D1957,""EN"",""JA"")"),"成長分化因子2")</f>
        <v>成長分化因子2</v>
      </c>
      <c r="I1957" s="1" t="str">
        <f>IFERROR(__xludf.DUMMYFUNCTION("GOOGLETRANSLATE(E1957,""EN"",""JA"")"),"BMP-9; BMP9; 骨形成タンパク質9; 成長分化因子2; 成長/分化因子2")</f>
        <v>BMP-9; BMP9; 骨形成タンパク質9; 成長分化因子2; 成長/分化因子2</v>
      </c>
      <c r="J1957" s="1" t="str">
        <f>IFERROR(__xludf.DUMMYFUNCTION("GOOGLETRANSLATE(F1957,""EN"",""JA"")"),"生物標本中の成長分化因子 2 の測定。")</f>
        <v>生物標本中の成長分化因子 2 の測定。</v>
      </c>
      <c r="K1957" s="1" t="str">
        <f>IFERROR(__xludf.DUMMYFUNCTION("GOOGLETRANSLATE(G1957,""EN"",""JA"")"),"成長分化因子2の測定")</f>
        <v>成長分化因子2の測定</v>
      </c>
    </row>
    <row r="1958" ht="13.5" customHeight="1">
      <c r="A1958" s="1" t="s">
        <v>11</v>
      </c>
      <c r="B1958" s="1" t="s">
        <v>9856</v>
      </c>
      <c r="C1958" s="1" t="s">
        <v>9857</v>
      </c>
      <c r="D1958" s="1" t="s">
        <v>9858</v>
      </c>
      <c r="E1958" s="1" t="s">
        <v>9859</v>
      </c>
      <c r="F1958" s="1" t="s">
        <v>9860</v>
      </c>
      <c r="G1958" s="1" t="s">
        <v>9861</v>
      </c>
      <c r="H1958" s="1" t="str">
        <f>IFERROR(__xludf.DUMMYFUNCTION("GOOGLETRANSLATE(D1958,""EN"",""JA"")"),"成長分化因子8")</f>
        <v>成長分化因子8</v>
      </c>
      <c r="I1958" s="1" t="str">
        <f>IFERROR(__xludf.DUMMYFUNCTION("GOOGLETRANSLATE(E1958,""EN"",""JA"")"),"成長分化因子8; ミオスタチン")</f>
        <v>成長分化因子8; ミオスタチン</v>
      </c>
      <c r="J1958" s="1" t="str">
        <f>IFERROR(__xludf.DUMMYFUNCTION("GOOGLETRANSLATE(F1958,""EN"",""JA"")"),"生物標本中の成長分化因子 8 の測定。")</f>
        <v>生物標本中の成長分化因子 8 の測定。</v>
      </c>
      <c r="K1958" s="1" t="str">
        <f>IFERROR(__xludf.DUMMYFUNCTION("GOOGLETRANSLATE(G1958,""EN"",""JA"")"),"成長分化因子8の測定")</f>
        <v>成長分化因子8の測定</v>
      </c>
    </row>
    <row r="1959" ht="13.5" customHeight="1">
      <c r="A1959" s="1" t="s">
        <v>11</v>
      </c>
      <c r="B1959" s="1" t="s">
        <v>9862</v>
      </c>
      <c r="C1959" s="1" t="s">
        <v>9863</v>
      </c>
      <c r="D1959" s="1" t="s">
        <v>9864</v>
      </c>
      <c r="E1959" s="1" t="s">
        <v>9865</v>
      </c>
      <c r="F1959" s="1" t="s">
        <v>9866</v>
      </c>
      <c r="G1959" s="1" t="s">
        <v>9867</v>
      </c>
      <c r="H1959" s="1" t="str">
        <f>IFERROR(__xludf.DUMMYFUNCTION("GOOGLETRANSLATE(D1959,""EN"",""JA"")"),"ガラクトース欠損IgA1")</f>
        <v>ガラクトース欠損IgA1</v>
      </c>
      <c r="I1959" s="1" t="str">
        <f>IFERROR(__xludf.DUMMYFUNCTION("GOOGLETRANSLATE(E1959,""EN"",""JA"")"),"ガラクトース欠損IgA1; Gd-IgA1")</f>
        <v>ガラクトース欠損IgA1; Gd-IgA1</v>
      </c>
      <c r="J1959" s="1" t="str">
        <f>IFERROR(__xludf.DUMMYFUNCTION("GOOGLETRANSLATE(F1959,""EN"",""JA"")"),"生物標本中のガラクトース欠乏 IgA1 の測定。")</f>
        <v>生物標本中のガラクトース欠乏 IgA1 の測定。</v>
      </c>
      <c r="K1959" s="1" t="str">
        <f>IFERROR(__xludf.DUMMYFUNCTION("GOOGLETRANSLATE(G1959,""EN"",""JA"")"),"ガラクトース欠損IgA1測定")</f>
        <v>ガラクトース欠損IgA1測定</v>
      </c>
    </row>
    <row r="1960" ht="13.5" customHeight="1">
      <c r="A1960" s="1" t="s">
        <v>11</v>
      </c>
      <c r="B1960" s="1" t="s">
        <v>9868</v>
      </c>
      <c r="C1960" s="1" t="s">
        <v>9869</v>
      </c>
      <c r="D1960" s="1" t="s">
        <v>9870</v>
      </c>
      <c r="E1960" s="1" t="s">
        <v>9870</v>
      </c>
      <c r="F1960" s="1" t="s">
        <v>9871</v>
      </c>
      <c r="G1960" s="1" t="s">
        <v>9870</v>
      </c>
      <c r="H1960" s="1" t="str">
        <f>IFERROR(__xludf.DUMMYFUNCTION("GOOGLETRANSLATE(D1960,""EN"",""JA"")"),"ガラクトース除去能")</f>
        <v>ガラクトース除去能</v>
      </c>
      <c r="I1960" s="1" t="str">
        <f>IFERROR(__xludf.DUMMYFUNCTION("GOOGLETRANSLATE(E1960,""EN"",""JA"")"),"ガラクトース除去能")</f>
        <v>ガラクトース除去能</v>
      </c>
      <c r="J1960" s="1" t="str">
        <f>IFERROR(__xludf.DUMMYFUNCTION("GOOGLETRANSLATE(F1960,""EN"",""JA"")"),"生体標本中のガラクトース除去能力を測定する肝機能検査。")</f>
        <v>生体標本中のガラクトース除去能力を測定する肝機能検査。</v>
      </c>
      <c r="K1960" s="1" t="str">
        <f>IFERROR(__xludf.DUMMYFUNCTION("GOOGLETRANSLATE(G1960,""EN"",""JA"")"),"ガラクトース除去能")</f>
        <v>ガラクトース除去能</v>
      </c>
    </row>
    <row r="1961" ht="13.5" customHeight="1">
      <c r="A1961" s="1" t="s">
        <v>601</v>
      </c>
      <c r="B1961" s="1" t="s">
        <v>9872</v>
      </c>
      <c r="C1961" s="1" t="s">
        <v>9873</v>
      </c>
      <c r="D1961" s="1" t="s">
        <v>9874</v>
      </c>
      <c r="E1961" s="1" t="s">
        <v>9874</v>
      </c>
      <c r="F1961" s="1" t="s">
        <v>9875</v>
      </c>
      <c r="G1961" s="1" t="s">
        <v>9874</v>
      </c>
      <c r="H1961" s="1" t="str">
        <f>IFERROR(__xludf.DUMMYFUNCTION("GOOGLETRANSLATE(D1961,""EN"",""JA"")"),"ジェンダーアイデンティティ")</f>
        <v>ジェンダーアイデンティティ</v>
      </c>
      <c r="I1961" s="1" t="str">
        <f>IFERROR(__xludf.DUMMYFUNCTION("GOOGLETRANSLATE(E1961,""EN"",""JA"")"),"ジェンダーアイデンティティ")</f>
        <v>ジェンダーアイデンティティ</v>
      </c>
      <c r="J1961" s="1" t="str">
        <f>IFERROR(__xludf.DUMMYFUNCTION("GOOGLETRANSLATE(F1961,""EN"",""JA"")"),"個人の内的性別感覚。これは、個人の遺伝子型または表現型の性別と一致する場合もあれば、一致しない場合もある。[NCIシソーラスには、NCIが所有または管理していない生物医学用語が含まれています。この概念には、性別に関連する用語が含まれています。")</f>
        <v>個人の内的性別感覚。これは、個人の遺伝子型または表現型の性別と一致する場合もあれば、一致しない場合もある。[NCIシソーラスには、NCIが所有または管理していない生物医学用語が含まれています。この概念には、性別に関連する用語が含まれています。</v>
      </c>
      <c r="K1961" s="1" t="str">
        <f>IFERROR(__xludf.DUMMYFUNCTION("GOOGLETRANSLATE(G1961,""EN"",""JA"")"),"ジェンダーアイデンティティ")</f>
        <v>ジェンダーアイデンティティ</v>
      </c>
    </row>
    <row r="1962" ht="13.5" customHeight="1">
      <c r="A1962" s="1" t="s">
        <v>11</v>
      </c>
      <c r="B1962" s="1" t="s">
        <v>9876</v>
      </c>
      <c r="C1962" s="1" t="s">
        <v>9877</v>
      </c>
      <c r="D1962" s="1" t="s">
        <v>9878</v>
      </c>
      <c r="E1962" s="1" t="s">
        <v>9878</v>
      </c>
      <c r="F1962" s="1" t="s">
        <v>9879</v>
      </c>
      <c r="G1962" s="1" t="s">
        <v>9880</v>
      </c>
      <c r="H1962" s="1" t="str">
        <f>IFERROR(__xludf.DUMMYFUNCTION("GOOGLETRANSLATE(D1962,""EN"",""JA"")"),"グリア線維性酸性タンパク質")</f>
        <v>グリア線維性酸性タンパク質</v>
      </c>
      <c r="I1962" s="1" t="str">
        <f>IFERROR(__xludf.DUMMYFUNCTION("GOOGLETRANSLATE(E1962,""EN"",""JA"")"),"グリア線維性酸性タンパク質")</f>
        <v>グリア線維性酸性タンパク質</v>
      </c>
      <c r="J1962" s="1" t="str">
        <f>IFERROR(__xludf.DUMMYFUNCTION("GOOGLETRANSLATE(F1962,""EN"",""JA"")"),"生物標本中のグリア線維性酸性タンパク質の測定。")</f>
        <v>生物標本中のグリア線維性酸性タンパク質の測定。</v>
      </c>
      <c r="K1962" s="1" t="str">
        <f>IFERROR(__xludf.DUMMYFUNCTION("GOOGLETRANSLATE(G1962,""EN"",""JA"")"),"グリア線維性酸性タンパク質測定")</f>
        <v>グリア線維性酸性タンパク質測定</v>
      </c>
    </row>
    <row r="1963" ht="13.5" customHeight="1">
      <c r="A1963" s="1" t="s">
        <v>11</v>
      </c>
      <c r="B1963" s="1" t="s">
        <v>9881</v>
      </c>
      <c r="C1963" s="1" t="s">
        <v>9882</v>
      </c>
      <c r="D1963" s="1" t="s">
        <v>9883</v>
      </c>
      <c r="E1963" s="1" t="s">
        <v>9883</v>
      </c>
      <c r="F1963" s="1" t="s">
        <v>9884</v>
      </c>
      <c r="G1963" s="1" t="s">
        <v>9883</v>
      </c>
      <c r="H1963" s="1" t="str">
        <f>IFERROR(__xludf.DUMMYFUNCTION("GOOGLETRANSLATE(D1963,""EN"",""JA"")"),"糸球体濾過率")</f>
        <v>糸球体濾過率</v>
      </c>
      <c r="I1963" s="1" t="str">
        <f>IFERROR(__xludf.DUMMYFUNCTION("GOOGLETRANSLATE(E1963,""EN"",""JA"")"),"糸球体濾過率")</f>
        <v>糸球体濾過率</v>
      </c>
      <c r="J1963" s="1" t="str">
        <f>IFERROR(__xludf.DUMMYFUNCTION("GOOGLETRANSLATE(F1963,""EN"",""JA"")"),"単位時間あたりに腎臓の糸球体からボーマン嚢に濾過される体液量を測定する腎機能検査。")</f>
        <v>単位時間あたりに腎臓の糸球体からボーマン嚢に濾過される体液量を測定する腎機能検査。</v>
      </c>
      <c r="K1963" s="1" t="str">
        <f>IFERROR(__xludf.DUMMYFUNCTION("GOOGLETRANSLATE(G1963,""EN"",""JA"")"),"糸球体濾過率")</f>
        <v>糸球体濾過率</v>
      </c>
    </row>
    <row r="1964" ht="13.5" customHeight="1">
      <c r="A1964" s="1" t="s">
        <v>11</v>
      </c>
      <c r="B1964" s="1" t="s">
        <v>9885</v>
      </c>
      <c r="C1964" s="1" t="s">
        <v>9886</v>
      </c>
      <c r="D1964" s="1" t="s">
        <v>9887</v>
      </c>
      <c r="E1964" s="1" t="s">
        <v>9887</v>
      </c>
      <c r="F1964" s="1" t="s">
        <v>9888</v>
      </c>
      <c r="G1964" s="1" t="s">
        <v>9889</v>
      </c>
      <c r="H1964" s="1" t="str">
        <f>IFERROR(__xludf.DUMMYFUNCTION("GOOGLETRANSLATE(D1964,""EN"",""JA"")"),"BSAに対する糸球体濾過率調整")</f>
        <v>BSAに対する糸球体濾過率調整</v>
      </c>
      <c r="I1964" s="1" t="str">
        <f>IFERROR(__xludf.DUMMYFUNCTION("GOOGLETRANSLATE(E1964,""EN"",""JA"")"),"BSAに対する糸球体濾過率調整")</f>
        <v>BSAに対する糸球体濾過率調整</v>
      </c>
      <c r="J1964" s="1" t="str">
        <f>IFERROR(__xludf.DUMMYFUNCTION("GOOGLETRANSLATE(F1964,""EN"",""JA"")"),"体表面積に合わせて調整された糸球体濾過率の測定値。")</f>
        <v>体表面積に合わせて調整された糸球体濾過率の測定値。</v>
      </c>
      <c r="K1964" s="1" t="str">
        <f>IFERROR(__xludf.DUMMYFUNCTION("GOOGLETRANSLATE(G1964,""EN"",""JA"")"),"BSA調整糸球体濾過率")</f>
        <v>BSA調整糸球体濾過率</v>
      </c>
    </row>
    <row r="1965" ht="13.5" customHeight="1">
      <c r="A1965" s="1" t="s">
        <v>11</v>
      </c>
      <c r="B1965" s="1" t="s">
        <v>9890</v>
      </c>
      <c r="C1965" s="1" t="s">
        <v>9891</v>
      </c>
      <c r="D1965" s="1" t="s">
        <v>9892</v>
      </c>
      <c r="E1965" s="1" t="s">
        <v>9892</v>
      </c>
      <c r="F1965" s="1" t="s">
        <v>9893</v>
      </c>
      <c r="G1965" s="1" t="s">
        <v>9894</v>
      </c>
      <c r="H1965" s="1" t="str">
        <f>IFERROR(__xludf.DUMMYFUNCTION("GOOGLETRANSLATE(D1965,""EN"",""JA"")"),"BSAに対するB-2ミクログロブリン調整からのGFR")</f>
        <v>BSAに対するB-2ミクログロブリン調整からのGFR</v>
      </c>
      <c r="I1965" s="1" t="str">
        <f>IFERROR(__xludf.DUMMYFUNCTION("GOOGLETRANSLATE(E1965,""EN"",""JA"")"),"BSAに対するB-2ミクログロブリン調整からのGFR")</f>
        <v>BSAに対するB-2ミクログロブリン調整からのGFR</v>
      </c>
      <c r="J1965" s="1" t="str">
        <f>IFERROR(__xludf.DUMMYFUNCTION("GOOGLETRANSLATE(F1965,""EN"",""JA"")"),"標準体表面積値 1.73 m2 に調整した後のベータ 2 ミクログロブリンのクリアランスに基づく糸球体濾過率 (GFR) の直接測定。")</f>
        <v>標準体表面積値 1.73 m2 に調整した後のベータ 2 ミクログロブリンのクリアランスに基づく糸球体濾過率 (GFR) の直接測定。</v>
      </c>
      <c r="K1965" s="1" t="str">
        <f>IFERROR(__xludf.DUMMYFUNCTION("GOOGLETRANSLATE(G1965,""EN"",""JA"")"),"標準BSA測定に調整されたβ2ミクログロブリンからの直接糸球体濾過率")</f>
        <v>標準BSA測定に調整されたβ2ミクログロブリンからの直接糸球体濾過率</v>
      </c>
    </row>
    <row r="1966" ht="13.5" customHeight="1">
      <c r="A1966" s="1" t="s">
        <v>11</v>
      </c>
      <c r="B1966" s="1" t="s">
        <v>9895</v>
      </c>
      <c r="C1966" s="1" t="s">
        <v>9896</v>
      </c>
      <c r="D1966" s="1" t="s">
        <v>9897</v>
      </c>
      <c r="E1966" s="1" t="s">
        <v>9897</v>
      </c>
      <c r="F1966" s="1" t="s">
        <v>9898</v>
      </c>
      <c r="G1966" s="1" t="s">
        <v>9899</v>
      </c>
      <c r="H1966" s="1" t="str">
        <f>IFERROR(__xludf.DUMMYFUNCTION("GOOGLETRANSLATE(D1966,""EN"",""JA"")"),"BSA 用ベータトレースタンパク質調整からの GFR")</f>
        <v>BSA 用ベータトレースタンパク質調整からの GFR</v>
      </c>
      <c r="I1966" s="1" t="str">
        <f>IFERROR(__xludf.DUMMYFUNCTION("GOOGLETRANSLATE(E1966,""EN"",""JA"")"),"BSA 用ベータトレースタンパク質調整からの GFR")</f>
        <v>BSA 用ベータトレースタンパク質調整からの GFR</v>
      </c>
      <c r="J1966" s="1" t="str">
        <f>IFERROR(__xludf.DUMMYFUNCTION("GOOGLETRANSLATE(F1966,""EN"",""JA"")"),"標準体表面積値 1.73 m2 に調整した後のベータトレースタンパク質のクリアランスに基づく糸球体濾過率 (GFR) の直接測定。")</f>
        <v>標準体表面積値 1.73 m2 に調整した後のベータトレースタンパク質のクリアランスに基づく糸球体濾過率 (GFR) の直接測定。</v>
      </c>
      <c r="K1966" s="1" t="str">
        <f>IFERROR(__xludf.DUMMYFUNCTION("GOOGLETRANSLATE(G1966,""EN"",""JA"")"),"標準BSA測定に調整されたベータトレースタンパク質からの直接糸球体濾過率")</f>
        <v>標準BSA測定に調整されたベータトレースタンパク質からの直接糸球体濾過率</v>
      </c>
    </row>
    <row r="1967" ht="13.5" customHeight="1">
      <c r="A1967" s="1" t="s">
        <v>11</v>
      </c>
      <c r="B1967" s="1" t="s">
        <v>9900</v>
      </c>
      <c r="C1967" s="1" t="s">
        <v>9901</v>
      </c>
      <c r="D1967" s="1" t="s">
        <v>9902</v>
      </c>
      <c r="E1967" s="1" t="s">
        <v>9902</v>
      </c>
      <c r="F1967" s="1" t="s">
        <v>9903</v>
      </c>
      <c r="G1967" s="1" t="s">
        <v>9904</v>
      </c>
      <c r="H1967" s="1" t="str">
        <f>IFERROR(__xludf.DUMMYFUNCTION("GOOGLETRANSLATE(D1967,""EN"",""JA"")"),"シスタチンCとクレアチン調整BSAからのGFR")</f>
        <v>シスタチンCとクレアチン調整BSAからのGFR</v>
      </c>
      <c r="I1967" s="1" t="str">
        <f>IFERROR(__xludf.DUMMYFUNCTION("GOOGLETRANSLATE(E1967,""EN"",""JA"")"),"シスタチンCとクレアチン調整BSAからのGFR")</f>
        <v>シスタチンCとクレアチン調整BSAからのGFR</v>
      </c>
      <c r="J1967" s="1" t="str">
        <f>IFERROR(__xludf.DUMMYFUNCTION("GOOGLETRANSLATE(F1967,""EN"",""JA"")"),"シスタチン C とクレアチニンに基づいて標準体表面積 (1.73 m2) に合わせて調整された糸球体濾過率の推定値。")</f>
        <v>シスタチン C とクレアチニンに基づいて標準体表面積 (1.73 m2) に合わせて調整された糸球体濾過率の推定値。</v>
      </c>
      <c r="K1967" s="1" t="str">
        <f>IFERROR(__xludf.DUMMYFUNCTION("GOOGLETRANSLATE(G1967,""EN"",""JA"")"),"標準BSAで調整したシスタチンCとクレアチニンからの推定糸球体濾過率")</f>
        <v>標準BSAで調整したシスタチンCとクレアチニンからの推定糸球体濾過率</v>
      </c>
    </row>
    <row r="1968" ht="13.5" customHeight="1">
      <c r="A1968" s="1" t="s">
        <v>11</v>
      </c>
      <c r="B1968" s="1" t="s">
        <v>9905</v>
      </c>
      <c r="C1968" s="1" t="s">
        <v>9906</v>
      </c>
      <c r="D1968" s="1" t="s">
        <v>9907</v>
      </c>
      <c r="E1968" s="1" t="s">
        <v>9907</v>
      </c>
      <c r="F1968" s="1" t="s">
        <v>9908</v>
      </c>
      <c r="G1968" s="1" t="s">
        <v>9909</v>
      </c>
      <c r="H1968" s="1" t="str">
        <f>IFERROR(__xludf.DUMMYFUNCTION("GOOGLETRANSLATE(D1968,""EN"",""JA"")"),"BSA調整クレアチニンからのGFR")</f>
        <v>BSA調整クレアチニンからのGFR</v>
      </c>
      <c r="I1968" s="1" t="str">
        <f>IFERROR(__xludf.DUMMYFUNCTION("GOOGLETRANSLATE(E1968,""EN"",""JA"")"),"BSA調整クレアチニンからのGFR")</f>
        <v>BSA調整クレアチニンからのGFR</v>
      </c>
      <c r="J1968" s="1" t="str">
        <f>IFERROR(__xludf.DUMMYFUNCTION("GOOGLETRANSLATE(F1968,""EN"",""JA"")"),"クレアチニンに基づいて標準体表面積（1.73m2）に調整された糸球体濾過率の推定値。")</f>
        <v>クレアチニンに基づいて標準体表面積（1.73m2）に調整された糸球体濾過率の推定値。</v>
      </c>
      <c r="K1968" s="1" t="str">
        <f>IFERROR(__xludf.DUMMYFUNCTION("GOOGLETRANSLATE(G1968,""EN"",""JA"")"),"標準BSAで調整したクレアチニンからの推定糸球体濾過率")</f>
        <v>標準BSAで調整したクレアチニンからの推定糸球体濾過率</v>
      </c>
    </row>
    <row r="1969" ht="13.5" customHeight="1">
      <c r="A1969" s="1" t="s">
        <v>11</v>
      </c>
      <c r="B1969" s="1" t="s">
        <v>9910</v>
      </c>
      <c r="C1969" s="1" t="s">
        <v>9911</v>
      </c>
      <c r="D1969" s="1" t="s">
        <v>9912</v>
      </c>
      <c r="E1969" s="1" t="s">
        <v>9913</v>
      </c>
      <c r="F1969" s="1" t="s">
        <v>9914</v>
      </c>
      <c r="G1969" s="1" t="s">
        <v>9915</v>
      </c>
      <c r="H1969" s="1" t="str">
        <f>IFERROR(__xludf.DUMMYFUNCTION("GOOGLETRANSLATE(D1969,""EN"",""JA"")"),"クレアチンおよび尿素N調整BSAからのGFR")</f>
        <v>クレアチンおよび尿素N調整BSAからのGFR</v>
      </c>
      <c r="I1969" s="1" t="str">
        <f>IFERROR(__xludf.DUMMYFUNCTION("GOOGLETRANSLATE(E1969,""EN"",""JA"")"),"クレアチニンおよび尿素窒素調整BSAからのGFR; BSA調整クレアチニンおよび尿素窒素からのGFR")</f>
        <v>クレアチニンおよび尿素窒素調整BSAからのGFR; BSA調整クレアチニンおよび尿素窒素からのGFR</v>
      </c>
      <c r="J1969" s="1" t="str">
        <f>IFERROR(__xludf.DUMMYFUNCTION("GOOGLETRANSLATE(F1969,""EN"",""JA"")"),"クレアチニンと尿素窒素に基づいて標準体表面積（1.73m2）に調整された糸球体濾過率の推定値。")</f>
        <v>クレアチニンと尿素窒素に基づいて標準体表面積（1.73m2）に調整された糸球体濾過率の推定値。</v>
      </c>
      <c r="K1969" s="1" t="str">
        <f>IFERROR(__xludf.DUMMYFUNCTION("GOOGLETRANSLATE(G1969,""EN"",""JA"")"),"標準BSAで調整したクレアチニンと尿素窒素からの推定糸球体濾過率")</f>
        <v>標準BSAで調整したクレアチニンと尿素窒素からの推定糸球体濾過率</v>
      </c>
    </row>
    <row r="1970" ht="13.5" customHeight="1">
      <c r="A1970" s="1" t="s">
        <v>11</v>
      </c>
      <c r="B1970" s="1" t="s">
        <v>9916</v>
      </c>
      <c r="C1970" s="1" t="s">
        <v>9917</v>
      </c>
      <c r="D1970" s="1" t="s">
        <v>9918</v>
      </c>
      <c r="E1970" s="1" t="s">
        <v>9919</v>
      </c>
      <c r="F1970" s="1" t="s">
        <v>9920</v>
      </c>
      <c r="G1970" s="1" t="s">
        <v>9921</v>
      </c>
      <c r="H1970" s="1" t="str">
        <f>IFERROR(__xludf.DUMMYFUNCTION("GOOGLETRANSLATE(D1970,""EN"",""JA"")"),"クレアチン、尿素窒素、アルブミン調整BSAからのGFR")</f>
        <v>クレアチン、尿素窒素、アルブミン調整BSAからのGFR</v>
      </c>
      <c r="I1970" s="1" t="str">
        <f>IFERROR(__xludf.DUMMYFUNCTION("GOOGLETRANSLATE(E1970,""EN"",""JA"")"),"クレアチニン、尿素窒素、アルブミン調整BSAからのGFR；BSA調整クレアチニン、尿素窒素、アルブミンからのGFR")</f>
        <v>クレアチニン、尿素窒素、アルブミン調整BSAからのGFR；BSA調整クレアチニン、尿素窒素、アルブミンからのGFR</v>
      </c>
      <c r="J1970" s="1" t="str">
        <f>IFERROR(__xludf.DUMMYFUNCTION("GOOGLETRANSLATE(F1970,""EN"",""JA"")"),"クレアチニン、尿素窒素、アルブミンに基づいて標準体表面積（1.73m2）に調整された糸球体濾過率の推定値。")</f>
        <v>クレアチニン、尿素窒素、アルブミンに基づいて標準体表面積（1.73m2）に調整された糸球体濾過率の推定値。</v>
      </c>
      <c r="K1970" s="1" t="str">
        <f>IFERROR(__xludf.DUMMYFUNCTION("GOOGLETRANSLATE(G1970,""EN"",""JA"")"),"クレアチニン、尿素窒素、アルブミンから標準BSAに調整した推定糸球体濾過率")</f>
        <v>クレアチニン、尿素窒素、アルブミンから標準BSAに調整した推定糸球体濾過率</v>
      </c>
    </row>
    <row r="1971" ht="13.5" customHeight="1">
      <c r="A1971" s="1" t="s">
        <v>11</v>
      </c>
      <c r="B1971" s="1" t="s">
        <v>9922</v>
      </c>
      <c r="C1971" s="1" t="s">
        <v>9923</v>
      </c>
      <c r="D1971" s="1" t="s">
        <v>9924</v>
      </c>
      <c r="E1971" s="1" t="s">
        <v>9924</v>
      </c>
      <c r="F1971" s="1" t="s">
        <v>9925</v>
      </c>
      <c r="G1971" s="1" t="s">
        <v>9926</v>
      </c>
      <c r="H1971" s="1" t="str">
        <f>IFERROR(__xludf.DUMMYFUNCTION("GOOGLETRANSLATE(D1971,""EN"",""JA"")"),"シスタチンCからのGFR（BSA調整済み）")</f>
        <v>シスタチンCからのGFR（BSA調整済み）</v>
      </c>
      <c r="I1971" s="1" t="str">
        <f>IFERROR(__xludf.DUMMYFUNCTION("GOOGLETRANSLATE(E1971,""EN"",""JA"")"),"シスタチンCからのGFR（BSA調整済み）")</f>
        <v>シスタチンCからのGFR（BSA調整済み）</v>
      </c>
      <c r="J1971" s="1" t="str">
        <f>IFERROR(__xludf.DUMMYFUNCTION("GOOGLETRANSLATE(F1971,""EN"",""JA"")"),"シスタチンCに基づいて標準体表面積（1.73m2）に調整された糸球体濾過率の推定値。")</f>
        <v>シスタチンCに基づいて標準体表面積（1.73m2）に調整された糸球体濾過率の推定値。</v>
      </c>
      <c r="K1971" s="1" t="str">
        <f>IFERROR(__xludf.DUMMYFUNCTION("GOOGLETRANSLATE(G1971,""EN"",""JA"")"),"標準BSAで調整したシスタチンCからの推定糸球体濾過率")</f>
        <v>標準BSAで調整したシスタチンCからの推定糸球体濾過率</v>
      </c>
    </row>
    <row r="1972" ht="13.5" customHeight="1">
      <c r="A1972" s="1" t="s">
        <v>11</v>
      </c>
      <c r="B1972" s="1" t="s">
        <v>9927</v>
      </c>
      <c r="C1972" s="1" t="s">
        <v>9928</v>
      </c>
      <c r="D1972" s="1" t="s">
        <v>9929</v>
      </c>
      <c r="E1972" s="1" t="s">
        <v>9930</v>
      </c>
      <c r="F1972" s="1" t="s">
        <v>9931</v>
      </c>
      <c r="G1972" s="1" t="s">
        <v>9932</v>
      </c>
      <c r="H1972" s="1" t="str">
        <f>IFERROR(__xludf.DUMMYFUNCTION("GOOGLETRANSLATE(D1972,""EN"",""JA"")"),"糸球体濾過率（推定）")</f>
        <v>糸球体濾過率（推定）</v>
      </c>
      <c r="I1972" s="1" t="str">
        <f>IFERROR(__xludf.DUMMYFUNCTION("GOOGLETRANSLATE(E1972,""EN"",""JA"")"),"eGFR; 糸球体濾過率（推定値）")</f>
        <v>eGFR; 糸球体濾過率（推定値）</v>
      </c>
      <c r="J1972" s="1" t="str">
        <f>IFERROR(__xludf.DUMMYFUNCTION("GOOGLETRANSLATE(F1972,""EN"",""JA"")"),"単位時間あたりに腎臓の糸球体からボーマン嚢に濾過される体液量を推定する腎機能検査。体表面積を指標とする場合としない場合があります。")</f>
        <v>単位時間あたりに腎臓の糸球体からボーマン嚢に濾過される体液量を推定する腎機能検査。体表面積を指標とする場合としない場合があります。</v>
      </c>
      <c r="K1972" s="1" t="str">
        <f>IFERROR(__xludf.DUMMYFUNCTION("GOOGLETRANSLATE(G1972,""EN"",""JA"")"),"推定糸球体濾過率")</f>
        <v>推定糸球体濾過率</v>
      </c>
    </row>
    <row r="1973" ht="13.5" customHeight="1">
      <c r="A1973" s="1" t="s">
        <v>11</v>
      </c>
      <c r="B1973" s="1" t="s">
        <v>9933</v>
      </c>
      <c r="C1973" s="1" t="s">
        <v>9934</v>
      </c>
      <c r="D1973" s="1" t="s">
        <v>9935</v>
      </c>
      <c r="E1973" s="1" t="s">
        <v>9936</v>
      </c>
      <c r="F1973" s="1" t="s">
        <v>9937</v>
      </c>
      <c r="G1973" s="1" t="s">
        <v>9938</v>
      </c>
      <c r="H1973" s="1" t="str">
        <f>IFERROR(__xludf.DUMMYFUNCTION("GOOGLETRANSLATE(D1973,""EN"",""JA"")"),"GFR、推定インデックス")</f>
        <v>GFR、推定インデックス</v>
      </c>
      <c r="I1973" s="1" t="str">
        <f>IFERROR(__xludf.DUMMYFUNCTION("GOOGLETRANSLATE(E1973,""EN"",""JA"")"),"eGFR（指数化）; 1.73m2の推定糸球体濾過率調整; GFR（指数化）; 指数化eGFR; 指数化推定糸球体濾過率")</f>
        <v>eGFR（指数化）; 1.73m2の推定糸球体濾過率調整; GFR（指数化）; 指数化eGFR; 指数化推定糸球体濾過率</v>
      </c>
      <c r="J1973" s="1" t="str">
        <f>IFERROR(__xludf.DUMMYFUNCTION("GOOGLETRANSLATE(F1973,""EN"",""JA"")"),"標準化体表面積 (BSA) 値 1.73 m2 を考慮した推定 GFR (eGFR)。")</f>
        <v>標準化体表面積 (BSA) 値 1.73 m2 を考慮した推定 GFR (eGFR)。</v>
      </c>
      <c r="K1973" s="1" t="str">
        <f>IFERROR(__xludf.DUMMYFUNCTION("GOOGLETRANSLATE(G1973,""EN"",""JA"")"),"指数推定糸球体濾過率")</f>
        <v>指数推定糸球体濾過率</v>
      </c>
    </row>
    <row r="1974" ht="13.5" customHeight="1">
      <c r="A1974" s="1" t="s">
        <v>11</v>
      </c>
      <c r="B1974" s="1" t="s">
        <v>9939</v>
      </c>
      <c r="C1974" s="1" t="s">
        <v>9940</v>
      </c>
      <c r="D1974" s="1" t="s">
        <v>9941</v>
      </c>
      <c r="E1974" s="1" t="s">
        <v>9942</v>
      </c>
      <c r="F1974" s="1" t="s">
        <v>9943</v>
      </c>
      <c r="G1974" s="1" t="s">
        <v>9944</v>
      </c>
      <c r="H1974" s="1" t="str">
        <f>IFERROR(__xludf.DUMMYFUNCTION("GOOGLETRANSLATE(D1974,""EN"",""JA"")"),"GFR、推定非指数化")</f>
        <v>GFR、推定非指数化</v>
      </c>
      <c r="I1974" s="1" t="str">
        <f>IFERROR(__xludf.DUMMYFUNCTION("GOOGLETRANSLATE(E1974,""EN"",""JA"")"),"絶対 GFR、非指数化 eGFR、非指数化 eGFR、BSA 調整推定糸球体濾過率、非指数化推定 GFR、個別 eGFR、非指数化 eGFR、非指数化推定糸球体濾過率")</f>
        <v>絶対 GFR、非指数化 eGFR、非指数化 eGFR、BSA 調整推定糸球体濾過率、非指数化推定 GFR、個別 eGFR、非指数化 eGFR、非指数化推定糸球体濾過率</v>
      </c>
      <c r="J1974" s="1" t="str">
        <f>IFERROR(__xludf.DUMMYFUNCTION("GOOGLETRANSLATE(F1974,""EN"",""JA"")"),"個人の実際の体表面積 (BSA) 値を考慮した推定 GFR (eGFR)。")</f>
        <v>個人の実際の体表面積 (BSA) 値を考慮した推定 GFR (eGFR)。</v>
      </c>
      <c r="K1974" s="1" t="str">
        <f>IFERROR(__xludf.DUMMYFUNCTION("GOOGLETRANSLATE(G1974,""EN"",""JA"")"),"非指数化推定糸球体濾過率")</f>
        <v>非指数化推定糸球体濾過率</v>
      </c>
    </row>
    <row r="1975" ht="13.5" customHeight="1">
      <c r="A1975" s="1" t="s">
        <v>11</v>
      </c>
      <c r="B1975" s="1" t="s">
        <v>9945</v>
      </c>
      <c r="C1975" s="1" t="s">
        <v>9946</v>
      </c>
      <c r="D1975" s="1" t="s">
        <v>9947</v>
      </c>
      <c r="E1975" s="1" t="s">
        <v>9948</v>
      </c>
      <c r="F1975" s="1" t="s">
        <v>9949</v>
      </c>
      <c r="G1975" s="1" t="s">
        <v>9950</v>
      </c>
      <c r="H1975" s="1" t="str">
        <f>IFERROR(__xludf.DUMMYFUNCTION("GOOGLETRANSLATE(D1975,""EN"",""JA"")"),"aBSAに対するB-2ミクログロブリン調整からのGFR")</f>
        <v>aBSAに対するB-2ミクログロブリン調整からのGFR</v>
      </c>
      <c r="I1975" s="1" t="str">
        <f>IFERROR(__xludf.DUMMYFUNCTION("GOOGLETRANSLATE(E1975,""EN"",""JA"")"),"aBSA に合わせて調整された B-2 ミクログロブリンからの GFR; 実際の BSA に合わせて調整された B-2 ミクログロブリンからの GFR")</f>
        <v>aBSA に合わせて調整された B-2 ミクログロブリンからの GFR; 実際の BSA に合わせて調整された B-2 ミクログロブリンからの GFR</v>
      </c>
      <c r="J1975" s="1" t="str">
        <f>IFERROR(__xludf.DUMMYFUNCTION("GOOGLETRANSLATE(F1975,""EN"",""JA"")"),"個人の実際の体表面積値に合わせて調整した後、ベータ 2 ミクログロブリンのクリアランスに基づいて糸球体濾過率 (GFR) を直接測定します。")</f>
        <v>個人の実際の体表面積値に合わせて調整した後、ベータ 2 ミクログロブリンのクリアランスに基づいて糸球体濾過率 (GFR) を直接測定します。</v>
      </c>
      <c r="K1975" s="1" t="str">
        <f>IFERROR(__xludf.DUMMYFUNCTION("GOOGLETRANSLATE(G1975,""EN"",""JA"")"),"実際のBSA測定値に合わせて調整されたB-2ミクログロブリンからの糸球体濾過率")</f>
        <v>実際のBSA測定値に合わせて調整されたB-2ミクログロブリンからの糸球体濾過率</v>
      </c>
    </row>
    <row r="1976" ht="13.5" customHeight="1">
      <c r="A1976" s="1" t="s">
        <v>11</v>
      </c>
      <c r="B1976" s="1" t="s">
        <v>9951</v>
      </c>
      <c r="C1976" s="1" t="s">
        <v>9952</v>
      </c>
      <c r="D1976" s="1" t="s">
        <v>9953</v>
      </c>
      <c r="E1976" s="1" t="s">
        <v>9954</v>
      </c>
      <c r="F1976" s="1" t="s">
        <v>9955</v>
      </c>
      <c r="G1976" s="1" t="s">
        <v>9956</v>
      </c>
      <c r="H1976" s="1" t="str">
        <f>IFERROR(__xludf.DUMMYFUNCTION("GOOGLETRANSLATE(D1976,""EN"",""JA"")"),"aBSA のベータトレースタンパク質調整からの GFR")</f>
        <v>aBSA のベータトレースタンパク質調整からの GFR</v>
      </c>
      <c r="I1976" s="1" t="str">
        <f>IFERROR(__xludf.DUMMYFUNCTION("GOOGLETRANSLATE(E1976,""EN"",""JA"")"),"aBSA に対するベータトレースタンパク質調整からの GFR; 実際の BSA に対して調整されたベータトレースタンパク質からの GFR")</f>
        <v>aBSA に対するベータトレースタンパク質調整からの GFR; 実際の BSA に対して調整されたベータトレースタンパク質からの GFR</v>
      </c>
      <c r="J1976" s="1" t="str">
        <f>IFERROR(__xludf.DUMMYFUNCTION("GOOGLETRANSLATE(F1976,""EN"",""JA"")"),"個人の実際の体表面積値に合わせて調整した後、ベータトレースタンパク質のクリアランスに基づいて糸球体濾過率 (GFR) を直接測定します。")</f>
        <v>個人の実際の体表面積値に合わせて調整した後、ベータトレースタンパク質のクリアランスに基づいて糸球体濾過率 (GFR) を直接測定します。</v>
      </c>
      <c r="K1976" s="1" t="str">
        <f>IFERROR(__xludf.DUMMYFUNCTION("GOOGLETRANSLATE(G1976,""EN"",""JA"")"),"実際のBSA測定値に合わせて調整されたベータトレースタンパク質からの糸球体濾過率")</f>
        <v>実際のBSA測定値に合わせて調整されたベータトレースタンパク質からの糸球体濾過率</v>
      </c>
    </row>
    <row r="1977" ht="13.5" customHeight="1">
      <c r="A1977" s="1" t="s">
        <v>11</v>
      </c>
      <c r="B1977" s="1" t="s">
        <v>9957</v>
      </c>
      <c r="C1977" s="1" t="s">
        <v>9958</v>
      </c>
      <c r="D1977" s="1" t="s">
        <v>9959</v>
      </c>
      <c r="E1977" s="1" t="s">
        <v>9959</v>
      </c>
      <c r="F1977" s="1" t="s">
        <v>9960</v>
      </c>
      <c r="G1977" s="1" t="s">
        <v>9961</v>
      </c>
      <c r="H1977" s="1" t="str">
        <f>IFERROR(__xludf.DUMMYFUNCTION("GOOGLETRANSLATE(D1977,""EN"",""JA"")"),"シスタチンCとクレアチン調整aBSAからのGFR")</f>
        <v>シスタチンCとクレアチン調整aBSAからのGFR</v>
      </c>
      <c r="I1977" s="1" t="str">
        <f>IFERROR(__xludf.DUMMYFUNCTION("GOOGLETRANSLATE(E1977,""EN"",""JA"")"),"シスタチンCとクレアチン調整aBSAからのGFR")</f>
        <v>シスタチンCとクレアチン調整aBSAからのGFR</v>
      </c>
      <c r="J1977" s="1" t="str">
        <f>IFERROR(__xludf.DUMMYFUNCTION("GOOGLETRANSLATE(F1977,""EN"",""JA"")"),"シスタチン C とクレアチニンに基づいて、個人の実際の体表面積に合わせて調整された糸球体濾過率の推定値。")</f>
        <v>シスタチン C とクレアチニンに基づいて、個人の実際の体表面積に合わせて調整された糸球体濾過率の推定値。</v>
      </c>
      <c r="K1977" s="1" t="str">
        <f>IFERROR(__xludf.DUMMYFUNCTION("GOOGLETRANSLATE(G1977,""EN"",""JA"")"),"実際のBSAで調整したシスタチンCとクレアチニンからの糸球体濾過率")</f>
        <v>実際のBSAで調整したシスタチンCとクレアチニンからの糸球体濾過率</v>
      </c>
    </row>
    <row r="1978" ht="13.5" customHeight="1">
      <c r="A1978" s="1" t="s">
        <v>11</v>
      </c>
      <c r="B1978" s="1" t="s">
        <v>9962</v>
      </c>
      <c r="C1978" s="1" t="s">
        <v>9963</v>
      </c>
      <c r="D1978" s="1" t="s">
        <v>9964</v>
      </c>
      <c r="E1978" s="1" t="s">
        <v>9965</v>
      </c>
      <c r="F1978" s="1" t="s">
        <v>9966</v>
      </c>
      <c r="G1978" s="1" t="s">
        <v>9967</v>
      </c>
      <c r="H1978" s="1" t="str">
        <f>IFERROR(__xludf.DUMMYFUNCTION("GOOGLETRANSLATE(D1978,""EN"",""JA"")"),"aBSA調整クレアチニンからのGFR")</f>
        <v>aBSA調整クレアチニンからのGFR</v>
      </c>
      <c r="I1978" s="1" t="str">
        <f>IFERROR(__xludf.DUMMYFUNCTION("GOOGLETRANSLATE(E1978,""EN"",""JA"")"),"aBSA で調整したクレアチニンからの GFR; 実際の BSA で調整したクレアチニンからの GFR")</f>
        <v>aBSA で調整したクレアチニンからの GFR; 実際の BSA で調整したクレアチニンからの GFR</v>
      </c>
      <c r="J1978" s="1" t="str">
        <f>IFERROR(__xludf.DUMMYFUNCTION("GOOGLETRANSLATE(F1978,""EN"",""JA"")"),"クレアチニンに基づいて個人の実際の体表面積に合わせて調整された糸球体濾過率の推定値。")</f>
        <v>クレアチニンに基づいて個人の実際の体表面積に合わせて調整された糸球体濾過率の推定値。</v>
      </c>
      <c r="K1978" s="1" t="str">
        <f>IFERROR(__xludf.DUMMYFUNCTION("GOOGLETRANSLATE(G1978,""EN"",""JA"")"),"実際のBSAで調整されたクレアチニンからの糸球体濾過率")</f>
        <v>実際のBSAで調整されたクレアチニンからの糸球体濾過率</v>
      </c>
    </row>
    <row r="1979" ht="13.5" customHeight="1">
      <c r="A1979" s="1" t="s">
        <v>11</v>
      </c>
      <c r="B1979" s="1" t="s">
        <v>9968</v>
      </c>
      <c r="C1979" s="1" t="s">
        <v>9969</v>
      </c>
      <c r="D1979" s="1" t="s">
        <v>9970</v>
      </c>
      <c r="E1979" s="1" t="s">
        <v>9971</v>
      </c>
      <c r="F1979" s="1" t="s">
        <v>9972</v>
      </c>
      <c r="G1979" s="1" t="s">
        <v>9973</v>
      </c>
      <c r="H1979" s="1" t="str">
        <f>IFERROR(__xludf.DUMMYFUNCTION("GOOGLETRANSLATE(D1979,""EN"",""JA"")"),"クレアチンおよび尿素N調整aBSAからのGFR")</f>
        <v>クレアチンおよび尿素N調整aBSAからのGFR</v>
      </c>
      <c r="I1979" s="1" t="str">
        <f>IFERROR(__xludf.DUMMYFUNCTION("GOOGLETRANSLATE(E1979,""EN"",""JA"")"),"クレアチニンと尿素窒素の調整によるGFR（BSA換算）；クレアチニンと尿素窒素の調整によるGFR（BSA換算）")</f>
        <v>クレアチニンと尿素窒素の調整によるGFR（BSA換算）；クレアチニンと尿素窒素の調整によるGFR（BSA換算）</v>
      </c>
      <c r="J1979" s="1" t="str">
        <f>IFERROR(__xludf.DUMMYFUNCTION("GOOGLETRANSLATE(F1979,""EN"",""JA"")"),"クレアチニンと尿素窒素に基づいて個人の実際の体表面積に合わせて調整された糸球体濾過率の推定値。")</f>
        <v>クレアチニンと尿素窒素に基づいて個人の実際の体表面積に合わせて調整された糸球体濾過率の推定値。</v>
      </c>
      <c r="K1979" s="1" t="str">
        <f>IFERROR(__xludf.DUMMYFUNCTION("GOOGLETRANSLATE(G1979,""EN"",""JA"")"),"クレアチニンと尿素窒素から算出した糸球体濾過率を実際の体表面積の測定値に合わせて調整")</f>
        <v>クレアチニンと尿素窒素から算出した糸球体濾過率を実際の体表面積の測定値に合わせて調整</v>
      </c>
    </row>
    <row r="1980" ht="13.5" customHeight="1">
      <c r="A1980" s="1" t="s">
        <v>11</v>
      </c>
      <c r="B1980" s="1" t="s">
        <v>9974</v>
      </c>
      <c r="C1980" s="1" t="s">
        <v>9975</v>
      </c>
      <c r="D1980" s="1" t="s">
        <v>9976</v>
      </c>
      <c r="E1980" s="1" t="s">
        <v>9977</v>
      </c>
      <c r="F1980" s="1" t="s">
        <v>9978</v>
      </c>
      <c r="G1980" s="1" t="s">
        <v>9979</v>
      </c>
      <c r="H1980" s="1" t="str">
        <f>IFERROR(__xludf.DUMMYFUNCTION("GOOGLETRANSLATE(D1980,""EN"",""JA"")"),"クレアチン、尿素N、アルブミン調整aBSAからのGFR")</f>
        <v>クレアチン、尿素N、アルブミン調整aBSAからのGFR</v>
      </c>
      <c r="I1980" s="1" t="str">
        <f>IFERROR(__xludf.DUMMYFUNCTION("GOOGLETRANSLATE(E1980,""EN"",""JA"")"),"クレアチニン、尿素窒素、アルブミン調整 aBSA からの GFR; クレアチニン、尿素窒素、アルブミンからの GFR を実際の BSA に合わせて調整")</f>
        <v>クレアチニン、尿素窒素、アルブミン調整 aBSA からの GFR; クレアチニン、尿素窒素、アルブミンからの GFR を実際の BSA に合わせて調整</v>
      </c>
      <c r="J1980" s="1" t="str">
        <f>IFERROR(__xludf.DUMMYFUNCTION("GOOGLETRANSLATE(F1980,""EN"",""JA"")"),"クレアチニン、尿素窒素、アルブミンに基づいて個人の実際の体表面積に合わせて調整された糸球体濾過率の推定値。")</f>
        <v>クレアチニン、尿素窒素、アルブミンに基づいて個人の実際の体表面積に合わせて調整された糸球体濾過率の推定値。</v>
      </c>
      <c r="K1980" s="1" t="str">
        <f>IFERROR(__xludf.DUMMYFUNCTION("GOOGLETRANSLATE(G1980,""EN"",""JA"")"),"クレアチニン、尿素窒素、アルブミンから算出した糸球体濾過率を実際の体表面積測定に合わせて調整")</f>
        <v>クレアチニン、尿素窒素、アルブミンから算出した糸球体濾過率を実際の体表面積測定に合わせて調整</v>
      </c>
    </row>
    <row r="1981" ht="13.5" customHeight="1">
      <c r="A1981" s="1" t="s">
        <v>11</v>
      </c>
      <c r="B1981" s="1" t="s">
        <v>9980</v>
      </c>
      <c r="C1981" s="1" t="s">
        <v>9981</v>
      </c>
      <c r="D1981" s="1" t="s">
        <v>9982</v>
      </c>
      <c r="E1981" s="1" t="s">
        <v>9983</v>
      </c>
      <c r="F1981" s="1" t="s">
        <v>9984</v>
      </c>
      <c r="G1981" s="1" t="s">
        <v>9985</v>
      </c>
      <c r="H1981" s="1" t="str">
        <f>IFERROR(__xludf.DUMMYFUNCTION("GOOGLETRANSLATE(D1981,""EN"",""JA"")"),"aBSA調整後のシスタチンCのGFR")</f>
        <v>aBSA調整後のシスタチンCのGFR</v>
      </c>
      <c r="I1981" s="1" t="str">
        <f>IFERROR(__xludf.DUMMYFUNCTION("GOOGLETRANSLATE(E1981,""EN"",""JA"")"),"aBSA調整後のシスタチンCからのGFR; 実際のBSA調整後のシスタチンCからのGFR")</f>
        <v>aBSA調整後のシスタチンCからのGFR; 実際のBSA調整後のシスタチンCからのGFR</v>
      </c>
      <c r="J1981" s="1" t="str">
        <f>IFERROR(__xludf.DUMMYFUNCTION("GOOGLETRANSLATE(F1981,""EN"",""JA"")"),"シスタチン C に基づいて個人の実際の体表面積に合わせて調整された糸球体濾過率の推定値。")</f>
        <v>シスタチン C に基づいて個人の実際の体表面積に合わせて調整された糸球体濾過率の推定値。</v>
      </c>
      <c r="K1981" s="1" t="str">
        <f>IFERROR(__xludf.DUMMYFUNCTION("GOOGLETRANSLATE(G1981,""EN"",""JA"")"),"実際のBSAで調整したシスタチンCからの糸球体濾過率")</f>
        <v>実際のBSAで調整したシスタチンCからの糸球体濾過率</v>
      </c>
    </row>
    <row r="1982" ht="13.5" customHeight="1">
      <c r="A1982" s="1" t="s">
        <v>11</v>
      </c>
      <c r="B1982" s="1" t="s">
        <v>9986</v>
      </c>
      <c r="C1982" s="1" t="s">
        <v>9987</v>
      </c>
      <c r="D1982" s="1" t="s">
        <v>9988</v>
      </c>
      <c r="E1982" s="1" t="s">
        <v>9988</v>
      </c>
      <c r="F1982" s="1" t="s">
        <v>9989</v>
      </c>
      <c r="G1982" s="1" t="s">
        <v>9990</v>
      </c>
      <c r="H1982" s="1" t="str">
        <f>IFERROR(__xludf.DUMMYFUNCTION("GOOGLETRANSLATE(D1982,""EN"",""JA"")"),"ガンマグルタミルトランスフェラーゼ")</f>
        <v>ガンマグルタミルトランスフェラーゼ</v>
      </c>
      <c r="I1982" s="1" t="str">
        <f>IFERROR(__xludf.DUMMYFUNCTION("GOOGLETRANSLATE(E1982,""EN"",""JA"")"),"ガンマグルタミルトランスフェラーゼ")</f>
        <v>ガンマグルタミルトランスフェラーゼ</v>
      </c>
      <c r="J1982" s="1" t="str">
        <f>IFERROR(__xludf.DUMMYFUNCTION("GOOGLETRANSLATE(F1982,""EN"",""JA"")"),"生物標本中のガンマグルタミルトランスフェラーゼの測定。")</f>
        <v>生物標本中のガンマグルタミルトランスフェラーゼの測定。</v>
      </c>
      <c r="K1982" s="1" t="str">
        <f>IFERROR(__xludf.DUMMYFUNCTION("GOOGLETRANSLATE(G1982,""EN"",""JA"")"),"ガンマグルタミルトランスペプチダーゼ測定")</f>
        <v>ガンマグルタミルトランスペプチダーゼ測定</v>
      </c>
    </row>
    <row r="1983" ht="13.5" customHeight="1">
      <c r="A1983" s="1" t="s">
        <v>11</v>
      </c>
      <c r="B1983" s="1" t="s">
        <v>9991</v>
      </c>
      <c r="C1983" s="1" t="s">
        <v>9992</v>
      </c>
      <c r="D1983" s="1" t="s">
        <v>9993</v>
      </c>
      <c r="E1983" s="1" t="s">
        <v>9993</v>
      </c>
      <c r="F1983" s="1" t="s">
        <v>9994</v>
      </c>
      <c r="G1983" s="1" t="s">
        <v>9995</v>
      </c>
      <c r="H1983" s="1" t="str">
        <f>IFERROR(__xludf.DUMMYFUNCTION("GOOGLETRANSLATE(D1983,""EN"",""JA"")"),"ガンマグルタミルトランスフェラーゼ/クレアチニン")</f>
        <v>ガンマグルタミルトランスフェラーゼ/クレアチニン</v>
      </c>
      <c r="I1983" s="1" t="str">
        <f>IFERROR(__xludf.DUMMYFUNCTION("GOOGLETRANSLATE(E1983,""EN"",""JA"")"),"ガンマグルタミルトランスフェラーゼ/クレアチニン")</f>
        <v>ガンマグルタミルトランスフェラーゼ/クレアチニン</v>
      </c>
      <c r="J1983" s="1" t="str">
        <f>IFERROR(__xludf.DUMMYFUNCTION("GOOGLETRANSLATE(F1983,""EN"",""JA"")"),"生物標本中のγ-グルタミルトランスフェラーゼとクレアチニンの相対測定値（比率またはパーセンテージ）。")</f>
        <v>生物標本中のγ-グルタミルトランスフェラーゼとクレアチニンの相対測定値（比率またはパーセンテージ）。</v>
      </c>
      <c r="K1983" s="1" t="str">
        <f>IFERROR(__xludf.DUMMYFUNCTION("GOOGLETRANSLATE(G1983,""EN"",""JA"")"),"γ-グルタミルトランスフェラーゼ対クレアチニン比測定")</f>
        <v>γ-グルタミルトランスフェラーゼ対クレアチニン比測定</v>
      </c>
    </row>
    <row r="1984" ht="13.5" customHeight="1">
      <c r="A1984" s="1" t="s">
        <v>11</v>
      </c>
      <c r="B1984" s="1" t="s">
        <v>9996</v>
      </c>
      <c r="C1984" s="1" t="s">
        <v>9997</v>
      </c>
      <c r="D1984" s="1" t="s">
        <v>9998</v>
      </c>
      <c r="E1984" s="1" t="s">
        <v>9999</v>
      </c>
      <c r="F1984" s="1" t="s">
        <v>10000</v>
      </c>
      <c r="G1984" s="1" t="s">
        <v>9999</v>
      </c>
      <c r="H1984" s="1" t="str">
        <f>IFERROR(__xludf.DUMMYFUNCTION("GOOGLETRANSLATE(D1984,""EN"",""JA"")"),"ガンマグルタミルトランスフェラーゼ排泄率")</f>
        <v>ガンマグルタミルトランスフェラーゼ排泄率</v>
      </c>
      <c r="I1984" s="1" t="str">
        <f>IFERROR(__xludf.DUMMYFUNCTION("GOOGLETRANSLATE(E1984,""EN"",""JA"")"),"γ-グルタミルトランスフェラーゼ排泄率")</f>
        <v>γ-グルタミルトランスフェラーゼ排泄率</v>
      </c>
      <c r="J1984" s="1" t="str">
        <f>IFERROR(__xludf.DUMMYFUNCTION("GOOGLETRANSLATE(F1984,""EN"",""JA"")"),"定義された時間（例：1 時間）にわたって生物標本中に排出されるガンマグルタミルトランスフェラーゼの量を測定します。")</f>
        <v>定義された時間（例：1 時間）にわたって生物標本中に排出されるガンマグルタミルトランスフェラーゼの量を測定します。</v>
      </c>
      <c r="K1984" s="1" t="str">
        <f>IFERROR(__xludf.DUMMYFUNCTION("GOOGLETRANSLATE(G1984,""EN"",""JA"")"),"γ-グルタミルトランスフェラーゼ排泄率")</f>
        <v>γ-グルタミルトランスフェラーゼ排泄率</v>
      </c>
    </row>
    <row r="1985" ht="13.5" customHeight="1">
      <c r="A1985" s="1" t="s">
        <v>11</v>
      </c>
      <c r="B1985" s="1" t="s">
        <v>10001</v>
      </c>
      <c r="C1985" s="1" t="s">
        <v>10002</v>
      </c>
      <c r="D1985" s="1" t="s">
        <v>10003</v>
      </c>
      <c r="E1985" s="1" t="s">
        <v>10004</v>
      </c>
      <c r="F1985" s="1" t="s">
        <v>10005</v>
      </c>
      <c r="G1985" s="1" t="s">
        <v>10006</v>
      </c>
      <c r="H1985" s="1" t="str">
        <f>IFERROR(__xludf.DUMMYFUNCTION("GOOGLETRANSLATE(D1985,""EN"",""JA"")"),"ガンマ-ヒドロキシ酪酸")</f>
        <v>ガンマ-ヒドロキシ酪酸</v>
      </c>
      <c r="I1985" s="1" t="str">
        <f>IFERROR(__xludf.DUMMYFUNCTION("GOOGLETRANSLATE(E1985,""EN"",""JA"")"),"4-ヒドロキシブタン酸; γ-ヒドロキシ酪酸; γ-ヒドロキシ酪酸")</f>
        <v>4-ヒドロキシブタン酸; γ-ヒドロキシ酪酸; γ-ヒドロキシ酪酸</v>
      </c>
      <c r="J1985" s="1" t="str">
        <f>IFERROR(__xludf.DUMMYFUNCTION("GOOGLETRANSLATE(F1985,""EN"",""JA"")"),"生物標本中のγ-ヒドロキシ酪酸の測定。")</f>
        <v>生物標本中のγ-ヒドロキシ酪酸の測定。</v>
      </c>
      <c r="K1985" s="1" t="str">
        <f>IFERROR(__xludf.DUMMYFUNCTION("GOOGLETRANSLATE(G1985,""EN"",""JA"")"),"ガンマヒドロキシ酪酸測定")</f>
        <v>ガンマヒドロキシ酪酸測定</v>
      </c>
    </row>
    <row r="1986" ht="13.5" customHeight="1">
      <c r="A1986" s="1" t="s">
        <v>11</v>
      </c>
      <c r="B1986" s="1" t="s">
        <v>10007</v>
      </c>
      <c r="C1986" s="1" t="s">
        <v>10008</v>
      </c>
      <c r="D1986" s="1" t="s">
        <v>10009</v>
      </c>
      <c r="E1986" s="1" t="s">
        <v>10010</v>
      </c>
      <c r="F1986" s="1" t="s">
        <v>10011</v>
      </c>
      <c r="G1986" s="1" t="s">
        <v>10012</v>
      </c>
      <c r="H1986" s="1" t="str">
        <f>IFERROR(__xludf.DUMMYFUNCTION("GOOGLETRANSLATE(D1986,""EN"",""JA"")"),"成長ホルモン結合タンパク質")</f>
        <v>成長ホルモン結合タンパク質</v>
      </c>
      <c r="I1986" s="1" t="str">
        <f>IFERROR(__xludf.DUMMYFUNCTION("GOOGLETRANSLATE(E1986,""EN"",""JA"")"),"GH結合タンパク質; 成長ホルモン結合タンパク質; ソマトトロピン受容体")</f>
        <v>GH結合タンパク質; 成長ホルモン結合タンパク質; ソマトトロピン受容体</v>
      </c>
      <c r="J1986" s="1" t="str">
        <f>IFERROR(__xludf.DUMMYFUNCTION("GOOGLETRANSLATE(F1986,""EN"",""JA"")"),"生物標本中の成長ホルモン結合タンパク質の測定。")</f>
        <v>生物標本中の成長ホルモン結合タンパク質の測定。</v>
      </c>
      <c r="K1986" s="1" t="str">
        <f>IFERROR(__xludf.DUMMYFUNCTION("GOOGLETRANSLATE(G1986,""EN"",""JA"")"),"成長ホルモン結合タンパク質測定")</f>
        <v>成長ホルモン結合タンパク質測定</v>
      </c>
    </row>
    <row r="1987" ht="13.5" customHeight="1">
      <c r="A1987" s="1" t="s">
        <v>134</v>
      </c>
      <c r="B1987" s="1" t="s">
        <v>10013</v>
      </c>
      <c r="C1987" s="1" t="s">
        <v>10014</v>
      </c>
      <c r="D1987" s="1" t="s">
        <v>10015</v>
      </c>
      <c r="E1987" s="1" t="s">
        <v>10016</v>
      </c>
      <c r="F1987" s="1" t="s">
        <v>10017</v>
      </c>
      <c r="G1987" s="1" t="s">
        <v>10018</v>
      </c>
      <c r="H1987" s="1" t="str">
        <f>IFERROR(__xludf.DUMMYFUNCTION("GOOGLETRANSLATE(D1987,""EN"",""JA"")"),"一般病理組織検査、Qual")</f>
        <v>一般病理組織検査、Qual</v>
      </c>
      <c r="I1987" s="1" t="str">
        <f>IFERROR(__xludf.DUMMYFUNCTION("GOOGLETRANSLATE(E1987,""EN"",""JA"")"),"一般組織病理学的検査、定性的; 一般組織病理学的検査、定性的")</f>
        <v>一般組織病理学的検査、定性的; 一般組織病理学的検査、定性的</v>
      </c>
      <c r="J1987" s="1" t="str">
        <f>IFERROR(__xludf.DUMMYFUNCTION("GOOGLETRANSLATE(F1987,""EN"",""JA"")"),"病理学的所見の有無を判断するための組織切片の定性的な顕微鏡検査。この用語は、非標的検査に使用されることを意図しています。")</f>
        <v>病理学的所見の有無を判断するための組織切片の定性的な顕微鏡検査。この用語は、非標的検査に使用されることを意図しています。</v>
      </c>
      <c r="K1987" s="1" t="str">
        <f>IFERROR(__xludf.DUMMYFUNCTION("GOOGLETRANSLATE(G1987,""EN"",""JA"")"),"定性的組織病理学的検査")</f>
        <v>定性的組織病理学的検査</v>
      </c>
    </row>
    <row r="1988" ht="13.5" customHeight="1">
      <c r="A1988" s="1" t="s">
        <v>11</v>
      </c>
      <c r="B1988" s="1" t="s">
        <v>10019</v>
      </c>
      <c r="C1988" s="1" t="s">
        <v>10020</v>
      </c>
      <c r="D1988" s="1" t="s">
        <v>10021</v>
      </c>
      <c r="E1988" s="1" t="s">
        <v>10022</v>
      </c>
      <c r="F1988" s="1" t="s">
        <v>10023</v>
      </c>
      <c r="G1988" s="1" t="s">
        <v>10024</v>
      </c>
      <c r="H1988" s="1" t="str">
        <f>IFERROR(__xludf.DUMMYFUNCTION("GOOGLETRANSLATE(D1988,""EN"",""JA"")"),"グレリン")</f>
        <v>グレリン</v>
      </c>
      <c r="I1988" s="1" t="str">
        <f>IFERROR(__xludf.DUMMYFUNCTION("GOOGLETRANSLATE(E1988,""EN"",""JA"")"),"グレリン; 成長ホルモン分泌促進因子受容体リガンド; モチリン関連ペプチド; 総グレリン")</f>
        <v>グレリン; 成長ホルモン分泌促進因子受容体リガンド; モチリン関連ペプチド; 総グレリン</v>
      </c>
      <c r="J1988" s="1" t="str">
        <f>IFERROR(__xludf.DUMMYFUNCTION("GOOGLETRANSLATE(F1988,""EN"",""JA"")"),"生物標本中の総グレリンの測定。")</f>
        <v>生物標本中の総グレリンの測定。</v>
      </c>
      <c r="K1988" s="1" t="str">
        <f>IFERROR(__xludf.DUMMYFUNCTION("GOOGLETRANSLATE(G1988,""EN"",""JA"")"),"グレリン測定")</f>
        <v>グレリン測定</v>
      </c>
    </row>
    <row r="1989" ht="13.5" customHeight="1">
      <c r="A1989" s="1" t="s">
        <v>11</v>
      </c>
      <c r="B1989" s="1" t="s">
        <v>10025</v>
      </c>
      <c r="C1989" s="1" t="s">
        <v>10026</v>
      </c>
      <c r="D1989" s="1" t="s">
        <v>10027</v>
      </c>
      <c r="E1989" s="1" t="s">
        <v>10027</v>
      </c>
      <c r="F1989" s="1" t="s">
        <v>10028</v>
      </c>
      <c r="G1989" s="1" t="s">
        <v>10029</v>
      </c>
      <c r="H1989" s="1" t="str">
        <f>IFERROR(__xludf.DUMMYFUNCTION("GOOGLETRANSLATE(D1989,""EN"",""JA"")"),"活性グレリン")</f>
        <v>活性グレリン</v>
      </c>
      <c r="I1989" s="1" t="str">
        <f>IFERROR(__xludf.DUMMYFUNCTION("GOOGLETRANSLATE(E1989,""EN"",""JA"")"),"活性グレリン")</f>
        <v>活性グレリン</v>
      </c>
      <c r="J1989" s="1" t="str">
        <f>IFERROR(__xludf.DUMMYFUNCTION("GOOGLETRANSLATE(F1989,""EN"",""JA"")"),"生物標本中の活性グレリンの測定。")</f>
        <v>生物標本中の活性グレリンの測定。</v>
      </c>
      <c r="K1989" s="1" t="str">
        <f>IFERROR(__xludf.DUMMYFUNCTION("GOOGLETRANSLATE(G1989,""EN"",""JA"")"),"活性グレリン測定")</f>
        <v>活性グレリン測定</v>
      </c>
    </row>
    <row r="1990" ht="13.5" customHeight="1">
      <c r="A1990" s="1" t="s">
        <v>67</v>
      </c>
      <c r="B1990" s="1" t="s">
        <v>10030</v>
      </c>
      <c r="C1990" s="1" t="s">
        <v>10031</v>
      </c>
      <c r="D1990" s="1" t="s">
        <v>10032</v>
      </c>
      <c r="E1990" s="1" t="s">
        <v>10032</v>
      </c>
      <c r="F1990" s="1" t="s">
        <v>10033</v>
      </c>
      <c r="G1990" s="1" t="s">
        <v>10034</v>
      </c>
      <c r="H1990" s="1" t="str">
        <f>IFERROR(__xludf.DUMMYFUNCTION("GOOGLETRANSLATE(D1990,""EN"",""JA"")"),"ジアルジアDNA")</f>
        <v>ジアルジアDNA</v>
      </c>
      <c r="I1990" s="1" t="str">
        <f>IFERROR(__xludf.DUMMYFUNCTION("GOOGLETRANSLATE(E1990,""EN"",""JA"")"),"ジアルジアDNA")</f>
        <v>ジアルジアDNA</v>
      </c>
      <c r="J1990" s="1" t="str">
        <f>IFERROR(__xludf.DUMMYFUNCTION("GOOGLETRANSLATE(F1990,""EN"",""JA"")"),"生物標本中のジアルジア属の任意のメンバーの DNA の測定。")</f>
        <v>生物標本中のジアルジア属の任意のメンバーの DNA の測定。</v>
      </c>
      <c r="K1990" s="1" t="str">
        <f>IFERROR(__xludf.DUMMYFUNCTION("GOOGLETRANSLATE(G1990,""EN"",""JA"")"),"ジアルジアDNA測定")</f>
        <v>ジアルジアDNA測定</v>
      </c>
    </row>
    <row r="1991" ht="13.5" customHeight="1">
      <c r="A1991" s="1" t="s">
        <v>11</v>
      </c>
      <c r="B1991" s="1" t="s">
        <v>10035</v>
      </c>
      <c r="C1991" s="1" t="s">
        <v>10036</v>
      </c>
      <c r="D1991" s="1" t="s">
        <v>10037</v>
      </c>
      <c r="E1991" s="1" t="s">
        <v>10038</v>
      </c>
      <c r="F1991" s="1" t="s">
        <v>10039</v>
      </c>
      <c r="G1991" s="1" t="s">
        <v>10040</v>
      </c>
      <c r="H1991" s="1" t="str">
        <f>IFERROR(__xludf.DUMMYFUNCTION("GOOGLETRANSLATE(D1991,""EN"",""JA"")"),"グルコース依存型インスリン分泌促進剤（無傷）")</f>
        <v>グルコース依存型インスリン分泌促進剤（無傷）</v>
      </c>
      <c r="I1991" s="1" t="str">
        <f>IFERROR(__xludf.DUMMYFUNCTION("GOOGLETRANSLATE(E1991,""EN"",""JA"")"),"グルコース依存性インスリン分泌促進ペプチド（完全型）、胃抑制ポリペプチド（完全型）、GIP（完全型）、グルコース依存性インスリン分泌促進ペプチド（完全型）")</f>
        <v>グルコース依存性インスリン分泌促進ペプチド（完全型）、胃抑制ポリペプチド（完全型）、GIP（完全型）、グルコース依存性インスリン分泌促進ペプチド（完全型）</v>
      </c>
      <c r="J1991" s="1" t="str">
        <f>IFERROR(__xludf.DUMMYFUNCTION("GOOGLETRANSLATE(F1991,""EN"",""JA"")"),"生物標本中の完全な（アミノ酸 1 ～ 42 を含む）グルコース依存性インスリン分泌刺激ペプチドの測定。")</f>
        <v>生物標本中の完全な（アミノ酸 1 ～ 42 を含む）グルコース依存性インスリン分泌刺激ペプチドの測定。</v>
      </c>
      <c r="K1991" s="1" t="str">
        <f>IFERROR(__xludf.DUMMYFUNCTION("GOOGLETRANSLATE(G1991,""EN"",""JA"")"),"完全グルコース依存性インスリン分泌ペプチド測定")</f>
        <v>完全グルコース依存性インスリン分泌ペプチド測定</v>
      </c>
    </row>
    <row r="1992" ht="13.5" customHeight="1">
      <c r="A1992" s="1" t="s">
        <v>11</v>
      </c>
      <c r="B1992" s="1" t="s">
        <v>10041</v>
      </c>
      <c r="C1992" s="1" t="s">
        <v>10042</v>
      </c>
      <c r="D1992" s="1" t="s">
        <v>10043</v>
      </c>
      <c r="E1992" s="1" t="s">
        <v>10044</v>
      </c>
      <c r="F1992" s="1" t="s">
        <v>10045</v>
      </c>
      <c r="G1992" s="1" t="s">
        <v>10046</v>
      </c>
      <c r="H1992" s="1" t="str">
        <f>IFERROR(__xludf.DUMMYFUNCTION("GOOGLETRANSLATE(D1992,""EN"",""JA"")"),"グルコシルセラミド")</f>
        <v>グルコシルセラミド</v>
      </c>
      <c r="I1992" s="1" t="str">
        <f>IFERROR(__xludf.DUMMYFUNCTION("GOOGLETRANSLATE(E1992,""EN"",""JA"")"),"GL1; グルコセレブロシド; グルコシルセラミド")</f>
        <v>GL1; グルコセレブロシド; グルコシルセラミド</v>
      </c>
      <c r="J1992" s="1" t="str">
        <f>IFERROR(__xludf.DUMMYFUNCTION("GOOGLETRANSLATE(F1992,""EN"",""JA"")"),"生物標本中のグルコシルセラミドの測定。")</f>
        <v>生物標本中のグルコシルセラミドの測定。</v>
      </c>
      <c r="K1992" s="1" t="str">
        <f>IFERROR(__xludf.DUMMYFUNCTION("GOOGLETRANSLATE(G1992,""EN"",""JA"")"),"グルコシルセラミド測定")</f>
        <v>グルコシルセラミド測定</v>
      </c>
    </row>
    <row r="1993" ht="13.5" customHeight="1">
      <c r="A1993" s="1" t="s">
        <v>67</v>
      </c>
      <c r="B1993" s="1" t="s">
        <v>10047</v>
      </c>
      <c r="C1993" s="1" t="s">
        <v>10048</v>
      </c>
      <c r="D1993" s="1" t="s">
        <v>10049</v>
      </c>
      <c r="E1993" s="1" t="s">
        <v>10049</v>
      </c>
      <c r="F1993" s="1" t="s">
        <v>10050</v>
      </c>
      <c r="G1993" s="1" t="s">
        <v>10051</v>
      </c>
      <c r="H1993" s="1" t="str">
        <f>IFERROR(__xludf.DUMMYFUNCTION("GOOGLETRANSLATE(D1993,""EN"",""JA"")"),"ジアルジア・ランブリア抗原")</f>
        <v>ジアルジア・ランブリア抗原</v>
      </c>
      <c r="I1993" s="1" t="str">
        <f>IFERROR(__xludf.DUMMYFUNCTION("GOOGLETRANSLATE(E1993,""EN"",""JA"")"),"ジアルジア・ランブリア抗原")</f>
        <v>ジアルジア・ランブリア抗原</v>
      </c>
      <c r="J1993" s="1" t="str">
        <f>IFERROR(__xludf.DUMMYFUNCTION("GOOGLETRANSLATE(F1993,""EN"",""JA"")"),"生物標本中のジアルジア・ランブリア抗原の測定。")</f>
        <v>生物標本中のジアルジア・ランブリア抗原の測定。</v>
      </c>
      <c r="K1993" s="1" t="str">
        <f>IFERROR(__xludf.DUMMYFUNCTION("GOOGLETRANSLATE(G1993,""EN"",""JA"")"),"ジアルジア・ランブリア抗原測定")</f>
        <v>ジアルジア・ランブリア抗原測定</v>
      </c>
    </row>
    <row r="1994" ht="13.5" customHeight="1">
      <c r="A1994" s="1" t="s">
        <v>67</v>
      </c>
      <c r="B1994" s="1" t="s">
        <v>10052</v>
      </c>
      <c r="C1994" s="1" t="s">
        <v>10053</v>
      </c>
      <c r="D1994" s="1" t="s">
        <v>10054</v>
      </c>
      <c r="E1994" s="1" t="s">
        <v>10054</v>
      </c>
      <c r="F1994" s="1" t="s">
        <v>10055</v>
      </c>
      <c r="G1994" s="1" t="s">
        <v>10056</v>
      </c>
      <c r="H1994" s="1" t="str">
        <f>IFERROR(__xludf.DUMMYFUNCTION("GOOGLETRANSLATE(D1994,""EN"",""JA"")"),"ジアルジア・ランブリア/クリプトスポリジウム抗原")</f>
        <v>ジアルジア・ランブリア/クリプトスポリジウム抗原</v>
      </c>
      <c r="I1994" s="1" t="str">
        <f>IFERROR(__xludf.DUMMYFUNCTION("GOOGLETRANSLATE(E1994,""EN"",""JA"")"),"ジアルジア・ランブリア/クリプトスポリジウム抗原")</f>
        <v>ジアルジア・ランブリア/クリプトスポリジウム抗原</v>
      </c>
      <c r="J1994" s="1" t="str">
        <f>IFERROR(__xludf.DUMMYFUNCTION("GOOGLETRANSLATE(F1994,""EN"",""JA"")"),"生物標本中のジアルジア・ランブリアおよび/またはクリプトスポリジウム属の抗原の測定。")</f>
        <v>生物標本中のジアルジア・ランブリアおよび/またはクリプトスポリジウム属の抗原の測定。</v>
      </c>
      <c r="K1994" s="1" t="str">
        <f>IFERROR(__xludf.DUMMYFUNCTION("GOOGLETRANSLATE(G1994,""EN"",""JA"")"),"ジアルジア・ランブリア/クリプトスポリジウム抗原測定")</f>
        <v>ジアルジア・ランブリア/クリプトスポリジウム抗原測定</v>
      </c>
    </row>
    <row r="1995" ht="13.5" customHeight="1">
      <c r="A1995" s="1" t="s">
        <v>67</v>
      </c>
      <c r="B1995" s="1" t="s">
        <v>10057</v>
      </c>
      <c r="C1995" s="1" t="s">
        <v>10058</v>
      </c>
      <c r="D1995" s="1" t="s">
        <v>10059</v>
      </c>
      <c r="E1995" s="1" t="s">
        <v>10060</v>
      </c>
      <c r="F1995" s="1" t="s">
        <v>10061</v>
      </c>
      <c r="G1995" s="1" t="s">
        <v>10062</v>
      </c>
      <c r="H1995" s="1" t="str">
        <f>IFERROR(__xludf.DUMMYFUNCTION("GOOGLETRANSLATE(D1995,""EN"",""JA"")"),"ジアルジア・ランブリアDNA")</f>
        <v>ジアルジア・ランブリアDNA</v>
      </c>
      <c r="I1995" s="1" t="str">
        <f>IFERROR(__xludf.DUMMYFUNCTION("GOOGLETRANSLATE(E1995,""EN"",""JA"")"),"ジアルジア・デュオデナリス DNA; ジアルジア・インテスティナリス DNA; ジアルジア・ランブリア DNA")</f>
        <v>ジアルジア・デュオデナリス DNA; ジアルジア・インテスティナリス DNA; ジアルジア・ランブリア DNA</v>
      </c>
      <c r="J1995" s="1" t="str">
        <f>IFERROR(__xludf.DUMMYFUNCTION("GOOGLETRANSLATE(F1995,""EN"",""JA"")"),"生物標本中のジアルジア・ランブリア DNA の測定。")</f>
        <v>生物標本中のジアルジア・ランブリア DNA の測定。</v>
      </c>
      <c r="K1995" s="1" t="str">
        <f>IFERROR(__xludf.DUMMYFUNCTION("GOOGLETRANSLATE(G1995,""EN"",""JA"")"),"ジアルジア・ランブリアDNA測定")</f>
        <v>ジアルジア・ランブリアDNA測定</v>
      </c>
    </row>
    <row r="1996" ht="13.5" customHeight="1">
      <c r="A1996" s="1" t="s">
        <v>11</v>
      </c>
      <c r="B1996" s="1" t="s">
        <v>10063</v>
      </c>
      <c r="C1996" s="1" t="s">
        <v>10064</v>
      </c>
      <c r="D1996" s="1" t="s">
        <v>10065</v>
      </c>
      <c r="E1996" s="1" t="s">
        <v>10065</v>
      </c>
      <c r="F1996" s="1" t="s">
        <v>10066</v>
      </c>
      <c r="G1996" s="1" t="s">
        <v>10067</v>
      </c>
      <c r="H1996" s="1" t="str">
        <f>IFERROR(__xludf.DUMMYFUNCTION("GOOGLETRANSLATE(D1996,""EN"",""JA"")"),"グロブリン/クレアチニン")</f>
        <v>グロブリン/クレアチニン</v>
      </c>
      <c r="I1996" s="1" t="str">
        <f>IFERROR(__xludf.DUMMYFUNCTION("GOOGLETRANSLATE(E1996,""EN"",""JA"")"),"グロブリン/クレアチニン")</f>
        <v>グロブリン/クレアチニン</v>
      </c>
      <c r="J1996" s="1" t="str">
        <f>IFERROR(__xludf.DUMMYFUNCTION("GOOGLETRANSLATE(F1996,""EN"",""JA"")"),"生物学的標本中のグロブリンとクレアチニンの相対的な測定値（比率またはパーセンテージ）。")</f>
        <v>生物学的標本中のグロブリンとクレアチニンの相対的な測定値（比率またはパーセンテージ）。</v>
      </c>
      <c r="K1996" s="1" t="str">
        <f>IFERROR(__xludf.DUMMYFUNCTION("GOOGLETRANSLATE(G1996,""EN"",""JA"")"),"グロブリン対クレアチニン比測定")</f>
        <v>グロブリン対クレアチニン比測定</v>
      </c>
    </row>
    <row r="1997" ht="13.5" customHeight="1">
      <c r="A1997" s="1" t="s">
        <v>11</v>
      </c>
      <c r="B1997" s="1" t="s">
        <v>10068</v>
      </c>
      <c r="C1997" s="1" t="s">
        <v>10069</v>
      </c>
      <c r="D1997" s="1" t="s">
        <v>10070</v>
      </c>
      <c r="E1997" s="1" t="s">
        <v>10071</v>
      </c>
      <c r="F1997" s="1" t="s">
        <v>10072</v>
      </c>
      <c r="G1997" s="1" t="s">
        <v>10073</v>
      </c>
      <c r="H1997" s="1" t="str">
        <f>IFERROR(__xludf.DUMMYFUNCTION("GOOGLETRANSLATE(D1997,""EN"",""JA"")"),"グリコリトコール酸")</f>
        <v>グリコリトコール酸</v>
      </c>
      <c r="I1997" s="1" t="str">
        <f>IFERROR(__xludf.DUMMYFUNCTION("GOOGLETRANSLATE(E1997,""EN"",""JA"")"),"グリコリトコール酸")</f>
        <v>グリコリトコール酸</v>
      </c>
      <c r="J1997" s="1" t="str">
        <f>IFERROR(__xludf.DUMMYFUNCTION("GOOGLETRANSLATE(F1997,""EN"",""JA"")"),"生物標本中のグリコリトコール酸の測定。")</f>
        <v>生物標本中のグリコリトコール酸の測定。</v>
      </c>
      <c r="K1997" s="1" t="str">
        <f>IFERROR(__xludf.DUMMYFUNCTION("GOOGLETRANSLATE(G1997,""EN"",""JA"")"),"グリコリトコール酸測定")</f>
        <v>グリコリトコール酸測定</v>
      </c>
    </row>
    <row r="1998" ht="13.5" customHeight="1">
      <c r="A1998" s="1" t="s">
        <v>11</v>
      </c>
      <c r="B1998" s="1" t="s">
        <v>10074</v>
      </c>
      <c r="C1998" s="1" t="s">
        <v>10075</v>
      </c>
      <c r="D1998" s="1" t="s">
        <v>10076</v>
      </c>
      <c r="E1998" s="1" t="s">
        <v>10077</v>
      </c>
      <c r="F1998" s="1" t="s">
        <v>10078</v>
      </c>
      <c r="G1998" s="1" t="s">
        <v>10079</v>
      </c>
      <c r="H1998" s="1" t="str">
        <f>IFERROR(__xludf.DUMMYFUNCTION("GOOGLETRANSLATE(D1998,""EN"",""JA"")"),"ガレクチン3")</f>
        <v>ガレクチン3</v>
      </c>
      <c r="I1998" s="1" t="str">
        <f>IFERROR(__xludf.DUMMYFUNCTION("GOOGLETRANSLATE(E1998,""EN"",""JA"")"),"ガラクトース特異的レクチン3; ガレクチン-3; GALIG; MAC-2")</f>
        <v>ガラクトース特異的レクチン3; ガレクチン-3; GALIG; MAC-2</v>
      </c>
      <c r="J1998" s="1" t="str">
        <f>IFERROR(__xludf.DUMMYFUNCTION("GOOGLETRANSLATE(F1998,""EN"",""JA"")"),"生物標本中のガレクチン 3 の測定。")</f>
        <v>生物標本中のガレクチン 3 の測定。</v>
      </c>
      <c r="K1998" s="1" t="str">
        <f>IFERROR(__xludf.DUMMYFUNCTION("GOOGLETRANSLATE(G1998,""EN"",""JA"")"),"ガレクチン3測定")</f>
        <v>ガレクチン3測定</v>
      </c>
    </row>
    <row r="1999" ht="13.5" customHeight="1">
      <c r="A1999" s="1" t="s">
        <v>11</v>
      </c>
      <c r="B1999" s="1" t="s">
        <v>10080</v>
      </c>
      <c r="C1999" s="1" t="s">
        <v>10081</v>
      </c>
      <c r="D1999" s="1" t="s">
        <v>10082</v>
      </c>
      <c r="E1999" s="1" t="s">
        <v>10083</v>
      </c>
      <c r="F1999" s="1" t="s">
        <v>10084</v>
      </c>
      <c r="G1999" s="1" t="s">
        <v>10085</v>
      </c>
      <c r="H1999" s="1" t="str">
        <f>IFERROR(__xludf.DUMMYFUNCTION("GOOGLETRANSLATE(D1999,""EN"",""JA"")"),"ガレクチン3結合タンパク質")</f>
        <v>ガレクチン3結合タンパク質</v>
      </c>
      <c r="I1999" s="1" t="str">
        <f>IFERROR(__xludf.DUMMYFUNCTION("GOOGLETRANSLATE(E1999,""EN"",""JA"")"),"ガレクチン3結合タンパク質; LGALS3BP; M2BP; Mac-2結合タンパク質")</f>
        <v>ガレクチン3結合タンパク質; LGALS3BP; M2BP; Mac-2結合タンパク質</v>
      </c>
      <c r="J1999" s="1" t="str">
        <f>IFERROR(__xludf.DUMMYFUNCTION("GOOGLETRANSLATE(F1999,""EN"",""JA"")"),"生物標本中のガレクチン 3 結合タンパク質の測定。")</f>
        <v>生物標本中のガレクチン 3 結合タンパク質の測定。</v>
      </c>
      <c r="K1999" s="1" t="str">
        <f>IFERROR(__xludf.DUMMYFUNCTION("GOOGLETRANSLATE(G1999,""EN"",""JA"")"),"ガレクチン3結合タンパク質測定")</f>
        <v>ガレクチン3結合タンパク質測定</v>
      </c>
    </row>
    <row r="2000" ht="13.5" customHeight="1">
      <c r="A2000" s="1" t="s">
        <v>11</v>
      </c>
      <c r="B2000" s="1" t="s">
        <v>10086</v>
      </c>
      <c r="C2000" s="1" t="s">
        <v>10087</v>
      </c>
      <c r="D2000" s="1" t="s">
        <v>10088</v>
      </c>
      <c r="E2000" s="1" t="s">
        <v>10088</v>
      </c>
      <c r="F2000" s="1" t="s">
        <v>10089</v>
      </c>
      <c r="G2000" s="1" t="s">
        <v>10090</v>
      </c>
      <c r="H2000" s="1" t="str">
        <f>IFERROR(__xludf.DUMMYFUNCTION("GOOGLETRANSLATE(D2000,""EN"",""JA"")"),"グルタミン酸脱水素酵素")</f>
        <v>グルタミン酸脱水素酵素</v>
      </c>
      <c r="I2000" s="1" t="str">
        <f>IFERROR(__xludf.DUMMYFUNCTION("GOOGLETRANSLATE(E2000,""EN"",""JA"")"),"グルタミン酸脱水素酵素")</f>
        <v>グルタミン酸脱水素酵素</v>
      </c>
      <c r="J2000" s="1" t="str">
        <f>IFERROR(__xludf.DUMMYFUNCTION("GOOGLETRANSLATE(F2000,""EN"",""JA"")"),"生物標本中のグルタミン酸脱水素酵素の測定。")</f>
        <v>生物標本中のグルタミン酸脱水素酵素の測定。</v>
      </c>
      <c r="K2000" s="1" t="str">
        <f>IFERROR(__xludf.DUMMYFUNCTION("GOOGLETRANSLATE(G2000,""EN"",""JA"")"),"グルタミン酸脱水素酵素測定")</f>
        <v>グルタミン酸脱水素酵素測定</v>
      </c>
    </row>
    <row r="2001" ht="13.5" customHeight="1">
      <c r="A2001" s="1" t="s">
        <v>176</v>
      </c>
      <c r="B2001" s="1" t="s">
        <v>10091</v>
      </c>
      <c r="C2001" s="1" t="s">
        <v>10092</v>
      </c>
      <c r="D2001" s="1" t="s">
        <v>10093</v>
      </c>
      <c r="E2001" s="1" t="s">
        <v>10093</v>
      </c>
      <c r="F2001" s="1" t="s">
        <v>10094</v>
      </c>
      <c r="G2001" s="1" t="s">
        <v>10095</v>
      </c>
      <c r="H2001" s="1" t="str">
        <f>IFERROR(__xludf.DUMMYFUNCTION("GOOGLETRANSLATE(D2001,""EN"",""JA"")"),"グルタミン酸C4強化")</f>
        <v>グルタミン酸C4強化</v>
      </c>
      <c r="I2001" s="1" t="str">
        <f>IFERROR(__xludf.DUMMYFUNCTION("GOOGLETRANSLATE(E2001,""EN"",""JA"")"),"グルタミン酸C4強化")</f>
        <v>グルタミン酸C4強化</v>
      </c>
      <c r="J2001" s="1" t="str">
        <f>IFERROR(__xludf.DUMMYFUNCTION("GOOGLETRANSLATE(F2001,""EN"",""JA"")"),"生物標本中の C4 に富むグルタミン酸の測定。")</f>
        <v>生物標本中の C4 に富むグルタミン酸の測定。</v>
      </c>
      <c r="K2001" s="1" t="str">
        <f>IFERROR(__xludf.DUMMYFUNCTION("GOOGLETRANSLATE(G2001,""EN"",""JA"")"),"C4強化グルタミン酸測定")</f>
        <v>C4強化グルタミン酸測定</v>
      </c>
    </row>
    <row r="2002" ht="13.5" customHeight="1">
      <c r="A2002" s="1" t="s">
        <v>176</v>
      </c>
      <c r="B2002" s="1" t="s">
        <v>10096</v>
      </c>
      <c r="C2002" s="1" t="s">
        <v>10097</v>
      </c>
      <c r="D2002" s="1" t="s">
        <v>10098</v>
      </c>
      <c r="E2002" s="1" t="s">
        <v>10098</v>
      </c>
      <c r="F2002" s="1" t="s">
        <v>10099</v>
      </c>
      <c r="G2002" s="1" t="s">
        <v>10100</v>
      </c>
      <c r="H2002" s="1" t="str">
        <f>IFERROR(__xludf.DUMMYFUNCTION("GOOGLETRANSLATE(D2002,""EN"",""JA"")"),"グルタミン酸C4強化/グルタミン酸")</f>
        <v>グルタミン酸C4強化/グルタミン酸</v>
      </c>
      <c r="I2002" s="1" t="str">
        <f>IFERROR(__xludf.DUMMYFUNCTION("GOOGLETRANSLATE(E2002,""EN"",""JA"")"),"グルタミン酸C4強化/グルタミン酸")</f>
        <v>グルタミン酸C4強化/グルタミン酸</v>
      </c>
      <c r="J2002" s="1" t="str">
        <f>IFERROR(__xludf.DUMMYFUNCTION("GOOGLETRANSLATE(F2002,""EN"",""JA"")"),"生物標本中の総グルタミン酸に対する C4 強化グルタミン酸の相対測定値 (比率またはパーセンテージ)。")</f>
        <v>生物標本中の総グルタミン酸に対する C4 強化グルタミン酸の相対測定値 (比率またはパーセンテージ)。</v>
      </c>
      <c r="K2002" s="1" t="str">
        <f>IFERROR(__xludf.DUMMYFUNCTION("GOOGLETRANSLATE(G2002,""EN"",""JA"")"),"C4強化グルタミン酸と総グルタミン酸の比率測定")</f>
        <v>C4強化グルタミン酸と総グルタミン酸の比率測定</v>
      </c>
    </row>
    <row r="2003" ht="13.5" customHeight="1">
      <c r="A2003" s="1" t="s">
        <v>11</v>
      </c>
      <c r="B2003" s="1" t="s">
        <v>10101</v>
      </c>
      <c r="C2003" s="1" t="s">
        <v>10102</v>
      </c>
      <c r="D2003" s="1" t="s">
        <v>10103</v>
      </c>
      <c r="E2003" s="1" t="s">
        <v>10103</v>
      </c>
      <c r="F2003" s="1" t="s">
        <v>10104</v>
      </c>
      <c r="G2003" s="1" t="s">
        <v>10105</v>
      </c>
      <c r="H2003" s="1" t="str">
        <f>IFERROR(__xludf.DUMMYFUNCTION("GOOGLETRANSLATE(D2003,""EN"",""JA"")"),"グルタミン")</f>
        <v>グルタミン</v>
      </c>
      <c r="I2003" s="1" t="str">
        <f>IFERROR(__xludf.DUMMYFUNCTION("GOOGLETRANSLATE(E2003,""EN"",""JA"")"),"グルタミン")</f>
        <v>グルタミン</v>
      </c>
      <c r="J2003" s="1" t="str">
        <f>IFERROR(__xludf.DUMMYFUNCTION("GOOGLETRANSLATE(F2003,""EN"",""JA"")"),"生物標本中のグルタミンの測定。")</f>
        <v>生物標本中のグルタミンの測定。</v>
      </c>
      <c r="K2003" s="1" t="str">
        <f>IFERROR(__xludf.DUMMYFUNCTION("GOOGLETRANSLATE(G2003,""EN"",""JA"")"),"グルタミン測定")</f>
        <v>グルタミン測定</v>
      </c>
    </row>
    <row r="2004" ht="13.5" customHeight="1">
      <c r="A2004" s="1" t="s">
        <v>176</v>
      </c>
      <c r="B2004" s="1" t="s">
        <v>10101</v>
      </c>
      <c r="C2004" s="1" t="s">
        <v>10102</v>
      </c>
      <c r="D2004" s="1" t="s">
        <v>10103</v>
      </c>
      <c r="E2004" s="1" t="s">
        <v>10103</v>
      </c>
      <c r="F2004" s="1" t="s">
        <v>10104</v>
      </c>
      <c r="G2004" s="1" t="s">
        <v>10105</v>
      </c>
      <c r="H2004" s="1" t="str">
        <f>IFERROR(__xludf.DUMMYFUNCTION("GOOGLETRANSLATE(D2004,""EN"",""JA"")"),"グルタミン")</f>
        <v>グルタミン</v>
      </c>
      <c r="I2004" s="1" t="str">
        <f>IFERROR(__xludf.DUMMYFUNCTION("GOOGLETRANSLATE(E2004,""EN"",""JA"")"),"グルタミン")</f>
        <v>グルタミン</v>
      </c>
      <c r="J2004" s="1" t="str">
        <f>IFERROR(__xludf.DUMMYFUNCTION("GOOGLETRANSLATE(F2004,""EN"",""JA"")"),"生物標本中のグルタミンの測定。")</f>
        <v>生物標本中のグルタミンの測定。</v>
      </c>
      <c r="K2004" s="1" t="str">
        <f>IFERROR(__xludf.DUMMYFUNCTION("GOOGLETRANSLATE(G2004,""EN"",""JA"")"),"グルタミン測定")</f>
        <v>グルタミン測定</v>
      </c>
    </row>
    <row r="2005" ht="13.5" customHeight="1">
      <c r="A2005" s="1" t="s">
        <v>176</v>
      </c>
      <c r="B2005" s="1" t="s">
        <v>10106</v>
      </c>
      <c r="C2005" s="1" t="s">
        <v>10107</v>
      </c>
      <c r="D2005" s="1" t="s">
        <v>10108</v>
      </c>
      <c r="E2005" s="1" t="s">
        <v>10108</v>
      </c>
      <c r="F2005" s="1" t="s">
        <v>10109</v>
      </c>
      <c r="G2005" s="1" t="s">
        <v>10110</v>
      </c>
      <c r="H2005" s="1" t="str">
        <f>IFERROR(__xludf.DUMMYFUNCTION("GOOGLETRANSLATE(D2005,""EN"",""JA"")"),"グルタミンC4強化")</f>
        <v>グルタミンC4強化</v>
      </c>
      <c r="I2005" s="1" t="str">
        <f>IFERROR(__xludf.DUMMYFUNCTION("GOOGLETRANSLATE(E2005,""EN"",""JA"")"),"グルタミンC4強化")</f>
        <v>グルタミンC4強化</v>
      </c>
      <c r="J2005" s="1" t="str">
        <f>IFERROR(__xludf.DUMMYFUNCTION("GOOGLETRANSLATE(F2005,""EN"",""JA"")"),"生物標本中の C4 に富むグルタミンの測定。")</f>
        <v>生物標本中の C4 に富むグルタミンの測定。</v>
      </c>
      <c r="K2005" s="1" t="str">
        <f>IFERROR(__xludf.DUMMYFUNCTION("GOOGLETRANSLATE(G2005,""EN"",""JA"")"),"C4強化グルタミン測定")</f>
        <v>C4強化グルタミン測定</v>
      </c>
    </row>
    <row r="2006" ht="13.5" customHeight="1">
      <c r="A2006" s="1" t="s">
        <v>176</v>
      </c>
      <c r="B2006" s="1" t="s">
        <v>10111</v>
      </c>
      <c r="C2006" s="1" t="s">
        <v>10112</v>
      </c>
      <c r="D2006" s="1" t="s">
        <v>10113</v>
      </c>
      <c r="E2006" s="1" t="s">
        <v>10113</v>
      </c>
      <c r="F2006" s="1" t="s">
        <v>10114</v>
      </c>
      <c r="G2006" s="1" t="s">
        <v>10115</v>
      </c>
      <c r="H2006" s="1" t="str">
        <f>IFERROR(__xludf.DUMMYFUNCTION("GOOGLETRANSLATE(D2006,""EN"",""JA"")"),"グルタミンC4強化/グルタミン")</f>
        <v>グルタミンC4強化/グルタミン</v>
      </c>
      <c r="I2006" s="1" t="str">
        <f>IFERROR(__xludf.DUMMYFUNCTION("GOOGLETRANSLATE(E2006,""EN"",""JA"")"),"グルタミンC4強化/グルタミン")</f>
        <v>グルタミンC4強化/グルタミン</v>
      </c>
      <c r="J2006" s="1" t="str">
        <f>IFERROR(__xludf.DUMMYFUNCTION("GOOGLETRANSLATE(F2006,""EN"",""JA"")"),"生物標本中の総グルタミンに対する C4 強化グルタミンの相対測定値 (比率またはパーセンテージ)。")</f>
        <v>生物標本中の総グルタミンに対する C4 強化グルタミンの相対測定値 (比率またはパーセンテージ)。</v>
      </c>
      <c r="K2006" s="1" t="str">
        <f>IFERROR(__xludf.DUMMYFUNCTION("GOOGLETRANSLATE(G2006,""EN"",""JA"")"),"C4強化グルタミンと総グルタミンの比率測定")</f>
        <v>C4強化グルタミンと総グルタミンの比率測定</v>
      </c>
    </row>
    <row r="2007" ht="13.5" customHeight="1">
      <c r="A2007" s="1" t="s">
        <v>176</v>
      </c>
      <c r="B2007" s="1" t="s">
        <v>10116</v>
      </c>
      <c r="C2007" s="1" t="s">
        <v>10117</v>
      </c>
      <c r="D2007" s="1" t="s">
        <v>10118</v>
      </c>
      <c r="E2007" s="1" t="s">
        <v>10118</v>
      </c>
      <c r="F2007" s="1" t="s">
        <v>10119</v>
      </c>
      <c r="G2007" s="1" t="s">
        <v>10120</v>
      </c>
      <c r="H2007" s="1" t="str">
        <f>IFERROR(__xludf.DUMMYFUNCTION("GOOGLETRANSLATE(D2007,""EN"",""JA"")"),"グルタミン/クレアチン")</f>
        <v>グルタミン/クレアチン</v>
      </c>
      <c r="I2007" s="1" t="str">
        <f>IFERROR(__xludf.DUMMYFUNCTION("GOOGLETRANSLATE(E2007,""EN"",""JA"")"),"グルタミン/クレアチン")</f>
        <v>グルタミン/クレアチン</v>
      </c>
      <c r="J2007" s="1" t="str">
        <f>IFERROR(__xludf.DUMMYFUNCTION("GOOGLETRANSLATE(F2007,""EN"",""JA"")"),"生物学的標本中のグルタミンとクレアチンの相対的な測定値（比率またはパーセンテージ）。")</f>
        <v>生物学的標本中のグルタミンとクレアチンの相対的な測定値（比率またはパーセンテージ）。</v>
      </c>
      <c r="K2007" s="1" t="str">
        <f>IFERROR(__xludf.DUMMYFUNCTION("GOOGLETRANSLATE(G2007,""EN"",""JA"")"),"グルタミンとクレアチンの比率測定")</f>
        <v>グルタミンとクレアチンの比率測定</v>
      </c>
    </row>
    <row r="2008" ht="13.5" customHeight="1">
      <c r="A2008" s="1" t="s">
        <v>176</v>
      </c>
      <c r="B2008" s="1" t="s">
        <v>10121</v>
      </c>
      <c r="C2008" s="1" t="s">
        <v>10122</v>
      </c>
      <c r="D2008" s="1" t="s">
        <v>10123</v>
      </c>
      <c r="E2008" s="1" t="s">
        <v>10123</v>
      </c>
      <c r="F2008" s="1" t="s">
        <v>10124</v>
      </c>
      <c r="G2008" s="1" t="s">
        <v>10123</v>
      </c>
      <c r="H2008" s="1" t="str">
        <f>IFERROR(__xludf.DUMMYFUNCTION("GOOGLETRANSLATE(D2008,""EN"",""JA"")"),"ガラント反射")</f>
        <v>ガラント反射</v>
      </c>
      <c r="I2008" s="1" t="str">
        <f>IFERROR(__xludf.DUMMYFUNCTION("GOOGLETRANSLATE(E2008,""EN"",""JA"")"),"ガラント反射")</f>
        <v>ガラント反射</v>
      </c>
      <c r="J2008" s="1" t="str">
        <f>IFERROR(__xludf.DUMMYFUNCTION("GOOGLETRANSLATE(F2008,""EN"",""JA"")"),"新生児の無意識的な原始的反応であり、背骨の片側に沿って指を動かすと、新生児がその側に向かって横に曲がります。")</f>
        <v>新生児の無意識的な原始的反応であり、背骨の片側に沿って指を動かすと、新生児がその側に向かって横に曲がります。</v>
      </c>
      <c r="K2008" s="1" t="str">
        <f>IFERROR(__xludf.DUMMYFUNCTION("GOOGLETRANSLATE(G2008,""EN"",""JA"")"),"ガラント反射")</f>
        <v>ガラント反射</v>
      </c>
    </row>
    <row r="2009" ht="13.5" customHeight="1">
      <c r="A2009" s="1" t="s">
        <v>11</v>
      </c>
      <c r="B2009" s="1" t="s">
        <v>10125</v>
      </c>
      <c r="C2009" s="1" t="s">
        <v>10126</v>
      </c>
      <c r="D2009" s="1" t="s">
        <v>10127</v>
      </c>
      <c r="E2009" s="1" t="s">
        <v>10127</v>
      </c>
      <c r="F2009" s="1" t="s">
        <v>10128</v>
      </c>
      <c r="G2009" s="1" t="s">
        <v>10129</v>
      </c>
      <c r="H2009" s="1" t="str">
        <f>IFERROR(__xludf.DUMMYFUNCTION("GOOGLETRANSLATE(D2009,""EN"",""JA"")"),"アルファグロブリン")</f>
        <v>アルファグロブリン</v>
      </c>
      <c r="I2009" s="1" t="str">
        <f>IFERROR(__xludf.DUMMYFUNCTION("GOOGLETRANSLATE(E2009,""EN"",""JA"")"),"アルファグロブリン")</f>
        <v>アルファグロブリン</v>
      </c>
      <c r="J2009" s="1" t="str">
        <f>IFERROR(__xludf.DUMMYFUNCTION("GOOGLETRANSLATE(F2009,""EN"",""JA"")"),"生物標本中の総アルファグロブリンの測定。")</f>
        <v>生物標本中の総アルファグロブリンの測定。</v>
      </c>
      <c r="K2009" s="1" t="str">
        <f>IFERROR(__xludf.DUMMYFUNCTION("GOOGLETRANSLATE(G2009,""EN"",""JA"")"),"アルファグロブリン測定")</f>
        <v>アルファグロブリン測定</v>
      </c>
    </row>
    <row r="2010" ht="13.5" customHeight="1">
      <c r="A2010" s="1" t="s">
        <v>11</v>
      </c>
      <c r="B2010" s="1" t="s">
        <v>10130</v>
      </c>
      <c r="C2010" s="1" t="s">
        <v>10131</v>
      </c>
      <c r="D2010" s="1" t="s">
        <v>10132</v>
      </c>
      <c r="E2010" s="1" t="s">
        <v>10133</v>
      </c>
      <c r="F2010" s="1" t="s">
        <v>10134</v>
      </c>
      <c r="G2010" s="1" t="s">
        <v>10135</v>
      </c>
      <c r="H2010" s="1" t="str">
        <f>IFERROR(__xludf.DUMMYFUNCTION("GOOGLETRANSLATE(D2010,""EN"",""JA"")"),"アルファ1グロブリン")</f>
        <v>アルファ1グロブリン</v>
      </c>
      <c r="I2010" s="1" t="str">
        <f>IFERROR(__xludf.DUMMYFUNCTION("GOOGLETRANSLATE(E2010,""EN"",""JA"")"),"A1グロブリン; アルファ1グロブリン")</f>
        <v>A1グロブリン; アルファ1グロブリン</v>
      </c>
      <c r="J2010" s="1" t="str">
        <f>IFERROR(__xludf.DUMMYFUNCTION("GOOGLETRANSLATE(F2010,""EN"",""JA"")"),"生物標本中のアルファ 1 分画に寄与するタンパク質の測定。")</f>
        <v>生物標本中のアルファ 1 分画に寄与するタンパク質の測定。</v>
      </c>
      <c r="K2010" s="1" t="str">
        <f>IFERROR(__xludf.DUMMYFUNCTION("GOOGLETRANSLATE(G2010,""EN"",""JA"")"),"アルファ1グロブリン測定")</f>
        <v>アルファ1グロブリン測定</v>
      </c>
    </row>
    <row r="2011" ht="13.5" customHeight="1">
      <c r="A2011" s="1" t="s">
        <v>11</v>
      </c>
      <c r="B2011" s="1" t="s">
        <v>10136</v>
      </c>
      <c r="C2011" s="1" t="s">
        <v>10137</v>
      </c>
      <c r="D2011" s="1" t="s">
        <v>10138</v>
      </c>
      <c r="E2011" s="1" t="s">
        <v>10138</v>
      </c>
      <c r="F2011" s="1" t="s">
        <v>10139</v>
      </c>
      <c r="G2011" s="1" t="s">
        <v>10140</v>
      </c>
      <c r="H2011" s="1" t="str">
        <f>IFERROR(__xludf.DUMMYFUNCTION("GOOGLETRANSLATE(D2011,""EN"",""JA"")"),"アルファ1グロブリン/総タンパク質")</f>
        <v>アルファ1グロブリン/総タンパク質</v>
      </c>
      <c r="I2011" s="1" t="str">
        <f>IFERROR(__xludf.DUMMYFUNCTION("GOOGLETRANSLATE(E2011,""EN"",""JA"")"),"アルファ1グロブリン/総タンパク質")</f>
        <v>アルファ1グロブリン/総タンパク質</v>
      </c>
      <c r="J2011" s="1" t="str">
        <f>IFERROR(__xludf.DUMMYFUNCTION("GOOGLETRANSLATE(F2011,""EN"",""JA"")"),"生物標本中の総タンパク質に対するアルファ 1 分画タンパク質の相対的な測定値 (比率またはパーセンテージ)。")</f>
        <v>生物標本中の総タンパク質に対するアルファ 1 分画タンパク質の相対的な測定値 (比率またはパーセンテージ)。</v>
      </c>
      <c r="K2011" s="1" t="str">
        <f>IFERROR(__xludf.DUMMYFUNCTION("GOOGLETRANSLATE(G2011,""EN"",""JA"")"),"アルファ1グロブリン対総タンパク質比測定")</f>
        <v>アルファ1グロブリン対総タンパク質比測定</v>
      </c>
    </row>
    <row r="2012" ht="13.5" customHeight="1">
      <c r="A2012" s="1" t="s">
        <v>11</v>
      </c>
      <c r="B2012" s="1" t="s">
        <v>10141</v>
      </c>
      <c r="C2012" s="1" t="s">
        <v>10142</v>
      </c>
      <c r="D2012" s="1" t="s">
        <v>10143</v>
      </c>
      <c r="E2012" s="1" t="s">
        <v>10144</v>
      </c>
      <c r="F2012" s="1" t="s">
        <v>10145</v>
      </c>
      <c r="G2012" s="1" t="s">
        <v>10146</v>
      </c>
      <c r="H2012" s="1" t="str">
        <f>IFERROR(__xludf.DUMMYFUNCTION("GOOGLETRANSLATE(D2012,""EN"",""JA"")"),"アルファ2グロブリン")</f>
        <v>アルファ2グロブリン</v>
      </c>
      <c r="I2012" s="1" t="str">
        <f>IFERROR(__xludf.DUMMYFUNCTION("GOOGLETRANSLATE(E2012,""EN"",""JA"")"),"A2グロブリン; アルファ2グロブリン")</f>
        <v>A2グロブリン; アルファ2グロブリン</v>
      </c>
      <c r="J2012" s="1" t="str">
        <f>IFERROR(__xludf.DUMMYFUNCTION("GOOGLETRANSLATE(F2012,""EN"",""JA"")"),"生物標本中のアルファ 2 分画に寄与するタンパク質の測定。")</f>
        <v>生物標本中のアルファ 2 分画に寄与するタンパク質の測定。</v>
      </c>
      <c r="K2012" s="1" t="str">
        <f>IFERROR(__xludf.DUMMYFUNCTION("GOOGLETRANSLATE(G2012,""EN"",""JA"")"),"アルファ2グロブリン測定")</f>
        <v>アルファ2グロブリン測定</v>
      </c>
    </row>
    <row r="2013" ht="13.5" customHeight="1">
      <c r="A2013" s="1" t="s">
        <v>11</v>
      </c>
      <c r="B2013" s="1" t="s">
        <v>10147</v>
      </c>
      <c r="C2013" s="1" t="s">
        <v>10148</v>
      </c>
      <c r="D2013" s="1" t="s">
        <v>10149</v>
      </c>
      <c r="E2013" s="1" t="s">
        <v>10149</v>
      </c>
      <c r="F2013" s="1" t="s">
        <v>10150</v>
      </c>
      <c r="G2013" s="1" t="s">
        <v>10151</v>
      </c>
      <c r="H2013" s="1" t="str">
        <f>IFERROR(__xludf.DUMMYFUNCTION("GOOGLETRANSLATE(D2013,""EN"",""JA"")"),"アルファ2グロブリン/総タンパク質")</f>
        <v>アルファ2グロブリン/総タンパク質</v>
      </c>
      <c r="I2013" s="1" t="str">
        <f>IFERROR(__xludf.DUMMYFUNCTION("GOOGLETRANSLATE(E2013,""EN"",""JA"")"),"アルファ2グロブリン/総タンパク質")</f>
        <v>アルファ2グロブリン/総タンパク質</v>
      </c>
      <c r="J2013" s="1" t="str">
        <f>IFERROR(__xludf.DUMMYFUNCTION("GOOGLETRANSLATE(F2013,""EN"",""JA"")"),"生物標本中の総タンパク質に対するアルファ 2 分画タンパク質の相対的な測定値 (比率またはパーセンテージ)。")</f>
        <v>生物標本中の総タンパク質に対するアルファ 2 分画タンパク質の相対的な測定値 (比率またはパーセンテージ)。</v>
      </c>
      <c r="K2013" s="1" t="str">
        <f>IFERROR(__xludf.DUMMYFUNCTION("GOOGLETRANSLATE(G2013,""EN"",""JA"")"),"アルファ2グロブリン対総タンパク質比測定")</f>
        <v>アルファ2グロブリン対総タンパク質比測定</v>
      </c>
    </row>
    <row r="2014" ht="13.5" customHeight="1">
      <c r="A2014" s="1" t="s">
        <v>11</v>
      </c>
      <c r="B2014" s="1" t="s">
        <v>10152</v>
      </c>
      <c r="C2014" s="1" t="s">
        <v>10153</v>
      </c>
      <c r="D2014" s="1" t="s">
        <v>10154</v>
      </c>
      <c r="E2014" s="1" t="s">
        <v>10154</v>
      </c>
      <c r="F2014" s="1" t="s">
        <v>10155</v>
      </c>
      <c r="G2014" s="1" t="s">
        <v>10156</v>
      </c>
      <c r="H2014" s="1" t="str">
        <f>IFERROR(__xludf.DUMMYFUNCTION("GOOGLETRANSLATE(D2014,""EN"",""JA"")"),"ベータグロブリン")</f>
        <v>ベータグロブリン</v>
      </c>
      <c r="I2014" s="1" t="str">
        <f>IFERROR(__xludf.DUMMYFUNCTION("GOOGLETRANSLATE(E2014,""EN"",""JA"")"),"ベータグロブリン")</f>
        <v>ベータグロブリン</v>
      </c>
      <c r="J2014" s="1" t="str">
        <f>IFERROR(__xludf.DUMMYFUNCTION("GOOGLETRANSLATE(F2014,""EN"",""JA"")"),"生物標本中のベータ分率に寄与するタンパク質の測定。")</f>
        <v>生物標本中のベータ分率に寄与するタンパク質の測定。</v>
      </c>
      <c r="K2014" s="1" t="str">
        <f>IFERROR(__xludf.DUMMYFUNCTION("GOOGLETRANSLATE(G2014,""EN"",""JA"")"),"ベータグロブリン測定")</f>
        <v>ベータグロブリン測定</v>
      </c>
    </row>
    <row r="2015" ht="13.5" customHeight="1">
      <c r="A2015" s="1" t="s">
        <v>11</v>
      </c>
      <c r="B2015" s="1" t="s">
        <v>10157</v>
      </c>
      <c r="C2015" s="1" t="s">
        <v>10158</v>
      </c>
      <c r="D2015" s="1" t="s">
        <v>10159</v>
      </c>
      <c r="E2015" s="1" t="s">
        <v>10159</v>
      </c>
      <c r="F2015" s="1" t="s">
        <v>10160</v>
      </c>
      <c r="G2015" s="1" t="s">
        <v>10161</v>
      </c>
      <c r="H2015" s="1" t="str">
        <f>IFERROR(__xludf.DUMMYFUNCTION("GOOGLETRANSLATE(D2015,""EN"",""JA"")"),"ベータ1グロブリン")</f>
        <v>ベータ1グロブリン</v>
      </c>
      <c r="I2015" s="1" t="str">
        <f>IFERROR(__xludf.DUMMYFUNCTION("GOOGLETRANSLATE(E2015,""EN"",""JA"")"),"ベータ1グロブリン")</f>
        <v>ベータ1グロブリン</v>
      </c>
      <c r="J2015" s="1" t="str">
        <f>IFERROR(__xludf.DUMMYFUNCTION("GOOGLETRANSLATE(F2015,""EN"",""JA"")"),"生物標本中のベータ 1 グロブリンの測定。")</f>
        <v>生物標本中のベータ 1 グロブリンの測定。</v>
      </c>
      <c r="K2015" s="1" t="str">
        <f>IFERROR(__xludf.DUMMYFUNCTION("GOOGLETRANSLATE(G2015,""EN"",""JA"")"),"ベータ1グロブリン測定")</f>
        <v>ベータ1グロブリン測定</v>
      </c>
    </row>
    <row r="2016" ht="13.5" customHeight="1">
      <c r="A2016" s="1" t="s">
        <v>11</v>
      </c>
      <c r="B2016" s="1" t="s">
        <v>10162</v>
      </c>
      <c r="C2016" s="1" t="s">
        <v>10163</v>
      </c>
      <c r="D2016" s="1" t="s">
        <v>10164</v>
      </c>
      <c r="E2016" s="1" t="s">
        <v>10164</v>
      </c>
      <c r="F2016" s="1" t="s">
        <v>10165</v>
      </c>
      <c r="G2016" s="1" t="s">
        <v>10166</v>
      </c>
      <c r="H2016" s="1" t="str">
        <f>IFERROR(__xludf.DUMMYFUNCTION("GOOGLETRANSLATE(D2016,""EN"",""JA"")"),"ベータ1グロブリン/ベータタンパク質")</f>
        <v>ベータ1グロブリン/ベータタンパク質</v>
      </c>
      <c r="I2016" s="1" t="str">
        <f>IFERROR(__xludf.DUMMYFUNCTION("GOOGLETRANSLATE(E2016,""EN"",""JA"")"),"ベータ1グロブリン/ベータタンパク質")</f>
        <v>ベータ1グロブリン/ベータタンパク質</v>
      </c>
      <c r="J2016" s="1" t="str">
        <f>IFERROR(__xludf.DUMMYFUNCTION("GOOGLETRANSLATE(F2016,""EN"",""JA"")"),"生物標本中の総ベータタンパク質分画に対するベータ 1 分画タンパク質の相対的な測定値 (比率またはパーセンテージ)。")</f>
        <v>生物標本中の総ベータタンパク質分画に対するベータ 1 分画タンパク質の相対的な測定値 (比率またはパーセンテージ)。</v>
      </c>
      <c r="K2016" s="1" t="str">
        <f>IFERROR(__xludf.DUMMYFUNCTION("GOOGLETRANSLATE(G2016,""EN"",""JA"")"),"β1グロブリン対総βタンパク質比測定")</f>
        <v>β1グロブリン対総βタンパク質比測定</v>
      </c>
    </row>
    <row r="2017" ht="13.5" customHeight="1">
      <c r="A2017" s="1" t="s">
        <v>11</v>
      </c>
      <c r="B2017" s="1" t="s">
        <v>10167</v>
      </c>
      <c r="C2017" s="1" t="s">
        <v>10168</v>
      </c>
      <c r="D2017" s="1" t="s">
        <v>10169</v>
      </c>
      <c r="E2017" s="1" t="s">
        <v>10169</v>
      </c>
      <c r="F2017" s="1" t="s">
        <v>10170</v>
      </c>
      <c r="G2017" s="1" t="s">
        <v>10171</v>
      </c>
      <c r="H2017" s="1" t="str">
        <f>IFERROR(__xludf.DUMMYFUNCTION("GOOGLETRANSLATE(D2017,""EN"",""JA"")"),"β1グロブリン/総タンパク質")</f>
        <v>β1グロブリン/総タンパク質</v>
      </c>
      <c r="I2017" s="1" t="str">
        <f>IFERROR(__xludf.DUMMYFUNCTION("GOOGLETRANSLATE(E2017,""EN"",""JA"")"),"β1グロブリン/総タンパク質")</f>
        <v>β1グロブリン/総タンパク質</v>
      </c>
      <c r="J2017" s="1" t="str">
        <f>IFERROR(__xludf.DUMMYFUNCTION("GOOGLETRANSLATE(F2017,""EN"",""JA"")"),"生物標本中の総タンパク質に対するベータ 1 分画タンパク質の相対的な測定値 (比率またはパーセンテージ)。")</f>
        <v>生物標本中の総タンパク質に対するベータ 1 分画タンパク質の相対的な測定値 (比率またはパーセンテージ)。</v>
      </c>
      <c r="K2017" s="1" t="str">
        <f>IFERROR(__xludf.DUMMYFUNCTION("GOOGLETRANSLATE(G2017,""EN"",""JA"")"),"β1グロブリン対総タンパク質比測定")</f>
        <v>β1グロブリン対総タンパク質比測定</v>
      </c>
    </row>
    <row r="2018" ht="13.5" customHeight="1">
      <c r="A2018" s="1" t="s">
        <v>11</v>
      </c>
      <c r="B2018" s="1" t="s">
        <v>10172</v>
      </c>
      <c r="C2018" s="1" t="s">
        <v>10173</v>
      </c>
      <c r="D2018" s="1" t="s">
        <v>10174</v>
      </c>
      <c r="E2018" s="1" t="s">
        <v>10174</v>
      </c>
      <c r="F2018" s="1" t="s">
        <v>10175</v>
      </c>
      <c r="G2018" s="1" t="s">
        <v>10176</v>
      </c>
      <c r="H2018" s="1" t="str">
        <f>IFERROR(__xludf.DUMMYFUNCTION("GOOGLETRANSLATE(D2018,""EN"",""JA"")"),"ベータ2グロブリン")</f>
        <v>ベータ2グロブリン</v>
      </c>
      <c r="I2018" s="1" t="str">
        <f>IFERROR(__xludf.DUMMYFUNCTION("GOOGLETRANSLATE(E2018,""EN"",""JA"")"),"ベータ2グロブリン")</f>
        <v>ベータ2グロブリン</v>
      </c>
      <c r="J2018" s="1" t="str">
        <f>IFERROR(__xludf.DUMMYFUNCTION("GOOGLETRANSLATE(F2018,""EN"",""JA"")"),"生物標本中のベータ2グロブリンの測定。")</f>
        <v>生物標本中のベータ2グロブリンの測定。</v>
      </c>
      <c r="K2018" s="1" t="str">
        <f>IFERROR(__xludf.DUMMYFUNCTION("GOOGLETRANSLATE(G2018,""EN"",""JA"")"),"ベータ2グロブリン測定")</f>
        <v>ベータ2グロブリン測定</v>
      </c>
    </row>
    <row r="2019" ht="13.5" customHeight="1">
      <c r="A2019" s="1" t="s">
        <v>11</v>
      </c>
      <c r="B2019" s="1" t="s">
        <v>10177</v>
      </c>
      <c r="C2019" s="1" t="s">
        <v>10178</v>
      </c>
      <c r="D2019" s="1" t="s">
        <v>10179</v>
      </c>
      <c r="E2019" s="1" t="s">
        <v>10179</v>
      </c>
      <c r="F2019" s="1" t="s">
        <v>10180</v>
      </c>
      <c r="G2019" s="1" t="s">
        <v>10181</v>
      </c>
      <c r="H2019" s="1" t="str">
        <f>IFERROR(__xludf.DUMMYFUNCTION("GOOGLETRANSLATE(D2019,""EN"",""JA"")"),"β2グロブリン/総タンパク質")</f>
        <v>β2グロブリン/総タンパク質</v>
      </c>
      <c r="I2019" s="1" t="str">
        <f>IFERROR(__xludf.DUMMYFUNCTION("GOOGLETRANSLATE(E2019,""EN"",""JA"")"),"β2グロブリン/総タンパク質")</f>
        <v>β2グロブリン/総タンパク質</v>
      </c>
      <c r="J2019" s="1" t="str">
        <f>IFERROR(__xludf.DUMMYFUNCTION("GOOGLETRANSLATE(F2019,""EN"",""JA"")"),"生物標本中の総タンパク質に対するベータ 2 画分タンパク質の相対的な測定値 (比率またはパーセンテージ)。")</f>
        <v>生物標本中の総タンパク質に対するベータ 2 画分タンパク質の相対的な測定値 (比率またはパーセンテージ)。</v>
      </c>
      <c r="K2019" s="1" t="str">
        <f>IFERROR(__xludf.DUMMYFUNCTION("GOOGLETRANSLATE(G2019,""EN"",""JA"")"),"β2グロブリン対総タンパク質比測定")</f>
        <v>β2グロブリン対総タンパク質比測定</v>
      </c>
    </row>
    <row r="2020" ht="13.5" customHeight="1">
      <c r="A2020" s="1" t="s">
        <v>11</v>
      </c>
      <c r="B2020" s="1" t="s">
        <v>10182</v>
      </c>
      <c r="C2020" s="1" t="s">
        <v>10183</v>
      </c>
      <c r="D2020" s="1" t="s">
        <v>10184</v>
      </c>
      <c r="E2020" s="1" t="s">
        <v>10184</v>
      </c>
      <c r="F2020" s="1" t="s">
        <v>10185</v>
      </c>
      <c r="G2020" s="1" t="s">
        <v>10186</v>
      </c>
      <c r="H2020" s="1" t="str">
        <f>IFERROR(__xludf.DUMMYFUNCTION("GOOGLETRANSLATE(D2020,""EN"",""JA"")"),"ベータグロブリン/総タンパク質")</f>
        <v>ベータグロブリン/総タンパク質</v>
      </c>
      <c r="I2020" s="1" t="str">
        <f>IFERROR(__xludf.DUMMYFUNCTION("GOOGLETRANSLATE(E2020,""EN"",""JA"")"),"ベータグロブリン/総タンパク質")</f>
        <v>ベータグロブリン/総タンパク質</v>
      </c>
      <c r="J2020" s="1" t="str">
        <f>IFERROR(__xludf.DUMMYFUNCTION("GOOGLETRANSLATE(F2020,""EN"",""JA"")"),"生物標本中の総タンパク質に対するベータ分画タンパク質の相対的な測定値（比率またはパーセンテージ）。")</f>
        <v>生物標本中の総タンパク質に対するベータ分画タンパク質の相対的な測定値（比率またはパーセンテージ）。</v>
      </c>
      <c r="K2020" s="1" t="str">
        <f>IFERROR(__xludf.DUMMYFUNCTION("GOOGLETRANSLATE(G2020,""EN"",""JA"")"),"ベータグロブリン対総タンパク質比測定")</f>
        <v>ベータグロブリン対総タンパク質比測定</v>
      </c>
    </row>
    <row r="2021" ht="13.5" customHeight="1">
      <c r="A2021" s="1" t="s">
        <v>11</v>
      </c>
      <c r="B2021" s="1" t="s">
        <v>10187</v>
      </c>
      <c r="C2021" s="1" t="s">
        <v>10188</v>
      </c>
      <c r="D2021" s="1" t="s">
        <v>10189</v>
      </c>
      <c r="E2021" s="1" t="s">
        <v>10189</v>
      </c>
      <c r="F2021" s="1" t="s">
        <v>10190</v>
      </c>
      <c r="G2021" s="1" t="s">
        <v>10191</v>
      </c>
      <c r="H2021" s="1" t="str">
        <f>IFERROR(__xludf.DUMMYFUNCTION("GOOGLETRANSLATE(D2021,""EN"",""JA"")"),"ガンマグロブリン")</f>
        <v>ガンマグロブリン</v>
      </c>
      <c r="I2021" s="1" t="str">
        <f>IFERROR(__xludf.DUMMYFUNCTION("GOOGLETRANSLATE(E2021,""EN"",""JA"")"),"ガンマグロブリン")</f>
        <v>ガンマグロブリン</v>
      </c>
      <c r="J2021" s="1" t="str">
        <f>IFERROR(__xludf.DUMMYFUNCTION("GOOGLETRANSLATE(F2021,""EN"",""JA"")"),"生物標本中のガンマ分率に寄与するタンパク質の測定。")</f>
        <v>生物標本中のガンマ分率に寄与するタンパク質の測定。</v>
      </c>
      <c r="K2021" s="1" t="str">
        <f>IFERROR(__xludf.DUMMYFUNCTION("GOOGLETRANSLATE(G2021,""EN"",""JA"")"),"ガンマグロブリン測定")</f>
        <v>ガンマグロブリン測定</v>
      </c>
    </row>
    <row r="2022" ht="13.5" customHeight="1">
      <c r="A2022" s="1" t="s">
        <v>11</v>
      </c>
      <c r="B2022" s="1" t="s">
        <v>10192</v>
      </c>
      <c r="C2022" s="1" t="s">
        <v>10193</v>
      </c>
      <c r="D2022" s="1" t="s">
        <v>10194</v>
      </c>
      <c r="E2022" s="1" t="s">
        <v>10194</v>
      </c>
      <c r="F2022" s="1" t="s">
        <v>10195</v>
      </c>
      <c r="G2022" s="1" t="s">
        <v>10196</v>
      </c>
      <c r="H2022" s="1" t="str">
        <f>IFERROR(__xludf.DUMMYFUNCTION("GOOGLETRANSLATE(D2022,""EN"",""JA"")"),"ガンマグロブリン/総タンパク質")</f>
        <v>ガンマグロブリン/総タンパク質</v>
      </c>
      <c r="I2022" s="1" t="str">
        <f>IFERROR(__xludf.DUMMYFUNCTION("GOOGLETRANSLATE(E2022,""EN"",""JA"")"),"ガンマグロブリン/総タンパク質")</f>
        <v>ガンマグロブリン/総タンパク質</v>
      </c>
      <c r="J2022" s="1" t="str">
        <f>IFERROR(__xludf.DUMMYFUNCTION("GOOGLETRANSLATE(F2022,""EN"",""JA"")"),"生物標本中の総タンパク質に対するガンマ分画タンパク質の相対的な測定値（比率またはパーセンテージ）。")</f>
        <v>生物標本中の総タンパク質に対するガンマ分画タンパク質の相対的な測定値（比率またはパーセンテージ）。</v>
      </c>
      <c r="K2022" s="1" t="str">
        <f>IFERROR(__xludf.DUMMYFUNCTION("GOOGLETRANSLATE(G2022,""EN"",""JA"")"),"ガンマグロブリン対総タンパク質比測定")</f>
        <v>ガンマグロブリン対総タンパク質比測定</v>
      </c>
    </row>
    <row r="2023" ht="13.5" customHeight="1">
      <c r="A2023" s="1" t="s">
        <v>11</v>
      </c>
      <c r="B2023" s="1" t="s">
        <v>10197</v>
      </c>
      <c r="C2023" s="1" t="s">
        <v>10198</v>
      </c>
      <c r="D2023" s="1" t="s">
        <v>10199</v>
      </c>
      <c r="E2023" s="1" t="s">
        <v>10199</v>
      </c>
      <c r="F2023" s="1" t="s">
        <v>10200</v>
      </c>
      <c r="G2023" s="1" t="s">
        <v>10201</v>
      </c>
      <c r="H2023" s="1" t="str">
        <f>IFERROR(__xludf.DUMMYFUNCTION("GOOGLETRANSLATE(D2023,""EN"",""JA"")"),"グロブリン")</f>
        <v>グロブリン</v>
      </c>
      <c r="I2023" s="1" t="str">
        <f>IFERROR(__xludf.DUMMYFUNCTION("GOOGLETRANSLATE(E2023,""EN"",""JA"")"),"グロブリン")</f>
        <v>グロブリン</v>
      </c>
      <c r="J2023" s="1" t="str">
        <f>IFERROR(__xludf.DUMMYFUNCTION("GOOGLETRANSLATE(F2023,""EN"",""JA"")"),"生物標本中のグロブリンタンパク質の測定。")</f>
        <v>生物標本中のグロブリンタンパク質の測定。</v>
      </c>
      <c r="K2023" s="1" t="str">
        <f>IFERROR(__xludf.DUMMYFUNCTION("GOOGLETRANSLATE(G2023,""EN"",""JA"")"),"グロブリンタンパク質測定")</f>
        <v>グロブリンタンパク質測定</v>
      </c>
    </row>
    <row r="2024" ht="13.5" customHeight="1">
      <c r="A2024" s="1" t="s">
        <v>134</v>
      </c>
      <c r="B2024" s="1" t="s">
        <v>10202</v>
      </c>
      <c r="C2024" s="1" t="s">
        <v>10203</v>
      </c>
      <c r="D2024" s="1" t="s">
        <v>10204</v>
      </c>
      <c r="E2024" s="1" t="s">
        <v>10204</v>
      </c>
      <c r="F2024" s="1" t="s">
        <v>10205</v>
      </c>
      <c r="G2024" s="1" t="s">
        <v>10206</v>
      </c>
      <c r="H2024" s="1" t="str">
        <f>IFERROR(__xludf.DUMMYFUNCTION("GOOGLETRANSLATE(D2024,""EN"",""JA"")"),"糸球体炎")</f>
        <v>糸球体炎</v>
      </c>
      <c r="I2024" s="1" t="str">
        <f>IFERROR(__xludf.DUMMYFUNCTION("GOOGLETRANSLATE(E2024,""EN"",""JA"")"),"糸球体炎")</f>
        <v>糸球体炎</v>
      </c>
      <c r="J2024" s="1" t="str">
        <f>IFERROR(__xludf.DUMMYFUNCTION("GOOGLETRANSLATE(F2024,""EN"",""JA"")"),"生物標本における糸球体炎の評価。")</f>
        <v>生物標本における糸球体炎の評価。</v>
      </c>
      <c r="K2024" s="1" t="str">
        <f>IFERROR(__xludf.DUMMYFUNCTION("GOOGLETRANSLATE(G2024,""EN"",""JA"")"),"糸球体炎の評価")</f>
        <v>糸球体炎の評価</v>
      </c>
    </row>
    <row r="2025" ht="13.5" customHeight="1">
      <c r="A2025" s="1" t="s">
        <v>134</v>
      </c>
      <c r="B2025" s="1" t="s">
        <v>10207</v>
      </c>
      <c r="C2025" s="1" t="s">
        <v>10208</v>
      </c>
      <c r="D2025" s="1" t="s">
        <v>10209</v>
      </c>
      <c r="E2025" s="1" t="s">
        <v>10209</v>
      </c>
      <c r="F2025" s="1" t="s">
        <v>10210</v>
      </c>
      <c r="G2025" s="1" t="s">
        <v>10211</v>
      </c>
      <c r="H2025" s="1" t="str">
        <f>IFERROR(__xludf.DUMMYFUNCTION("GOOGLETRANSLATE(D2025,""EN"",""JA"")"),"糸球体症")</f>
        <v>糸球体症</v>
      </c>
      <c r="I2025" s="1" t="str">
        <f>IFERROR(__xludf.DUMMYFUNCTION("GOOGLETRANSLATE(E2025,""EN"",""JA"")"),"糸球体症")</f>
        <v>糸球体症</v>
      </c>
      <c r="J2025" s="1" t="str">
        <f>IFERROR(__xludf.DUMMYFUNCTION("GOOGLETRANSLATE(F2025,""EN"",""JA"")"),"生物標本における糸球体症の評価。")</f>
        <v>生物標本における糸球体症の評価。</v>
      </c>
      <c r="K2025" s="1" t="str">
        <f>IFERROR(__xludf.DUMMYFUNCTION("GOOGLETRANSLATE(G2025,""EN"",""JA"")"),"糸球体症の評価")</f>
        <v>糸球体症の評価</v>
      </c>
    </row>
    <row r="2026" ht="13.5" customHeight="1">
      <c r="A2026" s="1" t="s">
        <v>11</v>
      </c>
      <c r="B2026" s="1" t="s">
        <v>10212</v>
      </c>
      <c r="C2026" s="1" t="s">
        <v>10213</v>
      </c>
      <c r="D2026" s="1" t="s">
        <v>10214</v>
      </c>
      <c r="E2026" s="1" t="s">
        <v>10215</v>
      </c>
      <c r="F2026" s="1" t="s">
        <v>10216</v>
      </c>
      <c r="G2026" s="1" t="s">
        <v>10217</v>
      </c>
      <c r="H2026" s="1" t="str">
        <f>IFERROR(__xludf.DUMMYFUNCTION("GOOGLETRANSLATE(D2026,""EN"",""JA"")"),"グルカゴン様ペプチド-1")</f>
        <v>グルカゴン様ペプチド-1</v>
      </c>
      <c r="I2026" s="1" t="str">
        <f>IFERROR(__xludf.DUMMYFUNCTION("GOOGLETRANSLATE(E2026,""EN"",""JA"")"),"グルカゴン様ペプチド-1; 総グルカゴン様ペプチド-1")</f>
        <v>グルカゴン様ペプチド-1; 総グルカゴン様ペプチド-1</v>
      </c>
      <c r="J2026" s="1" t="str">
        <f>IFERROR(__xludf.DUMMYFUNCTION("GOOGLETRANSLATE(F2026,""EN"",""JA"")"),"生物標本中の総グルカゴン様ペプチド-1の測定。")</f>
        <v>生物標本中の総グルカゴン様ペプチド-1の測定。</v>
      </c>
      <c r="K2026" s="1" t="str">
        <f>IFERROR(__xludf.DUMMYFUNCTION("GOOGLETRANSLATE(G2026,""EN"",""JA"")"),"グルカゴン様ペプチド-1測定")</f>
        <v>グルカゴン様ペプチド-1測定</v>
      </c>
    </row>
    <row r="2027" ht="13.5" customHeight="1">
      <c r="A2027" s="1" t="s">
        <v>11</v>
      </c>
      <c r="B2027" s="1" t="s">
        <v>10218</v>
      </c>
      <c r="C2027" s="1" t="s">
        <v>10219</v>
      </c>
      <c r="D2027" s="1" t="s">
        <v>10220</v>
      </c>
      <c r="E2027" s="1" t="s">
        <v>10220</v>
      </c>
      <c r="F2027" s="1" t="s">
        <v>10221</v>
      </c>
      <c r="G2027" s="1" t="s">
        <v>10222</v>
      </c>
      <c r="H2027" s="1" t="str">
        <f>IFERROR(__xludf.DUMMYFUNCTION("GOOGLETRANSLATE(D2027,""EN"",""JA"")"),"グルカゴン様ペプチド-1、活性型")</f>
        <v>グルカゴン様ペプチド-1、活性型</v>
      </c>
      <c r="I2027" s="1" t="str">
        <f>IFERROR(__xludf.DUMMYFUNCTION("GOOGLETRANSLATE(E2027,""EN"",""JA"")"),"グルカゴン様ペプチド-1、活性型")</f>
        <v>グルカゴン様ペプチド-1、活性型</v>
      </c>
      <c r="J2027" s="1" t="str">
        <f>IFERROR(__xludf.DUMMYFUNCTION("GOOGLETRANSLATE(F2027,""EN"",""JA"")"),"生物標本中のグルカゴン様ペプチド-1の活性型の測定。")</f>
        <v>生物標本中のグルカゴン様ペプチド-1の活性型の測定。</v>
      </c>
      <c r="K2027" s="1" t="str">
        <f>IFERROR(__xludf.DUMMYFUNCTION("GOOGLETRANSLATE(G2027,""EN"",""JA"")"),"活性グルカゴン様ペプチド-1測定")</f>
        <v>活性グルカゴン様ペプチド-1測定</v>
      </c>
    </row>
    <row r="2028" ht="13.5" customHeight="1">
      <c r="A2028" s="1" t="s">
        <v>11</v>
      </c>
      <c r="B2028" s="1" t="s">
        <v>10223</v>
      </c>
      <c r="C2028" s="1" t="s">
        <v>10224</v>
      </c>
      <c r="D2028" s="1" t="s">
        <v>10225</v>
      </c>
      <c r="E2028" s="1" t="s">
        <v>10225</v>
      </c>
      <c r="F2028" s="1" t="s">
        <v>10226</v>
      </c>
      <c r="G2028" s="1" t="s">
        <v>10227</v>
      </c>
      <c r="H2028" s="1" t="str">
        <f>IFERROR(__xludf.DUMMYFUNCTION("GOOGLETRANSLATE(D2028,""EN"",""JA"")"),"グルカゴン様ペプチド-1、不活性型")</f>
        <v>グルカゴン様ペプチド-1、不活性型</v>
      </c>
      <c r="I2028" s="1" t="str">
        <f>IFERROR(__xludf.DUMMYFUNCTION("GOOGLETRANSLATE(E2028,""EN"",""JA"")"),"グルカゴン様ペプチド-1、不活性型")</f>
        <v>グルカゴン様ペプチド-1、不活性型</v>
      </c>
      <c r="J2028" s="1" t="str">
        <f>IFERROR(__xludf.DUMMYFUNCTION("GOOGLETRANSLATE(F2028,""EN"",""JA"")"),"生物学的標本中のグルカゴン様ペプチド-1の不活性型の測定。")</f>
        <v>生物学的標本中のグルカゴン様ペプチド-1の不活性型の測定。</v>
      </c>
      <c r="K2028" s="1" t="str">
        <f>IFERROR(__xludf.DUMMYFUNCTION("GOOGLETRANSLATE(G2028,""EN"",""JA"")"),"不活性グルカゴン様ペプチド-1測定")</f>
        <v>不活性グルカゴン様ペプチド-1測定</v>
      </c>
    </row>
    <row r="2029" ht="13.5" customHeight="1">
      <c r="A2029" s="1" t="s">
        <v>90</v>
      </c>
      <c r="B2029" s="1" t="s">
        <v>10228</v>
      </c>
      <c r="C2029" s="1" t="s">
        <v>10229</v>
      </c>
      <c r="D2029" s="1" t="s">
        <v>10230</v>
      </c>
      <c r="E2029" s="1" t="s">
        <v>10230</v>
      </c>
      <c r="F2029" s="1" t="s">
        <v>10231</v>
      </c>
      <c r="G2029" s="1" t="s">
        <v>10232</v>
      </c>
      <c r="H2029" s="1" t="str">
        <f>IFERROR(__xludf.DUMMYFUNCTION("GOOGLETRANSLATE(D2029,""EN"",""JA"")"),"地球規模の縦断的歪み")</f>
        <v>地球規模の縦断的歪み</v>
      </c>
      <c r="I2029" s="1" t="str">
        <f>IFERROR(__xludf.DUMMYFUNCTION("GOOGLETRANSLATE(E2029,""EN"",""JA"")"),"地球規模の縦断的歪み")</f>
        <v>地球規模の縦断的歪み</v>
      </c>
      <c r="J2029" s="1" t="str">
        <f>IFERROR(__xludf.DUMMYFUNCTION("GOOGLETRANSLATE(F2029,""EN"",""JA"")"),"自動化されたアルゴリズムによる、心室または心房の全体的な心筋の縦方向の歪みの測定。")</f>
        <v>自動化されたアルゴリズムによる、心室または心房の全体的な心筋の縦方向の歪みの測定。</v>
      </c>
      <c r="K2029" s="1" t="str">
        <f>IFERROR(__xludf.DUMMYFUNCTION("GOOGLETRANSLATE(G2029,""EN"",""JA"")"),"地球縦方向ひずみ測定")</f>
        <v>地球縦方向ひずみ測定</v>
      </c>
    </row>
    <row r="2030" ht="13.5" customHeight="1">
      <c r="A2030" s="1" t="s">
        <v>90</v>
      </c>
      <c r="B2030" s="1" t="s">
        <v>10233</v>
      </c>
      <c r="C2030" s="1" t="s">
        <v>10234</v>
      </c>
      <c r="D2030" s="1" t="s">
        <v>10235</v>
      </c>
      <c r="E2030" s="1" t="s">
        <v>10236</v>
      </c>
      <c r="F2030" s="1" t="s">
        <v>10237</v>
      </c>
      <c r="G2030" s="1" t="s">
        <v>10238</v>
      </c>
      <c r="H2030" s="1" t="str">
        <f>IFERROR(__xludf.DUMMYFUNCTION("GOOGLETRANSLATE(D2030,""EN"",""JA"")"),"グローバル縦断ひずみ、Cal")</f>
        <v>グローバル縦断ひずみ、Cal</v>
      </c>
      <c r="I2030" s="1" t="str">
        <f>IFERROR(__xludf.DUMMYFUNCTION("GOOGLETRANSLATE(E2030,""EN"",""JA"")"),"全体縦ひずみ、Cal; 全体縦ひずみ、計算値")</f>
        <v>全体縦ひずみ、Cal; 全体縦ひずみ、計算値</v>
      </c>
      <c r="J2030" s="1" t="str">
        <f>IFERROR(__xludf.DUMMYFUNCTION("GOOGLETRANSLATE(F2030,""EN"",""JA"")"),"3 つの画像ビュー（4 腔ビュー、3 腔ビュー、2 腔ビュー）のすべてまたはいずれかから収集した縦方向の歪みを平均化することにより、心室または心房の全体的な心筋の縦方向歪みを計算します。")</f>
        <v>3 つの画像ビュー（4 腔ビュー、3 腔ビュー、2 腔ビュー）のすべてまたはいずれかから収集した縦方向の歪みを平均化することにより、心室または心房の全体的な心筋の縦方向歪みを計算します。</v>
      </c>
      <c r="K2030" s="1" t="str">
        <f>IFERROR(__xludf.DUMMYFUNCTION("GOOGLETRANSLATE(G2030,""EN"",""JA"")"),"計算されたグローバル縦方向ひずみ測定")</f>
        <v>計算されたグローバル縦方向ひずみ測定</v>
      </c>
    </row>
    <row r="2031" ht="13.5" customHeight="1">
      <c r="A2031" s="1" t="s">
        <v>67</v>
      </c>
      <c r="B2031" s="1" t="s">
        <v>10239</v>
      </c>
      <c r="C2031" s="1" t="s">
        <v>10240</v>
      </c>
      <c r="D2031" s="1" t="s">
        <v>10241</v>
      </c>
      <c r="E2031" s="1" t="s">
        <v>10241</v>
      </c>
      <c r="F2031" s="1" t="s">
        <v>10242</v>
      </c>
      <c r="G2031" s="1" t="s">
        <v>10243</v>
      </c>
      <c r="H2031" s="1" t="str">
        <f>IFERROR(__xludf.DUMMYFUNCTION("GOOGLETRANSLATE(D2031,""EN"",""JA"")"),"ガラクトマンナン抗原")</f>
        <v>ガラクトマンナン抗原</v>
      </c>
      <c r="I2031" s="1" t="str">
        <f>IFERROR(__xludf.DUMMYFUNCTION("GOOGLETRANSLATE(E2031,""EN"",""JA"")"),"ガラクトマンナン抗原")</f>
        <v>ガラクトマンナン抗原</v>
      </c>
      <c r="J2031" s="1" t="str">
        <f>IFERROR(__xludf.DUMMYFUNCTION("GOOGLETRANSLATE(F2031,""EN"",""JA"")"),"生物標本中のガラクトマンナン抗原の測定。")</f>
        <v>生物標本中のガラクトマンナン抗原の測定。</v>
      </c>
      <c r="K2031" s="1" t="str">
        <f>IFERROR(__xludf.DUMMYFUNCTION("GOOGLETRANSLATE(G2031,""EN"",""JA"")"),"ガラクトマンナン抗原測定")</f>
        <v>ガラクトマンナン抗原測定</v>
      </c>
    </row>
    <row r="2032" ht="13.5" customHeight="1">
      <c r="A2032" s="1" t="s">
        <v>11</v>
      </c>
      <c r="B2032" s="1" t="s">
        <v>10244</v>
      </c>
      <c r="C2032" s="1" t="s">
        <v>10245</v>
      </c>
      <c r="D2032" s="1" t="s">
        <v>10246</v>
      </c>
      <c r="E2032" s="1" t="s">
        <v>10246</v>
      </c>
      <c r="F2032" s="1" t="s">
        <v>10247</v>
      </c>
      <c r="G2032" s="1" t="s">
        <v>10248</v>
      </c>
      <c r="H2032" s="1" t="str">
        <f>IFERROR(__xludf.DUMMYFUNCTION("GOOGLETRANSLATE(D2032,""EN"",""JA"")"),"グリッターセル")</f>
        <v>グリッターセル</v>
      </c>
      <c r="I2032" s="1" t="str">
        <f>IFERROR(__xludf.DUMMYFUNCTION("GOOGLETRANSLATE(E2032,""EN"",""JA"")"),"グリッターセル")</f>
        <v>グリッターセル</v>
      </c>
      <c r="J2032" s="1" t="str">
        <f>IFERROR(__xludf.DUMMYFUNCTION("GOOGLETRANSLATE(F2032,""EN"",""JA"")"),"生物標本内のグリッター細胞の測定。")</f>
        <v>生物標本内のグリッター細胞の測定。</v>
      </c>
      <c r="K2032" s="1" t="str">
        <f>IFERROR(__xludf.DUMMYFUNCTION("GOOGLETRANSLATE(G2032,""EN"",""JA"")"),"グリッター細胞数")</f>
        <v>グリッター細胞数</v>
      </c>
    </row>
    <row r="2033" ht="13.5" customHeight="1">
      <c r="A2033" s="1" t="s">
        <v>11</v>
      </c>
      <c r="B2033" s="1" t="s">
        <v>10249</v>
      </c>
      <c r="C2033" s="1" t="s">
        <v>10250</v>
      </c>
      <c r="D2033" s="1" t="s">
        <v>10251</v>
      </c>
      <c r="E2033" s="1" t="s">
        <v>10251</v>
      </c>
      <c r="F2033" s="1" t="s">
        <v>10252</v>
      </c>
      <c r="G2033" s="1" t="s">
        <v>10253</v>
      </c>
      <c r="H2033" s="1" t="str">
        <f>IFERROR(__xludf.DUMMYFUNCTION("GOOGLETRANSLATE(D2033,""EN"",""JA"")"),"グルテチミド")</f>
        <v>グルテチミド</v>
      </c>
      <c r="I2033" s="1" t="str">
        <f>IFERROR(__xludf.DUMMYFUNCTION("GOOGLETRANSLATE(E2033,""EN"",""JA"")"),"グルテチミド")</f>
        <v>グルテチミド</v>
      </c>
      <c r="J2033" s="1" t="str">
        <f>IFERROR(__xludf.DUMMYFUNCTION("GOOGLETRANSLATE(F2033,""EN"",""JA"")"),"生物標本中のグルテチミドの測定。")</f>
        <v>生物標本中のグルテチミドの測定。</v>
      </c>
      <c r="K2033" s="1" t="str">
        <f>IFERROR(__xludf.DUMMYFUNCTION("GOOGLETRANSLATE(G2033,""EN"",""JA"")"),"グルテチミド測定")</f>
        <v>グルテチミド測定</v>
      </c>
    </row>
    <row r="2034" ht="13.5" customHeight="1">
      <c r="A2034" s="1" t="s">
        <v>11</v>
      </c>
      <c r="B2034" s="1" t="s">
        <v>10254</v>
      </c>
      <c r="C2034" s="1" t="s">
        <v>10255</v>
      </c>
      <c r="D2034" s="1" t="s">
        <v>10256</v>
      </c>
      <c r="E2034" s="1" t="s">
        <v>10256</v>
      </c>
      <c r="F2034" s="1" t="s">
        <v>10257</v>
      </c>
      <c r="G2034" s="1" t="s">
        <v>10258</v>
      </c>
      <c r="H2034" s="1" t="str">
        <f>IFERROR(__xludf.DUMMYFUNCTION("GOOGLETRANSLATE(D2034,""EN"",""JA"")"),"1,3-ベータ-D-グルカン")</f>
        <v>1,3-ベータ-D-グルカン</v>
      </c>
      <c r="I2034" s="1" t="str">
        <f>IFERROR(__xludf.DUMMYFUNCTION("GOOGLETRANSLATE(E2034,""EN"",""JA"")"),"1,3-ベータ-D-グルカン")</f>
        <v>1,3-ベータ-D-グルカン</v>
      </c>
      <c r="J2034" s="1" t="str">
        <f>IFERROR(__xludf.DUMMYFUNCTION("GOOGLETRANSLATE(F2034,""EN"",""JA"")"),"生物標本中の 1,3-ベータ-D-グルカンの測定。")</f>
        <v>生物標本中の 1,3-ベータ-D-グルカンの測定。</v>
      </c>
      <c r="K2034" s="1" t="str">
        <f>IFERROR(__xludf.DUMMYFUNCTION("GOOGLETRANSLATE(G2034,""EN"",""JA"")"),"1,3-ベータ-D-グルカン測定")</f>
        <v>1,3-ベータ-D-グルカン測定</v>
      </c>
    </row>
    <row r="2035" ht="13.5" customHeight="1">
      <c r="A2035" s="1" t="s">
        <v>11</v>
      </c>
      <c r="B2035" s="1" t="s">
        <v>10259</v>
      </c>
      <c r="C2035" s="1" t="s">
        <v>10260</v>
      </c>
      <c r="D2035" s="1" t="s">
        <v>10261</v>
      </c>
      <c r="E2035" s="1" t="s">
        <v>10261</v>
      </c>
      <c r="F2035" s="1" t="s">
        <v>10262</v>
      </c>
      <c r="G2035" s="1" t="s">
        <v>10263</v>
      </c>
      <c r="H2035" s="1" t="str">
        <f>IFERROR(__xludf.DUMMYFUNCTION("GOOGLETRANSLATE(D2035,""EN"",""JA"")"),"グルコース")</f>
        <v>グルコース</v>
      </c>
      <c r="I2035" s="1" t="str">
        <f>IFERROR(__xludf.DUMMYFUNCTION("GOOGLETRANSLATE(E2035,""EN"",""JA"")"),"グルコース")</f>
        <v>グルコース</v>
      </c>
      <c r="J2035" s="1" t="str">
        <f>IFERROR(__xludf.DUMMYFUNCTION("GOOGLETRANSLATE(F2035,""EN"",""JA"")"),"生物標本中のグルコースの測定。")</f>
        <v>生物標本中のグルコースの測定。</v>
      </c>
      <c r="K2035" s="1" t="str">
        <f>IFERROR(__xludf.DUMMYFUNCTION("GOOGLETRANSLATE(G2035,""EN"",""JA"")"),"グルコース測定")</f>
        <v>グルコース測定</v>
      </c>
    </row>
    <row r="2036" ht="13.5" customHeight="1">
      <c r="A2036" s="1" t="s">
        <v>11</v>
      </c>
      <c r="B2036" s="1" t="s">
        <v>10264</v>
      </c>
      <c r="C2036" s="1" t="s">
        <v>10265</v>
      </c>
      <c r="D2036" s="1" t="s">
        <v>10266</v>
      </c>
      <c r="E2036" s="1" t="s">
        <v>10266</v>
      </c>
      <c r="F2036" s="1" t="s">
        <v>10267</v>
      </c>
      <c r="G2036" s="1" t="s">
        <v>10268</v>
      </c>
      <c r="H2036" s="1" t="str">
        <f>IFERROR(__xludf.DUMMYFUNCTION("GOOGLETRANSLATE(D2036,""EN"",""JA"")"),"グルカゴン")</f>
        <v>グルカゴン</v>
      </c>
      <c r="I2036" s="1" t="str">
        <f>IFERROR(__xludf.DUMMYFUNCTION("GOOGLETRANSLATE(E2036,""EN"",""JA"")"),"グルカゴン")</f>
        <v>グルカゴン</v>
      </c>
      <c r="J2036" s="1" t="str">
        <f>IFERROR(__xludf.DUMMYFUNCTION("GOOGLETRANSLATE(F2036,""EN"",""JA"")"),"生物標本中のグルカゴンホルモンの測定。")</f>
        <v>生物標本中のグルカゴンホルモンの測定。</v>
      </c>
      <c r="K2036" s="1" t="str">
        <f>IFERROR(__xludf.DUMMYFUNCTION("GOOGLETRANSLATE(G2036,""EN"",""JA"")"),"グルカゴン測定")</f>
        <v>グルカゴン測定</v>
      </c>
    </row>
    <row r="2037" ht="13.5" customHeight="1">
      <c r="A2037" s="1" t="s">
        <v>11</v>
      </c>
      <c r="B2037" s="1" t="s">
        <v>10269</v>
      </c>
      <c r="C2037" s="1" t="s">
        <v>10270</v>
      </c>
      <c r="D2037" s="1" t="s">
        <v>10271</v>
      </c>
      <c r="E2037" s="1" t="s">
        <v>10271</v>
      </c>
      <c r="F2037" s="1" t="s">
        <v>10272</v>
      </c>
      <c r="G2037" s="1" t="s">
        <v>10273</v>
      </c>
      <c r="H2037" s="1" t="str">
        <f>IFERROR(__xludf.DUMMYFUNCTION("GOOGLETRANSLATE(D2037,""EN"",""JA"")"),"グルコースクリアランス")</f>
        <v>グルコースクリアランス</v>
      </c>
      <c r="I2037" s="1" t="str">
        <f>IFERROR(__xludf.DUMMYFUNCTION("GOOGLETRANSLATE(E2037,""EN"",""JA"")"),"グルコースクリアランス")</f>
        <v>グルコースクリアランス</v>
      </c>
      <c r="J2037" s="1" t="str">
        <f>IFERROR(__xludf.DUMMYFUNCTION("GOOGLETRANSLATE(F2037,""EN"",""JA"")"),"指定された時間単位（例：1 分）に尿として排出され、ブドウ糖が除去される血清または血漿の量の測定値。")</f>
        <v>指定された時間単位（例：1 分）に尿として排出され、ブドウ糖が除去される血清または血漿の量の測定値。</v>
      </c>
      <c r="K2037" s="1" t="str">
        <f>IFERROR(__xludf.DUMMYFUNCTION("GOOGLETRANSLATE(G2037,""EN"",""JA"")"),"グルコースクリアランス測定")</f>
        <v>グルコースクリアランス測定</v>
      </c>
    </row>
    <row r="2038" ht="13.5" customHeight="1">
      <c r="A2038" s="1" t="s">
        <v>11</v>
      </c>
      <c r="B2038" s="1" t="s">
        <v>10274</v>
      </c>
      <c r="C2038" s="1" t="s">
        <v>10275</v>
      </c>
      <c r="D2038" s="1" t="s">
        <v>10276</v>
      </c>
      <c r="E2038" s="1" t="s">
        <v>10276</v>
      </c>
      <c r="F2038" s="1" t="s">
        <v>10277</v>
      </c>
      <c r="G2038" s="1" t="s">
        <v>10278</v>
      </c>
      <c r="H2038" s="1" t="str">
        <f>IFERROR(__xludf.DUMMYFUNCTION("GOOGLETRANSLATE(D2038,""EN"",""JA"")"),"グルコース/クレアチニン")</f>
        <v>グルコース/クレアチニン</v>
      </c>
      <c r="I2038" s="1" t="str">
        <f>IFERROR(__xludf.DUMMYFUNCTION("GOOGLETRANSLATE(E2038,""EN"",""JA"")"),"グルコース/クレアチニン")</f>
        <v>グルコース/クレアチニン</v>
      </c>
      <c r="J2038" s="1" t="str">
        <f>IFERROR(__xludf.DUMMYFUNCTION("GOOGLETRANSLATE(F2038,""EN"",""JA"")"),"生物学的標本中のグルコースとクレアチニンの相対的な測定値（比率またはパーセンテージ）。")</f>
        <v>生物学的標本中のグルコースとクレアチニンの相対的な測定値（比率またはパーセンテージ）。</v>
      </c>
      <c r="K2038" s="1" t="str">
        <f>IFERROR(__xludf.DUMMYFUNCTION("GOOGLETRANSLATE(G2038,""EN"",""JA"")"),"グルコース対クレアチニン比測定")</f>
        <v>グルコース対クレアチニン比測定</v>
      </c>
    </row>
    <row r="2039" ht="13.5" customHeight="1">
      <c r="A2039" s="1" t="s">
        <v>11</v>
      </c>
      <c r="B2039" s="1" t="s">
        <v>10279</v>
      </c>
      <c r="C2039" s="1" t="s">
        <v>10280</v>
      </c>
      <c r="D2039" s="1" t="s">
        <v>10281</v>
      </c>
      <c r="E2039" s="1" t="s">
        <v>10281</v>
      </c>
      <c r="F2039" s="1" t="s">
        <v>10282</v>
      </c>
      <c r="G2039" s="1" t="s">
        <v>10281</v>
      </c>
      <c r="H2039" s="1" t="str">
        <f>IFERROR(__xludf.DUMMYFUNCTION("GOOGLETRANSLATE(D2039,""EN"",""JA"")"),"グルコース排泄率")</f>
        <v>グルコース排泄率</v>
      </c>
      <c r="I2039" s="1" t="str">
        <f>IFERROR(__xludf.DUMMYFUNCTION("GOOGLETRANSLATE(E2039,""EN"",""JA"")"),"グルコース排泄率")</f>
        <v>グルコース排泄率</v>
      </c>
      <c r="J2039" s="1" t="str">
        <f>IFERROR(__xludf.DUMMYFUNCTION("GOOGLETRANSLATE(F2039,""EN"",""JA"")"),"定義された時間（例：1 時間）にわたって生物学的標本に排出されるグルコースの量を測定します。")</f>
        <v>定義された時間（例：1 時間）にわたって生物学的標本に排出されるグルコースの量を測定します。</v>
      </c>
      <c r="K2039" s="1" t="str">
        <f>IFERROR(__xludf.DUMMYFUNCTION("GOOGLETRANSLATE(G2039,""EN"",""JA"")"),"グルコース排泄率")</f>
        <v>グルコース排泄率</v>
      </c>
    </row>
    <row r="2040" ht="13.5" customHeight="1">
      <c r="A2040" s="1" t="s">
        <v>11</v>
      </c>
      <c r="B2040" s="1" t="s">
        <v>10283</v>
      </c>
      <c r="C2040" s="1" t="s">
        <v>10284</v>
      </c>
      <c r="D2040" s="1" t="s">
        <v>10285</v>
      </c>
      <c r="E2040" s="1" t="s">
        <v>10285</v>
      </c>
      <c r="F2040" s="1" t="s">
        <v>10286</v>
      </c>
      <c r="G2040" s="1" t="s">
        <v>10287</v>
      </c>
      <c r="H2040" s="1" t="str">
        <f>IFERROR(__xludf.DUMMYFUNCTION("GOOGLETRANSLATE(D2040,""EN"",""JA"")"),"血漿相当グルコース")</f>
        <v>血漿相当グルコース</v>
      </c>
      <c r="I2040" s="1" t="str">
        <f>IFERROR(__xludf.DUMMYFUNCTION("GOOGLETRANSLATE(E2040,""EN"",""JA"")"),"血漿相当グルコース")</f>
        <v>血漿相当グルコース</v>
      </c>
      <c r="J2040" s="1" t="str">
        <f>IFERROR(__xludf.DUMMYFUNCTION("GOOGLETRANSLATE(F2040,""EN"",""JA"")"),"生物標本中の血漿相当グルコースの測定値。")</f>
        <v>生物標本中の血漿相当グルコースの測定値。</v>
      </c>
      <c r="K2040" s="1" t="str">
        <f>IFERROR(__xludf.DUMMYFUNCTION("GOOGLETRANSLATE(G2040,""EN"",""JA"")"),"血漿相当グルコース測定")</f>
        <v>血漿相当グルコース測定</v>
      </c>
    </row>
    <row r="2041" ht="13.5" customHeight="1">
      <c r="A2041" s="1" t="s">
        <v>11</v>
      </c>
      <c r="B2041" s="1" t="s">
        <v>10288</v>
      </c>
      <c r="C2041" s="1" t="s">
        <v>10289</v>
      </c>
      <c r="D2041" s="1" t="s">
        <v>10290</v>
      </c>
      <c r="E2041" s="1" t="s">
        <v>10290</v>
      </c>
      <c r="F2041" s="1" t="s">
        <v>10291</v>
      </c>
      <c r="G2041" s="1" t="s">
        <v>10292</v>
      </c>
      <c r="H2041" s="1" t="str">
        <f>IFERROR(__xludf.DUMMYFUNCTION("GOOGLETRANSLATE(D2041,""EN"",""JA"")"),"血漿相当グルコース分布")</f>
        <v>血漿相当グルコース分布</v>
      </c>
      <c r="I2041" s="1" t="str">
        <f>IFERROR(__xludf.DUMMYFUNCTION("GOOGLETRANSLATE(E2041,""EN"",""JA"")"),"血漿相当グルコース分布")</f>
        <v>血漿相当グルコース分布</v>
      </c>
      <c r="J2041" s="1" t="str">
        <f>IFERROR(__xludf.DUMMYFUNCTION("GOOGLETRANSLATE(F2041,""EN"",""JA"")"),"生物標本における血漿相当グルコース分布の測定。")</f>
        <v>生物標本における血漿相当グルコース分布の測定。</v>
      </c>
      <c r="K2041" s="1" t="str">
        <f>IFERROR(__xludf.DUMMYFUNCTION("GOOGLETRANSLATE(G2041,""EN"",""JA"")"),"血漿相当グルコース分布測定")</f>
        <v>血漿相当グルコース分布測定</v>
      </c>
    </row>
    <row r="2042" ht="13.5" customHeight="1">
      <c r="A2042" s="1" t="s">
        <v>176</v>
      </c>
      <c r="B2042" s="1" t="s">
        <v>10293</v>
      </c>
      <c r="C2042" s="1" t="s">
        <v>10294</v>
      </c>
      <c r="D2042" s="1" t="s">
        <v>10295</v>
      </c>
      <c r="E2042" s="1" t="s">
        <v>10296</v>
      </c>
      <c r="F2042" s="1" t="s">
        <v>10297</v>
      </c>
      <c r="G2042" s="1" t="s">
        <v>10298</v>
      </c>
      <c r="H2042" s="1" t="str">
        <f>IFERROR(__xludf.DUMMYFUNCTION("GOOGLETRANSLATE(D2042,""EN"",""JA"")"),"グルタミン酸/クレアチン")</f>
        <v>グルタミン酸/クレアチン</v>
      </c>
      <c r="I2042" s="1" t="str">
        <f>IFERROR(__xludf.DUMMYFUNCTION("GOOGLETRANSLATE(E2042,""EN"",""JA"")"),"グルタミン酸/クレアチン; グルタミン酸/クレアチン")</f>
        <v>グルタミン酸/クレアチン; グルタミン酸/クレアチン</v>
      </c>
      <c r="J2042" s="1" t="str">
        <f>IFERROR(__xludf.DUMMYFUNCTION("GOOGLETRANSLATE(F2042,""EN"",""JA"")"),"生物学的標本中のグルタミン酸とクレアチンの相対的な測定値（比率またはパーセンテージ）。")</f>
        <v>生物学的標本中のグルタミン酸とクレアチンの相対的な測定値（比率またはパーセンテージ）。</v>
      </c>
      <c r="K2042" s="1" t="str">
        <f>IFERROR(__xludf.DUMMYFUNCTION("GOOGLETRANSLATE(G2042,""EN"",""JA"")"),"グルタミン酸とクレアチンの比率測定")</f>
        <v>グルタミン酸とクレアチンの比率測定</v>
      </c>
    </row>
    <row r="2043" ht="13.5" customHeight="1">
      <c r="A2043" s="1" t="s">
        <v>11</v>
      </c>
      <c r="B2043" s="1" t="s">
        <v>10299</v>
      </c>
      <c r="C2043" s="1" t="s">
        <v>10300</v>
      </c>
      <c r="D2043" s="1" t="s">
        <v>10301</v>
      </c>
      <c r="E2043" s="1" t="s">
        <v>10301</v>
      </c>
      <c r="F2043" s="1" t="s">
        <v>10302</v>
      </c>
      <c r="G2043" s="1" t="s">
        <v>10303</v>
      </c>
      <c r="H2043" s="1" t="str">
        <f>IFERROR(__xludf.DUMMYFUNCTION("GOOGLETRANSLATE(D2043,""EN"",""JA"")"),"全血換算グルコース")</f>
        <v>全血換算グルコース</v>
      </c>
      <c r="I2043" s="1" t="str">
        <f>IFERROR(__xludf.DUMMYFUNCTION("GOOGLETRANSLATE(E2043,""EN"",""JA"")"),"全血換算グルコース")</f>
        <v>全血換算グルコース</v>
      </c>
      <c r="J2043" s="1" t="str">
        <f>IFERROR(__xludf.DUMMYFUNCTION("GOOGLETRANSLATE(F2043,""EN"",""JA"")"),"生物標本中の全血相当グルコースの測定。")</f>
        <v>生物標本中の全血相当グルコースの測定。</v>
      </c>
      <c r="K2043" s="1" t="str">
        <f>IFERROR(__xludf.DUMMYFUNCTION("GOOGLETRANSLATE(G2043,""EN"",""JA"")"),"全血相当グルコース測定")</f>
        <v>全血相当グルコース測定</v>
      </c>
    </row>
    <row r="2044" ht="13.5" customHeight="1">
      <c r="A2044" s="1" t="s">
        <v>11</v>
      </c>
      <c r="B2044" s="1" t="s">
        <v>10304</v>
      </c>
      <c r="C2044" s="1" t="s">
        <v>10305</v>
      </c>
      <c r="D2044" s="1" t="s">
        <v>10306</v>
      </c>
      <c r="E2044" s="1" t="s">
        <v>10307</v>
      </c>
      <c r="F2044" s="1" t="s">
        <v>10308</v>
      </c>
      <c r="G2044" s="1" t="s">
        <v>10309</v>
      </c>
      <c r="H2044" s="1" t="str">
        <f>IFERROR(__xludf.DUMMYFUNCTION("GOOGLETRANSLATE(D2044,""EN"",""JA"")"),"グルコース、放射性標識/グルコース")</f>
        <v>グルコース、放射性標識/グルコース</v>
      </c>
      <c r="I2044" s="1" t="str">
        <f>IFERROR(__xludf.DUMMYFUNCTION("GOOGLETRANSLATE(E2044,""EN"",""JA"")"),"グルコース、濃縮/グルコース; グルコース、放射性標識/グルコース")</f>
        <v>グルコース、濃縮/グルコース; グルコース、放射性標識/グルコース</v>
      </c>
      <c r="J2044" s="1" t="str">
        <f>IFERROR(__xludf.DUMMYFUNCTION("GOOGLETRANSLATE(F2044,""EN"",""JA"")"),"生物標本中の総グルコースに対する放射性標識グルコースの相対的な測定値（比率またはパーセンテージ）。")</f>
        <v>生物標本中の総グルコースに対する放射性標識グルコースの相対的な測定値（比率またはパーセンテージ）。</v>
      </c>
      <c r="K2044" s="1" t="str">
        <f>IFERROR(__xludf.DUMMYFUNCTION("GOOGLETRANSLATE(G2044,""EN"",""JA"")"),"放射性標識グルコース対グルコース比測定")</f>
        <v>放射性標識グルコース対グルコース比測定</v>
      </c>
    </row>
    <row r="2045" ht="13.5" customHeight="1">
      <c r="A2045" s="1" t="s">
        <v>11</v>
      </c>
      <c r="B2045" s="1" t="s">
        <v>10310</v>
      </c>
      <c r="C2045" s="1" t="s">
        <v>10311</v>
      </c>
      <c r="D2045" s="1" t="s">
        <v>10312</v>
      </c>
      <c r="E2045" s="1" t="s">
        <v>10313</v>
      </c>
      <c r="F2045" s="1" t="s">
        <v>10314</v>
      </c>
      <c r="G2045" s="1" t="s">
        <v>10315</v>
      </c>
      <c r="H2045" s="1" t="str">
        <f>IFERROR(__xludf.DUMMYFUNCTION("GOOGLETRANSLATE(D2045,""EN"",""JA"")"),"グルタミン酸")</f>
        <v>グルタミン酸</v>
      </c>
      <c r="I2045" s="1" t="str">
        <f>IFERROR(__xludf.DUMMYFUNCTION("GOOGLETRANSLATE(E2045,""EN"",""JA"")"),"グルタミン酸")</f>
        <v>グルタミン酸</v>
      </c>
      <c r="J2045" s="1" t="str">
        <f>IFERROR(__xludf.DUMMYFUNCTION("GOOGLETRANSLATE(F2045,""EN"",""JA"")"),"生物標本中のグルタミン酸の測定。")</f>
        <v>生物標本中のグルタミン酸の測定。</v>
      </c>
      <c r="K2045" s="1" t="str">
        <f>IFERROR(__xludf.DUMMYFUNCTION("GOOGLETRANSLATE(G2045,""EN"",""JA"")"),"グルタミン酸測定")</f>
        <v>グルタミン酸測定</v>
      </c>
    </row>
    <row r="2046" ht="13.5" customHeight="1">
      <c r="A2046" s="1" t="s">
        <v>176</v>
      </c>
      <c r="B2046" s="1" t="s">
        <v>10310</v>
      </c>
      <c r="C2046" s="1" t="s">
        <v>10311</v>
      </c>
      <c r="D2046" s="1" t="s">
        <v>10312</v>
      </c>
      <c r="E2046" s="1" t="s">
        <v>10313</v>
      </c>
      <c r="F2046" s="1" t="s">
        <v>10314</v>
      </c>
      <c r="G2046" s="1" t="s">
        <v>10315</v>
      </c>
      <c r="H2046" s="1" t="str">
        <f>IFERROR(__xludf.DUMMYFUNCTION("GOOGLETRANSLATE(D2046,""EN"",""JA"")"),"グルタミン酸")</f>
        <v>グルタミン酸</v>
      </c>
      <c r="I2046" s="1" t="str">
        <f>IFERROR(__xludf.DUMMYFUNCTION("GOOGLETRANSLATE(E2046,""EN"",""JA"")"),"グルタミン酸")</f>
        <v>グルタミン酸</v>
      </c>
      <c r="J2046" s="1" t="str">
        <f>IFERROR(__xludf.DUMMYFUNCTION("GOOGLETRANSLATE(F2046,""EN"",""JA"")"),"生物標本中のグルタミン酸の測定。")</f>
        <v>生物標本中のグルタミン酸の測定。</v>
      </c>
      <c r="K2046" s="1" t="str">
        <f>IFERROR(__xludf.DUMMYFUNCTION("GOOGLETRANSLATE(G2046,""EN"",""JA"")"),"グルタミン酸測定")</f>
        <v>グルタミン酸測定</v>
      </c>
    </row>
    <row r="2047" ht="13.5" customHeight="1">
      <c r="A2047" s="1" t="s">
        <v>11</v>
      </c>
      <c r="B2047" s="1" t="s">
        <v>10316</v>
      </c>
      <c r="C2047" s="1" t="s">
        <v>10317</v>
      </c>
      <c r="D2047" s="1" t="s">
        <v>10318</v>
      </c>
      <c r="E2047" s="1" t="s">
        <v>10319</v>
      </c>
      <c r="F2047" s="1" t="s">
        <v>10320</v>
      </c>
      <c r="G2047" s="1" t="s">
        <v>10321</v>
      </c>
      <c r="H2047" s="1" t="str">
        <f>IFERROR(__xludf.DUMMYFUNCTION("GOOGLETRANSLATE(D2047,""EN"",""JA"")"),"グルテン免疫原ペプチド")</f>
        <v>グルテン免疫原ペプチド</v>
      </c>
      <c r="I2047" s="1" t="str">
        <f>IFERROR(__xludf.DUMMYFUNCTION("GOOGLETRANSLATE(E2047,""EN"",""JA"")"),"GIP; グルテン免疫原ペプチド; グルテン免疫原ペプチド")</f>
        <v>GIP; グルテン免疫原ペプチド; グルテン免疫原ペプチド</v>
      </c>
      <c r="J2047" s="1" t="str">
        <f>IFERROR(__xludf.DUMMYFUNCTION("GOOGLETRANSLATE(F2047,""EN"",""JA"")"),"生物標本中のグルテン免疫原性ペプチドの測定。")</f>
        <v>生物標本中のグルテン免疫原性ペプチドの測定。</v>
      </c>
      <c r="K2047" s="1" t="str">
        <f>IFERROR(__xludf.DUMMYFUNCTION("GOOGLETRANSLATE(G2047,""EN"",""JA"")"),"グルテン免疫原性ペプチド測定")</f>
        <v>グルテン免疫原性ペプチド測定</v>
      </c>
    </row>
    <row r="2048" ht="13.5" customHeight="1">
      <c r="A2048" s="1" t="s">
        <v>176</v>
      </c>
      <c r="B2048" s="1" t="s">
        <v>10322</v>
      </c>
      <c r="C2048" s="1" t="s">
        <v>10323</v>
      </c>
      <c r="D2048" s="1" t="s">
        <v>10324</v>
      </c>
      <c r="E2048" s="1" t="s">
        <v>10324</v>
      </c>
      <c r="F2048" s="1" t="s">
        <v>10325</v>
      </c>
      <c r="G2048" s="1" t="s">
        <v>10326</v>
      </c>
      <c r="H2048" s="1" t="str">
        <f>IFERROR(__xludf.DUMMYFUNCTION("GOOGLETRANSLATE(D2048,""EN"",""JA"")"),"グルタミン酸とグルタミン")</f>
        <v>グルタミン酸とグルタミン</v>
      </c>
      <c r="I2048" s="1" t="str">
        <f>IFERROR(__xludf.DUMMYFUNCTION("GOOGLETRANSLATE(E2048,""EN"",""JA"")"),"グルタミン酸とグルタミン")</f>
        <v>グルタミン酸とグルタミン</v>
      </c>
      <c r="J2048" s="1" t="str">
        <f>IFERROR(__xludf.DUMMYFUNCTION("GOOGLETRANSLATE(F2048,""EN"",""JA"")"),"生物標本中のグルタミン酸とグルタミンの測定。")</f>
        <v>生物標本中のグルタミン酸とグルタミンの測定。</v>
      </c>
      <c r="K2048" s="1" t="str">
        <f>IFERROR(__xludf.DUMMYFUNCTION("GOOGLETRANSLATE(G2048,""EN"",""JA"")"),"グルタミン酸とグルタミンの測定")</f>
        <v>グルタミン酸とグルタミンの測定</v>
      </c>
    </row>
    <row r="2049" ht="13.5" customHeight="1">
      <c r="A2049" s="1" t="s">
        <v>176</v>
      </c>
      <c r="B2049" s="1" t="s">
        <v>10327</v>
      </c>
      <c r="C2049" s="1" t="s">
        <v>10328</v>
      </c>
      <c r="D2049" s="1" t="s">
        <v>10329</v>
      </c>
      <c r="E2049" s="1" t="s">
        <v>10329</v>
      </c>
      <c r="F2049" s="1" t="s">
        <v>10330</v>
      </c>
      <c r="G2049" s="1" t="s">
        <v>10331</v>
      </c>
      <c r="H2049" s="1" t="str">
        <f>IFERROR(__xludf.DUMMYFUNCTION("GOOGLETRANSLATE(D2049,""EN"",""JA"")"),"グルタミン酸とグルタミンC3を強化")</f>
        <v>グルタミン酸とグルタミンC3を強化</v>
      </c>
      <c r="I2049" s="1" t="str">
        <f>IFERROR(__xludf.DUMMYFUNCTION("GOOGLETRANSLATE(E2049,""EN"",""JA"")"),"グルタミン酸とグルタミンC3を強化")</f>
        <v>グルタミン酸とグルタミンC3を強化</v>
      </c>
      <c r="J2049" s="1" t="str">
        <f>IFERROR(__xludf.DUMMYFUNCTION("GOOGLETRANSLATE(F2049,""EN"",""JA"")"),"生物標本中の C3 に富むグルタミン酸およびグルタミンの測定。")</f>
        <v>生物標本中の C3 に富むグルタミン酸およびグルタミンの測定。</v>
      </c>
      <c r="K2049" s="1" t="str">
        <f>IFERROR(__xludf.DUMMYFUNCTION("GOOGLETRANSLATE(G2049,""EN"",""JA"")"),"C3強化グルタミン酸およびグルタミン測定")</f>
        <v>C3強化グルタミン酸およびグルタミン測定</v>
      </c>
    </row>
    <row r="2050" ht="13.5" customHeight="1">
      <c r="A2050" s="1" t="s">
        <v>176</v>
      </c>
      <c r="B2050" s="1" t="s">
        <v>10332</v>
      </c>
      <c r="C2050" s="1" t="s">
        <v>10333</v>
      </c>
      <c r="D2050" s="1" t="s">
        <v>10334</v>
      </c>
      <c r="E2050" s="1" t="s">
        <v>10335</v>
      </c>
      <c r="F2050" s="1" t="s">
        <v>10336</v>
      </c>
      <c r="G2050" s="1" t="s">
        <v>10337</v>
      </c>
      <c r="H2050" s="1" t="str">
        <f>IFERROR(__xludf.DUMMYFUNCTION("GOOGLETRANSLATE(D2050,""EN"",""JA"")"),"グルタミン酸とグルタミンC3強化/GLX")</f>
        <v>グルタミン酸とグルタミンC3強化/GLX</v>
      </c>
      <c r="I2050" s="1" t="str">
        <f>IFERROR(__xludf.DUMMYFUNCTION("GOOGLETRANSLATE(E2050,""EN"",""JA"")"),"グルタミン酸およびグルタミンC3強化/グルタミン酸およびグルタミン; グルタミン酸およびグルタミンC3強化/GLX")</f>
        <v>グルタミン酸およびグルタミンC3強化/グルタミン酸およびグルタミン; グルタミン酸およびグルタミンC3強化/GLX</v>
      </c>
      <c r="J2050" s="1" t="str">
        <f>IFERROR(__xludf.DUMMYFUNCTION("GOOGLETRANSLATE(F2050,""EN"",""JA"")"),"生物標本中の総グルタミン酸およびグルタミンに対する C3 強化グルタミン酸およびグルタミンの相対測定値 (比率またはパーセンテージ)。")</f>
        <v>生物標本中の総グルタミン酸およびグルタミンに対する C3 強化グルタミン酸およびグルタミンの相対測定値 (比率またはパーセンテージ)。</v>
      </c>
      <c r="K2050" s="1" t="str">
        <f>IFERROR(__xludf.DUMMYFUNCTION("GOOGLETRANSLATE(G2050,""EN"",""JA"")"),"C3強化グルタミン酸およびグルタミンと総グルタミン酸およびグルタミンの比率測定")</f>
        <v>C3強化グルタミン酸およびグルタミンと総グルタミン酸およびグルタミンの比率測定</v>
      </c>
    </row>
    <row r="2051" ht="13.5" customHeight="1">
      <c r="A2051" s="1" t="s">
        <v>176</v>
      </c>
      <c r="B2051" s="1" t="s">
        <v>10338</v>
      </c>
      <c r="C2051" s="1" t="s">
        <v>10339</v>
      </c>
      <c r="D2051" s="1" t="s">
        <v>10340</v>
      </c>
      <c r="E2051" s="1" t="s">
        <v>10341</v>
      </c>
      <c r="F2051" s="1" t="s">
        <v>10342</v>
      </c>
      <c r="G2051" s="1" t="s">
        <v>10343</v>
      </c>
      <c r="H2051" s="1" t="str">
        <f>IFERROR(__xludf.DUMMYFUNCTION("GOOGLETRANSLATE(D2051,""EN"",""JA"")"),"グルタミン酸-グルタミンサイクル速度")</f>
        <v>グルタミン酸-グルタミンサイクル速度</v>
      </c>
      <c r="I2051" s="1" t="str">
        <f>IFERROR(__xludf.DUMMYFUNCTION("GOOGLETRANSLATE(E2051,""EN"",""JA"")"),"グルタミン酸とグルタミンのサイクル速度; グルタミン酸-グルタミンサイクル速度; グルタミン酸/GABA-グルタミンサイクル速度")</f>
        <v>グルタミン酸とグルタミンのサイクル速度; グルタミン酸-グルタミンサイクル速度; グルタミン酸/GABA-グルタミンサイクル速度</v>
      </c>
      <c r="J2051" s="1" t="str">
        <f>IFERROR(__xludf.DUMMYFUNCTION("GOOGLETRANSLATE(F2051,""EN"",""JA"")"),"生物標本におけるグルタミン酸-グルタミン回路の代謝率の測定。")</f>
        <v>生物標本におけるグルタミン酸-グルタミン回路の代謝率の測定。</v>
      </c>
      <c r="K2051" s="1" t="str">
        <f>IFERROR(__xludf.DUMMYFUNCTION("GOOGLETRANSLATE(G2051,""EN"",""JA"")"),"グルタミン酸-クレアチンサイクル速度測定")</f>
        <v>グルタミン酸-クレアチンサイクル速度測定</v>
      </c>
    </row>
    <row r="2052" ht="13.5" customHeight="1">
      <c r="A2052" s="1" t="s">
        <v>11</v>
      </c>
      <c r="B2052" s="1" t="s">
        <v>10344</v>
      </c>
      <c r="C2052" s="1" t="s">
        <v>10345</v>
      </c>
      <c r="D2052" s="1" t="s">
        <v>10346</v>
      </c>
      <c r="E2052" s="1" t="s">
        <v>10346</v>
      </c>
      <c r="F2052" s="1" t="s">
        <v>10347</v>
      </c>
      <c r="G2052" s="1" t="s">
        <v>10348</v>
      </c>
      <c r="H2052" s="1" t="str">
        <f>IFERROR(__xludf.DUMMYFUNCTION("GOOGLETRANSLATE(D2052,""EN"",""JA"")"),"グリシン")</f>
        <v>グリシン</v>
      </c>
      <c r="I2052" s="1" t="str">
        <f>IFERROR(__xludf.DUMMYFUNCTION("GOOGLETRANSLATE(E2052,""EN"",""JA"")"),"グリシン")</f>
        <v>グリシン</v>
      </c>
      <c r="J2052" s="1" t="str">
        <f>IFERROR(__xludf.DUMMYFUNCTION("GOOGLETRANSLATE(F2052,""EN"",""JA"")"),"生物標本中のグリシンの測定。")</f>
        <v>生物標本中のグリシンの測定。</v>
      </c>
      <c r="K2052" s="1" t="str">
        <f>IFERROR(__xludf.DUMMYFUNCTION("GOOGLETRANSLATE(G2052,""EN"",""JA"")"),"グリシン測定")</f>
        <v>グリシン測定</v>
      </c>
    </row>
    <row r="2053" ht="13.5" customHeight="1">
      <c r="A2053" s="1" t="s">
        <v>11</v>
      </c>
      <c r="B2053" s="1" t="s">
        <v>10349</v>
      </c>
      <c r="C2053" s="1" t="s">
        <v>10350</v>
      </c>
      <c r="D2053" s="1" t="s">
        <v>10351</v>
      </c>
      <c r="E2053" s="1" t="s">
        <v>10351</v>
      </c>
      <c r="F2053" s="1" t="s">
        <v>10352</v>
      </c>
      <c r="G2053" s="1" t="s">
        <v>10353</v>
      </c>
      <c r="H2053" s="1" t="str">
        <f>IFERROR(__xludf.DUMMYFUNCTION("GOOGLETRANSLATE(D2053,""EN"",""JA"")"),"グリシン/クレアチニン")</f>
        <v>グリシン/クレアチニン</v>
      </c>
      <c r="I2053" s="1" t="str">
        <f>IFERROR(__xludf.DUMMYFUNCTION("GOOGLETRANSLATE(E2053,""EN"",""JA"")"),"グリシン/クレアチニン")</f>
        <v>グリシン/クレアチニン</v>
      </c>
      <c r="J2053" s="1" t="str">
        <f>IFERROR(__xludf.DUMMYFUNCTION("GOOGLETRANSLATE(F2053,""EN"",""JA"")"),"生物標本中のグリシンとクレアチニンの相対的な測定値（比率）。")</f>
        <v>生物標本中のグリシンとクレアチニンの相対的な測定値（比率）。</v>
      </c>
      <c r="K2053" s="1" t="str">
        <f>IFERROR(__xludf.DUMMYFUNCTION("GOOGLETRANSLATE(G2053,""EN"",""JA"")"),"グリシンとクレアチニンの比率測定")</f>
        <v>グリシンとクレアチニンの比率測定</v>
      </c>
    </row>
    <row r="2054" ht="13.5" customHeight="1">
      <c r="A2054" s="1" t="s">
        <v>11</v>
      </c>
      <c r="B2054" s="1" t="s">
        <v>10354</v>
      </c>
      <c r="C2054" s="1" t="s">
        <v>10355</v>
      </c>
      <c r="D2054" s="1" t="s">
        <v>10356</v>
      </c>
      <c r="E2054" s="1" t="s">
        <v>10356</v>
      </c>
      <c r="F2054" s="1" t="s">
        <v>10357</v>
      </c>
      <c r="G2054" s="1" t="s">
        <v>10358</v>
      </c>
      <c r="H2054" s="1" t="str">
        <f>IFERROR(__xludf.DUMMYFUNCTION("GOOGLETRANSLATE(D2054,""EN"",""JA"")"),"グリセロール")</f>
        <v>グリセロール</v>
      </c>
      <c r="I2054" s="1" t="str">
        <f>IFERROR(__xludf.DUMMYFUNCTION("GOOGLETRANSLATE(E2054,""EN"",""JA"")"),"グリセロール")</f>
        <v>グリセロール</v>
      </c>
      <c r="J2054" s="1" t="str">
        <f>IFERROR(__xludf.DUMMYFUNCTION("GOOGLETRANSLATE(F2054,""EN"",""JA"")"),"検体中の総グリセロールの測定値。")</f>
        <v>検体中の総グリセロールの測定値。</v>
      </c>
      <c r="K2054" s="1" t="str">
        <f>IFERROR(__xludf.DUMMYFUNCTION("GOOGLETRANSLATE(G2054,""EN"",""JA"")"),"グリセロール測定")</f>
        <v>グリセロール測定</v>
      </c>
    </row>
    <row r="2055" ht="13.5" customHeight="1">
      <c r="A2055" s="1" t="s">
        <v>11</v>
      </c>
      <c r="B2055" s="1" t="s">
        <v>10359</v>
      </c>
      <c r="C2055" s="1" t="s">
        <v>10360</v>
      </c>
      <c r="D2055" s="1" t="s">
        <v>10361</v>
      </c>
      <c r="E2055" s="1" t="s">
        <v>10362</v>
      </c>
      <c r="F2055" s="1" t="s">
        <v>10363</v>
      </c>
      <c r="G2055" s="1" t="s">
        <v>10364</v>
      </c>
      <c r="H2055" s="1" t="str">
        <f>IFERROR(__xludf.DUMMYFUNCTION("GOOGLETRANSLATE(D2055,""EN"",""JA"")"),"遊離グリセロール")</f>
        <v>遊離グリセロール</v>
      </c>
      <c r="I2055" s="1" t="str">
        <f>IFERROR(__xludf.DUMMYFUNCTION("GOOGLETRANSLATE(E2055,""EN"",""JA"")"),"遊離グリセリン; 遊離グリセロール")</f>
        <v>遊離グリセリン; 遊離グリセロール</v>
      </c>
      <c r="J2055" s="1" t="str">
        <f>IFERROR(__xludf.DUMMYFUNCTION("GOOGLETRANSLATE(F2055,""EN"",""JA"")"),"生物標本中の非結合グリセロールの量の測定。")</f>
        <v>生物標本中の非結合グリセロールの量の測定。</v>
      </c>
      <c r="K2055" s="1" t="str">
        <f>IFERROR(__xludf.DUMMYFUNCTION("GOOGLETRANSLATE(G2055,""EN"",""JA"")"),"遊離グリセロール測定")</f>
        <v>遊離グリセロール測定</v>
      </c>
    </row>
    <row r="2056" ht="13.5" customHeight="1">
      <c r="A2056" s="1" t="s">
        <v>11</v>
      </c>
      <c r="B2056" s="1" t="s">
        <v>10365</v>
      </c>
      <c r="C2056" s="1" t="s">
        <v>10366</v>
      </c>
      <c r="D2056" s="1" t="s">
        <v>10367</v>
      </c>
      <c r="E2056" s="1" t="s">
        <v>10367</v>
      </c>
      <c r="F2056" s="1" t="s">
        <v>10368</v>
      </c>
      <c r="G2056" s="1" t="s">
        <v>10369</v>
      </c>
      <c r="H2056" s="1" t="str">
        <f>IFERROR(__xludf.DUMMYFUNCTION("GOOGLETRANSLATE(D2056,""EN"",""JA"")"),"グリコーゲン")</f>
        <v>グリコーゲン</v>
      </c>
      <c r="I2056" s="1" t="str">
        <f>IFERROR(__xludf.DUMMYFUNCTION("GOOGLETRANSLATE(E2056,""EN"",""JA"")"),"グリコーゲン")</f>
        <v>グリコーゲン</v>
      </c>
      <c r="J2056" s="1" t="str">
        <f>IFERROR(__xludf.DUMMYFUNCTION("GOOGLETRANSLATE(F2056,""EN"",""JA"")"),"生物標本中のグリコーゲンの測定。")</f>
        <v>生物標本中のグリコーゲンの測定。</v>
      </c>
      <c r="K2056" s="1" t="str">
        <f>IFERROR(__xludf.DUMMYFUNCTION("GOOGLETRANSLATE(G2056,""EN"",""JA"")"),"グリコーゲン測定")</f>
        <v>グリコーゲン測定</v>
      </c>
    </row>
    <row r="2057" ht="13.5" customHeight="1">
      <c r="A2057" s="1" t="s">
        <v>1034</v>
      </c>
      <c r="B2057" s="1" t="s">
        <v>10370</v>
      </c>
      <c r="C2057" s="1" t="s">
        <v>10371</v>
      </c>
      <c r="D2057" s="1" t="s">
        <v>10372</v>
      </c>
      <c r="E2057" s="1" t="s">
        <v>10373</v>
      </c>
      <c r="F2057" s="1" t="s">
        <v>10374</v>
      </c>
      <c r="G2057" s="1" t="s">
        <v>10375</v>
      </c>
      <c r="H2057" s="1" t="str">
        <f>IFERROR(__xludf.DUMMYFUNCTION("GOOGLETRANSLATE(D2057,""EN"",""JA"")"),"ファントムボリュームのグリコーゲン基準値")</f>
        <v>ファントムボリュームのグリコーゲン基準値</v>
      </c>
      <c r="I2057" s="1" t="str">
        <f>IFERROR(__xludf.DUMMYFUNCTION("GOOGLETRANSLATE(E2057,""EN"",""JA"")"),"ファントムボリュームのグリコーゲン基準値；ファントムボリュームのグリコーゲン正規化値")</f>
        <v>ファントムボリュームのグリコーゲン基準値；ファントムボリュームのグリコーゲン正規化値</v>
      </c>
      <c r="J2057" s="1" t="str">
        <f>IFERROR(__xludf.DUMMYFUNCTION("GOOGLETRANSLATE(F2057,""EN"",""JA"")"),"生物標本内のファントムボリュームをイメージングするために正規化されたグリコーゲンの測定値。")</f>
        <v>生物標本内のファントムボリュームをイメージングするために正規化されたグリコーゲンの測定値。</v>
      </c>
      <c r="K2057" s="1" t="str">
        <f>IFERROR(__xludf.DUMMYFUNCTION("GOOGLETRANSLATE(G2057,""EN"",""JA"")"),"ファントムボリューム測定用に標準化されたグリコーゲン")</f>
        <v>ファントムボリューム測定用に標準化されたグリコーゲン</v>
      </c>
    </row>
    <row r="2058" ht="13.5" customHeight="1">
      <c r="A2058" s="1" t="s">
        <v>1034</v>
      </c>
      <c r="B2058" s="1" t="s">
        <v>10376</v>
      </c>
      <c r="C2058" s="1" t="s">
        <v>10377</v>
      </c>
      <c r="D2058" s="1" t="s">
        <v>10378</v>
      </c>
      <c r="E2058" s="1" t="s">
        <v>10379</v>
      </c>
      <c r="F2058" s="1" t="s">
        <v>10380</v>
      </c>
      <c r="G2058" s="1" t="s">
        <v>10381</v>
      </c>
      <c r="H2058" s="1" t="str">
        <f>IFERROR(__xludf.DUMMYFUNCTION("GOOGLETRANSLATE(D2058,""EN"",""JA"")"),"組織重量に対するグリコーゲン基準値")</f>
        <v>組織重量に対するグリコーゲン基準値</v>
      </c>
      <c r="I2058" s="1" t="str">
        <f>IFERROR(__xludf.DUMMYFUNCTION("GOOGLETRANSLATE(E2058,""EN"",""JA"")"),"組織重量に対するグリコーゲンの標準値；組織重量に対するグリコーゲンの標準値")</f>
        <v>組織重量に対するグリコーゲンの標準値；組織重量に対するグリコーゲンの標準値</v>
      </c>
      <c r="J2058" s="1" t="str">
        <f>IFERROR(__xludf.DUMMYFUNCTION("GOOGLETRANSLATE(F2058,""EN"",""JA"")"),"生物標本中の組織重量に対して正規化されたグリコーゲンの測定値。")</f>
        <v>生物標本中の組織重量に対して正規化されたグリコーゲンの測定値。</v>
      </c>
      <c r="K2058" s="1" t="str">
        <f>IFERROR(__xludf.DUMMYFUNCTION("GOOGLETRANSLATE(G2058,""EN"",""JA"")"),"組織重量測定のためのグリコーゲン正規化")</f>
        <v>組織重量測定のためのグリコーゲン正規化</v>
      </c>
    </row>
    <row r="2059" ht="13.5" customHeight="1">
      <c r="A2059" s="1" t="s">
        <v>1034</v>
      </c>
      <c r="B2059" s="1" t="s">
        <v>10382</v>
      </c>
      <c r="C2059" s="1" t="s">
        <v>10383</v>
      </c>
      <c r="D2059" s="1" t="s">
        <v>10384</v>
      </c>
      <c r="E2059" s="1" t="s">
        <v>10385</v>
      </c>
      <c r="F2059" s="1" t="s">
        <v>10386</v>
      </c>
      <c r="G2059" s="1" t="s">
        <v>10387</v>
      </c>
      <c r="H2059" s="1" t="str">
        <f>IFERROR(__xludf.DUMMYFUNCTION("GOOGLETRANSLATE(D2059,""EN"",""JA"")"),"組織水分量のグリコーゲン基準値")</f>
        <v>組織水分量のグリコーゲン基準値</v>
      </c>
      <c r="I2059" s="1" t="str">
        <f>IFERROR(__xludf.DUMMYFUNCTION("GOOGLETRANSLATE(E2059,""EN"",""JA"")"),"組織水分量に対するグリコーゲンの標準値；組織水分量に対するグリコーゲンの標準値")</f>
        <v>組織水分量に対するグリコーゲンの標準値；組織水分量に対するグリコーゲンの標準値</v>
      </c>
      <c r="J2059" s="1" t="str">
        <f>IFERROR(__xludf.DUMMYFUNCTION("GOOGLETRANSLATE(F2059,""EN"",""JA"")"),"生物標本中の組織水分量に対して正規化されたグリコーゲンの測定値。")</f>
        <v>生物標本中の組織水分量に対して正規化されたグリコーゲンの測定値。</v>
      </c>
      <c r="K2059" s="1" t="str">
        <f>IFERROR(__xludf.DUMMYFUNCTION("GOOGLETRANSLATE(G2059,""EN"",""JA"")"),"組織水分量測定のためのグリコーゲン正規化")</f>
        <v>組織水分量測定のためのグリコーゲン正規化</v>
      </c>
    </row>
    <row r="2060" ht="13.5" customHeight="1">
      <c r="A2060" s="1" t="s">
        <v>11</v>
      </c>
      <c r="B2060" s="1" t="s">
        <v>10388</v>
      </c>
      <c r="C2060" s="1" t="s">
        <v>10389</v>
      </c>
      <c r="D2060" s="1" t="s">
        <v>10390</v>
      </c>
      <c r="E2060" s="1" t="s">
        <v>10391</v>
      </c>
      <c r="F2060" s="1" t="s">
        <v>10392</v>
      </c>
      <c r="G2060" s="1" t="s">
        <v>10393</v>
      </c>
      <c r="H2060" s="1" t="str">
        <f>IFERROR(__xludf.DUMMYFUNCTION("GOOGLETRANSLATE(D2060,""EN"",""JA"")"),"ガングリオシドGM3")</f>
        <v>ガングリオシドGM3</v>
      </c>
      <c r="I2060" s="1" t="str">
        <f>IFERROR(__xludf.DUMMYFUNCTION("GOOGLETRANSLATE(E2060,""EN"",""JA"")"),"ガングリオシドGM3; モノシアロジヘキソシルガングリオシド")</f>
        <v>ガングリオシドGM3; モノシアロジヘキソシルガングリオシド</v>
      </c>
      <c r="J2060" s="1" t="str">
        <f>IFERROR(__xludf.DUMMYFUNCTION("GOOGLETRANSLATE(F2060,""EN"",""JA"")"),"生物標本中のガングリオシド GM3 の測定。")</f>
        <v>生物標本中のガングリオシド GM3 の測定。</v>
      </c>
      <c r="K2060" s="1" t="str">
        <f>IFERROR(__xludf.DUMMYFUNCTION("GOOGLETRANSLATE(G2060,""EN"",""JA"")"),"ガングリオシドGM3測定")</f>
        <v>ガングリオシドGM3測定</v>
      </c>
    </row>
    <row r="2061" ht="13.5" customHeight="1">
      <c r="A2061" s="1" t="s">
        <v>11</v>
      </c>
      <c r="B2061" s="1" t="s">
        <v>10394</v>
      </c>
      <c r="C2061" s="1" t="s">
        <v>10395</v>
      </c>
      <c r="D2061" s="1" t="s">
        <v>10396</v>
      </c>
      <c r="E2061" s="1" t="s">
        <v>10396</v>
      </c>
      <c r="F2061" s="1" t="s">
        <v>10397</v>
      </c>
      <c r="G2061" s="1" t="s">
        <v>10398</v>
      </c>
      <c r="H2061" s="1" t="str">
        <f>IFERROR(__xludf.DUMMYFUNCTION("GOOGLETRANSLATE(D2061,""EN"",""JA"")"),"顆粒球マクロファージコロニーStm因子")</f>
        <v>顆粒球マクロファージコロニーStm因子</v>
      </c>
      <c r="I2061" s="1" t="str">
        <f>IFERROR(__xludf.DUMMYFUNCTION("GOOGLETRANSLATE(E2061,""EN"",""JA"")"),"顆粒球マクロファージコロニーStm因子")</f>
        <v>顆粒球マクロファージコロニーStm因子</v>
      </c>
      <c r="J2061" s="1" t="str">
        <f>IFERROR(__xludf.DUMMYFUNCTION("GOOGLETRANSLATE(F2061,""EN"",""JA"")"),"生物標本中の顆粒球マクロファージコロニー刺激因子の測定。")</f>
        <v>生物標本中の顆粒球マクロファージコロニー刺激因子の測定。</v>
      </c>
      <c r="K2061" s="1" t="str">
        <f>IFERROR(__xludf.DUMMYFUNCTION("GOOGLETRANSLATE(G2061,""EN"",""JA"")"),"顆粒球マクロファージコロニーStm因子測定")</f>
        <v>顆粒球マクロファージコロニーStm因子測定</v>
      </c>
    </row>
    <row r="2062" ht="13.5" customHeight="1">
      <c r="A2062" s="1" t="s">
        <v>11</v>
      </c>
      <c r="B2062" s="1" t="s">
        <v>10399</v>
      </c>
      <c r="C2062" s="1" t="s">
        <v>10400</v>
      </c>
      <c r="D2062" s="1" t="s">
        <v>10401</v>
      </c>
      <c r="E2062" s="1" t="s">
        <v>10401</v>
      </c>
      <c r="F2062" s="1" t="s">
        <v>10402</v>
      </c>
      <c r="G2062" s="1" t="s">
        <v>10401</v>
      </c>
      <c r="H2062" s="1" t="str">
        <f>IFERROR(__xludf.DUMMYFUNCTION("GOOGLETRANSLATE(D2062,""EN"",""JA"")"),"血糖管理指標")</f>
        <v>血糖管理指標</v>
      </c>
      <c r="I2062" s="1" t="str">
        <f>IFERROR(__xludf.DUMMYFUNCTION("GOOGLETRANSLATE(E2062,""EN"",""JA"")"),"血糖管理指標")</f>
        <v>血糖管理指標</v>
      </c>
      <c r="J2062" s="1" t="str">
        <f>IFERROR(__xludf.DUMMYFUNCTION("GOOGLETRANSLATE(F2062,""EN"",""JA"")"),"少なくとも 10 日間の持続血糖モニタリングによって測定された平均血糖値に基づく、個人の予測されるヘモグロビン A1c/ヘモグロビン レベルのおおよその測定値 (% または mmol/mol として表されます)。")</f>
        <v>少なくとも 10 日間の持続血糖モニタリングによって測定された平均血糖値に基づく、個人の予測されるヘモグロビン A1c/ヘモグロビン レベルのおおよその測定値 (% または mmol/mol として表されます)。</v>
      </c>
      <c r="K2062" s="1" t="str">
        <f>IFERROR(__xludf.DUMMYFUNCTION("GOOGLETRANSLATE(G2062,""EN"",""JA"")"),"血糖管理指標")</f>
        <v>血糖管理指標</v>
      </c>
    </row>
    <row r="2063" ht="13.5" customHeight="1">
      <c r="A2063" s="1" t="s">
        <v>67</v>
      </c>
      <c r="B2063" s="1" t="s">
        <v>10403</v>
      </c>
      <c r="C2063" s="1" t="s">
        <v>10404</v>
      </c>
      <c r="D2063" s="1" t="s">
        <v>10405</v>
      </c>
      <c r="E2063" s="1" t="s">
        <v>10405</v>
      </c>
      <c r="F2063" s="1" t="s">
        <v>10406</v>
      </c>
      <c r="G2063" s="1" t="s">
        <v>10407</v>
      </c>
      <c r="H2063" s="1" t="str">
        <f>IFERROR(__xludf.DUMMYFUNCTION("GOOGLETRANSLATE(D2063,""EN"",""JA"")"),"グラム陰性細菌")</f>
        <v>グラム陰性細菌</v>
      </c>
      <c r="I2063" s="1" t="str">
        <f>IFERROR(__xludf.DUMMYFUNCTION("GOOGLETRANSLATE(E2063,""EN"",""JA"")"),"グラム陰性細菌")</f>
        <v>グラム陰性細菌</v>
      </c>
      <c r="J2063" s="1" t="str">
        <f>IFERROR(__xludf.DUMMYFUNCTION("GOOGLETRANSLATE(F2063,""EN"",""JA"")"),"生物標本中のグラム陰性細菌の測定。")</f>
        <v>生物標本中のグラム陰性細菌の測定。</v>
      </c>
      <c r="K2063" s="1" t="str">
        <f>IFERROR(__xludf.DUMMYFUNCTION("GOOGLETRANSLATE(G2063,""EN"",""JA"")"),"グラム陰性細菌の測定")</f>
        <v>グラム陰性細菌の測定</v>
      </c>
    </row>
    <row r="2064" ht="13.5" customHeight="1">
      <c r="A2064" s="1" t="s">
        <v>67</v>
      </c>
      <c r="B2064" s="1" t="s">
        <v>10408</v>
      </c>
      <c r="C2064" s="1" t="s">
        <v>10409</v>
      </c>
      <c r="D2064" s="1" t="s">
        <v>10410</v>
      </c>
      <c r="E2064" s="1" t="s">
        <v>10410</v>
      </c>
      <c r="F2064" s="1" t="s">
        <v>10411</v>
      </c>
      <c r="G2064" s="1" t="s">
        <v>10412</v>
      </c>
      <c r="H2064" s="1" t="str">
        <f>IFERROR(__xludf.DUMMYFUNCTION("GOOGLETRANSLATE(D2064,""EN"",""JA"")"),"グラム陰性球菌")</f>
        <v>グラム陰性球菌</v>
      </c>
      <c r="I2064" s="1" t="str">
        <f>IFERROR(__xludf.DUMMYFUNCTION("GOOGLETRANSLATE(E2064,""EN"",""JA"")"),"グラム陰性球菌")</f>
        <v>グラム陰性球菌</v>
      </c>
      <c r="J2064" s="1" t="str">
        <f>IFERROR(__xludf.DUMMYFUNCTION("GOOGLETRANSLATE(F2064,""EN"",""JA"")"),"生物標本中のグラム陰性球菌の測定。")</f>
        <v>生物標本中のグラム陰性球菌の測定。</v>
      </c>
      <c r="K2064" s="1" t="str">
        <f>IFERROR(__xludf.DUMMYFUNCTION("GOOGLETRANSLATE(G2064,""EN"",""JA"")"),"グラム陰性球菌測定")</f>
        <v>グラム陰性球菌測定</v>
      </c>
    </row>
    <row r="2065" ht="13.5" customHeight="1">
      <c r="A2065" s="1" t="s">
        <v>67</v>
      </c>
      <c r="B2065" s="1" t="s">
        <v>10413</v>
      </c>
      <c r="C2065" s="1" t="s">
        <v>10414</v>
      </c>
      <c r="D2065" s="1" t="s">
        <v>10415</v>
      </c>
      <c r="E2065" s="1" t="s">
        <v>10415</v>
      </c>
      <c r="F2065" s="1" t="s">
        <v>10416</v>
      </c>
      <c r="G2065" s="1" t="s">
        <v>10417</v>
      </c>
      <c r="H2065" s="1" t="str">
        <f>IFERROR(__xludf.DUMMYFUNCTION("GOOGLETRANSLATE(D2065,""EN"",""JA"")"),"グラム陽性細菌")</f>
        <v>グラム陽性細菌</v>
      </c>
      <c r="I2065" s="1" t="str">
        <f>IFERROR(__xludf.DUMMYFUNCTION("GOOGLETRANSLATE(E2065,""EN"",""JA"")"),"グラム陽性細菌")</f>
        <v>グラム陽性細菌</v>
      </c>
      <c r="J2065" s="1" t="str">
        <f>IFERROR(__xludf.DUMMYFUNCTION("GOOGLETRANSLATE(F2065,""EN"",""JA"")"),"生物標本中のグラム陽性細菌の測定。")</f>
        <v>生物標本中のグラム陽性細菌の測定。</v>
      </c>
      <c r="K2065" s="1" t="str">
        <f>IFERROR(__xludf.DUMMYFUNCTION("GOOGLETRANSLATE(G2065,""EN"",""JA"")"),"グラム陽性細菌の測定")</f>
        <v>グラム陽性細菌の測定</v>
      </c>
    </row>
    <row r="2066" ht="13.5" customHeight="1">
      <c r="A2066" s="1" t="s">
        <v>11</v>
      </c>
      <c r="B2066" s="1" t="s">
        <v>10418</v>
      </c>
      <c r="C2066" s="1" t="s">
        <v>10419</v>
      </c>
      <c r="D2066" s="1" t="s">
        <v>10420</v>
      </c>
      <c r="E2066" s="1" t="s">
        <v>10421</v>
      </c>
      <c r="F2066" s="1" t="s">
        <v>10422</v>
      </c>
      <c r="G2066" s="1" t="s">
        <v>10423</v>
      </c>
      <c r="H2066" s="1" t="str">
        <f>IFERROR(__xludf.DUMMYFUNCTION("GOOGLETRANSLATE(D2066,""EN"",""JA"")"),"ゴナドトロピン放出ホルモン")</f>
        <v>ゴナドトロピン放出ホルモン</v>
      </c>
      <c r="I2066" s="1" t="str">
        <f>IFERROR(__xludf.DUMMYFUNCTION("GOOGLETRANSLATE(E2066,""EN"",""JA"")"),"ゴナドトロピン放出ホルモン; 黄体形成ホルモン放出ホルモン")</f>
        <v>ゴナドトロピン放出ホルモン; 黄体形成ホルモン放出ホルモン</v>
      </c>
      <c r="J2066" s="1" t="str">
        <f>IFERROR(__xludf.DUMMYFUNCTION("GOOGLETRANSLATE(F2066,""EN"",""JA"")"),"生物標本中のゴナドトロピン放出ホルモンの測定。")</f>
        <v>生物標本中のゴナドトロピン放出ホルモンの測定。</v>
      </c>
      <c r="K2066" s="1" t="str">
        <f>IFERROR(__xludf.DUMMYFUNCTION("GOOGLETRANSLATE(G2066,""EN"",""JA"")"),"ゴナドトロピン放出ホルモン測定")</f>
        <v>ゴナドトロピン放出ホルモン測定</v>
      </c>
    </row>
    <row r="2067" ht="13.5" customHeight="1">
      <c r="A2067" s="1" t="s">
        <v>134</v>
      </c>
      <c r="B2067" s="1" t="s">
        <v>10424</v>
      </c>
      <c r="C2067" s="1" t="s">
        <v>10425</v>
      </c>
      <c r="D2067" s="1" t="s">
        <v>10426</v>
      </c>
      <c r="E2067" s="1" t="s">
        <v>10426</v>
      </c>
      <c r="F2067" s="1" t="s">
        <v>10427</v>
      </c>
      <c r="G2067" s="1" t="s">
        <v>10428</v>
      </c>
      <c r="H2067" s="1" t="str">
        <f>IFERROR(__xludf.DUMMYFUNCTION("GOOGLETRANSLATE(D2067,""EN"",""JA"")"),"杯細胞")</f>
        <v>杯細胞</v>
      </c>
      <c r="I2067" s="1" t="str">
        <f>IFERROR(__xludf.DUMMYFUNCTION("GOOGLETRANSLATE(E2067,""EN"",""JA"")"),"杯細胞")</f>
        <v>杯細胞</v>
      </c>
      <c r="J2067" s="1" t="str">
        <f>IFERROR(__xludf.DUMMYFUNCTION("GOOGLETRANSLATE(F2067,""EN"",""JA"")"),"生物標本内の杯細胞の測定。")</f>
        <v>生物標本内の杯細胞の測定。</v>
      </c>
      <c r="K2067" s="1" t="str">
        <f>IFERROR(__xludf.DUMMYFUNCTION("GOOGLETRANSLATE(G2067,""EN"",""JA"")"),"杯細胞数")</f>
        <v>杯細胞数</v>
      </c>
    </row>
    <row r="2068" ht="13.5" customHeight="1">
      <c r="A2068" s="1" t="s">
        <v>134</v>
      </c>
      <c r="B2068" s="1" t="s">
        <v>10429</v>
      </c>
      <c r="C2068" s="1" t="s">
        <v>10430</v>
      </c>
      <c r="D2068" s="1" t="s">
        <v>10431</v>
      </c>
      <c r="E2068" s="1" t="s">
        <v>10431</v>
      </c>
      <c r="F2068" s="1" t="s">
        <v>10432</v>
      </c>
      <c r="G2068" s="1" t="s">
        <v>10433</v>
      </c>
      <c r="H2068" s="1" t="str">
        <f>IFERROR(__xludf.DUMMYFUNCTION("GOOGLETRANSLATE(D2068,""EN"",""JA"")"),"杯細胞/上皮細胞")</f>
        <v>杯細胞/上皮細胞</v>
      </c>
      <c r="I2068" s="1" t="str">
        <f>IFERROR(__xludf.DUMMYFUNCTION("GOOGLETRANSLATE(E2068,""EN"",""JA"")"),"杯細胞/上皮細胞")</f>
        <v>杯細胞/上皮細胞</v>
      </c>
      <c r="J2068" s="1" t="str">
        <f>IFERROR(__xludf.DUMMYFUNCTION("GOOGLETRANSLATE(F2068,""EN"",""JA"")"),"生物標本内の杯細胞と総上皮細胞の相対的な測定値（比率またはパーセンテージ）。")</f>
        <v>生物標本内の杯細胞と総上皮細胞の相対的な測定値（比率またはパーセンテージ）。</v>
      </c>
      <c r="K2068" s="1" t="str">
        <f>IFERROR(__xludf.DUMMYFUNCTION("GOOGLETRANSLATE(G2068,""EN"",""JA"")"),"杯細胞と上皮細胞比の測定")</f>
        <v>杯細胞と上皮細胞比の測定</v>
      </c>
    </row>
    <row r="2069" ht="13.5" customHeight="1">
      <c r="A2069" s="1" t="s">
        <v>11</v>
      </c>
      <c r="B2069" s="1" t="s">
        <v>10434</v>
      </c>
      <c r="C2069" s="1" t="s">
        <v>10435</v>
      </c>
      <c r="D2069" s="1" t="s">
        <v>10436</v>
      </c>
      <c r="E2069" s="1" t="s">
        <v>10436</v>
      </c>
      <c r="F2069" s="1" t="s">
        <v>10437</v>
      </c>
      <c r="G2069" s="1" t="s">
        <v>10438</v>
      </c>
      <c r="H2069" s="1" t="str">
        <f>IFERROR(__xludf.DUMMYFUNCTION("GOOGLETRANSLATE(D2069,""EN"",""JA"")"),"金")</f>
        <v>金</v>
      </c>
      <c r="I2069" s="1" t="str">
        <f>IFERROR(__xludf.DUMMYFUNCTION("GOOGLETRANSLATE(E2069,""EN"",""JA"")"),"金")</f>
        <v>金</v>
      </c>
      <c r="J2069" s="1" t="str">
        <f>IFERROR(__xludf.DUMMYFUNCTION("GOOGLETRANSLATE(F2069,""EN"",""JA"")"),"生物標本中の金の測定。")</f>
        <v>生物標本中の金の測定。</v>
      </c>
      <c r="K2069" s="1" t="str">
        <f>IFERROR(__xludf.DUMMYFUNCTION("GOOGLETRANSLATE(G2069,""EN"",""JA"")"),"金の測定")</f>
        <v>金の測定</v>
      </c>
    </row>
    <row r="2070" ht="13.5" customHeight="1">
      <c r="A2070" s="1" t="s">
        <v>1034</v>
      </c>
      <c r="B2070" s="1" t="s">
        <v>10439</v>
      </c>
      <c r="C2070" s="1" t="s">
        <v>10440</v>
      </c>
      <c r="D2070" s="1" t="s">
        <v>10441</v>
      </c>
      <c r="E2070" s="1" t="s">
        <v>10442</v>
      </c>
      <c r="F2070" s="1" t="s">
        <v>10443</v>
      </c>
      <c r="G2070" s="1" t="s">
        <v>10441</v>
      </c>
      <c r="H2070" s="1" t="str">
        <f>IFERROR(__xludf.DUMMYFUNCTION("GOOGLETRANSLATE(D2070,""EN"",""JA"")"),"グルーリッヒとパイルの骨の年代推定")</f>
        <v>グルーリッヒとパイルの骨の年代推定</v>
      </c>
      <c r="I2070" s="1" t="str">
        <f>IFERROR(__xludf.DUMMYFUNCTION("GOOGLETRANSLATE(E2070,""EN"",""JA"")"),"グルーリッヒとパイルの骨年齢推定; グルーリッヒとパイルの骨格成熟度推定")</f>
        <v>グルーリッヒとパイルの骨年齢推定; グルーリッヒとパイルの骨格成熟度推定</v>
      </c>
      <c r="J2070" s="1" t="str">
        <f>IFERROR(__xludf.DUMMYFUNCTION("GOOGLETRANSLATE(F2070,""EN"",""JA"")"),"手と手首の骨の標準的な放射線画像の比較に基づく、個人の骨格成熟度（骨年齢）の推定評価。（Greulich WW、Pyle SI。手と手首の骨格発達の放射線アトラス。Am")</f>
        <v>手と手首の骨の標準的な放射線画像の比較に基づく、個人の骨格成熟度（骨年齢）の推定評価。（Greulich WW、Pyle SI。手と手首の骨格発達の放射線アトラス。Am</v>
      </c>
      <c r="K2070" s="1" t="str">
        <f>IFERROR(__xludf.DUMMYFUNCTION("GOOGLETRANSLATE(G2070,""EN"",""JA"")"),"グルーリッヒとパイルの骨の年代推定")</f>
        <v>グルーリッヒとパイルの骨の年代推定</v>
      </c>
    </row>
    <row r="2071" ht="13.5" customHeight="1">
      <c r="A2071" s="1" t="s">
        <v>11</v>
      </c>
      <c r="B2071" s="1" t="s">
        <v>10444</v>
      </c>
      <c r="C2071" s="1" t="s">
        <v>10445</v>
      </c>
      <c r="D2071" s="1" t="s">
        <v>10446</v>
      </c>
      <c r="E2071" s="1" t="s">
        <v>10446</v>
      </c>
      <c r="F2071" s="1" t="s">
        <v>10447</v>
      </c>
      <c r="G2071" s="1" t="s">
        <v>10448</v>
      </c>
      <c r="H2071" s="1" t="str">
        <f>IFERROR(__xludf.DUMMYFUNCTION("GOOGLETRANSLATE(D2071,""EN"",""JA"")"),"グリコーゲンホスホリラーゼアイソザイムBB")</f>
        <v>グリコーゲンホスホリラーゼアイソザイムBB</v>
      </c>
      <c r="I2071" s="1" t="str">
        <f>IFERROR(__xludf.DUMMYFUNCTION("GOOGLETRANSLATE(E2071,""EN"",""JA"")"),"グリコーゲンホスホリラーゼアイソザイムBB")</f>
        <v>グリコーゲンホスホリラーゼアイソザイムBB</v>
      </c>
      <c r="J2071" s="1" t="str">
        <f>IFERROR(__xludf.DUMMYFUNCTION("GOOGLETRANSLATE(F2071,""EN"",""JA"")"),"生物標本中のグリコーゲンホスホリラーゼアイソザイム BB の測定。")</f>
        <v>生物標本中のグリコーゲンホスホリラーゼアイソザイム BB の測定。</v>
      </c>
      <c r="K2071" s="1" t="str">
        <f>IFERROR(__xludf.DUMMYFUNCTION("GOOGLETRANSLATE(G2071,""EN"",""JA"")"),"グリコーゲンホスホリラーゼアイソザイムBB測定")</f>
        <v>グリコーゲンホスホリラーゼアイソザイムBB測定</v>
      </c>
    </row>
    <row r="2072" ht="13.5" customHeight="1">
      <c r="A2072" s="1" t="s">
        <v>176</v>
      </c>
      <c r="B2072" s="1" t="s">
        <v>10449</v>
      </c>
      <c r="C2072" s="1" t="s">
        <v>10450</v>
      </c>
      <c r="D2072" s="1" t="s">
        <v>10451</v>
      </c>
      <c r="E2072" s="1" t="s">
        <v>10452</v>
      </c>
      <c r="F2072" s="1" t="s">
        <v>10453</v>
      </c>
      <c r="G2072" s="1" t="s">
        <v>10454</v>
      </c>
      <c r="H2072" s="1" t="str">
        <f>IFERROR(__xludf.DUMMYFUNCTION("GOOGLETRANSLATE(D2072,""EN"",""JA"")"),"GPC+PCh")</f>
        <v>GPC+PCh</v>
      </c>
      <c r="I2072" s="1" t="str">
        <f>IFERROR(__xludf.DUMMYFUNCTION("GOOGLETRANSLATE(E2072,""EN"",""JA"")"),"グリセロホスホリルコリン + ホスホリルコリン; GPC+PCh")</f>
        <v>グリセロホスホリルコリン + ホスホリルコリン; GPC+PCh</v>
      </c>
      <c r="J2072" s="1" t="str">
        <f>IFERROR(__xludf.DUMMYFUNCTION("GOOGLETRANSLATE(F2072,""EN"",""JA"")"),"生物標本中のグリセロホスホリルコリン (GPC) とホスホリルコリン (PC) の測定。")</f>
        <v>生物標本中のグリセロホスホリルコリン (GPC) とホスホリルコリン (PC) の測定。</v>
      </c>
      <c r="K2072" s="1" t="str">
        <f>IFERROR(__xludf.DUMMYFUNCTION("GOOGLETRANSLATE(G2072,""EN"",""JA"")"),"グリセロホスホリルコリンとホスホリルコリンの測定")</f>
        <v>グリセロホスホリルコリンとホスホリルコリンの測定</v>
      </c>
    </row>
    <row r="2073" ht="13.5" customHeight="1">
      <c r="A2073" s="1" t="s">
        <v>11</v>
      </c>
      <c r="B2073" s="1" t="s">
        <v>10455</v>
      </c>
      <c r="C2073" s="1" t="s">
        <v>10456</v>
      </c>
      <c r="D2073" s="1" t="s">
        <v>10457</v>
      </c>
      <c r="E2073" s="1" t="s">
        <v>10458</v>
      </c>
      <c r="F2073" s="1" t="s">
        <v>10459</v>
      </c>
      <c r="G2073" s="1" t="s">
        <v>10460</v>
      </c>
      <c r="H2073" s="1" t="str">
        <f>IFERROR(__xludf.DUMMYFUNCTION("GOOGLETRANSLATE(D2073,""EN"",""JA"")"),"グリシルプロリンジペプチジルアミノペプチダーゼ")</f>
        <v>グリシルプロリンジペプチジルアミノペプチダーゼ</v>
      </c>
      <c r="I2073" s="1" t="str">
        <f>IFERROR(__xludf.DUMMYFUNCTION("GOOGLETRANSLATE(E2073,""EN"",""JA"")"),"グリシルプロリンジペプチジルアミノペプチダーゼ; GPDA")</f>
        <v>グリシルプロリンジペプチジルアミノペプチダーゼ; GPDA</v>
      </c>
      <c r="J2073" s="1" t="str">
        <f>IFERROR(__xludf.DUMMYFUNCTION("GOOGLETRANSLATE(F2073,""EN"",""JA"")"),"生物標本中のグリシルプロリンジペプチジルアミノペプチダーゼの測定。")</f>
        <v>生物標本中のグリシルプロリンジペプチジルアミノペプチダーゼの測定。</v>
      </c>
      <c r="K2073" s="1" t="str">
        <f>IFERROR(__xludf.DUMMYFUNCTION("GOOGLETRANSLATE(G2073,""EN"",""JA"")"),"グリシルプロリンジペプチジルアミノペプチダーゼ測定")</f>
        <v>グリシルプロリンジペプチジルアミノペプチダーゼ測定</v>
      </c>
    </row>
    <row r="2074" ht="13.5" customHeight="1">
      <c r="A2074" s="1" t="s">
        <v>601</v>
      </c>
      <c r="B2074" s="1" t="s">
        <v>10461</v>
      </c>
      <c r="C2074" s="1" t="s">
        <v>10462</v>
      </c>
      <c r="D2074" s="1" t="s">
        <v>10463</v>
      </c>
      <c r="E2074" s="1" t="s">
        <v>10464</v>
      </c>
      <c r="F2074" s="1" t="s">
        <v>10465</v>
      </c>
      <c r="G2074" s="1" t="s">
        <v>10466</v>
      </c>
      <c r="H2074" s="1" t="str">
        <f>IFERROR(__xludf.DUMMYFUNCTION("GOOGLETRANSLATE(D2074,""EN"",""JA"")"),"潜在的な疾病曝露のGPS座標")</f>
        <v>潜在的な疾病曝露のGPS座標</v>
      </c>
      <c r="I2074" s="1" t="str">
        <f>IFERROR(__xludf.DUMMYFUNCTION("GOOGLETRANSLATE(E2074,""EN"",""JA"")"),"潜在的な疾病曝露の GPS 座標; 潜在的な疾病曝露の GPS 座標")</f>
        <v>潜在的な疾病曝露の GPS 座標; 潜在的な疾病曝露の GPS 座標</v>
      </c>
      <c r="J2074" s="1" t="str">
        <f>IFERROR(__xludf.DUMMYFUNCTION("GOOGLETRANSLATE(F2074,""EN"",""JA"")"),"個人が病気に感染した可能性がある場所を示すグローバル ポジション システム (GPS) 座標。")</f>
        <v>個人が病気に感染した可能性がある場所を示すグローバル ポジション システム (GPS) 座標。</v>
      </c>
      <c r="K2074" s="1" t="str">
        <f>IFERROR(__xludf.DUMMYFUNCTION("GOOGLETRANSLATE(G2074,""EN"",""JA"")"),"潜在的な病気への曝露のGPS座標")</f>
        <v>潜在的な病気への曝露のGPS座標</v>
      </c>
    </row>
    <row r="2075" ht="13.5" customHeight="1">
      <c r="A2075" s="1" t="s">
        <v>176</v>
      </c>
      <c r="B2075" s="1" t="s">
        <v>10467</v>
      </c>
      <c r="C2075" s="1" t="s">
        <v>10468</v>
      </c>
      <c r="D2075" s="1" t="s">
        <v>10469</v>
      </c>
      <c r="E2075" s="1" t="s">
        <v>10469</v>
      </c>
      <c r="F2075" s="1" t="s">
        <v>10470</v>
      </c>
      <c r="G2075" s="1" t="s">
        <v>10471</v>
      </c>
      <c r="H2075" s="1" t="str">
        <f>IFERROR(__xludf.DUMMYFUNCTION("GOOGLETRANSLATE(D2075,""EN"",""JA"")"),"書字感覚")</f>
        <v>書字感覚</v>
      </c>
      <c r="I2075" s="1" t="str">
        <f>IFERROR(__xludf.DUMMYFUNCTION("GOOGLETRANSLATE(E2075,""EN"",""JA"")"),"書字感覚")</f>
        <v>書字感覚</v>
      </c>
      <c r="J2075" s="1" t="str">
        <f>IFERROR(__xludf.DUMMYFUNCTION("GOOGLETRANSLATE(F2075,""EN"",""JA"")"),"書字感覚（皮膚上に記号をなぞったときにそれを認識する能力）の評価。")</f>
        <v>書字感覚（皮膚上に記号をなぞったときにそれを認識する能力）の評価。</v>
      </c>
      <c r="K2075" s="1" t="str">
        <f>IFERROR(__xludf.DUMMYFUNCTION("GOOGLETRANSLATE(G2075,""EN"",""JA"")"),"書字感覚評価")</f>
        <v>書字感覚評価</v>
      </c>
    </row>
    <row r="2076" ht="13.5" customHeight="1">
      <c r="A2076" s="1" t="s">
        <v>11</v>
      </c>
      <c r="B2076" s="1" t="s">
        <v>10472</v>
      </c>
      <c r="C2076" s="1" t="s">
        <v>10473</v>
      </c>
      <c r="D2076" s="1" t="s">
        <v>10474</v>
      </c>
      <c r="E2076" s="1" t="s">
        <v>10475</v>
      </c>
      <c r="F2076" s="1" t="s">
        <v>10476</v>
      </c>
      <c r="G2076" s="1" t="s">
        <v>10477</v>
      </c>
      <c r="H2076" s="1" t="str">
        <f>IFERROR(__xludf.DUMMYFUNCTION("GOOGLETRANSLATE(D2076,""EN"",""JA"")"),"顆粒球")</f>
        <v>顆粒球</v>
      </c>
      <c r="I2076" s="1" t="str">
        <f>IFERROR(__xludf.DUMMYFUNCTION("GOOGLETRANSLATE(E2076,""EN"",""JA"")"),"顆粒球; 多形核白血球")</f>
        <v>顆粒球; 多形核白血球</v>
      </c>
      <c r="J2076" s="1" t="str">
        <f>IFERROR(__xludf.DUMMYFUNCTION("GOOGLETRANSLATE(F2076,""EN"",""JA"")"),"生物標本中の顆粒球の測定。")</f>
        <v>生物標本中の顆粒球の測定。</v>
      </c>
      <c r="K2076" s="1" t="str">
        <f>IFERROR(__xludf.DUMMYFUNCTION("GOOGLETRANSLATE(G2076,""EN"",""JA"")"),"顆粒球数")</f>
        <v>顆粒球数</v>
      </c>
    </row>
    <row r="2077" ht="13.5" customHeight="1">
      <c r="A2077" s="1" t="s">
        <v>11</v>
      </c>
      <c r="B2077" s="1" t="s">
        <v>10478</v>
      </c>
      <c r="C2077" s="1" t="s">
        <v>10479</v>
      </c>
      <c r="D2077" s="1" t="s">
        <v>10480</v>
      </c>
      <c r="E2077" s="1" t="s">
        <v>10481</v>
      </c>
      <c r="F2077" s="1" t="s">
        <v>10482</v>
      </c>
      <c r="G2077" s="1" t="s">
        <v>10483</v>
      </c>
      <c r="H2077" s="1" t="str">
        <f>IFERROR(__xludf.DUMMYFUNCTION("GOOGLETRANSLATE(D2077,""EN"",""JA"")"),"顆粒球バンド型")</f>
        <v>顆粒球バンド型</v>
      </c>
      <c r="I2077" s="1" t="str">
        <f>IFERROR(__xludf.DUMMYFUNCTION("GOOGLETRANSLATE(E2077,""EN"",""JA"")"),"帯状顆粒球; 帯状顆粒球")</f>
        <v>帯状顆粒球; 帯状顆粒球</v>
      </c>
      <c r="J2077" s="1" t="str">
        <f>IFERROR(__xludf.DUMMYFUNCTION("GOOGLETRANSLATE(F2077,""EN"",""JA"")"),"生物標本中の帯状顆粒球の測定。")</f>
        <v>生物標本中の帯状顆粒球の測定。</v>
      </c>
      <c r="K2077" s="1" t="str">
        <f>IFERROR(__xludf.DUMMYFUNCTION("GOOGLETRANSLATE(G2077,""EN"",""JA"")"),"顆粒球桿体数")</f>
        <v>顆粒球桿体数</v>
      </c>
    </row>
    <row r="2078" ht="13.5" customHeight="1">
      <c r="A2078" s="1" t="s">
        <v>11</v>
      </c>
      <c r="B2078" s="1" t="s">
        <v>10484</v>
      </c>
      <c r="C2078" s="1" t="s">
        <v>10485</v>
      </c>
      <c r="D2078" s="1" t="s">
        <v>10486</v>
      </c>
      <c r="E2078" s="1" t="s">
        <v>10486</v>
      </c>
      <c r="F2078" s="1" t="s">
        <v>10487</v>
      </c>
      <c r="G2078" s="1" t="s">
        <v>10488</v>
      </c>
      <c r="H2078" s="1" t="str">
        <f>IFERROR(__xludf.DUMMYFUNCTION("GOOGLETRANSLATE(D2078,""EN"",""JA"")"),"顆粒球バンドフォーム/総細胞")</f>
        <v>顆粒球バンドフォーム/総細胞</v>
      </c>
      <c r="I2078" s="1" t="str">
        <f>IFERROR(__xludf.DUMMYFUNCTION("GOOGLETRANSLATE(E2078,""EN"",""JA"")"),"顆粒球バンドフォーム/総細胞")</f>
        <v>顆粒球バンドフォーム/総細胞</v>
      </c>
      <c r="J2078" s="1" t="str">
        <f>IFERROR(__xludf.DUMMYFUNCTION("GOOGLETRANSLATE(F2078,""EN"",""JA"")"),"生物標本中のバンド化された顆粒球と総細胞の相対的な測定値 (比率またはパーセンテージ)。")</f>
        <v>生物標本中のバンド化された顆粒球と総細胞の相対的な測定値 (比率またはパーセンテージ)。</v>
      </c>
      <c r="K2078" s="1" t="str">
        <f>IFERROR(__xludf.DUMMYFUNCTION("GOOGLETRANSLATE(G2078,""EN"",""JA"")"),"バンドフォーム顆粒球対総細胞比測定")</f>
        <v>バンドフォーム顆粒球対総細胞比測定</v>
      </c>
    </row>
    <row r="2079" ht="13.5" customHeight="1">
      <c r="A2079" s="1" t="s">
        <v>11</v>
      </c>
      <c r="B2079" s="1" t="s">
        <v>10489</v>
      </c>
      <c r="C2079" s="1" t="s">
        <v>10490</v>
      </c>
      <c r="D2079" s="1" t="s">
        <v>10491</v>
      </c>
      <c r="E2079" s="1" t="s">
        <v>10491</v>
      </c>
      <c r="F2079" s="1" t="s">
        <v>10492</v>
      </c>
      <c r="G2079" s="1" t="s">
        <v>10493</v>
      </c>
      <c r="H2079" s="1" t="str">
        <f>IFERROR(__xludf.DUMMYFUNCTION("GOOGLETRANSLATE(D2079,""EN"",""JA"")"),"顆粒球/総細胞")</f>
        <v>顆粒球/総細胞</v>
      </c>
      <c r="I2079" s="1" t="str">
        <f>IFERROR(__xludf.DUMMYFUNCTION("GOOGLETRANSLATE(E2079,""EN"",""JA"")"),"顆粒球/総細胞")</f>
        <v>顆粒球/総細胞</v>
      </c>
      <c r="J2079" s="1" t="str">
        <f>IFERROR(__xludf.DUMMYFUNCTION("GOOGLETRANSLATE(F2079,""EN"",""JA"")"),"生物学的標本（骨髄標本など）内の顆粒球と総細胞の相対的な測定値（比率またはパーセンテージ）。")</f>
        <v>生物学的標本（骨髄標本など）内の顆粒球と総細胞の相対的な測定値（比率またはパーセンテージ）。</v>
      </c>
      <c r="K2079" s="1" t="str">
        <f>IFERROR(__xludf.DUMMYFUNCTION("GOOGLETRANSLATE(G2079,""EN"",""JA"")"),"顆粒球対総細胞比測定")</f>
        <v>顆粒球対総細胞比測定</v>
      </c>
    </row>
    <row r="2080" ht="13.5" customHeight="1">
      <c r="A2080" s="1" t="s">
        <v>11</v>
      </c>
      <c r="B2080" s="1" t="s">
        <v>10494</v>
      </c>
      <c r="C2080" s="1" t="s">
        <v>10495</v>
      </c>
      <c r="D2080" s="1" t="s">
        <v>10496</v>
      </c>
      <c r="E2080" s="1" t="s">
        <v>10496</v>
      </c>
      <c r="F2080" s="1" t="s">
        <v>10497</v>
      </c>
      <c r="G2080" s="1" t="s">
        <v>10498</v>
      </c>
      <c r="H2080" s="1" t="str">
        <f>IFERROR(__xludf.DUMMYFUNCTION("GOOGLETRANSLATE(D2080,""EN"",""JA"")"),"未熟顆粒球")</f>
        <v>未熟顆粒球</v>
      </c>
      <c r="I2080" s="1" t="str">
        <f>IFERROR(__xludf.DUMMYFUNCTION("GOOGLETRANSLATE(E2080,""EN"",""JA"")"),"未熟顆粒球")</f>
        <v>未熟顆粒球</v>
      </c>
      <c r="J2080" s="1" t="str">
        <f>IFERROR(__xludf.DUMMYFUNCTION("GOOGLETRANSLATE(F2080,""EN"",""JA"")"),"生物標本中の未熟顆粒球の総数の測定。")</f>
        <v>生物標本中の未熟顆粒球の総数の測定。</v>
      </c>
      <c r="K2080" s="1" t="str">
        <f>IFERROR(__xludf.DUMMYFUNCTION("GOOGLETRANSLATE(G2080,""EN"",""JA"")"),"幼若顆粒球数")</f>
        <v>幼若顆粒球数</v>
      </c>
    </row>
    <row r="2081" ht="13.5" customHeight="1">
      <c r="A2081" s="1" t="s">
        <v>11</v>
      </c>
      <c r="B2081" s="1" t="s">
        <v>10499</v>
      </c>
      <c r="C2081" s="1" t="s">
        <v>10500</v>
      </c>
      <c r="D2081" s="1" t="s">
        <v>10501</v>
      </c>
      <c r="E2081" s="1" t="s">
        <v>10501</v>
      </c>
      <c r="F2081" s="1" t="s">
        <v>10502</v>
      </c>
      <c r="G2081" s="1" t="s">
        <v>10503</v>
      </c>
      <c r="H2081" s="1" t="str">
        <f>IFERROR(__xludf.DUMMYFUNCTION("GOOGLETRANSLATE(D2081,""EN"",""JA"")"),"未熟顆粒球/白血球")</f>
        <v>未熟顆粒球/白血球</v>
      </c>
      <c r="I2081" s="1" t="str">
        <f>IFERROR(__xludf.DUMMYFUNCTION("GOOGLETRANSLATE(E2081,""EN"",""JA"")"),"未熟顆粒球/白血球")</f>
        <v>未熟顆粒球/白血球</v>
      </c>
      <c r="J2081" s="1" t="str">
        <f>IFERROR(__xludf.DUMMYFUNCTION("GOOGLETRANSLATE(F2081,""EN"",""JA"")"),"生物学的標本（骨髄標本など）中の白血球に対する未熟顆粒球の相対的な測定値（比率またはパーセンテージ）。")</f>
        <v>生物学的標本（骨髄標本など）中の白血球に対する未熟顆粒球の相対的な測定値（比率またはパーセンテージ）。</v>
      </c>
      <c r="K2081" s="1" t="str">
        <f>IFERROR(__xludf.DUMMYFUNCTION("GOOGLETRANSLATE(G2081,""EN"",""JA"")"),"幼若顆粒球と白血球の比測定")</f>
        <v>幼若顆粒球と白血球の比測定</v>
      </c>
    </row>
    <row r="2082" ht="13.5" customHeight="1">
      <c r="A2082" s="1" t="s">
        <v>11</v>
      </c>
      <c r="B2082" s="1" t="s">
        <v>10504</v>
      </c>
      <c r="C2082" s="1" t="s">
        <v>10505</v>
      </c>
      <c r="D2082" s="1" t="s">
        <v>10506</v>
      </c>
      <c r="E2082" s="1" t="s">
        <v>10507</v>
      </c>
      <c r="F2082" s="1" t="s">
        <v>10508</v>
      </c>
      <c r="G2082" s="1" t="s">
        <v>10509</v>
      </c>
      <c r="H2082" s="1" t="str">
        <f>IFERROR(__xludf.DUMMYFUNCTION("GOOGLETRANSLATE(D2082,""EN"",""JA"")"),"顆粒球/白血球")</f>
        <v>顆粒球/白血球</v>
      </c>
      <c r="I2082" s="1" t="str">
        <f>IFERROR(__xludf.DUMMYFUNCTION("GOOGLETRANSLATE(E2082,""EN"",""JA"")"),"Gran/Leuk; 顆粒球/白血球; 多形核白血球/白血球")</f>
        <v>Gran/Leuk; 顆粒球/白血球; 多形核白血球/白血球</v>
      </c>
      <c r="J2082" s="1" t="str">
        <f>IFERROR(__xludf.DUMMYFUNCTION("GOOGLETRANSLATE(F2082,""EN"",""JA"")"),"生物標本中の顆粒球と総白血球の相対的な測定値（比率またはパーセンテージ）。")</f>
        <v>生物標本中の顆粒球と総白血球の相対的な測定値（比率またはパーセンテージ）。</v>
      </c>
      <c r="K2082" s="1" t="str">
        <f>IFERROR(__xludf.DUMMYFUNCTION("GOOGLETRANSLATE(G2082,""EN"",""JA"")"),"顆粒球と白血球の比率測定")</f>
        <v>顆粒球と白血球の比率測定</v>
      </c>
    </row>
    <row r="2083" ht="13.5" customHeight="1">
      <c r="A2083" s="1" t="s">
        <v>134</v>
      </c>
      <c r="B2083" s="1" t="s">
        <v>10510</v>
      </c>
      <c r="C2083" s="1" t="s">
        <v>10511</v>
      </c>
      <c r="D2083" s="1" t="s">
        <v>10512</v>
      </c>
      <c r="E2083" s="1" t="s">
        <v>10512</v>
      </c>
      <c r="F2083" s="1" t="s">
        <v>10513</v>
      </c>
      <c r="G2083" s="1" t="s">
        <v>10514</v>
      </c>
      <c r="H2083" s="1" t="str">
        <f>IFERROR(__xludf.DUMMYFUNCTION("GOOGLETRANSLATE(D2083,""EN"",""JA"")"),"顆粒球増殖")</f>
        <v>顆粒球増殖</v>
      </c>
      <c r="I2083" s="1" t="str">
        <f>IFERROR(__xludf.DUMMYFUNCTION("GOOGLETRANSLATE(E2083,""EN"",""JA"")"),"顆粒球増殖")</f>
        <v>顆粒球増殖</v>
      </c>
      <c r="J2083" s="1" t="str">
        <f>IFERROR(__xludf.DUMMYFUNCTION("GOOGLETRANSLATE(F2083,""EN"",""JA"")"),"生物標本における顆粒球増殖の評価。")</f>
        <v>生物標本における顆粒球増殖の評価。</v>
      </c>
      <c r="K2083" s="1" t="str">
        <f>IFERROR(__xludf.DUMMYFUNCTION("GOOGLETRANSLATE(G2083,""EN"",""JA"")"),"顆粒球増殖測定")</f>
        <v>顆粒球増殖測定</v>
      </c>
    </row>
    <row r="2084" ht="13.5" customHeight="1">
      <c r="A2084" s="1" t="s">
        <v>11</v>
      </c>
      <c r="B2084" s="1" t="s">
        <v>10515</v>
      </c>
      <c r="C2084" s="1" t="s">
        <v>10516</v>
      </c>
      <c r="D2084" s="1" t="s">
        <v>10517</v>
      </c>
      <c r="E2084" s="1" t="s">
        <v>10517</v>
      </c>
      <c r="F2084" s="1" t="s">
        <v>10518</v>
      </c>
      <c r="G2084" s="1" t="s">
        <v>10519</v>
      </c>
      <c r="H2084" s="1" t="str">
        <f>IFERROR(__xludf.DUMMYFUNCTION("GOOGLETRANSLATE(D2084,""EN"",""JA"")"),"分節顆粒球")</f>
        <v>分節顆粒球</v>
      </c>
      <c r="I2084" s="1" t="str">
        <f>IFERROR(__xludf.DUMMYFUNCTION("GOOGLETRANSLATE(E2084,""EN"",""JA"")"),"分節顆粒球")</f>
        <v>分節顆粒球</v>
      </c>
      <c r="J2084" s="1" t="str">
        <f>IFERROR(__xludf.DUMMYFUNCTION("GOOGLETRANSLATE(F2084,""EN"",""JA"")"),"生物標本内の分節顆粒球の測定。")</f>
        <v>生物標本内の分節顆粒球の測定。</v>
      </c>
      <c r="K2084" s="1" t="str">
        <f>IFERROR(__xludf.DUMMYFUNCTION("GOOGLETRANSLATE(G2084,""EN"",""JA"")"),"分節顆粒球数")</f>
        <v>分節顆粒球数</v>
      </c>
    </row>
    <row r="2085" ht="13.5" customHeight="1">
      <c r="A2085" s="1" t="s">
        <v>134</v>
      </c>
      <c r="B2085" s="1" t="s">
        <v>10520</v>
      </c>
      <c r="C2085" s="1" t="s">
        <v>10521</v>
      </c>
      <c r="D2085" s="1" t="s">
        <v>10522</v>
      </c>
      <c r="E2085" s="1" t="s">
        <v>10523</v>
      </c>
      <c r="F2085" s="1" t="s">
        <v>10524</v>
      </c>
      <c r="G2085" s="1" t="s">
        <v>10525</v>
      </c>
      <c r="H2085" s="1" t="str">
        <f>IFERROR(__xludf.DUMMYFUNCTION("GOOGLETRANSLATE(D2085,""EN"",""JA"")"),"分節顆粒球／総細胞数")</f>
        <v>分節顆粒球／総細胞数</v>
      </c>
      <c r="I2085" s="1" t="str">
        <f>IFERROR(__xludf.DUMMYFUNCTION("GOOGLETRANSLATE(E2085,""EN"",""JA"")"),"分節顆粒球／総細胞数；分節顆粒球／総細胞数")</f>
        <v>分節顆粒球／総細胞数；分節顆粒球／総細胞数</v>
      </c>
      <c r="J2085" s="1" t="str">
        <f>IFERROR(__xludf.DUMMYFUNCTION("GOOGLETRANSLATE(F2085,""EN"",""JA"")"),"生物標本内の分節顆粒球と総細胞の相対的な測定値（比率またはパーセンテージ）。")</f>
        <v>生物標本内の分節顆粒球と総細胞の相対的な測定値（比率またはパーセンテージ）。</v>
      </c>
      <c r="K2085" s="1" t="str">
        <f>IFERROR(__xludf.DUMMYFUNCTION("GOOGLETRANSLATE(G2085,""EN"",""JA"")"),"セグメント化された顆粒球対総細胞比測定")</f>
        <v>セグメント化された顆粒球対総細胞比測定</v>
      </c>
    </row>
    <row r="2086" ht="13.5" customHeight="1">
      <c r="A2086" s="1" t="s">
        <v>11</v>
      </c>
      <c r="B2086" s="1" t="s">
        <v>10520</v>
      </c>
      <c r="C2086" s="1" t="s">
        <v>10521</v>
      </c>
      <c r="D2086" s="1" t="s">
        <v>10522</v>
      </c>
      <c r="E2086" s="1" t="s">
        <v>10523</v>
      </c>
      <c r="F2086" s="1" t="s">
        <v>10524</v>
      </c>
      <c r="G2086" s="1" t="s">
        <v>10525</v>
      </c>
      <c r="H2086" s="1" t="str">
        <f>IFERROR(__xludf.DUMMYFUNCTION("GOOGLETRANSLATE(D2086,""EN"",""JA"")"),"分節顆粒球／総細胞数")</f>
        <v>分節顆粒球／総細胞数</v>
      </c>
      <c r="I2086" s="1" t="str">
        <f>IFERROR(__xludf.DUMMYFUNCTION("GOOGLETRANSLATE(E2086,""EN"",""JA"")"),"分節顆粒球／総細胞数；分節顆粒球／総細胞数")</f>
        <v>分節顆粒球／総細胞数；分節顆粒球／総細胞数</v>
      </c>
      <c r="J2086" s="1" t="str">
        <f>IFERROR(__xludf.DUMMYFUNCTION("GOOGLETRANSLATE(F2086,""EN"",""JA"")"),"生物標本内の分節顆粒球と総細胞の相対的な測定値（比率またはパーセンテージ）。")</f>
        <v>生物標本内の分節顆粒球と総細胞の相対的な測定値（比率またはパーセンテージ）。</v>
      </c>
      <c r="K2086" s="1" t="str">
        <f>IFERROR(__xludf.DUMMYFUNCTION("GOOGLETRANSLATE(G2086,""EN"",""JA"")"),"セグメント化された顆粒球対総細胞比測定")</f>
        <v>セグメント化された顆粒球対総細胞比測定</v>
      </c>
    </row>
    <row r="2087" ht="13.5" customHeight="1">
      <c r="A2087" s="1" t="s">
        <v>11</v>
      </c>
      <c r="B2087" s="1" t="s">
        <v>10526</v>
      </c>
      <c r="C2087" s="1" t="s">
        <v>10527</v>
      </c>
      <c r="D2087" s="1" t="s">
        <v>10528</v>
      </c>
      <c r="E2087" s="1" t="s">
        <v>10528</v>
      </c>
      <c r="F2087" s="1" t="s">
        <v>10529</v>
      </c>
      <c r="G2087" s="1" t="s">
        <v>10530</v>
      </c>
      <c r="H2087" s="1" t="str">
        <f>IFERROR(__xludf.DUMMYFUNCTION("GOOGLETRANSLATE(D2087,""EN"",""JA"")"),"グラヌリン")</f>
        <v>グラヌリン</v>
      </c>
      <c r="I2087" s="1" t="str">
        <f>IFERROR(__xludf.DUMMYFUNCTION("GOOGLETRANSLATE(E2087,""EN"",""JA"")"),"グラヌリン")</f>
        <v>グラヌリン</v>
      </c>
      <c r="J2087" s="1" t="str">
        <f>IFERROR(__xludf.DUMMYFUNCTION("GOOGLETRANSLATE(F2087,""EN"",""JA"")"),"生物標本中のグラニュリンの測定。")</f>
        <v>生物標本中のグラニュリンの測定。</v>
      </c>
      <c r="K2087" s="1" t="str">
        <f>IFERROR(__xludf.DUMMYFUNCTION("GOOGLETRANSLATE(G2087,""EN"",""JA"")"),"グラニュリン測定")</f>
        <v>グラニュリン測定</v>
      </c>
    </row>
    <row r="2088" ht="13.5" customHeight="1">
      <c r="A2088" s="1" t="s">
        <v>160</v>
      </c>
      <c r="B2088" s="1" t="s">
        <v>10531</v>
      </c>
      <c r="C2088" s="1" t="s">
        <v>10532</v>
      </c>
      <c r="D2088" s="1" t="s">
        <v>10533</v>
      </c>
      <c r="E2088" s="1" t="s">
        <v>10534</v>
      </c>
      <c r="F2088" s="1" t="s">
        <v>10535</v>
      </c>
      <c r="G2088" s="1" t="s">
        <v>10536</v>
      </c>
      <c r="H2088" s="1" t="str">
        <f>IFERROR(__xludf.DUMMYFUNCTION("GOOGLETRANSLATE(D2088,""EN"",""JA"")"),"妊娠指標")</f>
        <v>妊娠指標</v>
      </c>
      <c r="I2088" s="1" t="str">
        <f>IFERROR(__xludf.DUMMYFUNCTION("GOOGLETRANSLATE(E2088,""EN"",""JA"")"),"妊娠; 妊娠指標")</f>
        <v>妊娠; 妊娠指標</v>
      </c>
      <c r="J2088" s="1" t="str">
        <f>IFERROR(__xludf.DUMMYFUNCTION("GOOGLETRANSLATE(F2088,""EN"",""JA"")"),"対象者が現在妊娠しているか、または過去に妊娠していたかどうかを示します。")</f>
        <v>対象者が現在妊娠しているか、または過去に妊娠していたかどうかを示します。</v>
      </c>
      <c r="K2088" s="1" t="str">
        <f>IFERROR(__xludf.DUMMYFUNCTION("GOOGLETRANSLATE(G2088,""EN"",""JA"")"),"妊婦")</f>
        <v>妊婦</v>
      </c>
    </row>
    <row r="2089" ht="13.5" customHeight="1">
      <c r="A2089" s="1" t="s">
        <v>3094</v>
      </c>
      <c r="B2089" s="1" t="s">
        <v>10537</v>
      </c>
      <c r="C2089" s="1" t="s">
        <v>10538</v>
      </c>
      <c r="D2089" s="1" t="s">
        <v>10539</v>
      </c>
      <c r="E2089" s="1" t="s">
        <v>10539</v>
      </c>
      <c r="F2089" s="1" t="s">
        <v>10540</v>
      </c>
      <c r="G2089" s="1" t="s">
        <v>10539</v>
      </c>
      <c r="H2089" s="1" t="str">
        <f>IFERROR(__xludf.DUMMYFUNCTION("GOOGLETRANSLATE(D2089,""EN"",""JA"")"),"移植の状態")</f>
        <v>移植の状態</v>
      </c>
      <c r="I2089" s="1" t="str">
        <f>IFERROR(__xludf.DUMMYFUNCTION("GOOGLETRANSLATE(E2089,""EN"",""JA"")"),"移植の状態")</f>
        <v>移植の状態</v>
      </c>
      <c r="J2089" s="1" t="str">
        <f>IFERROR(__xludf.DUMMYFUNCTION("GOOGLETRANSLATE(F2089,""EN"",""JA"")"),"提供された臓器または組織の状態。(NCI)")</f>
        <v>提供された臓器または組織の状態。(NCI)</v>
      </c>
      <c r="K2089" s="1" t="str">
        <f>IFERROR(__xludf.DUMMYFUNCTION("GOOGLETRANSLATE(G2089,""EN"",""JA"")"),"移植の状態")</f>
        <v>移植の状態</v>
      </c>
    </row>
    <row r="2090" ht="13.5" customHeight="1">
      <c r="A2090" s="1" t="s">
        <v>1034</v>
      </c>
      <c r="B2090" s="1" t="s">
        <v>10541</v>
      </c>
      <c r="C2090" s="1" t="s">
        <v>10542</v>
      </c>
      <c r="D2090" s="1" t="s">
        <v>10543</v>
      </c>
      <c r="E2090" s="1" t="s">
        <v>10543</v>
      </c>
      <c r="F2090" s="1" t="s">
        <v>10544</v>
      </c>
      <c r="G2090" s="1" t="s">
        <v>10543</v>
      </c>
      <c r="H2090" s="1" t="str">
        <f>IFERROR(__xludf.DUMMYFUNCTION("GOOGLETRANSLATE(D2090,""EN"",""JA"")"),"握力")</f>
        <v>握力</v>
      </c>
      <c r="I2090" s="1" t="str">
        <f>IFERROR(__xludf.DUMMYFUNCTION("GOOGLETRANSLATE(E2090,""EN"",""JA"")"),"握力")</f>
        <v>握力</v>
      </c>
      <c r="J2090" s="1" t="str">
        <f>IFERROR(__xludf.DUMMYFUNCTION("GOOGLETRANSLATE(F2090,""EN"",""JA"")"),"握ったり掴んだりする力を測定する筋力の評価。")</f>
        <v>握ったり掴んだりする力を測定する筋力の評価。</v>
      </c>
      <c r="K2090" s="1" t="str">
        <f>IFERROR(__xludf.DUMMYFUNCTION("GOOGLETRANSLATE(G2090,""EN"",""JA"")"),"握力")</f>
        <v>握力</v>
      </c>
    </row>
    <row r="2091" ht="13.5" customHeight="1">
      <c r="A2091" s="1" t="s">
        <v>6439</v>
      </c>
      <c r="B2091" s="1" t="s">
        <v>10545</v>
      </c>
      <c r="C2091" s="1" t="s">
        <v>10546</v>
      </c>
      <c r="D2091" s="1" t="s">
        <v>10547</v>
      </c>
      <c r="E2091" s="1" t="s">
        <v>10547</v>
      </c>
      <c r="F2091" s="1" t="s">
        <v>10548</v>
      </c>
      <c r="G2091" s="1" t="s">
        <v>10547</v>
      </c>
      <c r="H2091" s="1" t="str">
        <f>IFERROR(__xludf.DUMMYFUNCTION("GOOGLETRANSLATE(D2091,""EN"",""JA"")"),"移植病変の特定")</f>
        <v>移植病変の特定</v>
      </c>
      <c r="I2091" s="1" t="str">
        <f>IFERROR(__xludf.DUMMYFUNCTION("GOOGLETRANSLATE(E2091,""EN"",""JA"")"),"移植病変の特定")</f>
        <v>移植病変の特定</v>
      </c>
      <c r="J2091" s="1" t="str">
        <f>IFERROR(__xludf.DUMMYFUNCTION("GOOGLETRANSLATE(F2091,""EN"",""JA"")"),"病変のある移植片が特定され、特徴付けられたことを示す兆候。")</f>
        <v>病変のある移植片が特定され、特徴付けられたことを示す兆候。</v>
      </c>
      <c r="K2091" s="1" t="str">
        <f>IFERROR(__xludf.DUMMYFUNCTION("GOOGLETRANSLATE(G2091,""EN"",""JA"")"),"移植病変の特定")</f>
        <v>移植病変の特定</v>
      </c>
    </row>
    <row r="2092" ht="13.5" customHeight="1">
      <c r="A2092" s="1" t="s">
        <v>11</v>
      </c>
      <c r="B2092" s="1" t="s">
        <v>10549</v>
      </c>
      <c r="C2092" s="1" t="s">
        <v>10550</v>
      </c>
      <c r="D2092" s="1" t="s">
        <v>10551</v>
      </c>
      <c r="E2092" s="1" t="s">
        <v>10551</v>
      </c>
      <c r="F2092" s="1" t="s">
        <v>10552</v>
      </c>
      <c r="G2092" s="1" t="s">
        <v>10553</v>
      </c>
      <c r="H2092" s="1" t="str">
        <f>IFERROR(__xludf.DUMMYFUNCTION("GOOGLETRANSLATE(D2092,""EN"",""JA"")"),"プログラニュリン")</f>
        <v>プログラニュリン</v>
      </c>
      <c r="I2092" s="1" t="str">
        <f>IFERROR(__xludf.DUMMYFUNCTION("GOOGLETRANSLATE(E2092,""EN"",""JA"")"),"プログラニュリン")</f>
        <v>プログラニュリン</v>
      </c>
      <c r="J2092" s="1" t="str">
        <f>IFERROR(__xludf.DUMMYFUNCTION("GOOGLETRANSLATE(F2092,""EN"",""JA"")"),"生物標本中のプログラニュリンの測定。")</f>
        <v>生物標本中のプログラニュリンの測定。</v>
      </c>
      <c r="K2092" s="1" t="str">
        <f>IFERROR(__xludf.DUMMYFUNCTION("GOOGLETRANSLATE(G2092,""EN"",""JA"")"),"プログラニュリン測定")</f>
        <v>プログラニュリン測定</v>
      </c>
    </row>
    <row r="2093" ht="13.5" customHeight="1">
      <c r="A2093" s="1" t="s">
        <v>134</v>
      </c>
      <c r="B2093" s="1" t="s">
        <v>10554</v>
      </c>
      <c r="C2093" s="1" t="s">
        <v>10555</v>
      </c>
      <c r="D2093" s="1" t="s">
        <v>10556</v>
      </c>
      <c r="E2093" s="1" t="s">
        <v>10556</v>
      </c>
      <c r="F2093" s="1" t="s">
        <v>10557</v>
      </c>
      <c r="G2093" s="1" t="s">
        <v>10558</v>
      </c>
      <c r="H2093" s="1" t="str">
        <f>IFERROR(__xludf.DUMMYFUNCTION("GOOGLETRANSLATE(D2093,""EN"",""JA"")"),"肉芽腫")</f>
        <v>肉芽腫</v>
      </c>
      <c r="I2093" s="1" t="str">
        <f>IFERROR(__xludf.DUMMYFUNCTION("GOOGLETRANSLATE(E2093,""EN"",""JA"")"),"肉芽腫")</f>
        <v>肉芽腫</v>
      </c>
      <c r="J2093" s="1" t="str">
        <f>IFERROR(__xludf.DUMMYFUNCTION("GOOGLETRANSLATE(F2093,""EN"",""JA"")"),"生物標本における肉芽腫の評価。")</f>
        <v>生物標本における肉芽腫の評価。</v>
      </c>
      <c r="K2093" s="1" t="str">
        <f>IFERROR(__xludf.DUMMYFUNCTION("GOOGLETRANSLATE(G2093,""EN"",""JA"")"),"肉芽腫の評価")</f>
        <v>肉芽腫の評価</v>
      </c>
    </row>
    <row r="2094" ht="13.5" customHeight="1">
      <c r="A2094" s="1" t="s">
        <v>11</v>
      </c>
      <c r="B2094" s="1" t="s">
        <v>10559</v>
      </c>
      <c r="C2094" s="1" t="s">
        <v>10560</v>
      </c>
      <c r="D2094" s="1" t="s">
        <v>10561</v>
      </c>
      <c r="E2094" s="1" t="s">
        <v>10561</v>
      </c>
      <c r="F2094" s="1" t="s">
        <v>10562</v>
      </c>
      <c r="G2094" s="1" t="s">
        <v>10563</v>
      </c>
      <c r="H2094" s="1" t="str">
        <f>IFERROR(__xludf.DUMMYFUNCTION("GOOGLETRANSLATE(D2094,""EN"",""JA"")"),"成長制御癌遺伝子")</f>
        <v>成長制御癌遺伝子</v>
      </c>
      <c r="I2094" s="1" t="str">
        <f>IFERROR(__xludf.DUMMYFUNCTION("GOOGLETRANSLATE(E2094,""EN"",""JA"")"),"成長制御癌遺伝子")</f>
        <v>成長制御癌遺伝子</v>
      </c>
      <c r="J2094" s="1" t="str">
        <f>IFERROR(__xludf.DUMMYFUNCTION("GOOGLETRANSLATE(F2094,""EN"",""JA"")"),"生物標本中の総成長制御癌遺伝子タンパク質の測定。")</f>
        <v>生物標本中の総成長制御癌遺伝子タンパク質の測定。</v>
      </c>
      <c r="K2094" s="1" t="str">
        <f>IFERROR(__xludf.DUMMYFUNCTION("GOOGLETRANSLATE(G2094,""EN"",""JA"")"),"成長制御性癌遺伝子測定")</f>
        <v>成長制御性癌遺伝子測定</v>
      </c>
    </row>
    <row r="2095" ht="13.5" customHeight="1">
      <c r="A2095" s="1" t="s">
        <v>11</v>
      </c>
      <c r="B2095" s="1" t="s">
        <v>10564</v>
      </c>
      <c r="C2095" s="1" t="s">
        <v>10565</v>
      </c>
      <c r="D2095" s="1" t="s">
        <v>10566</v>
      </c>
      <c r="E2095" s="1" t="s">
        <v>10567</v>
      </c>
      <c r="F2095" s="1" t="s">
        <v>10568</v>
      </c>
      <c r="G2095" s="1" t="s">
        <v>10569</v>
      </c>
      <c r="H2095" s="1" t="str">
        <f>IFERROR(__xludf.DUMMYFUNCTION("GOOGLETRANSLATE(D2095,""EN"",""JA"")"),"成長ホルモン阻害ホルモン")</f>
        <v>成長ホルモン阻害ホルモン</v>
      </c>
      <c r="I2095" s="1" t="str">
        <f>IFERROR(__xludf.DUMMYFUNCTION("GOOGLETRANSLATE(E2095,""EN"",""JA"")"),"成長ホルモン阻害ホルモン；ソマトスタチン")</f>
        <v>成長ホルモン阻害ホルモン；ソマトスタチン</v>
      </c>
      <c r="J2095" s="1" t="str">
        <f>IFERROR(__xludf.DUMMYFUNCTION("GOOGLETRANSLATE(F2095,""EN"",""JA"")"),"生物標本中の成長ホルモン阻害ホルモンの測定。")</f>
        <v>生物標本中の成長ホルモン阻害ホルモンの測定。</v>
      </c>
      <c r="K2095" s="1" t="str">
        <f>IFERROR(__xludf.DUMMYFUNCTION("GOOGLETRANSLATE(G2095,""EN"",""JA"")"),"成長ホルモン阻害ホルモン測定")</f>
        <v>成長ホルモン阻害ホルモン測定</v>
      </c>
    </row>
    <row r="2096" ht="13.5" customHeight="1">
      <c r="A2096" s="1" t="s">
        <v>11</v>
      </c>
      <c r="B2096" s="1" t="s">
        <v>10570</v>
      </c>
      <c r="C2096" s="1" t="s">
        <v>10571</v>
      </c>
      <c r="D2096" s="1" t="s">
        <v>10572</v>
      </c>
      <c r="E2096" s="1" t="s">
        <v>10573</v>
      </c>
      <c r="F2096" s="1" t="s">
        <v>10574</v>
      </c>
      <c r="G2096" s="1" t="s">
        <v>10575</v>
      </c>
      <c r="H2096" s="1" t="str">
        <f>IFERROR(__xludf.DUMMYFUNCTION("GOOGLETRANSLATE(D2096,""EN"",""JA"")"),"成長ホルモン放出ホルモン")</f>
        <v>成長ホルモン放出ホルモン</v>
      </c>
      <c r="I2096" s="1" t="str">
        <f>IFERROR(__xludf.DUMMYFUNCTION("GOOGLETRANSLATE(E2096,""EN"",""JA"")"),"成長ホルモン放出ホルモン；ソマトクリニン")</f>
        <v>成長ホルモン放出ホルモン；ソマトクリニン</v>
      </c>
      <c r="J2096" s="1" t="str">
        <f>IFERROR(__xludf.DUMMYFUNCTION("GOOGLETRANSLATE(F2096,""EN"",""JA"")"),"生物標本中の成長ホルモン放出ホルモンの測定。")</f>
        <v>生物標本中の成長ホルモン放出ホルモンの測定。</v>
      </c>
      <c r="K2096" s="1" t="str">
        <f>IFERROR(__xludf.DUMMYFUNCTION("GOOGLETRANSLATE(G2096,""EN"",""JA"")"),"成長ホルモン放出ホルモン測定")</f>
        <v>成長ホルモン放出ホルモン測定</v>
      </c>
    </row>
    <row r="2097" ht="13.5" customHeight="1">
      <c r="A2097" s="1" t="s">
        <v>11</v>
      </c>
      <c r="B2097" s="1" t="s">
        <v>10576</v>
      </c>
      <c r="C2097" s="1" t="s">
        <v>10577</v>
      </c>
      <c r="D2097" s="1" t="s">
        <v>10578</v>
      </c>
      <c r="E2097" s="1" t="s">
        <v>10578</v>
      </c>
      <c r="F2097" s="1" t="s">
        <v>10579</v>
      </c>
      <c r="G2097" s="1" t="s">
        <v>10580</v>
      </c>
      <c r="H2097" s="1" t="str">
        <f>IFERROR(__xludf.DUMMYFUNCTION("GOOGLETRANSLATE(D2097,""EN"",""JA"")"),"グルタチオンS-トランスフェラーゼ、総")</f>
        <v>グルタチオンS-トランスフェラーゼ、総</v>
      </c>
      <c r="I2097" s="1" t="str">
        <f>IFERROR(__xludf.DUMMYFUNCTION("GOOGLETRANSLATE(E2097,""EN"",""JA"")"),"グルタチオンS-トランスフェラーゼ、総")</f>
        <v>グルタチオンS-トランスフェラーゼ、総</v>
      </c>
      <c r="J2097" s="1" t="str">
        <f>IFERROR(__xludf.DUMMYFUNCTION("GOOGLETRANSLATE(F2097,""EN"",""JA"")"),"生物標本中の総グルタチオン-S-トランスフェラーゼの測定。")</f>
        <v>生物標本中の総グルタチオン-S-トランスフェラーゼの測定。</v>
      </c>
      <c r="K2097" s="1" t="str">
        <f>IFERROR(__xludf.DUMMYFUNCTION("GOOGLETRANSLATE(G2097,""EN"",""JA"")"),"グルタチオンSトランスフェラーゼ測定")</f>
        <v>グルタチオンSトランスフェラーゼ測定</v>
      </c>
    </row>
    <row r="2098" ht="13.5" customHeight="1">
      <c r="A2098" s="1" t="s">
        <v>601</v>
      </c>
      <c r="B2098" s="1" t="s">
        <v>10581</v>
      </c>
      <c r="C2098" s="1" t="s">
        <v>10582</v>
      </c>
      <c r="D2098" s="1" t="s">
        <v>10583</v>
      </c>
      <c r="E2098" s="1" t="s">
        <v>10583</v>
      </c>
      <c r="F2098" s="1" t="s">
        <v>10584</v>
      </c>
      <c r="G2098" s="1" t="s">
        <v>10583</v>
      </c>
      <c r="H2098" s="1" t="str">
        <f>IFERROR(__xludf.DUMMYFUNCTION("GOOGLETRANSLATE(D2098,""EN"",""JA"")"),"出生時の在胎週数")</f>
        <v>出生時の在胎週数</v>
      </c>
      <c r="I2098" s="1" t="str">
        <f>IFERROR(__xludf.DUMMYFUNCTION("GOOGLETRANSLATE(E2098,""EN"",""JA"")"),"出生時の在胎週数")</f>
        <v>出生時の在胎週数</v>
      </c>
      <c r="J2098" s="1" t="str">
        <f>IFERROR(__xludf.DUMMYFUNCTION("GOOGLETRANSLATE(F2098,""EN"",""JA"")"),"被験者の出生時の在胎週数。")</f>
        <v>被験者の出生時の在胎週数。</v>
      </c>
      <c r="K2098" s="1" t="str">
        <f>IFERROR(__xludf.DUMMYFUNCTION("GOOGLETRANSLATE(G2098,""EN"",""JA"")"),"出生時の在胎週数")</f>
        <v>出生時の在胎週数</v>
      </c>
    </row>
    <row r="2099" ht="13.5" customHeight="1">
      <c r="A2099" s="1" t="s">
        <v>11</v>
      </c>
      <c r="B2099" s="1" t="s">
        <v>10585</v>
      </c>
      <c r="C2099" s="1" t="s">
        <v>10586</v>
      </c>
      <c r="D2099" s="1" t="s">
        <v>10587</v>
      </c>
      <c r="E2099" s="1" t="s">
        <v>10587</v>
      </c>
      <c r="F2099" s="1" t="s">
        <v>10588</v>
      </c>
      <c r="G2099" s="1" t="s">
        <v>10589</v>
      </c>
      <c r="H2099" s="1" t="str">
        <f>IFERROR(__xludf.DUMMYFUNCTION("GOOGLETRANSLATE(D2099,""EN"",""JA"")"),"アルファグルタチオン-S-トランスフェラーゼ")</f>
        <v>アルファグルタチオン-S-トランスフェラーゼ</v>
      </c>
      <c r="I2099" s="1" t="str">
        <f>IFERROR(__xludf.DUMMYFUNCTION("GOOGLETRANSLATE(E2099,""EN"",""JA"")"),"アルファグルタチオン-S-トランスフェラーゼ")</f>
        <v>アルファグルタチオン-S-トランスフェラーゼ</v>
      </c>
      <c r="J2099" s="1" t="str">
        <f>IFERROR(__xludf.DUMMYFUNCTION("GOOGLETRANSLATE(F2099,""EN"",""JA"")"),"生物標本中のグルタチオン S-トランスフェラーゼのアルファ型の測定。")</f>
        <v>生物標本中のグルタチオン S-トランスフェラーゼのアルファ型の測定。</v>
      </c>
      <c r="K2099" s="1" t="str">
        <f>IFERROR(__xludf.DUMMYFUNCTION("GOOGLETRANSLATE(G2099,""EN"",""JA"")"),"アルファグルタチオン-S-トランスフェラーゼ測定")</f>
        <v>アルファグルタチオン-S-トランスフェラーゼ測定</v>
      </c>
    </row>
    <row r="2100" ht="13.5" customHeight="1">
      <c r="A2100" s="1" t="s">
        <v>11</v>
      </c>
      <c r="B2100" s="1" t="s">
        <v>10590</v>
      </c>
      <c r="C2100" s="1" t="s">
        <v>10591</v>
      </c>
      <c r="D2100" s="1" t="s">
        <v>10592</v>
      </c>
      <c r="E2100" s="1" t="s">
        <v>10592</v>
      </c>
      <c r="F2100" s="1" t="s">
        <v>10593</v>
      </c>
      <c r="G2100" s="1" t="s">
        <v>10594</v>
      </c>
      <c r="H2100" s="1" t="str">
        <f>IFERROR(__xludf.DUMMYFUNCTION("GOOGLETRANSLATE(D2100,""EN"",""JA"")"),"グルタチオンS-トランスフェラーゼ、アルファ/クレアチン")</f>
        <v>グルタチオンS-トランスフェラーゼ、アルファ/クレアチン</v>
      </c>
      <c r="I2100" s="1" t="str">
        <f>IFERROR(__xludf.DUMMYFUNCTION("GOOGLETRANSLATE(E2100,""EN"",""JA"")"),"グルタチオンS-トランスフェラーゼ、アルファ/クレアチン")</f>
        <v>グルタチオンS-トランスフェラーゼ、アルファ/クレアチン</v>
      </c>
      <c r="J2100" s="1" t="str">
        <f>IFERROR(__xludf.DUMMYFUNCTION("GOOGLETRANSLATE(F2100,""EN"",""JA"")"),"生物標本中のクレアチニンに対するアルファグルタチオン-S-トランスフェラーゼの相対測定値（比率またはパーセンテージ）。")</f>
        <v>生物標本中のクレアチニンに対するアルファグルタチオン-S-トランスフェラーゼの相対測定値（比率またはパーセンテージ）。</v>
      </c>
      <c r="K2100" s="1" t="str">
        <f>IFERROR(__xludf.DUMMYFUNCTION("GOOGLETRANSLATE(G2100,""EN"",""JA"")"),"アルファグルタチオン-S-トランスフェラーゼとクレアチニンの比率測定")</f>
        <v>アルファグルタチオン-S-トランスフェラーゼとクレアチニンの比率測定</v>
      </c>
    </row>
    <row r="2101" ht="13.5" customHeight="1">
      <c r="A2101" s="1" t="s">
        <v>11</v>
      </c>
      <c r="B2101" s="1" t="s">
        <v>10595</v>
      </c>
      <c r="C2101" s="1" t="s">
        <v>10596</v>
      </c>
      <c r="D2101" s="1" t="s">
        <v>10597</v>
      </c>
      <c r="E2101" s="1" t="s">
        <v>10597</v>
      </c>
      <c r="F2101" s="1" t="s">
        <v>10598</v>
      </c>
      <c r="G2101" s="1" t="s">
        <v>10597</v>
      </c>
      <c r="H2101" s="1" t="str">
        <f>IFERROR(__xludf.DUMMYFUNCTION("GOOGLETRANSLATE(D2101,""EN"",""JA"")"),"アルファ-GST排泄率")</f>
        <v>アルファ-GST排泄率</v>
      </c>
      <c r="I2101" s="1" t="str">
        <f>IFERROR(__xludf.DUMMYFUNCTION("GOOGLETRANSLATE(E2101,""EN"",""JA"")"),"アルファ-GST排泄率")</f>
        <v>アルファ-GST排泄率</v>
      </c>
      <c r="J2101" s="1" t="str">
        <f>IFERROR(__xludf.DUMMYFUNCTION("GOOGLETRANSLATE(F2101,""EN"",""JA"")"),"定義された期間（例：1 時間）にわたって生物学的標本中に排出されるアルファグルタチオン-S-トランスフェラーゼの量を測定します。")</f>
        <v>定義された期間（例：1 時間）にわたって生物学的標本中に排出されるアルファグルタチオン-S-トランスフェラーゼの量を測定します。</v>
      </c>
      <c r="K2101" s="1" t="str">
        <f>IFERROR(__xludf.DUMMYFUNCTION("GOOGLETRANSLATE(G2101,""EN"",""JA"")"),"アルファ-GST排泄率")</f>
        <v>アルファ-GST排泄率</v>
      </c>
    </row>
    <row r="2102" ht="13.5" customHeight="1">
      <c r="A2102" s="1" t="s">
        <v>11</v>
      </c>
      <c r="B2102" s="1" t="s">
        <v>10599</v>
      </c>
      <c r="C2102" s="1" t="s">
        <v>10600</v>
      </c>
      <c r="D2102" s="1" t="s">
        <v>10601</v>
      </c>
      <c r="E2102" s="1" t="s">
        <v>10601</v>
      </c>
      <c r="F2102" s="1" t="s">
        <v>10602</v>
      </c>
      <c r="G2102" s="1" t="s">
        <v>10603</v>
      </c>
      <c r="H2102" s="1" t="str">
        <f>IFERROR(__xludf.DUMMYFUNCTION("GOOGLETRANSLATE(D2102,""EN"",""JA"")"),"グルタチオンSトランスフェラーゼ/クレアチニン")</f>
        <v>グルタチオンSトランスフェラーゼ/クレアチニン</v>
      </c>
      <c r="I2102" s="1" t="str">
        <f>IFERROR(__xludf.DUMMYFUNCTION("GOOGLETRANSLATE(E2102,""EN"",""JA"")"),"グルタチオンSトランスフェラーゼ/クレアチニン")</f>
        <v>グルタチオンSトランスフェラーゼ/クレアチニン</v>
      </c>
      <c r="J2102" s="1" t="str">
        <f>IFERROR(__xludf.DUMMYFUNCTION("GOOGLETRANSLATE(F2102,""EN"",""JA"")"),"生物標本中のグルタチオン S-トランスフェラーゼとクレアチニンの相対的な測定値 (比率またはパーセンテージ)。")</f>
        <v>生物標本中のグルタチオン S-トランスフェラーゼとクレアチニンの相対的な測定値 (比率またはパーセンテージ)。</v>
      </c>
      <c r="K2102" s="1" t="str">
        <f>IFERROR(__xludf.DUMMYFUNCTION("GOOGLETRANSLATE(G2102,""EN"",""JA"")"),"グルタチオンSトランスフェラーゼとクレアチニンの比率測定")</f>
        <v>グルタチオンSトランスフェラーゼとクレアチニンの比率測定</v>
      </c>
    </row>
    <row r="2103" ht="13.5" customHeight="1">
      <c r="A2103" s="1" t="s">
        <v>11</v>
      </c>
      <c r="B2103" s="1" t="s">
        <v>10604</v>
      </c>
      <c r="C2103" s="1" t="s">
        <v>10605</v>
      </c>
      <c r="D2103" s="1" t="s">
        <v>10606</v>
      </c>
      <c r="E2103" s="1" t="s">
        <v>10606</v>
      </c>
      <c r="F2103" s="1" t="s">
        <v>10607</v>
      </c>
      <c r="G2103" s="1" t="s">
        <v>10608</v>
      </c>
      <c r="H2103" s="1" t="str">
        <f>IFERROR(__xludf.DUMMYFUNCTION("GOOGLETRANSLATE(D2103,""EN"",""JA"")"),"ミューグルタチオン-S-トランスフェラーゼ")</f>
        <v>ミューグルタチオン-S-トランスフェラーゼ</v>
      </c>
      <c r="I2103" s="1" t="str">
        <f>IFERROR(__xludf.DUMMYFUNCTION("GOOGLETRANSLATE(E2103,""EN"",""JA"")"),"ミューグルタチオン-S-トランスフェラーゼ")</f>
        <v>ミューグルタチオン-S-トランスフェラーゼ</v>
      </c>
      <c r="J2103" s="1" t="str">
        <f>IFERROR(__xludf.DUMMYFUNCTION("GOOGLETRANSLATE(F2103,""EN"",""JA"")"),"生物標本中のグルタチオン S-トランスフェラーゼのミュー型の測定。")</f>
        <v>生物標本中のグルタチオン S-トランスフェラーゼのミュー型の測定。</v>
      </c>
      <c r="K2103" s="1" t="str">
        <f>IFERROR(__xludf.DUMMYFUNCTION("GOOGLETRANSLATE(G2103,""EN"",""JA"")"),"ミューグルタチオンSトランスフェラーゼ測定")</f>
        <v>ミューグルタチオンSトランスフェラーゼ測定</v>
      </c>
    </row>
    <row r="2104" ht="13.5" customHeight="1">
      <c r="A2104" s="1" t="s">
        <v>11</v>
      </c>
      <c r="B2104" s="1" t="s">
        <v>10609</v>
      </c>
      <c r="C2104" s="1" t="s">
        <v>10610</v>
      </c>
      <c r="D2104" s="1" t="s">
        <v>10611</v>
      </c>
      <c r="E2104" s="1" t="s">
        <v>10611</v>
      </c>
      <c r="F2104" s="1" t="s">
        <v>10612</v>
      </c>
      <c r="G2104" s="1" t="s">
        <v>10613</v>
      </c>
      <c r="H2104" s="1" t="str">
        <f>IFERROR(__xludf.DUMMYFUNCTION("GOOGLETRANSLATE(D2104,""EN"",""JA"")"),"ミューグルタチオン-S-トランスフェラーゼ/クレアチニン")</f>
        <v>ミューグルタチオン-S-トランスフェラーゼ/クレアチニン</v>
      </c>
      <c r="I2104" s="1" t="str">
        <f>IFERROR(__xludf.DUMMYFUNCTION("GOOGLETRANSLATE(E2104,""EN"",""JA"")"),"ミューグルタチオン-S-トランスフェラーゼ/クレアチニン")</f>
        <v>ミューグルタチオン-S-トランスフェラーゼ/クレアチニン</v>
      </c>
      <c r="J2104" s="1" t="str">
        <f>IFERROR(__xludf.DUMMYFUNCTION("GOOGLETRANSLATE(F2104,""EN"",""JA"")"),"生物標本中のμ-γ-グルタミルトランスペプチダーゼとクレアチニンの相対測定値（比率またはパーセンテージ）。")</f>
        <v>生物標本中のμ-γ-グルタミルトランスペプチダーゼとクレアチニンの相対測定値（比率またはパーセンテージ）。</v>
      </c>
      <c r="K2104" s="1" t="str">
        <f>IFERROR(__xludf.DUMMYFUNCTION("GOOGLETRANSLATE(G2104,""EN"",""JA"")"),"ミューグルタチオンSトランスフェラーゼ対クレアチニン比測定")</f>
        <v>ミューグルタチオンSトランスフェラーゼ対クレアチニン比測定</v>
      </c>
    </row>
    <row r="2105" ht="13.5" customHeight="1">
      <c r="A2105" s="1" t="s">
        <v>11</v>
      </c>
      <c r="B2105" s="1" t="s">
        <v>10614</v>
      </c>
      <c r="C2105" s="1" t="s">
        <v>10615</v>
      </c>
      <c r="D2105" s="1" t="s">
        <v>10616</v>
      </c>
      <c r="E2105" s="1" t="s">
        <v>10616</v>
      </c>
      <c r="F2105" s="1" t="s">
        <v>10617</v>
      </c>
      <c r="G2105" s="1" t="s">
        <v>10618</v>
      </c>
      <c r="H2105" s="1" t="str">
        <f>IFERROR(__xludf.DUMMYFUNCTION("GOOGLETRANSLATE(D2105,""EN"",""JA"")"),"グルタチオンS-トランスフェラーゼ、Pi")</f>
        <v>グルタチオンS-トランスフェラーゼ、Pi</v>
      </c>
      <c r="I2105" s="1" t="str">
        <f>IFERROR(__xludf.DUMMYFUNCTION("GOOGLETRANSLATE(E2105,""EN"",""JA"")"),"グルタチオンS-トランスフェラーゼ、Pi")</f>
        <v>グルタチオンS-トランスフェラーゼ、Pi</v>
      </c>
      <c r="J2105" s="1" t="str">
        <f>IFERROR(__xludf.DUMMYFUNCTION("GOOGLETRANSLATE(F2105,""EN"",""JA"")"),"生物標本中の Pi グルタチオン-S-トランスフェラーゼの測定。")</f>
        <v>生物標本中の Pi グルタチオン-S-トランスフェラーゼの測定。</v>
      </c>
      <c r="K2105" s="1" t="str">
        <f>IFERROR(__xludf.DUMMYFUNCTION("GOOGLETRANSLATE(G2105,""EN"",""JA"")"),"PiグルタチオンS-トランスフェラーゼ測定")</f>
        <v>PiグルタチオンS-トランスフェラーゼ測定</v>
      </c>
    </row>
    <row r="2106" ht="13.5" customHeight="1">
      <c r="A2106" s="1" t="s">
        <v>11</v>
      </c>
      <c r="B2106" s="1" t="s">
        <v>10619</v>
      </c>
      <c r="C2106" s="1" t="s">
        <v>10620</v>
      </c>
      <c r="D2106" s="1" t="s">
        <v>10621</v>
      </c>
      <c r="E2106" s="1" t="s">
        <v>10621</v>
      </c>
      <c r="F2106" s="1" t="s">
        <v>10622</v>
      </c>
      <c r="G2106" s="1" t="s">
        <v>10621</v>
      </c>
      <c r="H2106" s="1" t="str">
        <f>IFERROR(__xludf.DUMMYFUNCTION("GOOGLETRANSLATE(D2106,""EN"",""JA"")"),"Pi-GST排泄率")</f>
        <v>Pi-GST排泄率</v>
      </c>
      <c r="I2106" s="1" t="str">
        <f>IFERROR(__xludf.DUMMYFUNCTION("GOOGLETRANSLATE(E2106,""EN"",""JA"")"),"Pi-GST排泄率")</f>
        <v>Pi-GST排泄率</v>
      </c>
      <c r="J2106" s="1" t="str">
        <f>IFERROR(__xludf.DUMMYFUNCTION("GOOGLETRANSLATE(F2106,""EN"",""JA"")"),"定義された期間（例：1 時間）にわたって生物学的標本中に排出される Pi グルタチオン-S-トランスフェラーゼの量を測定します。")</f>
        <v>定義された期間（例：1 時間）にわたって生物学的標本中に排出される Pi グルタチオン-S-トランスフェラーゼの量を測定します。</v>
      </c>
      <c r="K2106" s="1" t="str">
        <f>IFERROR(__xludf.DUMMYFUNCTION("GOOGLETRANSLATE(G2106,""EN"",""JA"")"),"Pi-GST排泄率")</f>
        <v>Pi-GST排泄率</v>
      </c>
    </row>
    <row r="2107" ht="13.5" customHeight="1">
      <c r="A2107" s="1" t="s">
        <v>11</v>
      </c>
      <c r="B2107" s="1" t="s">
        <v>10623</v>
      </c>
      <c r="C2107" s="1" t="s">
        <v>10624</v>
      </c>
      <c r="D2107" s="1" t="s">
        <v>10625</v>
      </c>
      <c r="E2107" s="1" t="s">
        <v>10625</v>
      </c>
      <c r="F2107" s="1" t="s">
        <v>10626</v>
      </c>
      <c r="G2107" s="1" t="s">
        <v>10627</v>
      </c>
      <c r="H2107" s="1" t="str">
        <f>IFERROR(__xludf.DUMMYFUNCTION("GOOGLETRANSLATE(D2107,""EN"",""JA"")"),"グルタチオンS-トランスフェラーゼ、シータ")</f>
        <v>グルタチオンS-トランスフェラーゼ、シータ</v>
      </c>
      <c r="I2107" s="1" t="str">
        <f>IFERROR(__xludf.DUMMYFUNCTION("GOOGLETRANSLATE(E2107,""EN"",""JA"")"),"グルタチオンS-トランスフェラーゼ、シータ")</f>
        <v>グルタチオンS-トランスフェラーゼ、シータ</v>
      </c>
      <c r="J2107" s="1" t="str">
        <f>IFERROR(__xludf.DUMMYFUNCTION("GOOGLETRANSLATE(F2107,""EN"",""JA"")"),"生物標本中のシータグルタチオン-S-トランスフェラーゼの測定。")</f>
        <v>生物標本中のシータグルタチオン-S-トランスフェラーゼの測定。</v>
      </c>
      <c r="K2107" s="1" t="str">
        <f>IFERROR(__xludf.DUMMYFUNCTION("GOOGLETRANSLATE(G2107,""EN"",""JA"")"),"シータグルタチオンS-トランスフェラーゼ測定")</f>
        <v>シータグルタチオンS-トランスフェラーゼ測定</v>
      </c>
    </row>
    <row r="2108" ht="13.5" customHeight="1">
      <c r="A2108" s="1" t="s">
        <v>11</v>
      </c>
      <c r="B2108" s="1" t="s">
        <v>10628</v>
      </c>
      <c r="C2108" s="1" t="s">
        <v>10629</v>
      </c>
      <c r="D2108" s="1" t="s">
        <v>10630</v>
      </c>
      <c r="E2108" s="1" t="s">
        <v>10630</v>
      </c>
      <c r="F2108" s="1" t="s">
        <v>10631</v>
      </c>
      <c r="G2108" s="1" t="s">
        <v>10632</v>
      </c>
      <c r="H2108" s="1" t="str">
        <f>IFERROR(__xludf.DUMMYFUNCTION("GOOGLETRANSLATE(D2108,""EN"",""JA"")"),"グルタチオンS-トランスフェラーゼ、Y1")</f>
        <v>グルタチオンS-トランスフェラーゼ、Y1</v>
      </c>
      <c r="I2108" s="1" t="str">
        <f>IFERROR(__xludf.DUMMYFUNCTION("GOOGLETRANSLATE(E2108,""EN"",""JA"")"),"グルタチオンS-トランスフェラーゼ、Y1")</f>
        <v>グルタチオンS-トランスフェラーゼ、Y1</v>
      </c>
      <c r="J2108" s="1" t="str">
        <f>IFERROR(__xludf.DUMMYFUNCTION("GOOGLETRANSLATE(F2108,""EN"",""JA"")"),"生物標本中のグルタチオン-S-トランスフェラーゼのY1サブユニットの測定。")</f>
        <v>生物標本中のグルタチオン-S-トランスフェラーゼのY1サブユニットの測定。</v>
      </c>
      <c r="K2108" s="1" t="str">
        <f>IFERROR(__xludf.DUMMYFUNCTION("GOOGLETRANSLATE(G2108,""EN"",""JA"")"),"グルタチオンS-トランスフェラーゼY1サブユニット測定")</f>
        <v>グルタチオンS-トランスフェラーゼY1サブユニット測定</v>
      </c>
    </row>
    <row r="2109" ht="13.5" customHeight="1">
      <c r="A2109" s="1" t="s">
        <v>11</v>
      </c>
      <c r="B2109" s="1" t="s">
        <v>10633</v>
      </c>
      <c r="C2109" s="1" t="s">
        <v>10634</v>
      </c>
      <c r="D2109" s="1" t="s">
        <v>10635</v>
      </c>
      <c r="E2109" s="1" t="s">
        <v>10636</v>
      </c>
      <c r="F2109" s="1" t="s">
        <v>10637</v>
      </c>
      <c r="G2109" s="1" t="s">
        <v>10638</v>
      </c>
      <c r="H2109" s="1" t="str">
        <f>IFERROR(__xludf.DUMMYFUNCTION("GOOGLETRANSLATE(D2109,""EN"",""JA"")"),"グリクルソデオキシコール酸")</f>
        <v>グリクルソデオキシコール酸</v>
      </c>
      <c r="I2109" s="1" t="str">
        <f>IFERROR(__xludf.DUMMYFUNCTION("GOOGLETRANSLATE(E2109,""EN"",""JA"")"),"グリクルソデオキシコール酸")</f>
        <v>グリクルソデオキシコール酸</v>
      </c>
      <c r="J2109" s="1" t="str">
        <f>IFERROR(__xludf.DUMMYFUNCTION("GOOGLETRANSLATE(F2109,""EN"",""JA"")"),"生物標本中のグリコールソデオキシコール酸の測定。")</f>
        <v>生物標本中のグリコールソデオキシコール酸の測定。</v>
      </c>
      <c r="K2109" s="1" t="str">
        <f>IFERROR(__xludf.DUMMYFUNCTION("GOOGLETRANSLATE(G2109,""EN"",""JA"")"),"グリコースデオキシコール酸測定")</f>
        <v>グリコースデオキシコール酸測定</v>
      </c>
    </row>
    <row r="2110" ht="13.5" customHeight="1">
      <c r="A2110" s="1" t="s">
        <v>11</v>
      </c>
      <c r="B2110" s="1" t="s">
        <v>10639</v>
      </c>
      <c r="C2110" s="1" t="s">
        <v>10640</v>
      </c>
      <c r="D2110" s="1" t="s">
        <v>10641</v>
      </c>
      <c r="E2110" s="1" t="s">
        <v>10641</v>
      </c>
      <c r="F2110" s="1" t="s">
        <v>10642</v>
      </c>
      <c r="G2110" s="1" t="s">
        <v>10643</v>
      </c>
      <c r="H2110" s="1" t="str">
        <f>IFERROR(__xludf.DUMMYFUNCTION("GOOGLETRANSLATE(D2110,""EN"",""JA"")"),"グルクロニダーゼ、アルファ")</f>
        <v>グルクロニダーゼ、アルファ</v>
      </c>
      <c r="I2110" s="1" t="str">
        <f>IFERROR(__xludf.DUMMYFUNCTION("GOOGLETRANSLATE(E2110,""EN"",""JA"")"),"グルクロニダーゼ、アルファ")</f>
        <v>グルクロニダーゼ、アルファ</v>
      </c>
      <c r="J2110" s="1" t="str">
        <f>IFERROR(__xludf.DUMMYFUNCTION("GOOGLETRANSLATE(F2110,""EN"",""JA"")"),"生物標本中のアルファグルクロニダーゼの測定。")</f>
        <v>生物標本中のアルファグルクロニダーゼの測定。</v>
      </c>
      <c r="K2110" s="1" t="str">
        <f>IFERROR(__xludf.DUMMYFUNCTION("GOOGLETRANSLATE(G2110,""EN"",""JA"")"),"アルファグルクロニダーゼ測定")</f>
        <v>アルファグルクロニダーゼ測定</v>
      </c>
    </row>
    <row r="2111" ht="13.5" customHeight="1">
      <c r="A2111" s="1" t="s">
        <v>11</v>
      </c>
      <c r="B2111" s="1" t="s">
        <v>10644</v>
      </c>
      <c r="C2111" s="1" t="s">
        <v>10645</v>
      </c>
      <c r="D2111" s="1" t="s">
        <v>10646</v>
      </c>
      <c r="E2111" s="1" t="s">
        <v>10646</v>
      </c>
      <c r="F2111" s="1" t="s">
        <v>10647</v>
      </c>
      <c r="G2111" s="1" t="s">
        <v>10648</v>
      </c>
      <c r="H2111" s="1" t="str">
        <f>IFERROR(__xludf.DUMMYFUNCTION("GOOGLETRANSLATE(D2111,""EN"",""JA"")"),"グルクロニダーゼ、ベータ")</f>
        <v>グルクロニダーゼ、ベータ</v>
      </c>
      <c r="I2111" s="1" t="str">
        <f>IFERROR(__xludf.DUMMYFUNCTION("GOOGLETRANSLATE(E2111,""EN"",""JA"")"),"グルクロニダーゼ、ベータ")</f>
        <v>グルクロニダーゼ、ベータ</v>
      </c>
      <c r="J2111" s="1" t="str">
        <f>IFERROR(__xludf.DUMMYFUNCTION("GOOGLETRANSLATE(F2111,""EN"",""JA"")"),"生物標本中のベータグルクロニダーゼの測定。")</f>
        <v>生物標本中のベータグルクロニダーゼの測定。</v>
      </c>
      <c r="K2111" s="1" t="str">
        <f>IFERROR(__xludf.DUMMYFUNCTION("GOOGLETRANSLATE(G2111,""EN"",""JA"")"),"ベータグルクロニダーゼ測定")</f>
        <v>ベータグルクロニダーゼ測定</v>
      </c>
    </row>
    <row r="2112" ht="13.5" customHeight="1">
      <c r="A2112" s="1" t="s">
        <v>67</v>
      </c>
      <c r="B2112" s="1" t="s">
        <v>10649</v>
      </c>
      <c r="C2112" s="1" t="s">
        <v>10650</v>
      </c>
      <c r="D2112" s="1" t="s">
        <v>10651</v>
      </c>
      <c r="E2112" s="1" t="s">
        <v>10652</v>
      </c>
      <c r="F2112" s="1" t="s">
        <v>10653</v>
      </c>
      <c r="G2112" s="1" t="s">
        <v>10654</v>
      </c>
      <c r="H2112" s="1" t="str">
        <f>IFERROR(__xludf.DUMMYFUNCTION("GOOGLETRANSLATE(D2112,""EN"",""JA"")"),"ガードネレラ・ヴァギナリス")</f>
        <v>ガードネレラ・ヴァギナリス</v>
      </c>
      <c r="I2112" s="1" t="str">
        <f>IFERROR(__xludf.DUMMYFUNCTION("GOOGLETRANSLATE(E2112,""EN"",""JA"")"),"膣コリネバクテリウム;ガードネレラ・バギナリス")</f>
        <v>膣コリネバクテリウム;ガードネレラ・バギナリス</v>
      </c>
      <c r="J2112" s="1" t="str">
        <f>IFERROR(__xludf.DUMMYFUNCTION("GOOGLETRANSLATE(F2112,""EN"",""JA"")"),"生物標本中の Gardnerella vaginalis の測定。")</f>
        <v>生物標本中の Gardnerella vaginalis の測定。</v>
      </c>
      <c r="K2112" s="1" t="str">
        <f>IFERROR(__xludf.DUMMYFUNCTION("GOOGLETRANSLATE(G2112,""EN"",""JA"")"),"ガルデネラ・ヴァギナリス測定")</f>
        <v>ガルデネラ・ヴァギナリス測定</v>
      </c>
    </row>
    <row r="2113" ht="13.5" customHeight="1">
      <c r="A2113" s="1" t="s">
        <v>67</v>
      </c>
      <c r="B2113" s="1" t="s">
        <v>10655</v>
      </c>
      <c r="C2113" s="1" t="s">
        <v>10656</v>
      </c>
      <c r="D2113" s="1" t="s">
        <v>10657</v>
      </c>
      <c r="E2113" s="1" t="s">
        <v>10657</v>
      </c>
      <c r="F2113" s="1" t="s">
        <v>10658</v>
      </c>
      <c r="G2113" s="1" t="s">
        <v>10659</v>
      </c>
      <c r="H2113" s="1" t="str">
        <f>IFERROR(__xludf.DUMMYFUNCTION("GOOGLETRANSLATE(D2113,""EN"",""JA"")"),"ガードネレラ・ヴァギナリスDNA")</f>
        <v>ガードネレラ・ヴァギナリスDNA</v>
      </c>
      <c r="I2113" s="1" t="str">
        <f>IFERROR(__xludf.DUMMYFUNCTION("GOOGLETRANSLATE(E2113,""EN"",""JA"")"),"ガードネレラ・ヴァギナリスDNA")</f>
        <v>ガードネレラ・ヴァギナリスDNA</v>
      </c>
      <c r="J2113" s="1" t="str">
        <f>IFERROR(__xludf.DUMMYFUNCTION("GOOGLETRANSLATE(F2113,""EN"",""JA"")"),"生物標本中の Gardnerella vaginalis DNA の測定。")</f>
        <v>生物標本中の Gardnerella vaginalis DNA の測定。</v>
      </c>
      <c r="K2113" s="1" t="str">
        <f>IFERROR(__xludf.DUMMYFUNCTION("GOOGLETRANSLATE(G2113,""EN"",""JA"")"),"ガードネレラ・バギナリス DNA 測定")</f>
        <v>ガードネレラ・バギナリス DNA 測定</v>
      </c>
    </row>
    <row r="2114" ht="13.5" customHeight="1">
      <c r="A2114" s="1" t="s">
        <v>134</v>
      </c>
      <c r="B2114" s="1" t="s">
        <v>10660</v>
      </c>
      <c r="C2114" s="1" t="s">
        <v>10661</v>
      </c>
      <c r="D2114" s="1" t="s">
        <v>10662</v>
      </c>
      <c r="E2114" s="1" t="s">
        <v>10663</v>
      </c>
      <c r="F2114" s="1" t="s">
        <v>10664</v>
      </c>
      <c r="G2114" s="1" t="s">
        <v>10665</v>
      </c>
      <c r="H2114" s="1" t="str">
        <f>IFERROR(__xludf.DUMMYFUNCTION("GOOGLETRANSLATE(D2114,""EN"",""JA"")"),"グランザイムB")</f>
        <v>グランザイムB</v>
      </c>
      <c r="I2114" s="1" t="str">
        <f>IFERROR(__xludf.DUMMYFUNCTION("GOOGLETRANSLATE(E2114,""EN"",""JA"")"),"C11; CCPI; CGL1; CSPB; CTLA1; CTSGL1; グランザイムB; HLP; SECT")</f>
        <v>C11; CCPI; CGL1; CSPB; CTLA1; CTSGL1; グランザイムB; HLP; SECT</v>
      </c>
      <c r="J2114" s="1" t="str">
        <f>IFERROR(__xludf.DUMMYFUNCTION("GOOGLETRANSLATE(F2114,""EN"",""JA"")"),"生物標本中のグランザイム B の測定。")</f>
        <v>生物標本中のグランザイム B の測定。</v>
      </c>
      <c r="K2114" s="1" t="str">
        <f>IFERROR(__xludf.DUMMYFUNCTION("GOOGLETRANSLATE(G2114,""EN"",""JA"")"),"グランザイムB測定")</f>
        <v>グランザイムB測定</v>
      </c>
    </row>
    <row r="2115" ht="13.5" customHeight="1">
      <c r="A2115" s="1" t="s">
        <v>11</v>
      </c>
      <c r="B2115" s="1" t="s">
        <v>10660</v>
      </c>
      <c r="C2115" s="1" t="s">
        <v>10661</v>
      </c>
      <c r="D2115" s="1" t="s">
        <v>10662</v>
      </c>
      <c r="E2115" s="1" t="s">
        <v>10663</v>
      </c>
      <c r="F2115" s="1" t="s">
        <v>10664</v>
      </c>
      <c r="G2115" s="1" t="s">
        <v>10665</v>
      </c>
      <c r="H2115" s="1" t="str">
        <f>IFERROR(__xludf.DUMMYFUNCTION("GOOGLETRANSLATE(D2115,""EN"",""JA"")"),"グランザイムB")</f>
        <v>グランザイムB</v>
      </c>
      <c r="I2115" s="1" t="str">
        <f>IFERROR(__xludf.DUMMYFUNCTION("GOOGLETRANSLATE(E2115,""EN"",""JA"")"),"C11; CCPI; CGL1; CSPB; CTLA1; CTSGL1; グランザイムB; HLP; SECT")</f>
        <v>C11; CCPI; CGL1; CSPB; CTLA1; CTSGL1; グランザイムB; HLP; SECT</v>
      </c>
      <c r="J2115" s="1" t="str">
        <f>IFERROR(__xludf.DUMMYFUNCTION("GOOGLETRANSLATE(F2115,""EN"",""JA"")"),"生物標本中のグランザイム B の測定。")</f>
        <v>生物標本中のグランザイム B の測定。</v>
      </c>
      <c r="K2115" s="1" t="str">
        <f>IFERROR(__xludf.DUMMYFUNCTION("GOOGLETRANSLATE(G2115,""EN"",""JA"")"),"グランザイムB測定")</f>
        <v>グランザイムB測定</v>
      </c>
    </row>
    <row r="2116" ht="13.5" customHeight="1">
      <c r="A2116" s="1" t="s">
        <v>11</v>
      </c>
      <c r="B2116" s="1" t="s">
        <v>10666</v>
      </c>
      <c r="C2116" s="1" t="s">
        <v>10667</v>
      </c>
      <c r="D2116" s="1" t="s">
        <v>10668</v>
      </c>
      <c r="E2116" s="1" t="s">
        <v>10669</v>
      </c>
      <c r="F2116" s="1" t="s">
        <v>10670</v>
      </c>
      <c r="G2116" s="1" t="s">
        <v>10671</v>
      </c>
      <c r="H2116" s="1" t="str">
        <f>IFERROR(__xludf.DUMMYFUNCTION("GOOGLETRANSLATE(D2116,""EN"",""JA"")"),"ヒドロキシエチルフルラゼパム")</f>
        <v>ヒドロキシエチルフルラゼパム</v>
      </c>
      <c r="I2116" s="1" t="str">
        <f>IFERROR(__xludf.DUMMYFUNCTION("GOOGLETRANSLATE(E2116,""EN"",""JA"")"),"2-ヒドロキシエチルフルラゼパム; ヒドロキシエチルフルラゼパム")</f>
        <v>2-ヒドロキシエチルフルラゼパム; ヒドロキシエチルフルラゼパム</v>
      </c>
      <c r="J2116" s="1" t="str">
        <f>IFERROR(__xludf.DUMMYFUNCTION("GOOGLETRANSLATE(F2116,""EN"",""JA"")"),"生物学的標本中のヒドロキシエチルフルラゼパムの測定。")</f>
        <v>生物学的標本中のヒドロキシエチルフルラゼパムの測定。</v>
      </c>
      <c r="K2116" s="1" t="str">
        <f>IFERROR(__xludf.DUMMYFUNCTION("GOOGLETRANSLATE(G2116,""EN"",""JA"")"),"ヒドロキシエチルフルラゼパム測定")</f>
        <v>ヒドロキシエチルフルラゼパム測定</v>
      </c>
    </row>
    <row r="2117" ht="13.5" customHeight="1">
      <c r="A2117" s="1" t="s">
        <v>11</v>
      </c>
      <c r="B2117" s="1" t="s">
        <v>10672</v>
      </c>
      <c r="C2117" s="1" t="s">
        <v>10673</v>
      </c>
      <c r="D2117" s="1" t="s">
        <v>10674</v>
      </c>
      <c r="E2117" s="1" t="s">
        <v>10675</v>
      </c>
      <c r="F2117" s="1" t="s">
        <v>10676</v>
      </c>
      <c r="G2117" s="1" t="s">
        <v>10677</v>
      </c>
      <c r="H2117" s="1" t="str">
        <f>IFERROR(__xludf.DUMMYFUNCTION("GOOGLETRANSLATE(D2117,""EN"",""JA"")"),"6a OH-テトラヒドロ-11-DeH-コルチコステロン")</f>
        <v>6a OH-テトラヒドロ-11-DeH-コルチコステロン</v>
      </c>
      <c r="I2117" s="1" t="str">
        <f>IFERROR(__xludf.DUMMYFUNCTION("GOOGLETRANSLATE(E2117,""EN"",""JA"")"),"6-アルファヒドロキシテトラヒドロ-11-デヒドロコルチコステロン; 6a OH-テトラヒドロ-11-DeH-コルチコステロン")</f>
        <v>6-アルファヒドロキシテトラヒドロ-11-デヒドロコルチコステロン; 6a OH-テトラヒドロ-11-DeH-コルチコステロン</v>
      </c>
      <c r="J2117" s="1" t="str">
        <f>IFERROR(__xludf.DUMMYFUNCTION("GOOGLETRANSLATE(F2117,""EN"",""JA"")"),"生物標本中の 6-アルファ ヒドロキシテトラヒドロ-11-デヒドロコルチコステロンの測定。")</f>
        <v>生物標本中の 6-アルファ ヒドロキシテトラヒドロ-11-デヒドロコルチコステロンの測定。</v>
      </c>
      <c r="K2117" s="1" t="str">
        <f>IFERROR(__xludf.DUMMYFUNCTION("GOOGLETRANSLATE(G2117,""EN"",""JA"")"),"6a OH-テトラヒドロ-11-DeH-コルチコステロン測定")</f>
        <v>6a OH-テトラヒドロ-11-DeH-コルチコステロン測定</v>
      </c>
    </row>
    <row r="2118" ht="13.5" customHeight="1">
      <c r="A2118" s="1" t="s">
        <v>11</v>
      </c>
      <c r="B2118" s="1" t="s">
        <v>10678</v>
      </c>
      <c r="C2118" s="1" t="s">
        <v>10679</v>
      </c>
      <c r="D2118" s="1" t="s">
        <v>10680</v>
      </c>
      <c r="E2118" s="1" t="s">
        <v>10681</v>
      </c>
      <c r="F2118" s="1" t="s">
        <v>10682</v>
      </c>
      <c r="G2118" s="1" t="s">
        <v>10683</v>
      </c>
      <c r="H2118" s="1" t="str">
        <f>IFERROR(__xludf.DUMMYFUNCTION("GOOGLETRANSLATE(D2118,""EN"",""JA"")"),"6a OH-テトラヒドロ-11-デオキシコルチゾール")</f>
        <v>6a OH-テトラヒドロ-11-デオキシコルチゾール</v>
      </c>
      <c r="I2118" s="1" t="str">
        <f>IFERROR(__xludf.DUMMYFUNCTION("GOOGLETRANSLATE(E2118,""EN"",""JA"")"),"6-アルファヒドロキシテトラヒドロ-11-デオキシコルチゾール; 6a OH-テトラヒドロ-11-デオキシコルチゾール")</f>
        <v>6-アルファヒドロキシテトラヒドロ-11-デオキシコルチゾール; 6a OH-テトラヒドロ-11-デオキシコルチゾール</v>
      </c>
      <c r="J2118" s="1" t="str">
        <f>IFERROR(__xludf.DUMMYFUNCTION("GOOGLETRANSLATE(F2118,""EN"",""JA"")"),"生物標本中の 6-アルファ ヒドロキシテトラヒドロ-11-デオキシコルチゾールの測定。")</f>
        <v>生物標本中の 6-アルファ ヒドロキシテトラヒドロ-11-デオキシコルチゾールの測定。</v>
      </c>
      <c r="K2118" s="1" t="str">
        <f>IFERROR(__xludf.DUMMYFUNCTION("GOOGLETRANSLATE(G2118,""EN"",""JA"")"),"6a OH-テトラヒドロ-11-デオキシコルチゾール測定")</f>
        <v>6a OH-テトラヒドロ-11-デオキシコルチゾール測定</v>
      </c>
    </row>
    <row r="2119" ht="13.5" customHeight="1">
      <c r="A2119" s="1" t="s">
        <v>67</v>
      </c>
      <c r="B2119" s="1" t="s">
        <v>10684</v>
      </c>
      <c r="C2119" s="1" t="s">
        <v>10685</v>
      </c>
      <c r="D2119" s="1" t="s">
        <v>10686</v>
      </c>
      <c r="E2119" s="1" t="s">
        <v>10687</v>
      </c>
      <c r="F2119" s="1" t="s">
        <v>10688</v>
      </c>
      <c r="G2119" s="1" t="s">
        <v>10689</v>
      </c>
      <c r="H2119" s="1" t="str">
        <f>IFERROR(__xludf.DUMMYFUNCTION("GOOGLETRANSLATE(D2119,""EN"",""JA"")"),"インフルエンザ菌")</f>
        <v>インフルエンザ菌</v>
      </c>
      <c r="I2119" s="1" t="str">
        <f>IFERROR(__xludf.DUMMYFUNCTION("GOOGLETRANSLATE(E2119,""EN"",""JA"")"),"インフルエンザ菌。インフルエンザ菌")</f>
        <v>インフルエンザ菌。インフルエンザ菌</v>
      </c>
      <c r="J2119" s="1" t="str">
        <f>IFERROR(__xludf.DUMMYFUNCTION("GOOGLETRANSLATE(F2119,""EN"",""JA"")"),"生物標本中のインフルエンザ菌ウイルスの測定。")</f>
        <v>生物標本中のインフルエンザ菌ウイルスの測定。</v>
      </c>
      <c r="K2119" s="1" t="str">
        <f>IFERROR(__xludf.DUMMYFUNCTION("GOOGLETRANSLATE(G2119,""EN"",""JA"")"),"インフルエンザ菌測定")</f>
        <v>インフルエンザ菌測定</v>
      </c>
    </row>
    <row r="2120" ht="13.5" customHeight="1">
      <c r="A2120" s="1" t="s">
        <v>67</v>
      </c>
      <c r="B2120" s="1" t="s">
        <v>10690</v>
      </c>
      <c r="C2120" s="1" t="s">
        <v>10691</v>
      </c>
      <c r="D2120" s="1" t="s">
        <v>10692</v>
      </c>
      <c r="E2120" s="1" t="s">
        <v>10692</v>
      </c>
      <c r="F2120" s="1" t="s">
        <v>10693</v>
      </c>
      <c r="G2120" s="1" t="s">
        <v>10694</v>
      </c>
      <c r="H2120" s="1" t="str">
        <f>IFERROR(__xludf.DUMMYFUNCTION("GOOGLETRANSLATE(D2120,""EN"",""JA"")"),"ヘモフィルス")</f>
        <v>ヘモフィルス</v>
      </c>
      <c r="I2120" s="1" t="str">
        <f>IFERROR(__xludf.DUMMYFUNCTION("GOOGLETRANSLATE(E2120,""EN"",""JA"")"),"ヘモフィルス")</f>
        <v>ヘモフィルス</v>
      </c>
      <c r="J2120" s="1" t="str">
        <f>IFERROR(__xludf.DUMMYFUNCTION("GOOGLETRANSLATE(F2120,""EN"",""JA"")"),"生物標本において、種レベルには割り当てられていないが、ヘモフィルス属レベルに割り当てられている微生物の測定値。")</f>
        <v>生物標本において、種レベルには割り当てられていないが、ヘモフィルス属レベルに割り当てられている微生物の測定値。</v>
      </c>
      <c r="K2120" s="1" t="str">
        <f>IFERROR(__xludf.DUMMYFUNCTION("GOOGLETRANSLATE(G2120,""EN"",""JA"")"),"ヘモフィルス測定")</f>
        <v>ヘモフィルス測定</v>
      </c>
    </row>
    <row r="2121" ht="13.5" customHeight="1">
      <c r="A2121" s="1" t="s">
        <v>201</v>
      </c>
      <c r="B2121" s="1" t="s">
        <v>10695</v>
      </c>
      <c r="C2121" s="1" t="s">
        <v>10696</v>
      </c>
      <c r="D2121" s="1" t="s">
        <v>10697</v>
      </c>
      <c r="E2121" s="1" t="s">
        <v>10697</v>
      </c>
      <c r="F2121" s="1" t="s">
        <v>10698</v>
      </c>
      <c r="G2121" s="1" t="s">
        <v>10699</v>
      </c>
      <c r="H2121" s="1" t="str">
        <f>IFERROR(__xludf.DUMMYFUNCTION("GOOGLETRANSLATE(D2121,""EN"",""JA"")"),"ヒト抗ヒト抗体")</f>
        <v>ヒト抗ヒト抗体</v>
      </c>
      <c r="I2121" s="1" t="str">
        <f>IFERROR(__xludf.DUMMYFUNCTION("GOOGLETRANSLATE(E2121,""EN"",""JA"")"),"ヒト抗ヒト抗体")</f>
        <v>ヒト抗ヒト抗体</v>
      </c>
      <c r="J2121" s="1" t="str">
        <f>IFERROR(__xludf.DUMMYFUNCTION("GOOGLETRANSLATE(F2121,""EN"",""JA"")"),"生物学的標本中の総ヒト抗ヒト抗体の測定。")</f>
        <v>生物学的標本中の総ヒト抗ヒト抗体の測定。</v>
      </c>
      <c r="K2121" s="1" t="str">
        <f>IFERROR(__xludf.DUMMYFUNCTION("GOOGLETRANSLATE(G2121,""EN"",""JA"")"),"ヒト抗ヒト抗体測定")</f>
        <v>ヒト抗ヒト抗体測定</v>
      </c>
    </row>
    <row r="2122" ht="13.5" customHeight="1">
      <c r="A2122" s="1" t="s">
        <v>11</v>
      </c>
      <c r="B2122" s="1" t="s">
        <v>10700</v>
      </c>
      <c r="C2122" s="1" t="s">
        <v>10701</v>
      </c>
      <c r="D2122" s="1" t="s">
        <v>10702</v>
      </c>
      <c r="E2122" s="1" t="s">
        <v>10702</v>
      </c>
      <c r="F2122" s="1" t="s">
        <v>10703</v>
      </c>
      <c r="G2122" s="1" t="s">
        <v>10704</v>
      </c>
      <c r="H2122" s="1" t="str">
        <f>IFERROR(__xludf.DUMMYFUNCTION("GOOGLETRANSLATE(D2122,""EN"",""JA"")"),"毛状細胞")</f>
        <v>毛状細胞</v>
      </c>
      <c r="I2122" s="1" t="str">
        <f>IFERROR(__xludf.DUMMYFUNCTION("GOOGLETRANSLATE(E2122,""EN"",""JA"")"),"毛状細胞")</f>
        <v>毛状細胞</v>
      </c>
      <c r="J2122" s="1" t="str">
        <f>IFERROR(__xludf.DUMMYFUNCTION("GOOGLETRANSLATE(F2122,""EN"",""JA"")"),"生物標本中の有毛細胞（細胞質から毛状の突起を持つ B 細胞リンパ球）の測定。")</f>
        <v>生物標本中の有毛細胞（細胞質から毛状の突起を持つ B 細胞リンパ球）の測定。</v>
      </c>
      <c r="K2122" s="1" t="str">
        <f>IFERROR(__xludf.DUMMYFUNCTION("GOOGLETRANSLATE(G2122,""EN"",""JA"")"),"毛髪細胞数")</f>
        <v>毛髪細胞数</v>
      </c>
    </row>
    <row r="2123" ht="13.5" customHeight="1">
      <c r="A2123" s="1" t="s">
        <v>11</v>
      </c>
      <c r="B2123" s="1" t="s">
        <v>10705</v>
      </c>
      <c r="C2123" s="1" t="s">
        <v>10706</v>
      </c>
      <c r="D2123" s="1" t="s">
        <v>10707</v>
      </c>
      <c r="E2123" s="1" t="s">
        <v>10707</v>
      </c>
      <c r="F2123" s="1" t="s">
        <v>10708</v>
      </c>
      <c r="G2123" s="1" t="s">
        <v>10709</v>
      </c>
      <c r="H2123" s="1" t="str">
        <f>IFERROR(__xludf.DUMMYFUNCTION("GOOGLETRANSLATE(D2123,""EN"",""JA"")"),"幻覚剤")</f>
        <v>幻覚剤</v>
      </c>
      <c r="I2123" s="1" t="str">
        <f>IFERROR(__xludf.DUMMYFUNCTION("GOOGLETRANSLATE(E2123,""EN"",""JA"")"),"幻覚剤")</f>
        <v>幻覚剤</v>
      </c>
      <c r="J2123" s="1" t="str">
        <f>IFERROR(__xludf.DUMMYFUNCTION("GOOGLETRANSLATE(F2123,""EN"",""JA"")"),"生物学的標本中に存在する幻覚剤クラスの薬物の測定。")</f>
        <v>生物学的標本中に存在する幻覚剤クラスの薬物の測定。</v>
      </c>
      <c r="K2123" s="1" t="str">
        <f>IFERROR(__xludf.DUMMYFUNCTION("GOOGLETRANSLATE(G2123,""EN"",""JA"")"),"幻覚剤測定")</f>
        <v>幻覚剤測定</v>
      </c>
    </row>
    <row r="2124" ht="13.5" customHeight="1">
      <c r="A2124" s="1" t="s">
        <v>11</v>
      </c>
      <c r="B2124" s="1" t="s">
        <v>10710</v>
      </c>
      <c r="C2124" s="1" t="s">
        <v>10711</v>
      </c>
      <c r="D2124" s="1" t="s">
        <v>10712</v>
      </c>
      <c r="E2124" s="1" t="s">
        <v>10712</v>
      </c>
      <c r="F2124" s="1" t="s">
        <v>10713</v>
      </c>
      <c r="G2124" s="1" t="s">
        <v>10714</v>
      </c>
      <c r="H2124" s="1" t="str">
        <f>IFERROR(__xludf.DUMMYFUNCTION("GOOGLETRANSLATE(D2124,""EN"",""JA"")"),"ハロペリドール")</f>
        <v>ハロペリドール</v>
      </c>
      <c r="I2124" s="1" t="str">
        <f>IFERROR(__xludf.DUMMYFUNCTION("GOOGLETRANSLATE(E2124,""EN"",""JA"")"),"ハロペリドール")</f>
        <v>ハロペリドール</v>
      </c>
      <c r="J2124" s="1" t="str">
        <f>IFERROR(__xludf.DUMMYFUNCTION("GOOGLETRANSLATE(F2124,""EN"",""JA"")"),"生物標本中のハロペリドールの測定。")</f>
        <v>生物標本中のハロペリドールの測定。</v>
      </c>
      <c r="K2124" s="1" t="str">
        <f>IFERROR(__xludf.DUMMYFUNCTION("GOOGLETRANSLATE(G2124,""EN"",""JA"")"),"ハロペリドール測定")</f>
        <v>ハロペリドール測定</v>
      </c>
    </row>
    <row r="2125" ht="13.5" customHeight="1">
      <c r="A2125" s="1" t="s">
        <v>11</v>
      </c>
      <c r="B2125" s="1" t="s">
        <v>10715</v>
      </c>
      <c r="C2125" s="1" t="s">
        <v>10716</v>
      </c>
      <c r="D2125" s="1" t="s">
        <v>10717</v>
      </c>
      <c r="E2125" s="1" t="s">
        <v>10717</v>
      </c>
      <c r="F2125" s="1" t="s">
        <v>10718</v>
      </c>
      <c r="G2125" s="1" t="s">
        <v>10719</v>
      </c>
      <c r="H2125" s="1" t="str">
        <f>IFERROR(__xludf.DUMMYFUNCTION("GOOGLETRANSLATE(D2125,""EN"",""JA"")"),"アルファヒドロキシアルプラゾラム")</f>
        <v>アルファヒドロキシアルプラゾラム</v>
      </c>
      <c r="I2125" s="1" t="str">
        <f>IFERROR(__xludf.DUMMYFUNCTION("GOOGLETRANSLATE(E2125,""EN"",""JA"")"),"アルファヒドロキシアルプラゾラム")</f>
        <v>アルファヒドロキシアルプラゾラム</v>
      </c>
      <c r="J2125" s="1" t="str">
        <f>IFERROR(__xludf.DUMMYFUNCTION("GOOGLETRANSLATE(F2125,""EN"",""JA"")"),"生物標本中のα-ヒドロキシアルプラゾラムの測定。")</f>
        <v>生物標本中のα-ヒドロキシアルプラゾラムの測定。</v>
      </c>
      <c r="K2125" s="1" t="str">
        <f>IFERROR(__xludf.DUMMYFUNCTION("GOOGLETRANSLATE(G2125,""EN"",""JA"")"),"アルファヒドロキシアルプラゾラム測定")</f>
        <v>アルファヒドロキシアルプラゾラム測定</v>
      </c>
    </row>
    <row r="2126" ht="13.5" customHeight="1">
      <c r="A2126" s="1" t="s">
        <v>11</v>
      </c>
      <c r="B2126" s="1" t="s">
        <v>10720</v>
      </c>
      <c r="C2126" s="1" t="s">
        <v>10721</v>
      </c>
      <c r="D2126" s="1" t="s">
        <v>10722</v>
      </c>
      <c r="E2126" s="1" t="s">
        <v>10722</v>
      </c>
      <c r="F2126" s="1" t="s">
        <v>10723</v>
      </c>
      <c r="G2126" s="1" t="s">
        <v>10724</v>
      </c>
      <c r="H2126" s="1" t="str">
        <f>IFERROR(__xludf.DUMMYFUNCTION("GOOGLETRANSLATE(D2126,""EN"",""JA"")"),"ヒドロキシアルプラゾラム")</f>
        <v>ヒドロキシアルプラゾラム</v>
      </c>
      <c r="I2126" s="1" t="str">
        <f>IFERROR(__xludf.DUMMYFUNCTION("GOOGLETRANSLATE(E2126,""EN"",""JA"")"),"ヒドロキシアルプラゾラム")</f>
        <v>ヒドロキシアルプラゾラム</v>
      </c>
      <c r="J2126" s="1" t="str">
        <f>IFERROR(__xludf.DUMMYFUNCTION("GOOGLETRANSLATE(F2126,""EN"",""JA"")"),"生物標本中に存在する総ヒドロキシアルプラゾラムの測定。")</f>
        <v>生物標本中に存在する総ヒドロキシアルプラゾラムの測定。</v>
      </c>
      <c r="K2126" s="1" t="str">
        <f>IFERROR(__xludf.DUMMYFUNCTION("GOOGLETRANSLATE(G2126,""EN"",""JA"")"),"ヒドロキシアルプラゾラム測定")</f>
        <v>ヒドロキシアルプラゾラム測定</v>
      </c>
    </row>
    <row r="2127" ht="13.5" customHeight="1">
      <c r="A2127" s="1" t="s">
        <v>201</v>
      </c>
      <c r="B2127" s="1" t="s">
        <v>10725</v>
      </c>
      <c r="C2127" s="1" t="s">
        <v>10726</v>
      </c>
      <c r="D2127" s="1" t="s">
        <v>10727</v>
      </c>
      <c r="E2127" s="1" t="s">
        <v>10728</v>
      </c>
      <c r="F2127" s="1" t="s">
        <v>10729</v>
      </c>
      <c r="G2127" s="1" t="s">
        <v>10730</v>
      </c>
      <c r="H2127" s="1" t="str">
        <f>IFERROR(__xludf.DUMMYFUNCTION("GOOGLETRANSLATE(D2127,""EN"",""JA"")"),"ヒト抗マウス抗体")</f>
        <v>ヒト抗マウス抗体</v>
      </c>
      <c r="I2127" s="1" t="str">
        <f>IFERROR(__xludf.DUMMYFUNCTION("GOOGLETRANSLATE(E2127,""EN"",""JA"")"),"HAMA; ヒト抗マウス抗体")</f>
        <v>HAMA; ヒト抗マウス抗体</v>
      </c>
      <c r="J2127" s="1" t="str">
        <f>IFERROR(__xludf.DUMMYFUNCTION("GOOGLETRANSLATE(F2127,""EN"",""JA"")"),"生物標本中のヒト抗マウス抗体の測定。")</f>
        <v>生物標本中のヒト抗マウス抗体の測定。</v>
      </c>
      <c r="K2127" s="1" t="str">
        <f>IFERROR(__xludf.DUMMYFUNCTION("GOOGLETRANSLATE(G2127,""EN"",""JA"")"),"ヒト抗マウス抗体測定")</f>
        <v>ヒト抗マウス抗体測定</v>
      </c>
    </row>
    <row r="2128" ht="13.5" customHeight="1">
      <c r="A2128" s="1" t="s">
        <v>601</v>
      </c>
      <c r="B2128" s="1" t="s">
        <v>10731</v>
      </c>
      <c r="C2128" s="1" t="s">
        <v>10732</v>
      </c>
      <c r="D2128" s="1" t="s">
        <v>10733</v>
      </c>
      <c r="E2128" s="1" t="s">
        <v>10733</v>
      </c>
      <c r="F2128" s="1" t="s">
        <v>10734</v>
      </c>
      <c r="G2128" s="1" t="s">
        <v>10733</v>
      </c>
      <c r="H2128" s="1" t="str">
        <f>IFERROR(__xludf.DUMMYFUNCTION("GOOGLETRANSLATE(D2128,""EN"",""JA"")"),"利き手")</f>
        <v>利き手</v>
      </c>
      <c r="I2128" s="1" t="str">
        <f>IFERROR(__xludf.DUMMYFUNCTION("GOOGLETRANSLATE(E2128,""EN"",""JA"")"),"利き手")</f>
        <v>利き手</v>
      </c>
      <c r="J2128" s="1" t="str">
        <f>IFERROR(__xludf.DUMMYFUNCTION("GOOGLETRANSLATE(F2128,""EN"",""JA"")"),"運動タスクを制御され、効率的に実行するために好んで使用される手。")</f>
        <v>運動タスクを制御され、効率的に実行するために好んで使用される手。</v>
      </c>
      <c r="K2128" s="1" t="str">
        <f>IFERROR(__xludf.DUMMYFUNCTION("GOOGLETRANSLATE(G2128,""EN"",""JA"")"),"利き手")</f>
        <v>利き手</v>
      </c>
    </row>
    <row r="2129" ht="13.5" customHeight="1">
      <c r="A2129" s="1" t="s">
        <v>11</v>
      </c>
      <c r="B2129" s="1" t="s">
        <v>10735</v>
      </c>
      <c r="C2129" s="1" t="s">
        <v>10736</v>
      </c>
      <c r="D2129" s="1" t="s">
        <v>10737</v>
      </c>
      <c r="E2129" s="1" t="s">
        <v>10737</v>
      </c>
      <c r="F2129" s="1" t="s">
        <v>10738</v>
      </c>
      <c r="G2129" s="1" t="s">
        <v>10739</v>
      </c>
      <c r="H2129" s="1" t="str">
        <f>IFERROR(__xludf.DUMMYFUNCTION("GOOGLETRANSLATE(D2129,""EN"",""JA"")"),"ハプトグロビン")</f>
        <v>ハプトグロビン</v>
      </c>
      <c r="I2129" s="1" t="str">
        <f>IFERROR(__xludf.DUMMYFUNCTION("GOOGLETRANSLATE(E2129,""EN"",""JA"")"),"ハプトグロビン")</f>
        <v>ハプトグロビン</v>
      </c>
      <c r="J2129" s="1" t="str">
        <f>IFERROR(__xludf.DUMMYFUNCTION("GOOGLETRANSLATE(F2129,""EN"",""JA"")"),"生物標本中のハプトグロビンタンパク質の測定。")</f>
        <v>生物標本中のハプトグロビンタンパク質の測定。</v>
      </c>
      <c r="K2129" s="1" t="str">
        <f>IFERROR(__xludf.DUMMYFUNCTION("GOOGLETRANSLATE(G2129,""EN"",""JA"")"),"ハプトグロビンタンパク質測定")</f>
        <v>ハプトグロビンタンパク質測定</v>
      </c>
    </row>
    <row r="2130" ht="13.5" customHeight="1">
      <c r="A2130" s="1" t="s">
        <v>67</v>
      </c>
      <c r="B2130" s="1" t="s">
        <v>10740</v>
      </c>
      <c r="C2130" s="1" t="s">
        <v>10741</v>
      </c>
      <c r="D2130" s="1" t="s">
        <v>10742</v>
      </c>
      <c r="E2130" s="1" t="s">
        <v>10743</v>
      </c>
      <c r="F2130" s="1" t="s">
        <v>10744</v>
      </c>
      <c r="G2130" s="1" t="s">
        <v>10745</v>
      </c>
      <c r="H2130" s="1" t="str">
        <f>IFERROR(__xludf.DUMMYFUNCTION("GOOGLETRANSLATE(D2130,""EN"",""JA"")"),"A型肝炎ウイルス表面抗原")</f>
        <v>A型肝炎ウイルス表面抗原</v>
      </c>
      <c r="I2130" s="1" t="str">
        <f>IFERROR(__xludf.DUMMYFUNCTION("GOOGLETRANSLATE(E2130,""EN"",""JA"")"),"HAsAg; A型肝炎ウイルス表面抗原")</f>
        <v>HAsAg; A型肝炎ウイルス表面抗原</v>
      </c>
      <c r="J2130" s="1" t="str">
        <f>IFERROR(__xludf.DUMMYFUNCTION("GOOGLETRANSLATE(F2130,""EN"",""JA"")"),"A 型肝炎ウイルスに対する生物学的標本の表面抗原反応の測定。")</f>
        <v>A 型肝炎ウイルスに対する生物学的標本の表面抗原反応の測定。</v>
      </c>
      <c r="K2130" s="1" t="str">
        <f>IFERROR(__xludf.DUMMYFUNCTION("GOOGLETRANSLATE(G2130,""EN"",""JA"")"),"A型肝炎ウイルス表面抗原測定")</f>
        <v>A型肝炎ウイルス表面抗原測定</v>
      </c>
    </row>
    <row r="2131" ht="13.5" customHeight="1">
      <c r="A2131" s="1" t="s">
        <v>201</v>
      </c>
      <c r="B2131" s="1" t="s">
        <v>10746</v>
      </c>
      <c r="C2131" s="1" t="s">
        <v>10747</v>
      </c>
      <c r="D2131" s="1" t="s">
        <v>10748</v>
      </c>
      <c r="E2131" s="1" t="s">
        <v>10748</v>
      </c>
      <c r="F2131" s="1" t="s">
        <v>10749</v>
      </c>
      <c r="G2131" s="1" t="s">
        <v>10750</v>
      </c>
      <c r="H2131" s="1" t="str">
        <f>IFERROR(__xludf.DUMMYFUNCTION("GOOGLETRANSLATE(D2131,""EN"",""JA"")"),"ヒト抗羊IgE抗体")</f>
        <v>ヒト抗羊IgE抗体</v>
      </c>
      <c r="I2131" s="1" t="str">
        <f>IFERROR(__xludf.DUMMYFUNCTION("GOOGLETRANSLATE(E2131,""EN"",""JA"")"),"ヒト抗羊IgE抗体")</f>
        <v>ヒト抗羊IgE抗体</v>
      </c>
      <c r="J2131" s="1" t="str">
        <f>IFERROR(__xludf.DUMMYFUNCTION("GOOGLETRANSLATE(F2131,""EN"",""JA"")"),"生物学的標本中のヒト抗羊 IgE 抗体の測定。")</f>
        <v>生物学的標本中のヒト抗羊 IgE 抗体の測定。</v>
      </c>
      <c r="K2131" s="1" t="str">
        <f>IFERROR(__xludf.DUMMYFUNCTION("GOOGLETRANSLATE(G2131,""EN"",""JA"")"),"ヒト抗羊IgE抗体測定")</f>
        <v>ヒト抗羊IgE抗体測定</v>
      </c>
    </row>
    <row r="2132" ht="13.5" customHeight="1">
      <c r="A2132" s="1" t="s">
        <v>201</v>
      </c>
      <c r="B2132" s="1" t="s">
        <v>10751</v>
      </c>
      <c r="C2132" s="1" t="s">
        <v>10752</v>
      </c>
      <c r="D2132" s="1" t="s">
        <v>10753</v>
      </c>
      <c r="E2132" s="1" t="s">
        <v>10753</v>
      </c>
      <c r="F2132" s="1" t="s">
        <v>10754</v>
      </c>
      <c r="G2132" s="1" t="s">
        <v>10755</v>
      </c>
      <c r="H2132" s="1" t="str">
        <f>IFERROR(__xludf.DUMMYFUNCTION("GOOGLETRANSLATE(D2132,""EN"",""JA"")"),"ヒト抗羊IgG抗体")</f>
        <v>ヒト抗羊IgG抗体</v>
      </c>
      <c r="I2132" s="1" t="str">
        <f>IFERROR(__xludf.DUMMYFUNCTION("GOOGLETRANSLATE(E2132,""EN"",""JA"")"),"ヒト抗羊IgG抗体")</f>
        <v>ヒト抗羊IgG抗体</v>
      </c>
      <c r="J2132" s="1" t="str">
        <f>IFERROR(__xludf.DUMMYFUNCTION("GOOGLETRANSLATE(F2132,""EN"",""JA"")"),"生物学的標本中のヒト抗羊 IgG 抗体の測定。")</f>
        <v>生物学的標本中のヒト抗羊 IgG 抗体の測定。</v>
      </c>
      <c r="K2132" s="1" t="str">
        <f>IFERROR(__xludf.DUMMYFUNCTION("GOOGLETRANSLATE(G2132,""EN"",""JA"")"),"ヒト抗羊IgG抗体測定")</f>
        <v>ヒト抗羊IgG抗体測定</v>
      </c>
    </row>
    <row r="2133" ht="13.5" customHeight="1">
      <c r="A2133" s="1" t="s">
        <v>201</v>
      </c>
      <c r="B2133" s="1" t="s">
        <v>10756</v>
      </c>
      <c r="C2133" s="1" t="s">
        <v>10757</v>
      </c>
      <c r="D2133" s="1" t="s">
        <v>10758</v>
      </c>
      <c r="E2133" s="1" t="s">
        <v>10758</v>
      </c>
      <c r="F2133" s="1" t="s">
        <v>10759</v>
      </c>
      <c r="G2133" s="1" t="s">
        <v>10760</v>
      </c>
      <c r="H2133" s="1" t="str">
        <f>IFERROR(__xludf.DUMMYFUNCTION("GOOGLETRANSLATE(D2133,""EN"",""JA"")"),"ヒト抗羊IgM抗体")</f>
        <v>ヒト抗羊IgM抗体</v>
      </c>
      <c r="I2133" s="1" t="str">
        <f>IFERROR(__xludf.DUMMYFUNCTION("GOOGLETRANSLATE(E2133,""EN"",""JA"")"),"ヒト抗羊IgM抗体")</f>
        <v>ヒト抗羊IgM抗体</v>
      </c>
      <c r="J2133" s="1" t="str">
        <f>IFERROR(__xludf.DUMMYFUNCTION("GOOGLETRANSLATE(F2133,""EN"",""JA"")"),"生物学的標本中のヒト抗羊 IgM 抗体の測定。")</f>
        <v>生物学的標本中のヒト抗羊 IgM 抗体の測定。</v>
      </c>
      <c r="K2133" s="1" t="str">
        <f>IFERROR(__xludf.DUMMYFUNCTION("GOOGLETRANSLATE(G2133,""EN"",""JA"")"),"ヒト抗羊IgM抗体測定")</f>
        <v>ヒト抗羊IgM抗体測定</v>
      </c>
    </row>
    <row r="2134" ht="13.5" customHeight="1">
      <c r="A2134" s="1" t="s">
        <v>67</v>
      </c>
      <c r="B2134" s="1" t="s">
        <v>10761</v>
      </c>
      <c r="C2134" s="1" t="s">
        <v>10762</v>
      </c>
      <c r="D2134" s="1" t="s">
        <v>10763</v>
      </c>
      <c r="E2134" s="1" t="s">
        <v>10763</v>
      </c>
      <c r="F2134" s="1" t="s">
        <v>10764</v>
      </c>
      <c r="G2134" s="1" t="s">
        <v>10765</v>
      </c>
      <c r="H2134" s="1" t="str">
        <f>IFERROR(__xludf.DUMMYFUNCTION("GOOGLETRANSLATE(D2134,""EN"",""JA"")"),"A型肝炎ウイルスRNA")</f>
        <v>A型肝炎ウイルスRNA</v>
      </c>
      <c r="I2134" s="1" t="str">
        <f>IFERROR(__xludf.DUMMYFUNCTION("GOOGLETRANSLATE(E2134,""EN"",""JA"")"),"A型肝炎ウイルスRNA")</f>
        <v>A型肝炎ウイルスRNA</v>
      </c>
      <c r="J2134" s="1" t="str">
        <f>IFERROR(__xludf.DUMMYFUNCTION("GOOGLETRANSLATE(F2134,""EN"",""JA"")"),"生物標本中のA型肝炎ウイルスRNAの測定。")</f>
        <v>生物標本中のA型肝炎ウイルスRNAの測定。</v>
      </c>
      <c r="K2134" s="1" t="str">
        <f>IFERROR(__xludf.DUMMYFUNCTION("GOOGLETRANSLATE(G2134,""EN"",""JA"")"),"A型肝炎ウイルスRNA測定")</f>
        <v>A型肝炎ウイルスRNA測定</v>
      </c>
    </row>
    <row r="2135" ht="13.5" customHeight="1">
      <c r="A2135" s="1" t="s">
        <v>11</v>
      </c>
      <c r="B2135" s="1" t="s">
        <v>10766</v>
      </c>
      <c r="C2135" s="1" t="s">
        <v>10767</v>
      </c>
      <c r="D2135" s="1" t="s">
        <v>10768</v>
      </c>
      <c r="E2135" s="1" t="s">
        <v>10769</v>
      </c>
      <c r="F2135" s="1" t="s">
        <v>10770</v>
      </c>
      <c r="G2135" s="1" t="s">
        <v>10771</v>
      </c>
      <c r="H2135" s="1" t="str">
        <f>IFERROR(__xludf.DUMMYFUNCTION("GOOGLETRANSLATE(D2135,""EN"",""JA"")"),"ヘモグロビンA1A")</f>
        <v>ヘモグロビンA1A</v>
      </c>
      <c r="I2135" s="1" t="str">
        <f>IFERROR(__xludf.DUMMYFUNCTION("GOOGLETRANSLATE(E2135,""EN"",""JA"")"),"グリコヘモグロビン1​​A; ヘモグロビンA1A")</f>
        <v>グリコヘモグロビン1​​A; ヘモグロビンA1A</v>
      </c>
      <c r="J2135" s="1" t="str">
        <f>IFERROR(__xludf.DUMMYFUNCTION("GOOGLETRANSLATE(F2135,""EN"",""JA"")"),"生物標本中のグリコヘモグロビン A1A の測定。")</f>
        <v>生物標本中のグリコヘモグロビン A1A の測定。</v>
      </c>
      <c r="K2135" s="1" t="str">
        <f>IFERROR(__xludf.DUMMYFUNCTION("GOOGLETRANSLATE(G2135,""EN"",""JA"")"),"ヘモグロビンA1A測定")</f>
        <v>ヘモグロビンA1A測定</v>
      </c>
    </row>
    <row r="2136" ht="13.5" customHeight="1">
      <c r="A2136" s="1" t="s">
        <v>11</v>
      </c>
      <c r="B2136" s="1" t="s">
        <v>10772</v>
      </c>
      <c r="C2136" s="1" t="s">
        <v>10773</v>
      </c>
      <c r="D2136" s="1" t="s">
        <v>10774</v>
      </c>
      <c r="E2136" s="1" t="s">
        <v>10775</v>
      </c>
      <c r="F2136" s="1" t="s">
        <v>10776</v>
      </c>
      <c r="G2136" s="1" t="s">
        <v>10777</v>
      </c>
      <c r="H2136" s="1" t="str">
        <f>IFERROR(__xludf.DUMMYFUNCTION("GOOGLETRANSLATE(D2136,""EN"",""JA"")"),"ヘモグロビンA1B")</f>
        <v>ヘモグロビンA1B</v>
      </c>
      <c r="I2136" s="1" t="str">
        <f>IFERROR(__xludf.DUMMYFUNCTION("GOOGLETRANSLATE(E2136,""EN"",""JA"")"),"グリコヘモグロビン1​​B; ヘモグロビンA1B")</f>
        <v>グリコヘモグロビン1​​B; ヘモグロビンA1B</v>
      </c>
      <c r="J2136" s="1" t="str">
        <f>IFERROR(__xludf.DUMMYFUNCTION("GOOGLETRANSLATE(F2136,""EN"",""JA"")"),"生物標本中のグリコヘモグロビン A1B の測定。")</f>
        <v>生物標本中のグリコヘモグロビン A1B の測定。</v>
      </c>
      <c r="K2136" s="1" t="str">
        <f>IFERROR(__xludf.DUMMYFUNCTION("GOOGLETRANSLATE(G2136,""EN"",""JA"")"),"ヘモグロビンA1B測定")</f>
        <v>ヘモグロビンA1B測定</v>
      </c>
    </row>
    <row r="2137" ht="13.5" customHeight="1">
      <c r="A2137" s="1" t="s">
        <v>11</v>
      </c>
      <c r="B2137" s="1" t="s">
        <v>10778</v>
      </c>
      <c r="C2137" s="1" t="s">
        <v>10779</v>
      </c>
      <c r="D2137" s="1" t="s">
        <v>10780</v>
      </c>
      <c r="E2137" s="1" t="s">
        <v>10781</v>
      </c>
      <c r="F2137" s="1" t="s">
        <v>10782</v>
      </c>
      <c r="G2137" s="1" t="s">
        <v>10783</v>
      </c>
      <c r="H2137" s="1" t="str">
        <f>IFERROR(__xludf.DUMMYFUNCTION("GOOGLETRANSLATE(D2137,""EN"",""JA"")"),"ヘモグロビンA1C")</f>
        <v>ヘモグロビンA1C</v>
      </c>
      <c r="I2137" s="1" t="str">
        <f>IFERROR(__xludf.DUMMYFUNCTION("GOOGLETRANSLATE(E2137,""EN"",""JA"")"),"HbA1c; ヘモグロビンA1C")</f>
        <v>HbA1c; ヘモグロビンA1C</v>
      </c>
      <c r="J2137" s="1" t="str">
        <f>IFERROR(__xludf.DUMMYFUNCTION("GOOGLETRANSLATE(F2137,""EN"",""JA"")"),"生物標本中のグリコヘモグロビン A1C の測定。")</f>
        <v>生物標本中のグリコヘモグロビン A1C の測定。</v>
      </c>
      <c r="K2137" s="1" t="str">
        <f>IFERROR(__xludf.DUMMYFUNCTION("GOOGLETRANSLATE(G2137,""EN"",""JA"")"),"ヘモグロビンA1C測定")</f>
        <v>ヘモグロビンA1C測定</v>
      </c>
    </row>
    <row r="2138" ht="13.5" customHeight="1">
      <c r="A2138" s="1" t="s">
        <v>11</v>
      </c>
      <c r="B2138" s="1" t="s">
        <v>10784</v>
      </c>
      <c r="C2138" s="1" t="s">
        <v>10785</v>
      </c>
      <c r="D2138" s="1" t="s">
        <v>10786</v>
      </c>
      <c r="E2138" s="1" t="s">
        <v>10787</v>
      </c>
      <c r="F2138" s="1" t="s">
        <v>10788</v>
      </c>
      <c r="G2138" s="1" t="s">
        <v>10789</v>
      </c>
      <c r="H2138" s="1" t="str">
        <f>IFERROR(__xludf.DUMMYFUNCTION("GOOGLETRANSLATE(D2138,""EN"",""JA"")"),"ヘモグロビンA1C/ヘモグロビン")</f>
        <v>ヘモグロビンA1C/ヘモグロビン</v>
      </c>
      <c r="I2138" s="1" t="str">
        <f>IFERROR(__xludf.DUMMYFUNCTION("GOOGLETRANSLATE(E2138,""EN"",""JA"")"),"グリコヘモグロビン/ヘモグロビン; HbA1c/ヘモグロビン; ヘモグロビンA1C/ヘモグロビン")</f>
        <v>グリコヘモグロビン/ヘモグロビン; HbA1c/ヘモグロビン; ヘモグロビンA1C/ヘモグロビン</v>
      </c>
      <c r="J2138" s="1" t="str">
        <f>IFERROR(__xludf.DUMMYFUNCTION("GOOGLETRANSLATE(F2138,""EN"",""JA"")"),"生物学的標本中の総ヘモグロビンに対するグリコヘモグロビン A1C の相対的な測定値 (比率またはパーセンテージ)。")</f>
        <v>生物学的標本中の総ヘモグロビンに対するグリコヘモグロビン A1C の相対的な測定値 (比率またはパーセンテージ)。</v>
      </c>
      <c r="K2138" s="1" t="str">
        <f>IFERROR(__xludf.DUMMYFUNCTION("GOOGLETRANSLATE(G2138,""EN"",""JA"")"),"ヘモグロビンA1Cとヘモグロビンの比の測定")</f>
        <v>ヘモグロビンA1Cとヘモグロビンの比の測定</v>
      </c>
    </row>
    <row r="2139" ht="13.5" customHeight="1">
      <c r="A2139" s="1" t="s">
        <v>11</v>
      </c>
      <c r="B2139" s="1" t="s">
        <v>10790</v>
      </c>
      <c r="C2139" s="1" t="s">
        <v>10791</v>
      </c>
      <c r="D2139" s="1" t="s">
        <v>10792</v>
      </c>
      <c r="E2139" s="1" t="s">
        <v>10792</v>
      </c>
      <c r="F2139" s="1" t="s">
        <v>10793</v>
      </c>
      <c r="G2139" s="1" t="s">
        <v>10794</v>
      </c>
      <c r="H2139" s="1" t="str">
        <f>IFERROR(__xludf.DUMMYFUNCTION("GOOGLETRANSLATE(D2139,""EN"",""JA"")"),"ヘモグロビンA2プライム/総ヘモグロビン")</f>
        <v>ヘモグロビンA2プライム/総ヘモグロビン</v>
      </c>
      <c r="I2139" s="1" t="str">
        <f>IFERROR(__xludf.DUMMYFUNCTION("GOOGLETRANSLATE(E2139,""EN"",""JA"")"),"ヘモグロビンA2プライム/総ヘモグロビン")</f>
        <v>ヘモグロビンA2プライム/総ヘモグロビン</v>
      </c>
      <c r="J2139" s="1" t="str">
        <f>IFERROR(__xludf.DUMMYFUNCTION("GOOGLETRANSLATE(F2139,""EN"",""JA"")"),"生物標本中の総ヘモグロビンに対するヘモグロビン A2 プライムの相対測定値 (比率またはパーセンテージ)。")</f>
        <v>生物標本中の総ヘモグロビンに対するヘモグロビン A2 プライムの相対測定値 (比率またはパーセンテージ)。</v>
      </c>
      <c r="K2139" s="1" t="str">
        <f>IFERROR(__xludf.DUMMYFUNCTION("GOOGLETRANSLATE(G2139,""EN"",""JA"")"),"ヘモグロビンA2プライムと総ヘモグロビンの比率測定")</f>
        <v>ヘモグロビンA2プライムと総ヘモグロビンの比率測定</v>
      </c>
    </row>
    <row r="2140" ht="13.5" customHeight="1">
      <c r="A2140" s="1" t="s">
        <v>11</v>
      </c>
      <c r="B2140" s="1" t="s">
        <v>10795</v>
      </c>
      <c r="C2140" s="1" t="s">
        <v>10796</v>
      </c>
      <c r="D2140" s="1" t="s">
        <v>10797</v>
      </c>
      <c r="E2140" s="1" t="s">
        <v>10797</v>
      </c>
      <c r="F2140" s="1" t="s">
        <v>10798</v>
      </c>
      <c r="G2140" s="1" t="s">
        <v>10799</v>
      </c>
      <c r="H2140" s="1" t="str">
        <f>IFERROR(__xludf.DUMMYFUNCTION("GOOGLETRANSLATE(D2140,""EN"",""JA"")"),"ヘモグロビンバーツ/総ヘモグロビン")</f>
        <v>ヘモグロビンバーツ/総ヘモグロビン</v>
      </c>
      <c r="I2140" s="1" t="str">
        <f>IFERROR(__xludf.DUMMYFUNCTION("GOOGLETRANSLATE(E2140,""EN"",""JA"")"),"ヘモグロビンバーツ/総ヘモグロビン")</f>
        <v>ヘモグロビンバーツ/総ヘモグロビン</v>
      </c>
      <c r="J2140" s="1" t="str">
        <f>IFERROR(__xludf.DUMMYFUNCTION("GOOGLETRANSLATE(F2140,""EN"",""JA"")"),"生物標本中のヘモグロビン総量に対するヘモグロビン バーツの相対測定値 (比率またはパーセンテージ)。")</f>
        <v>生物標本中のヘモグロビン総量に対するヘモグロビン バーツの相対測定値 (比率またはパーセンテージ)。</v>
      </c>
      <c r="K2140" s="1" t="str">
        <f>IFERROR(__xludf.DUMMYFUNCTION("GOOGLETRANSLATE(G2140,""EN"",""JA"")"),"ヘモグロビンバーツ対総ヘモグロビン比測定")</f>
        <v>ヘモグロビンバーツ対総ヘモグロビン比測定</v>
      </c>
    </row>
    <row r="2141" ht="13.5" customHeight="1">
      <c r="A2141" s="1" t="s">
        <v>67</v>
      </c>
      <c r="B2141" s="1" t="s">
        <v>10800</v>
      </c>
      <c r="C2141" s="1" t="s">
        <v>10801</v>
      </c>
      <c r="D2141" s="1" t="s">
        <v>10802</v>
      </c>
      <c r="E2141" s="1" t="s">
        <v>10802</v>
      </c>
      <c r="F2141" s="1" t="s">
        <v>10803</v>
      </c>
      <c r="G2141" s="1" t="s">
        <v>10804</v>
      </c>
      <c r="H2141" s="1" t="str">
        <f>IFERROR(__xludf.DUMMYFUNCTION("GOOGLETRANSLATE(D2141,""EN"",""JA"")"),"B型肝炎ウイルスコア抗原")</f>
        <v>B型肝炎ウイルスコア抗原</v>
      </c>
      <c r="I2141" s="1" t="str">
        <f>IFERROR(__xludf.DUMMYFUNCTION("GOOGLETRANSLATE(E2141,""EN"",""JA"")"),"B型肝炎ウイルスコア抗原")</f>
        <v>B型肝炎ウイルスコア抗原</v>
      </c>
      <c r="J2141" s="1" t="str">
        <f>IFERROR(__xludf.DUMMYFUNCTION("GOOGLETRANSLATE(F2141,""EN"",""JA"")"),"生物学的標本中の B 型肝炎ウイルスコア抗原の測定。")</f>
        <v>生物学的標本中の B 型肝炎ウイルスコア抗原の測定。</v>
      </c>
      <c r="K2141" s="1" t="str">
        <f>IFERROR(__xludf.DUMMYFUNCTION("GOOGLETRANSLATE(G2141,""EN"",""JA"")"),"B型肝炎ウイルスコア抗原測定")</f>
        <v>B型肝炎ウイルスコア抗原測定</v>
      </c>
    </row>
    <row r="2142" ht="13.5" customHeight="1">
      <c r="A2142" s="1" t="s">
        <v>11</v>
      </c>
      <c r="B2142" s="1" t="s">
        <v>10805</v>
      </c>
      <c r="C2142" s="1" t="s">
        <v>10806</v>
      </c>
      <c r="D2142" s="1" t="s">
        <v>10807</v>
      </c>
      <c r="E2142" s="1" t="s">
        <v>10807</v>
      </c>
      <c r="F2142" s="1" t="s">
        <v>10808</v>
      </c>
      <c r="G2142" s="1" t="s">
        <v>10809</v>
      </c>
      <c r="H2142" s="1" t="str">
        <f>IFERROR(__xludf.DUMMYFUNCTION("GOOGLETRANSLATE(D2142,""EN"",""JA"")"),"一酸化炭素ヘモグロビン/総ヘモグロビン")</f>
        <v>一酸化炭素ヘモグロビン/総ヘモグロビン</v>
      </c>
      <c r="I2142" s="1" t="str">
        <f>IFERROR(__xludf.DUMMYFUNCTION("GOOGLETRANSLATE(E2142,""EN"",""JA"")"),"一酸化炭素ヘモグロビン/総ヘモグロビン")</f>
        <v>一酸化炭素ヘモグロビン/総ヘモグロビン</v>
      </c>
      <c r="J2142" s="1" t="str">
        <f>IFERROR(__xludf.DUMMYFUNCTION("GOOGLETRANSLATE(F2142,""EN"",""JA"")"),"生物標本中の総ヘモグロビンと比較した一酸化炭素ヘモグロビンの量の相対的な測定値（比率またはパーセンテージ）。")</f>
        <v>生物標本中の総ヘモグロビンと比較した一酸化炭素ヘモグロビンの量の相対的な測定値（比率またはパーセンテージ）。</v>
      </c>
      <c r="K2142" s="1" t="str">
        <f>IFERROR(__xludf.DUMMYFUNCTION("GOOGLETRANSLATE(G2142,""EN"",""JA"")"),"一酸化炭素ヘモグロビンと総ヘモグロビンの比の測定")</f>
        <v>一酸化炭素ヘモグロビンと総ヘモグロビンの比の測定</v>
      </c>
    </row>
    <row r="2143" ht="13.5" customHeight="1">
      <c r="A2143" s="1" t="s">
        <v>67</v>
      </c>
      <c r="B2143" s="1" t="s">
        <v>10810</v>
      </c>
      <c r="C2143" s="1" t="s">
        <v>10811</v>
      </c>
      <c r="D2143" s="1" t="s">
        <v>10812</v>
      </c>
      <c r="E2143" s="1" t="s">
        <v>10812</v>
      </c>
      <c r="F2143" s="1" t="s">
        <v>10813</v>
      </c>
      <c r="G2143" s="1" t="s">
        <v>10814</v>
      </c>
      <c r="H2143" s="1" t="str">
        <f>IFERROR(__xludf.DUMMYFUNCTION("GOOGLETRANSLATE(D2143,""EN"",""JA"")"),"B型肝炎ウイルスDNA")</f>
        <v>B型肝炎ウイルスDNA</v>
      </c>
      <c r="I2143" s="1" t="str">
        <f>IFERROR(__xludf.DUMMYFUNCTION("GOOGLETRANSLATE(E2143,""EN"",""JA"")"),"B型肝炎ウイルスDNA")</f>
        <v>B型肝炎ウイルスDNA</v>
      </c>
      <c r="J2143" s="1" t="str">
        <f>IFERROR(__xludf.DUMMYFUNCTION("GOOGLETRANSLATE(F2143,""EN"",""JA"")"),"生物標本中の B 型肝炎ウイルス DNA の測定。")</f>
        <v>生物標本中の B 型肝炎ウイルス DNA の測定。</v>
      </c>
      <c r="K2143" s="1" t="str">
        <f>IFERROR(__xludf.DUMMYFUNCTION("GOOGLETRANSLATE(G2143,""EN"",""JA"")"),"B型肝炎DNA測定")</f>
        <v>B型肝炎DNA測定</v>
      </c>
    </row>
    <row r="2144" ht="13.5" customHeight="1">
      <c r="A2144" s="1" t="s">
        <v>11</v>
      </c>
      <c r="B2144" s="1" t="s">
        <v>10815</v>
      </c>
      <c r="C2144" s="1" t="s">
        <v>10816</v>
      </c>
      <c r="D2144" s="1" t="s">
        <v>10817</v>
      </c>
      <c r="E2144" s="1" t="s">
        <v>10817</v>
      </c>
      <c r="F2144" s="1" t="s">
        <v>10818</v>
      </c>
      <c r="G2144" s="1" t="s">
        <v>10819</v>
      </c>
      <c r="H2144" s="1" t="str">
        <f>IFERROR(__xludf.DUMMYFUNCTION("GOOGLETRANSLATE(D2144,""EN"",""JA"")"),"脱酸素ヘモグロビン/総ヘモグロビン")</f>
        <v>脱酸素ヘモグロビン/総ヘモグロビン</v>
      </c>
      <c r="I2144" s="1" t="str">
        <f>IFERROR(__xludf.DUMMYFUNCTION("GOOGLETRANSLATE(E2144,""EN"",""JA"")"),"脱酸素ヘモグロビン/総ヘモグロビン")</f>
        <v>脱酸素ヘモグロビン/総ヘモグロビン</v>
      </c>
      <c r="J2144" s="1" t="str">
        <f>IFERROR(__xludf.DUMMYFUNCTION("GOOGLETRANSLATE(F2144,""EN"",""JA"")"),"生物標本中の総ヘモグロビンに対するデオキシヘモグロビンの相対的な測定値（比率またはパーセンテージ）。")</f>
        <v>生物標本中の総ヘモグロビンに対するデオキシヘモグロビンの相対的な測定値（比率またはパーセンテージ）。</v>
      </c>
      <c r="K2144" s="1" t="str">
        <f>IFERROR(__xludf.DUMMYFUNCTION("GOOGLETRANSLATE(G2144,""EN"",""JA"")"),"脱酸素ヘモグロビンとヘモグロビンの比測定")</f>
        <v>脱酸素ヘモグロビンとヘモグロビンの比測定</v>
      </c>
    </row>
    <row r="2145" ht="13.5" customHeight="1">
      <c r="A2145" s="1" t="s">
        <v>67</v>
      </c>
      <c r="B2145" s="1" t="s">
        <v>10820</v>
      </c>
      <c r="C2145" s="1" t="s">
        <v>10821</v>
      </c>
      <c r="D2145" s="1" t="s">
        <v>10822</v>
      </c>
      <c r="E2145" s="1" t="s">
        <v>10822</v>
      </c>
      <c r="F2145" s="1" t="s">
        <v>10823</v>
      </c>
      <c r="G2145" s="1" t="s">
        <v>10824</v>
      </c>
      <c r="H2145" s="1" t="str">
        <f>IFERROR(__xludf.DUMMYFUNCTION("GOOGLETRANSLATE(D2145,""EN"",""JA"")"),"B型肝炎ウイルスと抗原")</f>
        <v>B型肝炎ウイルスと抗原</v>
      </c>
      <c r="I2145" s="1" t="str">
        <f>IFERROR(__xludf.DUMMYFUNCTION("GOOGLETRANSLATE(E2145,""EN"",""JA"")"),"B型肝炎ウイルスと抗原")</f>
        <v>B型肝炎ウイルスと抗原</v>
      </c>
      <c r="J2145" s="1" t="str">
        <f>IFERROR(__xludf.DUMMYFUNCTION("GOOGLETRANSLATE(F2145,""EN"",""JA"")"),"生物学的標本中のB型肝炎e抗原の測定。")</f>
        <v>生物学的標本中のB型肝炎e抗原の測定。</v>
      </c>
      <c r="K2145" s="1" t="str">
        <f>IFERROR(__xludf.DUMMYFUNCTION("GOOGLETRANSLATE(G2145,""EN"",""JA"")"),"B型肝炎ウイルス抗原測定")</f>
        <v>B型肝炎ウイルス抗原測定</v>
      </c>
    </row>
    <row r="2146" ht="13.5" customHeight="1">
      <c r="A2146" s="1" t="s">
        <v>11</v>
      </c>
      <c r="B2146" s="1" t="s">
        <v>10825</v>
      </c>
      <c r="C2146" s="1" t="s">
        <v>10826</v>
      </c>
      <c r="D2146" s="1" t="s">
        <v>10827</v>
      </c>
      <c r="E2146" s="1" t="s">
        <v>10828</v>
      </c>
      <c r="F2146" s="1" t="s">
        <v>10829</v>
      </c>
      <c r="G2146" s="1" t="s">
        <v>10830</v>
      </c>
      <c r="H2146" s="1" t="str">
        <f>IFERROR(__xludf.DUMMYFUNCTION("GOOGLETRANSLATE(D2146,""EN"",""JA"")"),"ヘパリン結合性EGF様成長因子")</f>
        <v>ヘパリン結合性EGF様成長因子</v>
      </c>
      <c r="I2146" s="1" t="str">
        <f>IFERROR(__xludf.DUMMYFUNCTION("GOOGLETRANSLATE(E2146,""EN"",""JA"")"),"HB-EGF; HEGFL; ヘパリン結合EGF様成長因子; ヘパリン結合EGF様成長因子; プロヘパリン結合EGF様成長因子")</f>
        <v>HB-EGF; HEGFL; ヘパリン結合EGF様成長因子; ヘパリン結合EGF様成長因子; プロヘパリン結合EGF様成長因子</v>
      </c>
      <c r="J2146" s="1" t="str">
        <f>IFERROR(__xludf.DUMMYFUNCTION("GOOGLETRANSLATE(F2146,""EN"",""JA"")"),"生物標本中のヘパリン結合 EGF 様成長因子の測定。")</f>
        <v>生物標本中のヘパリン結合 EGF 様成長因子の測定。</v>
      </c>
      <c r="K2146" s="1" t="str">
        <f>IFERROR(__xludf.DUMMYFUNCTION("GOOGLETRANSLATE(G2146,""EN"",""JA"")"),"ヘパリン結合性EGF様成長因子測定")</f>
        <v>ヘパリン結合性EGF様成長因子測定</v>
      </c>
    </row>
    <row r="2147" ht="13.5" customHeight="1">
      <c r="A2147" s="1" t="s">
        <v>11</v>
      </c>
      <c r="B2147" s="1" t="s">
        <v>10831</v>
      </c>
      <c r="C2147" s="1" t="s">
        <v>10832</v>
      </c>
      <c r="D2147" s="1" t="s">
        <v>10833</v>
      </c>
      <c r="E2147" s="1" t="s">
        <v>10833</v>
      </c>
      <c r="F2147" s="1" t="s">
        <v>10834</v>
      </c>
      <c r="G2147" s="1" t="s">
        <v>10835</v>
      </c>
      <c r="H2147" s="1" t="str">
        <f>IFERROR(__xludf.DUMMYFUNCTION("GOOGLETRANSLATE(D2147,""EN"",""JA"")"),"ヘモグロビンGクーシャッタ/総ヘモグロビン")</f>
        <v>ヘモグロビンGクーシャッタ/総ヘモグロビン</v>
      </c>
      <c r="I2147" s="1" t="str">
        <f>IFERROR(__xludf.DUMMYFUNCTION("GOOGLETRANSLATE(E2147,""EN"",""JA"")"),"ヘモグロビンGクーシャッタ/総ヘモグロビン")</f>
        <v>ヘモグロビンGクーシャッタ/総ヘモグロビン</v>
      </c>
      <c r="J2147" s="1" t="str">
        <f>IFERROR(__xludf.DUMMYFUNCTION("GOOGLETRANSLATE(F2147,""EN"",""JA"")"),"生物標本中の総ヘモグロビンに対するヘモグロビン G クーシャッタの相対測定値 (比率またはパーセンテージ)。")</f>
        <v>生物標本中の総ヘモグロビンに対するヘモグロビン G クーシャッタの相対測定値 (比率またはパーセンテージ)。</v>
      </c>
      <c r="K2147" s="1" t="str">
        <f>IFERROR(__xludf.DUMMYFUNCTION("GOOGLETRANSLATE(G2147,""EN"",""JA"")"),"ヘモグロビンGクシャッタ対総ヘモグロビン比測定")</f>
        <v>ヘモグロビンGクシャッタ対総ヘモグロビン比測定</v>
      </c>
    </row>
    <row r="2148" ht="13.5" customHeight="1">
      <c r="A2148" s="1" t="s">
        <v>11</v>
      </c>
      <c r="B2148" s="1" t="s">
        <v>10836</v>
      </c>
      <c r="C2148" s="1" t="s">
        <v>10837</v>
      </c>
      <c r="D2148" s="1" t="s">
        <v>10838</v>
      </c>
      <c r="E2148" s="1" t="s">
        <v>10839</v>
      </c>
      <c r="F2148" s="1" t="s">
        <v>10840</v>
      </c>
      <c r="G2148" s="1" t="s">
        <v>10841</v>
      </c>
      <c r="H2148" s="1" t="str">
        <f>IFERROR(__xludf.DUMMYFUNCTION("GOOGLETRANSLATE(D2148,""EN"",""JA"")"),"ヘモグロビンH封入体")</f>
        <v>ヘモグロビンH封入体</v>
      </c>
      <c r="I2148" s="1" t="str">
        <f>IFERROR(__xludf.DUMMYFUNCTION("GOOGLETRANSLATE(E2148,""EN"",""JA"")"),"HBH封入体；ヘモグロビンH封入体；HGH封入体")</f>
        <v>HBH封入体；ヘモグロビンH封入体；HGH封入体</v>
      </c>
      <c r="J2148" s="1" t="str">
        <f>IFERROR(__xludf.DUMMYFUNCTION("GOOGLETRANSLATE(F2148,""EN"",""JA"")"),"生物標本中のヘモグロビン H 封入体の測定。")</f>
        <v>生物標本中のヘモグロビン H 封入体の測定。</v>
      </c>
      <c r="K2148" s="1" t="str">
        <f>IFERROR(__xludf.DUMMYFUNCTION("GOOGLETRANSLATE(G2148,""EN"",""JA"")"),"ヘモグロビンH封入体測定")</f>
        <v>ヘモグロビンH封入体測定</v>
      </c>
    </row>
    <row r="2149" ht="13.5" customHeight="1">
      <c r="A2149" s="1" t="s">
        <v>11</v>
      </c>
      <c r="B2149" s="1" t="s">
        <v>10842</v>
      </c>
      <c r="C2149" s="1" t="s">
        <v>10843</v>
      </c>
      <c r="D2149" s="1" t="s">
        <v>10844</v>
      </c>
      <c r="E2149" s="1" t="s">
        <v>10844</v>
      </c>
      <c r="F2149" s="1" t="s">
        <v>10845</v>
      </c>
      <c r="G2149" s="1" t="s">
        <v>10846</v>
      </c>
      <c r="H2149" s="1" t="str">
        <f>IFERROR(__xludf.DUMMYFUNCTION("GOOGLETRANSLATE(D2149,""EN"",""JA"")"),"ヘモグロビンレポア/総ヘモグロビン")</f>
        <v>ヘモグロビンレポア/総ヘモグロビン</v>
      </c>
      <c r="I2149" s="1" t="str">
        <f>IFERROR(__xludf.DUMMYFUNCTION("GOOGLETRANSLATE(E2149,""EN"",""JA"")"),"ヘモグロビンレポア/総ヘモグロビン")</f>
        <v>ヘモグロビンレポア/総ヘモグロビン</v>
      </c>
      <c r="J2149" s="1" t="str">
        <f>IFERROR(__xludf.DUMMYFUNCTION("GOOGLETRANSLATE(F2149,""EN"",""JA"")"),"生物標本中の総ヘモグロビンに対するレポアヘモグロビンの相対的な測定値（比率またはパーセンテージ）。")</f>
        <v>生物標本中の総ヘモグロビンに対するレポアヘモグロビンの相対的な測定値（比率またはパーセンテージ）。</v>
      </c>
      <c r="K2149" s="1" t="str">
        <f>IFERROR(__xludf.DUMMYFUNCTION("GOOGLETRANSLATE(G2149,""EN"",""JA"")"),"ヘモグロビンレポア対総ヘモグロビン比測定")</f>
        <v>ヘモグロビンレポア対総ヘモグロビン比測定</v>
      </c>
    </row>
    <row r="2150" ht="13.5" customHeight="1">
      <c r="A2150" s="1" t="s">
        <v>67</v>
      </c>
      <c r="B2150" s="1" t="s">
        <v>10847</v>
      </c>
      <c r="C2150" s="1" t="s">
        <v>10848</v>
      </c>
      <c r="D2150" s="1" t="s">
        <v>10849</v>
      </c>
      <c r="E2150" s="1" t="s">
        <v>10849</v>
      </c>
      <c r="F2150" s="1" t="s">
        <v>10850</v>
      </c>
      <c r="G2150" s="1" t="s">
        <v>10851</v>
      </c>
      <c r="H2150" s="1" t="str">
        <f>IFERROR(__xludf.DUMMYFUNCTION("GOOGLETRANSLATE(D2150,""EN"",""JA"")"),"B型肝炎ウイルス核酸")</f>
        <v>B型肝炎ウイルス核酸</v>
      </c>
      <c r="I2150" s="1" t="str">
        <f>IFERROR(__xludf.DUMMYFUNCTION("GOOGLETRANSLATE(E2150,""EN"",""JA"")"),"B型肝炎ウイルス核酸")</f>
        <v>B型肝炎ウイルス核酸</v>
      </c>
      <c r="J2150" s="1" t="str">
        <f>IFERROR(__xludf.DUMMYFUNCTION("GOOGLETRANSLATE(F2150,""EN"",""JA"")"),"生物学的標本中の B 型肝炎ウイルスの核酸の測定。")</f>
        <v>生物学的標本中の B 型肝炎ウイルスの核酸の測定。</v>
      </c>
      <c r="K2150" s="1" t="str">
        <f>IFERROR(__xludf.DUMMYFUNCTION("GOOGLETRANSLATE(G2150,""EN"",""JA"")"),"B型肝炎ウイルス核酸測定")</f>
        <v>B型肝炎ウイルス核酸測定</v>
      </c>
    </row>
    <row r="2151" ht="13.5" customHeight="1">
      <c r="A2151" s="1" t="s">
        <v>11</v>
      </c>
      <c r="B2151" s="1" t="s">
        <v>10852</v>
      </c>
      <c r="C2151" s="1" t="s">
        <v>10853</v>
      </c>
      <c r="D2151" s="1" t="s">
        <v>10854</v>
      </c>
      <c r="E2151" s="1" t="s">
        <v>10854</v>
      </c>
      <c r="F2151" s="1" t="s">
        <v>10855</v>
      </c>
      <c r="G2151" s="1" t="s">
        <v>10856</v>
      </c>
      <c r="H2151" s="1" t="str">
        <f>IFERROR(__xludf.DUMMYFUNCTION("GOOGLETRANSLATE(D2151,""EN"",""JA"")"),"ヘモグロビンO-アラブ/総ヘモグロビン")</f>
        <v>ヘモグロビンO-アラブ/総ヘモグロビン</v>
      </c>
      <c r="I2151" s="1" t="str">
        <f>IFERROR(__xludf.DUMMYFUNCTION("GOOGLETRANSLATE(E2151,""EN"",""JA"")"),"ヘモグロビンO-アラブ/総ヘモグロビン")</f>
        <v>ヘモグロビンO-アラブ/総ヘモグロビン</v>
      </c>
      <c r="J2151" s="1" t="str">
        <f>IFERROR(__xludf.DUMMYFUNCTION("GOOGLETRANSLATE(F2151,""EN"",""JA"")"),"生物標本中の総ヘモグロビンに対するヘモグロビン O-アラブの相対的な測定値（比率またはパーセンテージ）。")</f>
        <v>生物標本中の総ヘモグロビンに対するヘモグロビン O-アラブの相対的な測定値（比率またはパーセンテージ）。</v>
      </c>
      <c r="K2151" s="1" t="str">
        <f>IFERROR(__xludf.DUMMYFUNCTION("GOOGLETRANSLATE(G2151,""EN"",""JA"")"),"ヘモグロビンO-アラブと総ヘモグロビンの比測定")</f>
        <v>ヘモグロビンO-アラブと総ヘモグロビンの比測定</v>
      </c>
    </row>
    <row r="2152" ht="13.5" customHeight="1">
      <c r="A2152" s="1" t="s">
        <v>67</v>
      </c>
      <c r="B2152" s="1" t="s">
        <v>10857</v>
      </c>
      <c r="C2152" s="1" t="s">
        <v>10858</v>
      </c>
      <c r="D2152" s="1" t="s">
        <v>10859</v>
      </c>
      <c r="E2152" s="1" t="s">
        <v>10859</v>
      </c>
      <c r="F2152" s="1" t="s">
        <v>10860</v>
      </c>
      <c r="G2152" s="1" t="s">
        <v>10861</v>
      </c>
      <c r="H2152" s="1" t="str">
        <f>IFERROR(__xludf.DUMMYFUNCTION("GOOGLETRANSLATE(D2152,""EN"",""JA"")"),"ヒトボカウイルス抗原")</f>
        <v>ヒトボカウイルス抗原</v>
      </c>
      <c r="I2152" s="1" t="str">
        <f>IFERROR(__xludf.DUMMYFUNCTION("GOOGLETRANSLATE(E2152,""EN"",""JA"")"),"ヒトボカウイルス抗原")</f>
        <v>ヒトボカウイルス抗原</v>
      </c>
      <c r="J2152" s="1" t="str">
        <f>IFERROR(__xludf.DUMMYFUNCTION("GOOGLETRANSLATE(F2152,""EN"",""JA"")"),"生物学的標本中のヒトボカウイルス抗原の測定。")</f>
        <v>生物学的標本中のヒトボカウイルス抗原の測定。</v>
      </c>
      <c r="K2152" s="1" t="str">
        <f>IFERROR(__xludf.DUMMYFUNCTION("GOOGLETRANSLATE(G2152,""EN"",""JA"")"),"ヒトボカウイルス抗原測定")</f>
        <v>ヒトボカウイルス抗原測定</v>
      </c>
    </row>
    <row r="2153" ht="13.5" customHeight="1">
      <c r="A2153" s="1" t="s">
        <v>67</v>
      </c>
      <c r="B2153" s="1" t="s">
        <v>10862</v>
      </c>
      <c r="C2153" s="1" t="s">
        <v>10863</v>
      </c>
      <c r="D2153" s="1" t="s">
        <v>10864</v>
      </c>
      <c r="E2153" s="1" t="s">
        <v>10864</v>
      </c>
      <c r="F2153" s="1" t="s">
        <v>10865</v>
      </c>
      <c r="G2153" s="1" t="s">
        <v>10866</v>
      </c>
      <c r="H2153" s="1" t="str">
        <f>IFERROR(__xludf.DUMMYFUNCTION("GOOGLETRANSLATE(D2153,""EN"",""JA"")"),"ヒトボカウイルスDNA")</f>
        <v>ヒトボカウイルスDNA</v>
      </c>
      <c r="I2153" s="1" t="str">
        <f>IFERROR(__xludf.DUMMYFUNCTION("GOOGLETRANSLATE(E2153,""EN"",""JA"")"),"ヒトボカウイルスDNA")</f>
        <v>ヒトボカウイルスDNA</v>
      </c>
      <c r="J2153" s="1" t="str">
        <f>IFERROR(__xludf.DUMMYFUNCTION("GOOGLETRANSLATE(F2153,""EN"",""JA"")"),"生物標本中のヒトボカウイルス DNA の測定。")</f>
        <v>生物標本中のヒトボカウイルス DNA の測定。</v>
      </c>
      <c r="K2153" s="1" t="str">
        <f>IFERROR(__xludf.DUMMYFUNCTION("GOOGLETRANSLATE(G2153,""EN"",""JA"")"),"ヒトボカウイルスDNA測定")</f>
        <v>ヒトボカウイルスDNA測定</v>
      </c>
    </row>
    <row r="2154" ht="13.5" customHeight="1">
      <c r="A2154" s="1" t="s">
        <v>67</v>
      </c>
      <c r="B2154" s="1" t="s">
        <v>10867</v>
      </c>
      <c r="C2154" s="1" t="s">
        <v>10868</v>
      </c>
      <c r="D2154" s="1" t="s">
        <v>10869</v>
      </c>
      <c r="E2154" s="1" t="s">
        <v>10869</v>
      </c>
      <c r="F2154" s="1" t="s">
        <v>10870</v>
      </c>
      <c r="G2154" s="1" t="s">
        <v>10871</v>
      </c>
      <c r="H2154" s="1" t="str">
        <f>IFERROR(__xludf.DUMMYFUNCTION("GOOGLETRANSLATE(D2154,""EN"",""JA"")"),"ヒトボカウイルス核酸")</f>
        <v>ヒトボカウイルス核酸</v>
      </c>
      <c r="I2154" s="1" t="str">
        <f>IFERROR(__xludf.DUMMYFUNCTION("GOOGLETRANSLATE(E2154,""EN"",""JA"")"),"ヒトボカウイルス核酸")</f>
        <v>ヒトボカウイルス核酸</v>
      </c>
      <c r="J2154" s="1" t="str">
        <f>IFERROR(__xludf.DUMMYFUNCTION("GOOGLETRANSLATE(F2154,""EN"",""JA"")"),"生物標本中のヒトボカウイルス核酸の測定。")</f>
        <v>生物標本中のヒトボカウイルス核酸の測定。</v>
      </c>
      <c r="K2154" s="1" t="str">
        <f>IFERROR(__xludf.DUMMYFUNCTION("GOOGLETRANSLATE(G2154,""EN"",""JA"")"),"ヒトボカウイルスの核酸測定")</f>
        <v>ヒトボカウイルスの核酸測定</v>
      </c>
    </row>
    <row r="2155" ht="13.5" customHeight="1">
      <c r="A2155" s="1" t="s">
        <v>11</v>
      </c>
      <c r="B2155" s="1" t="s">
        <v>10872</v>
      </c>
      <c r="C2155" s="1" t="s">
        <v>10873</v>
      </c>
      <c r="D2155" s="1" t="s">
        <v>10874</v>
      </c>
      <c r="E2155" s="1" t="s">
        <v>10875</v>
      </c>
      <c r="F2155" s="1" t="s">
        <v>10876</v>
      </c>
      <c r="G2155" s="1" t="s">
        <v>10877</v>
      </c>
      <c r="H2155" s="1" t="str">
        <f>IFERROR(__xludf.DUMMYFUNCTION("GOOGLETRANSLATE(D2155,""EN"",""JA"")"),"酸化ヘモグロビン/総ヘモグロビン")</f>
        <v>酸化ヘモグロビン/総ヘモグロビン</v>
      </c>
      <c r="I2155" s="1" t="str">
        <f>IFERROR(__xludf.DUMMYFUNCTION("GOOGLETRANSLATE(E2155,""EN"",""JA"")"),"FO2 Hb; 分画酸素ヘモグロビン; 酸素ヘモグロビン/総ヘモグロビン")</f>
        <v>FO2 Hb; 分画酸素ヘモグロビン; 酸素ヘモグロビン/総ヘモグロビン</v>
      </c>
      <c r="J2155" s="1" t="str">
        <f>IFERROR(__xludf.DUMMYFUNCTION("GOOGLETRANSLATE(F2155,""EN"",""JA"")"),"生物標本中の総ヘモグロビンと比較した酸化ヘモグロビンの量の相対的な測定値（比率またはパーセンテージ）。")</f>
        <v>生物標本中の総ヘモグロビンと比較した酸化ヘモグロビンの量の相対的な測定値（比率またはパーセンテージ）。</v>
      </c>
      <c r="K2155" s="1" t="str">
        <f>IFERROR(__xludf.DUMMYFUNCTION("GOOGLETRANSLATE(G2155,""EN"",""JA"")"),"酸化ヘモグロビンと総ヘモグロビンの比の測定")</f>
        <v>酸化ヘモグロビンと総ヘモグロビンの比の測定</v>
      </c>
    </row>
    <row r="2156" ht="13.5" customHeight="1">
      <c r="A2156" s="1" t="s">
        <v>67</v>
      </c>
      <c r="B2156" s="1" t="s">
        <v>10878</v>
      </c>
      <c r="C2156" s="1" t="s">
        <v>10879</v>
      </c>
      <c r="D2156" s="1" t="s">
        <v>10880</v>
      </c>
      <c r="E2156" s="1" t="s">
        <v>10880</v>
      </c>
      <c r="F2156" s="1" t="s">
        <v>10881</v>
      </c>
      <c r="G2156" s="1" t="s">
        <v>10882</v>
      </c>
      <c r="H2156" s="1" t="str">
        <f>IFERROR(__xludf.DUMMYFUNCTION("GOOGLETRANSLATE(D2156,""EN"",""JA"")"),"B型肝炎ウイルスRNA")</f>
        <v>B型肝炎ウイルスRNA</v>
      </c>
      <c r="I2156" s="1" t="str">
        <f>IFERROR(__xludf.DUMMYFUNCTION("GOOGLETRANSLATE(E2156,""EN"",""JA"")"),"B型肝炎ウイルスRNA")</f>
        <v>B型肝炎ウイルスRNA</v>
      </c>
      <c r="J2156" s="1" t="str">
        <f>IFERROR(__xludf.DUMMYFUNCTION("GOOGLETRANSLATE(F2156,""EN"",""JA"")"),"生物学的標本中の B 型肝炎ウイルス RNA の測定。")</f>
        <v>生物学的標本中の B 型肝炎ウイルス RNA の測定。</v>
      </c>
      <c r="K2156" s="1" t="str">
        <f>IFERROR(__xludf.DUMMYFUNCTION("GOOGLETRANSLATE(G2156,""EN"",""JA"")"),"B型肝炎ウイルスRNA測定")</f>
        <v>B型肝炎ウイルスRNA測定</v>
      </c>
    </row>
    <row r="2157" ht="13.5" customHeight="1">
      <c r="A2157" s="1" t="s">
        <v>67</v>
      </c>
      <c r="B2157" s="1" t="s">
        <v>10883</v>
      </c>
      <c r="C2157" s="1" t="s">
        <v>10884</v>
      </c>
      <c r="D2157" s="1" t="s">
        <v>10885</v>
      </c>
      <c r="E2157" s="1" t="s">
        <v>10886</v>
      </c>
      <c r="F2157" s="1" t="s">
        <v>10887</v>
      </c>
      <c r="G2157" s="1" t="s">
        <v>10888</v>
      </c>
      <c r="H2157" s="1" t="str">
        <f>IFERROR(__xludf.DUMMYFUNCTION("GOOGLETRANSLATE(D2157,""EN"",""JA"")"),"B型肝炎ウイルス表面抗原")</f>
        <v>B型肝炎ウイルス表面抗原</v>
      </c>
      <c r="I2157" s="1" t="str">
        <f>IFERROR(__xludf.DUMMYFUNCTION("GOOGLETRANSLATE(E2157,""EN"",""JA"")"),"HBsAg; B型肝炎ウイルス表面抗原")</f>
        <v>HBsAg; B型肝炎ウイルス表面抗原</v>
      </c>
      <c r="J2157" s="1" t="str">
        <f>IFERROR(__xludf.DUMMYFUNCTION("GOOGLETRANSLATE(F2157,""EN"",""JA"")"),"B 型肝炎ウイルスに対する生物学的標本の表面抗原反応の測定。")</f>
        <v>B 型肝炎ウイルスに対する生物学的標本の表面抗原反応の測定。</v>
      </c>
      <c r="K2157" s="1" t="str">
        <f>IFERROR(__xludf.DUMMYFUNCTION("GOOGLETRANSLATE(G2157,""EN"",""JA"")"),"B型肝炎ウイルス表面抗原測定")</f>
        <v>B型肝炎ウイルス表面抗原測定</v>
      </c>
    </row>
    <row r="2158" ht="13.5" customHeight="1">
      <c r="A2158" s="1" t="s">
        <v>67</v>
      </c>
      <c r="B2158" s="1" t="s">
        <v>10889</v>
      </c>
      <c r="C2158" s="1" t="s">
        <v>10890</v>
      </c>
      <c r="D2158" s="1" t="s">
        <v>10891</v>
      </c>
      <c r="E2158" s="1" t="s">
        <v>10891</v>
      </c>
      <c r="F2158" s="1" t="s">
        <v>10892</v>
      </c>
      <c r="G2158" s="1" t="s">
        <v>10893</v>
      </c>
      <c r="H2158" s="1" t="str">
        <f>IFERROR(__xludf.DUMMYFUNCTION("GOOGLETRANSLATE(D2158,""EN"",""JA"")"),"B型肝炎ウイルス")</f>
        <v>B型肝炎ウイルス</v>
      </c>
      <c r="I2158" s="1" t="str">
        <f>IFERROR(__xludf.DUMMYFUNCTION("GOOGLETRANSLATE(E2158,""EN"",""JA"")"),"B型肝炎ウイルス")</f>
        <v>B型肝炎ウイルス</v>
      </c>
      <c r="J2158" s="1" t="str">
        <f>IFERROR(__xludf.DUMMYFUNCTION("GOOGLETRANSLATE(F2158,""EN"",""JA"")"),"生物学的標本中の B 型肝炎ウイルスの測定。")</f>
        <v>生物学的標本中の B 型肝炎ウイルスの測定。</v>
      </c>
      <c r="K2158" s="1" t="str">
        <f>IFERROR(__xludf.DUMMYFUNCTION("GOOGLETRANSLATE(G2158,""EN"",""JA"")"),"B型肝炎ウイルス測定")</f>
        <v>B型肝炎ウイルス測定</v>
      </c>
    </row>
    <row r="2159" ht="13.5" customHeight="1">
      <c r="A2159" s="1" t="s">
        <v>67</v>
      </c>
      <c r="B2159" s="1" t="s">
        <v>10894</v>
      </c>
      <c r="C2159" s="1" t="s">
        <v>10895</v>
      </c>
      <c r="D2159" s="1" t="s">
        <v>10896</v>
      </c>
      <c r="E2159" s="1" t="s">
        <v>10896</v>
      </c>
      <c r="F2159" s="1" t="s">
        <v>10897</v>
      </c>
      <c r="G2159" s="1" t="s">
        <v>10898</v>
      </c>
      <c r="H2159" s="1" t="str">
        <f>IFERROR(__xludf.DUMMYFUNCTION("GOOGLETRANSLATE(D2159,""EN"",""JA"")"),"C型肝炎ウイルス抗原")</f>
        <v>C型肝炎ウイルス抗原</v>
      </c>
      <c r="I2159" s="1" t="str">
        <f>IFERROR(__xludf.DUMMYFUNCTION("GOOGLETRANSLATE(E2159,""EN"",""JA"")"),"C型肝炎ウイルス抗原")</f>
        <v>C型肝炎ウイルス抗原</v>
      </c>
      <c r="J2159" s="1" t="str">
        <f>IFERROR(__xludf.DUMMYFUNCTION("GOOGLETRANSLATE(F2159,""EN"",""JA"")"),"生物学的標本中の C 型肝炎ウイルス抗原の測定。")</f>
        <v>生物学的標本中の C 型肝炎ウイルス抗原の測定。</v>
      </c>
      <c r="K2159" s="1" t="str">
        <f>IFERROR(__xludf.DUMMYFUNCTION("GOOGLETRANSLATE(G2159,""EN"",""JA"")"),"C型肝炎ウイルス抗原測定")</f>
        <v>C型肝炎ウイルス抗原測定</v>
      </c>
    </row>
    <row r="2160" ht="13.5" customHeight="1">
      <c r="A2160" s="1" t="s">
        <v>67</v>
      </c>
      <c r="B2160" s="1" t="s">
        <v>10899</v>
      </c>
      <c r="C2160" s="1" t="s">
        <v>10900</v>
      </c>
      <c r="D2160" s="1" t="s">
        <v>10901</v>
      </c>
      <c r="E2160" s="1" t="s">
        <v>10901</v>
      </c>
      <c r="F2160" s="1" t="s">
        <v>10902</v>
      </c>
      <c r="G2160" s="1" t="s">
        <v>10903</v>
      </c>
      <c r="H2160" s="1" t="str">
        <f>IFERROR(__xludf.DUMMYFUNCTION("GOOGLETRANSLATE(D2160,""EN"",""JA"")"),"C型肝炎ウイルスコア抗原")</f>
        <v>C型肝炎ウイルスコア抗原</v>
      </c>
      <c r="I2160" s="1" t="str">
        <f>IFERROR(__xludf.DUMMYFUNCTION("GOOGLETRANSLATE(E2160,""EN"",""JA"")"),"C型肝炎ウイルスコア抗原")</f>
        <v>C型肝炎ウイルスコア抗原</v>
      </c>
      <c r="J2160" s="1" t="str">
        <f>IFERROR(__xludf.DUMMYFUNCTION("GOOGLETRANSLATE(F2160,""EN"",""JA"")"),"生物学的標本中の C 型肝炎ウイルスコア抗原の測定。")</f>
        <v>生物学的標本中の C 型肝炎ウイルスコア抗原の測定。</v>
      </c>
      <c r="K2160" s="1" t="str">
        <f>IFERROR(__xludf.DUMMYFUNCTION("GOOGLETRANSLATE(G2160,""EN"",""JA"")"),"C型肝炎ウイルスコア抗原測定")</f>
        <v>C型肝炎ウイルスコア抗原測定</v>
      </c>
    </row>
    <row r="2161" ht="13.5" customHeight="1">
      <c r="A2161" s="1" t="s">
        <v>90</v>
      </c>
      <c r="B2161" s="1" t="s">
        <v>10904</v>
      </c>
      <c r="C2161" s="1" t="s">
        <v>10905</v>
      </c>
      <c r="D2161" s="1" t="s">
        <v>10906</v>
      </c>
      <c r="E2161" s="1" t="s">
        <v>10906</v>
      </c>
      <c r="F2161" s="1" t="s">
        <v>10907</v>
      </c>
      <c r="G2161" s="1" t="s">
        <v>10906</v>
      </c>
      <c r="H2161" s="1" t="str">
        <f>IFERROR(__xludf.DUMMYFUNCTION("GOOGLETRANSLATE(D2161,""EN"",""JA"")"),"心室拡大指標")</f>
        <v>心室拡大指標</v>
      </c>
      <c r="I2161" s="1" t="str">
        <f>IFERROR(__xludf.DUMMYFUNCTION("GOOGLETRANSLATE(E2161,""EN"",""JA"")"),"心室拡大指標")</f>
        <v>心室拡大指標</v>
      </c>
      <c r="J2161" s="1" t="str">
        <f>IFERROR(__xludf.DUMMYFUNCTION("GOOGLETRANSLATE(F2161,""EN"",""JA"")"),"心腔の拡大があるかどうかを示します。")</f>
        <v>心腔の拡大があるかどうかを示します。</v>
      </c>
      <c r="K2161" s="1" t="str">
        <f>IFERROR(__xludf.DUMMYFUNCTION("GOOGLETRANSLATE(G2161,""EN"",""JA"")"),"心室拡大指標")</f>
        <v>心室拡大指標</v>
      </c>
    </row>
    <row r="2162" ht="13.5" customHeight="1">
      <c r="A2162" s="1" t="s">
        <v>11</v>
      </c>
      <c r="B2162" s="1" t="s">
        <v>10908</v>
      </c>
      <c r="C2162" s="1" t="s">
        <v>10909</v>
      </c>
      <c r="D2162" s="1" t="s">
        <v>10910</v>
      </c>
      <c r="E2162" s="1" t="s">
        <v>10911</v>
      </c>
      <c r="F2162" s="1" t="s">
        <v>10912</v>
      </c>
      <c r="G2162" s="1" t="s">
        <v>10913</v>
      </c>
      <c r="H2162" s="1" t="str">
        <f>IFERROR(__xludf.DUMMYFUNCTION("GOOGLETRANSLATE(D2162,""EN"",""JA"")"),"絨毛性ゴナドトロピンベータ")</f>
        <v>絨毛性ゴナドトロピンベータ</v>
      </c>
      <c r="I2162" s="1" t="str">
        <f>IFERROR(__xludf.DUMMYFUNCTION("GOOGLETRANSLATE(E2162,""EN"",""JA"")"),"絨毛性ゴナドトロピンベータ; 妊娠検査")</f>
        <v>絨毛性ゴナドトロピンベータ; 妊娠検査</v>
      </c>
      <c r="J2162" s="1" t="str">
        <f>IFERROR(__xludf.DUMMYFUNCTION("GOOGLETRANSLATE(F2162,""EN"",""JA"")"),"生物標本中の絨毛性ゴナドトロピンベータの測定。")</f>
        <v>生物標本中の絨毛性ゴナドトロピンベータの測定。</v>
      </c>
      <c r="K2162" s="1" t="str">
        <f>IFERROR(__xludf.DUMMYFUNCTION("GOOGLETRANSLATE(G2162,""EN"",""JA"")"),"絨毛性ゴナドトロピンβ測定")</f>
        <v>絨毛性ゴナドトロピンβ測定</v>
      </c>
    </row>
    <row r="2163" ht="13.5" customHeight="1">
      <c r="A2163" s="1" t="s">
        <v>11</v>
      </c>
      <c r="B2163" s="1" t="s">
        <v>10914</v>
      </c>
      <c r="C2163" s="1" t="s">
        <v>10915</v>
      </c>
      <c r="D2163" s="1" t="s">
        <v>10916</v>
      </c>
      <c r="E2163" s="1" t="s">
        <v>10916</v>
      </c>
      <c r="F2163" s="1" t="s">
        <v>10917</v>
      </c>
      <c r="G2163" s="1" t="s">
        <v>10918</v>
      </c>
      <c r="H2163" s="1" t="str">
        <f>IFERROR(__xludf.DUMMYFUNCTION("GOOGLETRANSLATE(D2163,""EN"",""JA"")"),"絨毛性ゴナドトロピンベータ、遊離")</f>
        <v>絨毛性ゴナドトロピンベータ、遊離</v>
      </c>
      <c r="I2163" s="1" t="str">
        <f>IFERROR(__xludf.DUMMYFUNCTION("GOOGLETRANSLATE(E2163,""EN"",""JA"")"),"絨毛性ゴナドトロピンベータ、遊離")</f>
        <v>絨毛性ゴナドトロピンベータ、遊離</v>
      </c>
      <c r="J2163" s="1" t="str">
        <f>IFERROR(__xludf.DUMMYFUNCTION("GOOGLETRANSLATE(F2163,""EN"",""JA"")"),"生物標本中の遊離絨毛性ゴナドトロピンベータの測定。")</f>
        <v>生物標本中の遊離絨毛性ゴナドトロピンベータの測定。</v>
      </c>
      <c r="K2163" s="1" t="str">
        <f>IFERROR(__xludf.DUMMYFUNCTION("GOOGLETRANSLATE(G2163,""EN"",""JA"")"),"遊離絨毛性ゴナドトロピンβ測定")</f>
        <v>遊離絨毛性ゴナドトロピンβ測定</v>
      </c>
    </row>
    <row r="2164" ht="13.5" customHeight="1">
      <c r="A2164" s="1" t="s">
        <v>11</v>
      </c>
      <c r="B2164" s="1" t="s">
        <v>10919</v>
      </c>
      <c r="C2164" s="1" t="s">
        <v>10920</v>
      </c>
      <c r="D2164" s="1" t="s">
        <v>10921</v>
      </c>
      <c r="E2164" s="1" t="s">
        <v>10921</v>
      </c>
      <c r="F2164" s="1" t="s">
        <v>10922</v>
      </c>
      <c r="G2164" s="1" t="s">
        <v>10923</v>
      </c>
      <c r="H2164" s="1" t="str">
        <f>IFERROR(__xludf.DUMMYFUNCTION("GOOGLETRANSLATE(D2164,""EN"",""JA"")"),"絨毛性ゴナドトロピン")</f>
        <v>絨毛性ゴナドトロピン</v>
      </c>
      <c r="I2164" s="1" t="str">
        <f>IFERROR(__xludf.DUMMYFUNCTION("GOOGLETRANSLATE(E2164,""EN"",""JA"")"),"絨毛性ゴナドトロピン")</f>
        <v>絨毛性ゴナドトロピン</v>
      </c>
      <c r="J2164" s="1" t="str">
        <f>IFERROR(__xludf.DUMMYFUNCTION("GOOGLETRANSLATE(F2164,""EN"",""JA"")"),"生物標本中の総絨毛性ゴナドトロピンの測定。")</f>
        <v>生物標本中の総絨毛性ゴナドトロピンの測定。</v>
      </c>
      <c r="K2164" s="1" t="str">
        <f>IFERROR(__xludf.DUMMYFUNCTION("GOOGLETRANSLATE(G2164,""EN"",""JA"")"),"絨毛性ゴナドトロピン測定")</f>
        <v>絨毛性ゴナドトロピン測定</v>
      </c>
    </row>
    <row r="2165" ht="13.5" customHeight="1">
      <c r="A2165" s="1" t="s">
        <v>11</v>
      </c>
      <c r="B2165" s="1" t="s">
        <v>10924</v>
      </c>
      <c r="C2165" s="1" t="s">
        <v>10925</v>
      </c>
      <c r="D2165" s="1" t="s">
        <v>10926</v>
      </c>
      <c r="E2165" s="1" t="s">
        <v>10926</v>
      </c>
      <c r="F2165" s="1" t="s">
        <v>10927</v>
      </c>
      <c r="G2165" s="1" t="s">
        <v>10928</v>
      </c>
      <c r="H2165" s="1" t="str">
        <f>IFERROR(__xludf.DUMMYFUNCTION("GOOGLETRANSLATE(D2165,""EN"",""JA"")"),"絨毛性ゴナドトロピン（完全）")</f>
        <v>絨毛性ゴナドトロピン（完全）</v>
      </c>
      <c r="I2165" s="1" t="str">
        <f>IFERROR(__xludf.DUMMYFUNCTION("GOOGLETRANSLATE(E2165,""EN"",""JA"")"),"絨毛性ゴナドトロピン（完全）")</f>
        <v>絨毛性ゴナドトロピン（完全）</v>
      </c>
      <c r="J2165" s="1" t="str">
        <f>IFERROR(__xludf.DUMMYFUNCTION("GOOGLETRANSLATE(F2165,""EN"",""JA"")"),"生物標本中の完全な絨毛性ゴナドトロピンの測定。")</f>
        <v>生物標本中の完全な絨毛性ゴナドトロピンの測定。</v>
      </c>
      <c r="K2165" s="1" t="str">
        <f>IFERROR(__xludf.DUMMYFUNCTION("GOOGLETRANSLATE(G2165,""EN"",""JA"")"),"完全絨毛性ゴナドトロピン測定")</f>
        <v>完全絨毛性ゴナドトロピン測定</v>
      </c>
    </row>
    <row r="2166" ht="13.5" customHeight="1">
      <c r="A2166" s="1" t="s">
        <v>11</v>
      </c>
      <c r="B2166" s="1" t="s">
        <v>10929</v>
      </c>
      <c r="C2166" s="1" t="s">
        <v>10930</v>
      </c>
      <c r="D2166" s="1" t="s">
        <v>10931</v>
      </c>
      <c r="E2166" s="1" t="s">
        <v>10932</v>
      </c>
      <c r="F2166" s="1" t="s">
        <v>10933</v>
      </c>
      <c r="G2166" s="1" t="s">
        <v>10934</v>
      </c>
      <c r="H2166" s="1" t="str">
        <f>IFERROR(__xludf.DUMMYFUNCTION("GOOGLETRANSLATE(D2166,""EN"",""JA"")"),"水素+メタン")</f>
        <v>水素+メタン</v>
      </c>
      <c r="I2166" s="1" t="str">
        <f>IFERROR(__xludf.DUMMYFUNCTION("GOOGLETRANSLATE(E2166,""EN"",""JA"")"),"H+CH4; 水素+メタン")</f>
        <v>H+CH4; 水素+メタン</v>
      </c>
      <c r="J2166" s="1" t="str">
        <f>IFERROR(__xludf.DUMMYFUNCTION("GOOGLETRANSLATE(F2166,""EN"",""JA"")"),"生物標本中の水素とメタンの測定。")</f>
        <v>生物標本中の水素とメタンの測定。</v>
      </c>
      <c r="K2166" s="1" t="str">
        <f>IFERROR(__xludf.DUMMYFUNCTION("GOOGLETRANSLATE(G2166,""EN"",""JA"")"),"水素とメタンの測定")</f>
        <v>水素とメタンの測定</v>
      </c>
    </row>
    <row r="2167" ht="13.5" customHeight="1">
      <c r="A2167" s="1" t="s">
        <v>11</v>
      </c>
      <c r="B2167" s="1" t="s">
        <v>10935</v>
      </c>
      <c r="C2167" s="1" t="s">
        <v>10936</v>
      </c>
      <c r="D2167" s="1" t="s">
        <v>10937</v>
      </c>
      <c r="E2167" s="1" t="s">
        <v>10938</v>
      </c>
      <c r="F2167" s="1" t="s">
        <v>10939</v>
      </c>
      <c r="G2167" s="1" t="s">
        <v>10940</v>
      </c>
      <c r="H2167" s="1" t="str">
        <f>IFERROR(__xludf.DUMMYFUNCTION("GOOGLETRANSLATE(D2167,""EN"",""JA"")"),"ヒオコール酸")</f>
        <v>ヒオコール酸</v>
      </c>
      <c r="I2167" s="1" t="str">
        <f>IFERROR(__xludf.DUMMYFUNCTION("GOOGLETRANSLATE(E2167,""EN"",""JA"")"),"ヒオコール酸")</f>
        <v>ヒオコール酸</v>
      </c>
      <c r="J2167" s="1" t="str">
        <f>IFERROR(__xludf.DUMMYFUNCTION("GOOGLETRANSLATE(F2167,""EN"",""JA"")"),"生物標本中のヒオコール酸の測定。")</f>
        <v>生物標本中のヒオコール酸の測定。</v>
      </c>
      <c r="K2167" s="1" t="str">
        <f>IFERROR(__xludf.DUMMYFUNCTION("GOOGLETRANSLATE(G2167,""EN"",""JA"")"),"ヒオコール酸測定")</f>
        <v>ヒオコール酸測定</v>
      </c>
    </row>
    <row r="2168" ht="13.5" customHeight="1">
      <c r="A2168" s="1" t="s">
        <v>67</v>
      </c>
      <c r="B2168" s="1" t="s">
        <v>10941</v>
      </c>
      <c r="C2168" s="1" t="s">
        <v>10942</v>
      </c>
      <c r="D2168" s="1" t="s">
        <v>10943</v>
      </c>
      <c r="E2168" s="1" t="s">
        <v>10943</v>
      </c>
      <c r="F2168" s="1" t="s">
        <v>10944</v>
      </c>
      <c r="G2168" s="1" t="s">
        <v>10945</v>
      </c>
      <c r="H2168" s="1" t="str">
        <f>IFERROR(__xludf.DUMMYFUNCTION("GOOGLETRANSLATE(D2168,""EN"",""JA"")"),"C型肝炎ウイルス核酸")</f>
        <v>C型肝炎ウイルス核酸</v>
      </c>
      <c r="I2168" s="1" t="str">
        <f>IFERROR(__xludf.DUMMYFUNCTION("GOOGLETRANSLATE(E2168,""EN"",""JA"")"),"C型肝炎ウイルス核酸")</f>
        <v>C型肝炎ウイルス核酸</v>
      </c>
      <c r="J2168" s="1" t="str">
        <f>IFERROR(__xludf.DUMMYFUNCTION("GOOGLETRANSLATE(F2168,""EN"",""JA"")"),"生物学的標本中の C 型肝炎ウイルスの核酸の測定。")</f>
        <v>生物学的標本中の C 型肝炎ウイルスの核酸の測定。</v>
      </c>
      <c r="K2168" s="1" t="str">
        <f>IFERROR(__xludf.DUMMYFUNCTION("GOOGLETRANSLATE(G2168,""EN"",""JA"")"),"C型肝炎ウイルス核酸測定")</f>
        <v>C型肝炎ウイルス核酸測定</v>
      </c>
    </row>
    <row r="2169" ht="13.5" customHeight="1">
      <c r="A2169" s="1" t="s">
        <v>11</v>
      </c>
      <c r="B2169" s="1" t="s">
        <v>10946</v>
      </c>
      <c r="C2169" s="1" t="s">
        <v>10947</v>
      </c>
      <c r="D2169" s="1" t="s">
        <v>10948</v>
      </c>
      <c r="E2169" s="1" t="s">
        <v>10949</v>
      </c>
      <c r="F2169" s="1" t="s">
        <v>10950</v>
      </c>
      <c r="G2169" s="1" t="s">
        <v>10951</v>
      </c>
      <c r="H2169" s="1" t="str">
        <f>IFERROR(__xludf.DUMMYFUNCTION("GOOGLETRANSLATE(D2169,""EN"",""JA"")"),"3β-ヒドロキシ-5-コレステノン酸")</f>
        <v>3β-ヒドロキシ-5-コレステノン酸</v>
      </c>
      <c r="I2169" s="1" t="str">
        <f>IFERROR(__xludf.DUMMYFUNCTION("GOOGLETRANSLATE(E2169,""EN"",""JA"")"),"3-HCOA; 3-ヒドロキシ-5-コレステノン酸; 3β-ヒドロキシ-5-コレステノン酸")</f>
        <v>3-HCOA; 3-ヒドロキシ-5-コレステノン酸; 3β-ヒドロキシ-5-コレステノン酸</v>
      </c>
      <c r="J2169" s="1" t="str">
        <f>IFERROR(__xludf.DUMMYFUNCTION("GOOGLETRANSLATE(F2169,""EN"",""JA"")"),"生物標本中の 3beta-ヒドロキシ-5-コレステノン酸の測定。")</f>
        <v>生物標本中の 3beta-ヒドロキシ-5-コレステノン酸の測定。</v>
      </c>
      <c r="K2169" s="1" t="str">
        <f>IFERROR(__xludf.DUMMYFUNCTION("GOOGLETRANSLATE(G2169,""EN"",""JA"")"),"3β-ヒドロキシ-5-コレステノン酸測定")</f>
        <v>3β-ヒドロキシ-5-コレステノン酸測定</v>
      </c>
    </row>
    <row r="2170" ht="13.5" customHeight="1">
      <c r="A2170" s="1" t="s">
        <v>67</v>
      </c>
      <c r="B2170" s="1" t="s">
        <v>10952</v>
      </c>
      <c r="C2170" s="1" t="s">
        <v>10953</v>
      </c>
      <c r="D2170" s="1" t="s">
        <v>10954</v>
      </c>
      <c r="E2170" s="1" t="s">
        <v>10954</v>
      </c>
      <c r="F2170" s="1" t="s">
        <v>10955</v>
      </c>
      <c r="G2170" s="1" t="s">
        <v>10956</v>
      </c>
      <c r="H2170" s="1" t="str">
        <f>IFERROR(__xludf.DUMMYFUNCTION("GOOGLETRANSLATE(D2170,""EN"",""JA"")"),"ヒトコロナウイルス229E")</f>
        <v>ヒトコロナウイルス229E</v>
      </c>
      <c r="I2170" s="1" t="str">
        <f>IFERROR(__xludf.DUMMYFUNCTION("GOOGLETRANSLATE(E2170,""EN"",""JA"")"),"ヒトコロナウイルス229E")</f>
        <v>ヒトコロナウイルス229E</v>
      </c>
      <c r="J2170" s="1" t="str">
        <f>IFERROR(__xludf.DUMMYFUNCTION("GOOGLETRANSLATE(F2170,""EN"",""JA"")"),"生物標本中のヒトコロナウイルス 229E の測定。")</f>
        <v>生物標本中のヒトコロナウイルス 229E の測定。</v>
      </c>
      <c r="K2170" s="1" t="str">
        <f>IFERROR(__xludf.DUMMYFUNCTION("GOOGLETRANSLATE(G2170,""EN"",""JA"")"),"ヒトコロナウイルス229Eの測定")</f>
        <v>ヒトコロナウイルス229Eの測定</v>
      </c>
    </row>
    <row r="2171" ht="13.5" customHeight="1">
      <c r="A2171" s="1" t="s">
        <v>67</v>
      </c>
      <c r="B2171" s="1" t="s">
        <v>10957</v>
      </c>
      <c r="C2171" s="1" t="s">
        <v>10958</v>
      </c>
      <c r="D2171" s="1" t="s">
        <v>10959</v>
      </c>
      <c r="E2171" s="1" t="s">
        <v>10959</v>
      </c>
      <c r="F2171" s="1" t="s">
        <v>10960</v>
      </c>
      <c r="G2171" s="1" t="s">
        <v>10961</v>
      </c>
      <c r="H2171" s="1" t="str">
        <f>IFERROR(__xludf.DUMMYFUNCTION("GOOGLETRANSLATE(D2171,""EN"",""JA"")"),"ヒトコロナウイルスHKU1")</f>
        <v>ヒトコロナウイルスHKU1</v>
      </c>
      <c r="I2171" s="1" t="str">
        <f>IFERROR(__xludf.DUMMYFUNCTION("GOOGLETRANSLATE(E2171,""EN"",""JA"")"),"ヒトコロナウイルスHKU1")</f>
        <v>ヒトコロナウイルスHKU1</v>
      </c>
      <c r="J2171" s="1" t="str">
        <f>IFERROR(__xludf.DUMMYFUNCTION("GOOGLETRANSLATE(F2171,""EN"",""JA"")"),"生物標本中のヒトコロナウイルスHKU1の測定。")</f>
        <v>生物標本中のヒトコロナウイルスHKU1の測定。</v>
      </c>
      <c r="K2171" s="1" t="str">
        <f>IFERROR(__xludf.DUMMYFUNCTION("GOOGLETRANSLATE(G2171,""EN"",""JA"")"),"ヒトコロナウイルスHKU1の測定")</f>
        <v>ヒトコロナウイルスHKU1の測定</v>
      </c>
    </row>
    <row r="2172" ht="13.5" customHeight="1">
      <c r="A2172" s="1" t="s">
        <v>67</v>
      </c>
      <c r="B2172" s="1" t="s">
        <v>10962</v>
      </c>
      <c r="C2172" s="1" t="s">
        <v>10963</v>
      </c>
      <c r="D2172" s="1" t="s">
        <v>10964</v>
      </c>
      <c r="E2172" s="1" t="s">
        <v>10964</v>
      </c>
      <c r="F2172" s="1" t="s">
        <v>10965</v>
      </c>
      <c r="G2172" s="1" t="s">
        <v>10966</v>
      </c>
      <c r="H2172" s="1" t="str">
        <f>IFERROR(__xludf.DUMMYFUNCTION("GOOGLETRANSLATE(D2172,""EN"",""JA"")"),"ヒトコロナウイルスNL63")</f>
        <v>ヒトコロナウイルスNL63</v>
      </c>
      <c r="I2172" s="1" t="str">
        <f>IFERROR(__xludf.DUMMYFUNCTION("GOOGLETRANSLATE(E2172,""EN"",""JA"")"),"ヒトコロナウイルスNL63")</f>
        <v>ヒトコロナウイルスNL63</v>
      </c>
      <c r="J2172" s="1" t="str">
        <f>IFERROR(__xludf.DUMMYFUNCTION("GOOGLETRANSLATE(F2172,""EN"",""JA"")"),"生物標本中のヒトコロナウイルスNL63の測定。")</f>
        <v>生物標本中のヒトコロナウイルスNL63の測定。</v>
      </c>
      <c r="K2172" s="1" t="str">
        <f>IFERROR(__xludf.DUMMYFUNCTION("GOOGLETRANSLATE(G2172,""EN"",""JA"")"),"ヒトコロナウイルスNL63の測定")</f>
        <v>ヒトコロナウイルスNL63の測定</v>
      </c>
    </row>
    <row r="2173" ht="13.5" customHeight="1">
      <c r="A2173" s="1" t="s">
        <v>67</v>
      </c>
      <c r="B2173" s="1" t="s">
        <v>10967</v>
      </c>
      <c r="C2173" s="1" t="s">
        <v>10968</v>
      </c>
      <c r="D2173" s="1" t="s">
        <v>10969</v>
      </c>
      <c r="E2173" s="1" t="s">
        <v>10969</v>
      </c>
      <c r="F2173" s="1" t="s">
        <v>10970</v>
      </c>
      <c r="G2173" s="1" t="s">
        <v>10971</v>
      </c>
      <c r="H2173" s="1" t="str">
        <f>IFERROR(__xludf.DUMMYFUNCTION("GOOGLETRANSLATE(D2173,""EN"",""JA"")"),"ヒトコロナウイルスOC43")</f>
        <v>ヒトコロナウイルスOC43</v>
      </c>
      <c r="I2173" s="1" t="str">
        <f>IFERROR(__xludf.DUMMYFUNCTION("GOOGLETRANSLATE(E2173,""EN"",""JA"")"),"ヒトコロナウイルスOC43")</f>
        <v>ヒトコロナウイルスOC43</v>
      </c>
      <c r="J2173" s="1" t="str">
        <f>IFERROR(__xludf.DUMMYFUNCTION("GOOGLETRANSLATE(F2173,""EN"",""JA"")"),"生物標本中のヒトコロナウイルス OC43 の測定。")</f>
        <v>生物標本中のヒトコロナウイルス OC43 の測定。</v>
      </c>
      <c r="K2173" s="1" t="str">
        <f>IFERROR(__xludf.DUMMYFUNCTION("GOOGLETRANSLATE(G2173,""EN"",""JA"")"),"ヒトコロナウイルスOC43の測定")</f>
        <v>ヒトコロナウイルスOC43の測定</v>
      </c>
    </row>
    <row r="2174" ht="13.5" customHeight="1">
      <c r="A2174" s="1" t="s">
        <v>67</v>
      </c>
      <c r="B2174" s="1" t="s">
        <v>10972</v>
      </c>
      <c r="C2174" s="1" t="s">
        <v>10973</v>
      </c>
      <c r="D2174" s="1" t="s">
        <v>10974</v>
      </c>
      <c r="E2174" s="1" t="s">
        <v>10974</v>
      </c>
      <c r="F2174" s="1" t="s">
        <v>10975</v>
      </c>
      <c r="G2174" s="1" t="s">
        <v>10976</v>
      </c>
      <c r="H2174" s="1" t="str">
        <f>IFERROR(__xludf.DUMMYFUNCTION("GOOGLETRANSLATE(D2174,""EN"",""JA"")"),"ヒストプラズマ・カプスラツム抗原")</f>
        <v>ヒストプラズマ・カプスラツム抗原</v>
      </c>
      <c r="I2174" s="1" t="str">
        <f>IFERROR(__xludf.DUMMYFUNCTION("GOOGLETRANSLATE(E2174,""EN"",""JA"")"),"ヒストプラズマ・カプスラツム抗原")</f>
        <v>ヒストプラズマ・カプスラツム抗原</v>
      </c>
      <c r="J2174" s="1" t="str">
        <f>IFERROR(__xludf.DUMMYFUNCTION("GOOGLETRANSLATE(F2174,""EN"",""JA"")"),"生物標本中のヒストプラズマ・カプスラツム抗原の測定。")</f>
        <v>生物標本中のヒストプラズマ・カプスラツム抗原の測定。</v>
      </c>
      <c r="K2174" s="1" t="str">
        <f>IFERROR(__xludf.DUMMYFUNCTION("GOOGLETRANSLATE(G2174,""EN"",""JA"")"),"ヒストプラズマ・カプスラツム抗原測定")</f>
        <v>ヒストプラズマ・カプスラツム抗原測定</v>
      </c>
    </row>
    <row r="2175" ht="13.5" customHeight="1">
      <c r="A2175" s="1" t="s">
        <v>129</v>
      </c>
      <c r="B2175" s="1" t="s">
        <v>10977</v>
      </c>
      <c r="C2175" s="1" t="s">
        <v>10978</v>
      </c>
      <c r="D2175" s="1" t="s">
        <v>10979</v>
      </c>
      <c r="E2175" s="1" t="s">
        <v>10980</v>
      </c>
      <c r="F2175" s="1" t="s">
        <v>10981</v>
      </c>
      <c r="G2175" s="1" t="s">
        <v>10979</v>
      </c>
      <c r="H2175" s="1" t="str">
        <f>IFERROR(__xludf.DUMMYFUNCTION("GOOGLETRANSLATE(D2175,""EN"",""JA"")"),"年齢別頭囲パーセンタイル")</f>
        <v>年齢別頭囲パーセンタイル</v>
      </c>
      <c r="I2175" s="1" t="str">
        <f>IFERROR(__xludf.DUMMYFUNCTION("GOOGLETRANSLATE(E2175,""EN"",""JA"")"),"年齢別頭囲パーセンタイル; 年齢別後頭前頭囲パーセンタイル")</f>
        <v>年齢別頭囲パーセンタイル; 年齢別後頭前頭囲パーセンタイル</v>
      </c>
      <c r="J2175" s="1" t="str">
        <f>IFERROR(__xludf.DUMMYFUNCTION("GOOGLETRANSLATE(F2175,""EN"",""JA"")"),"個人の頭囲と年齢と参照人口との関係を評価し、パーセンタイルで表します。")</f>
        <v>個人の頭囲と年齢と参照人口との関係を評価し、パーセンタイルで表します。</v>
      </c>
      <c r="K2175" s="1" t="str">
        <f>IFERROR(__xludf.DUMMYFUNCTION("GOOGLETRANSLATE(G2175,""EN"",""JA"")"),"年齢別頭囲パーセンタイル")</f>
        <v>年齢別頭囲パーセンタイル</v>
      </c>
    </row>
    <row r="2176" ht="13.5" customHeight="1">
      <c r="A2176" s="1" t="s">
        <v>67</v>
      </c>
      <c r="B2176" s="1" t="s">
        <v>10982</v>
      </c>
      <c r="C2176" s="1" t="s">
        <v>10983</v>
      </c>
      <c r="D2176" s="1" t="s">
        <v>10984</v>
      </c>
      <c r="E2176" s="1" t="s">
        <v>10984</v>
      </c>
      <c r="F2176" s="1" t="s">
        <v>10985</v>
      </c>
      <c r="G2176" s="1" t="s">
        <v>10986</v>
      </c>
      <c r="H2176" s="1" t="str">
        <f>IFERROR(__xludf.DUMMYFUNCTION("GOOGLETRANSLATE(D2176,""EN"",""JA"")"),"C型肝炎ウイルスRNA")</f>
        <v>C型肝炎ウイルスRNA</v>
      </c>
      <c r="I2176" s="1" t="str">
        <f>IFERROR(__xludf.DUMMYFUNCTION("GOOGLETRANSLATE(E2176,""EN"",""JA"")"),"C型肝炎ウイルスRNA")</f>
        <v>C型肝炎ウイルスRNA</v>
      </c>
      <c r="J2176" s="1" t="str">
        <f>IFERROR(__xludf.DUMMYFUNCTION("GOOGLETRANSLATE(F2176,""EN"",""JA"")"),"生物学的標本中の C 型肝炎ウイルス RNA の測定。")</f>
        <v>生物学的標本中の C 型肝炎ウイルス RNA の測定。</v>
      </c>
      <c r="K2176" s="1" t="str">
        <f>IFERROR(__xludf.DUMMYFUNCTION("GOOGLETRANSLATE(G2176,""EN"",""JA"")"),"C型肝炎ウイルスRNA測定")</f>
        <v>C型肝炎ウイルスRNA測定</v>
      </c>
    </row>
    <row r="2177" ht="13.5" customHeight="1">
      <c r="A2177" s="1" t="s">
        <v>11</v>
      </c>
      <c r="B2177" s="1" t="s">
        <v>10987</v>
      </c>
      <c r="C2177" s="1" t="s">
        <v>10988</v>
      </c>
      <c r="D2177" s="1" t="s">
        <v>10989</v>
      </c>
      <c r="E2177" s="1" t="s">
        <v>10990</v>
      </c>
      <c r="F2177" s="1" t="s">
        <v>10991</v>
      </c>
      <c r="G2177" s="1" t="s">
        <v>10992</v>
      </c>
      <c r="H2177" s="1" t="str">
        <f>IFERROR(__xludf.DUMMYFUNCTION("GOOGLETRANSLATE(D2177,""EN"",""JA"")"),"ヘマトクリット")</f>
        <v>ヘマトクリット</v>
      </c>
      <c r="I2177" s="1" t="str">
        <f>IFERROR(__xludf.DUMMYFUNCTION("GOOGLETRANSLATE(E2177,""EN"",""JA"")"),"赤血球容積分率; EVF; ヘマトクリット; 赤血球容積; PCV")</f>
        <v>赤血球容積分率; EVF; ヘマトクリット; 赤血球容積; PCV</v>
      </c>
      <c r="J2177" s="1" t="str">
        <f>IFERROR(__xludf.DUMMYFUNCTION("GOOGLETRANSLATE(F2177,""EN"",""JA"")"),"全血検体のうち赤血球（赤血球）で構成される割合。")</f>
        <v>全血検体のうち赤血球（赤血球）で構成される割合。</v>
      </c>
      <c r="K2177" s="1" t="str">
        <f>IFERROR(__xludf.DUMMYFUNCTION("GOOGLETRANSLATE(G2177,""EN"",""JA"")"),"ヘマトクリット測定")</f>
        <v>ヘマトクリット測定</v>
      </c>
    </row>
    <row r="2178" ht="13.5" customHeight="1">
      <c r="A2178" s="1" t="s">
        <v>67</v>
      </c>
      <c r="B2178" s="1" t="s">
        <v>10993</v>
      </c>
      <c r="C2178" s="1" t="s">
        <v>10994</v>
      </c>
      <c r="D2178" s="1" t="s">
        <v>10995</v>
      </c>
      <c r="E2178" s="1" t="s">
        <v>10995</v>
      </c>
      <c r="F2178" s="1" t="s">
        <v>10996</v>
      </c>
      <c r="G2178" s="1" t="s">
        <v>10997</v>
      </c>
      <c r="H2178" s="1" t="str">
        <f>IFERROR(__xludf.DUMMYFUNCTION("GOOGLETRANSLATE(D2178,""EN"",""JA"")"),"C型肝炎ウイルス")</f>
        <v>C型肝炎ウイルス</v>
      </c>
      <c r="I2178" s="1" t="str">
        <f>IFERROR(__xludf.DUMMYFUNCTION("GOOGLETRANSLATE(E2178,""EN"",""JA"")"),"C型肝炎ウイルス")</f>
        <v>C型肝炎ウイルス</v>
      </c>
      <c r="J2178" s="1" t="str">
        <f>IFERROR(__xludf.DUMMYFUNCTION("GOOGLETRANSLATE(F2178,""EN"",""JA"")"),"生物学的標本中の C 型肝炎ウイルスの測定。")</f>
        <v>生物学的標本中の C 型肝炎ウイルスの測定。</v>
      </c>
      <c r="K2178" s="1" t="str">
        <f>IFERROR(__xludf.DUMMYFUNCTION("GOOGLETRANSLATE(G2178,""EN"",""JA"")"),"C型肝炎ウイルス測定")</f>
        <v>C型肝炎ウイルス測定</v>
      </c>
    </row>
    <row r="2179" ht="13.5" customHeight="1">
      <c r="A2179" s="1" t="s">
        <v>129</v>
      </c>
      <c r="B2179" s="1" t="s">
        <v>10998</v>
      </c>
      <c r="C2179" s="1" t="s">
        <v>10999</v>
      </c>
      <c r="D2179" s="1" t="s">
        <v>11000</v>
      </c>
      <c r="E2179" s="1" t="s">
        <v>11000</v>
      </c>
      <c r="F2179" s="1" t="s">
        <v>11001</v>
      </c>
      <c r="G2179" s="1" t="s">
        <v>11000</v>
      </c>
      <c r="H2179" s="1" t="str">
        <f>IFERROR(__xludf.DUMMYFUNCTION("GOOGLETRANSLATE(D2179,""EN"",""JA"")"),"頭囲")</f>
        <v>頭囲</v>
      </c>
      <c r="I2179" s="1" t="str">
        <f>IFERROR(__xludf.DUMMYFUNCTION("GOOGLETRANSLATE(E2179,""EN"",""JA"")"),"頭囲")</f>
        <v>頭囲</v>
      </c>
      <c r="J2179" s="1" t="str">
        <f>IFERROR(__xludf.DUMMYFUNCTION("GOOGLETRANSLATE(F2179,""EN"",""JA"")"),"頭の最も広い部分での円周の測定値。")</f>
        <v>頭の最も広い部分での円周の測定値。</v>
      </c>
      <c r="K2179" s="1" t="str">
        <f>IFERROR(__xludf.DUMMYFUNCTION("GOOGLETRANSLATE(G2179,""EN"",""JA"")"),"頭囲")</f>
        <v>頭囲</v>
      </c>
    </row>
    <row r="2180" ht="13.5" customHeight="1">
      <c r="A2180" s="1" t="s">
        <v>870</v>
      </c>
      <c r="B2180" s="1" t="s">
        <v>11002</v>
      </c>
      <c r="C2180" s="1" t="s">
        <v>11003</v>
      </c>
      <c r="D2180" s="1" t="s">
        <v>11004</v>
      </c>
      <c r="E2180" s="1" t="s">
        <v>11004</v>
      </c>
      <c r="F2180" s="1" t="s">
        <v>11005</v>
      </c>
      <c r="G2180" s="1" t="s">
        <v>11004</v>
      </c>
      <c r="H2180" s="1" t="str">
        <f>IFERROR(__xludf.DUMMYFUNCTION("GOOGLETRANSLATE(D2180,""EN"",""JA"")"),"血液透析クリアランス")</f>
        <v>血液透析クリアランス</v>
      </c>
      <c r="I2180" s="1" t="str">
        <f>IFERROR(__xludf.DUMMYFUNCTION("GOOGLETRANSLATE(E2180,""EN"",""JA"")"),"血液透析クリアランス")</f>
        <v>血液透析クリアランス</v>
      </c>
      <c r="J2180" s="1" t="str">
        <f>IFERROR(__xludf.DUMMYFUNCTION("GOOGLETRANSLATE(F2180,""EN"",""JA"")"),"血液透析中に血液から物質を除去すること。")</f>
        <v>血液透析中に血液から物質を除去すること。</v>
      </c>
      <c r="K2180" s="1" t="str">
        <f>IFERROR(__xludf.DUMMYFUNCTION("GOOGLETRANSLATE(G2180,""EN"",""JA"")"),"血液透析クリアランス")</f>
        <v>血液透析クリアランス</v>
      </c>
    </row>
    <row r="2181" ht="13.5" customHeight="1">
      <c r="A2181" s="1" t="s">
        <v>870</v>
      </c>
      <c r="B2181" s="1" t="s">
        <v>11006</v>
      </c>
      <c r="C2181" s="1" t="s">
        <v>11007</v>
      </c>
      <c r="D2181" s="1" t="s">
        <v>11008</v>
      </c>
      <c r="E2181" s="1" t="s">
        <v>11008</v>
      </c>
      <c r="F2181" s="1" t="s">
        <v>11009</v>
      </c>
      <c r="G2181" s="1" t="s">
        <v>11008</v>
      </c>
      <c r="H2181" s="1" t="str">
        <f>IFERROR(__xludf.DUMMYFUNCTION("GOOGLETRANSLATE(D2181,""EN"",""JA"")"),"血液透析抽出率")</f>
        <v>血液透析抽出率</v>
      </c>
      <c r="I2181" s="1" t="str">
        <f>IFERROR(__xludf.DUMMYFUNCTION("GOOGLETRANSLATE(E2181,""EN"",""JA"")"),"血液透析抽出率")</f>
        <v>血液透析抽出率</v>
      </c>
      <c r="J2181" s="1" t="str">
        <f>IFERROR(__xludf.DUMMYFUNCTION("GOOGLETRANSLATE(F2181,""EN"",""JA"")"),"血液透析中に血液から除去される物質の含有量の割合。")</f>
        <v>血液透析中に血液から除去される物質の含有量の割合。</v>
      </c>
      <c r="K2181" s="1" t="str">
        <f>IFERROR(__xludf.DUMMYFUNCTION("GOOGLETRANSLATE(G2181,""EN"",""JA"")"),"血液透析抽出率")</f>
        <v>血液透析抽出率</v>
      </c>
    </row>
    <row r="2182" ht="13.5" customHeight="1">
      <c r="A2182" s="1" t="s">
        <v>11</v>
      </c>
      <c r="B2182" s="1" t="s">
        <v>11010</v>
      </c>
      <c r="C2182" s="1" t="s">
        <v>11011</v>
      </c>
      <c r="D2182" s="1" t="s">
        <v>11012</v>
      </c>
      <c r="E2182" s="1" t="s">
        <v>11012</v>
      </c>
      <c r="F2182" s="1" t="s">
        <v>11013</v>
      </c>
      <c r="G2182" s="1" t="s">
        <v>11014</v>
      </c>
      <c r="H2182" s="1" t="str">
        <f>IFERROR(__xludf.DUMMYFUNCTION("GOOGLETRANSLATE(D2182,""EN"",""JA"")"),"HDLコレステロール")</f>
        <v>HDLコレステロール</v>
      </c>
      <c r="I2182" s="1" t="str">
        <f>IFERROR(__xludf.DUMMYFUNCTION("GOOGLETRANSLATE(E2182,""EN"",""JA"")"),"HDLコレステロール")</f>
        <v>HDLコレステロール</v>
      </c>
      <c r="J2182" s="1" t="str">
        <f>IFERROR(__xludf.DUMMYFUNCTION("GOOGLETRANSLATE(F2182,""EN"",""JA"")"),"生物標本中の高密度リポタンパク質コレステロールの測定。")</f>
        <v>生物標本中の高密度リポタンパク質コレステロールの測定。</v>
      </c>
      <c r="K2182" s="1" t="str">
        <f>IFERROR(__xludf.DUMMYFUNCTION("GOOGLETRANSLATE(G2182,""EN"",""JA"")"),"高密度リポタンパク質コレステロール測定")</f>
        <v>高密度リポタンパク質コレステロール測定</v>
      </c>
    </row>
    <row r="2183" ht="13.5" customHeight="1">
      <c r="A2183" s="1" t="s">
        <v>11</v>
      </c>
      <c r="B2183" s="1" t="s">
        <v>11015</v>
      </c>
      <c r="C2183" s="1" t="s">
        <v>11016</v>
      </c>
      <c r="D2183" s="1" t="s">
        <v>11017</v>
      </c>
      <c r="E2183" s="1" t="s">
        <v>11017</v>
      </c>
      <c r="F2183" s="1" t="s">
        <v>11018</v>
      </c>
      <c r="G2183" s="1" t="s">
        <v>11019</v>
      </c>
      <c r="H2183" s="1" t="str">
        <f>IFERROR(__xludf.DUMMYFUNCTION("GOOGLETRANSLATE(D2183,""EN"",""JA"")"),"HDL+LDLコレステロール")</f>
        <v>HDL+LDLコレステロール</v>
      </c>
      <c r="I2183" s="1" t="str">
        <f>IFERROR(__xludf.DUMMYFUNCTION("GOOGLETRANSLATE(E2183,""EN"",""JA"")"),"HDL+LDLコレステロール")</f>
        <v>HDL+LDLコレステロール</v>
      </c>
      <c r="J2183" s="1" t="str">
        <f>IFERROR(__xludf.DUMMYFUNCTION("GOOGLETRANSLATE(F2183,""EN"",""JA"")"),"生物標本中の高密度リポタンパク質コレステロールと低密度リポタンパク質コレステロールの測定。")</f>
        <v>生物標本中の高密度リポタンパク質コレステロールと低密度リポタンパク質コレステロールの測定。</v>
      </c>
      <c r="K2183" s="1" t="str">
        <f>IFERROR(__xludf.DUMMYFUNCTION("GOOGLETRANSLATE(G2183,""EN"",""JA"")"),"高密度リポタンパク質コレステロールと低密度リポタンパク質コレステロールの測定")</f>
        <v>高密度リポタンパク質コレステロールと低密度リポタンパク質コレステロールの測定</v>
      </c>
    </row>
    <row r="2184" ht="13.5" customHeight="1">
      <c r="A2184" s="1" t="s">
        <v>11</v>
      </c>
      <c r="B2184" s="1" t="s">
        <v>11020</v>
      </c>
      <c r="C2184" s="1" t="s">
        <v>11021</v>
      </c>
      <c r="D2184" s="1" t="s">
        <v>11022</v>
      </c>
      <c r="E2184" s="1" t="s">
        <v>11022</v>
      </c>
      <c r="F2184" s="1" t="s">
        <v>11023</v>
      </c>
      <c r="G2184" s="1" t="s">
        <v>11024</v>
      </c>
      <c r="H2184" s="1" t="str">
        <f>IFERROR(__xludf.DUMMYFUNCTION("GOOGLETRANSLATE(D2184,""EN"",""JA"")"),"HDLコレステロールサブクラス2")</f>
        <v>HDLコレステロールサブクラス2</v>
      </c>
      <c r="I2184" s="1" t="str">
        <f>IFERROR(__xludf.DUMMYFUNCTION("GOOGLETRANSLATE(E2184,""EN"",""JA"")"),"HDLコレステロールサブクラス2")</f>
        <v>HDLコレステロールサブクラス2</v>
      </c>
      <c r="J2184" s="1" t="str">
        <f>IFERROR(__xludf.DUMMYFUNCTION("GOOGLETRANSLATE(F2184,""EN"",""JA"")"),"生物標本中の高密度リポタンパク質 (HDL) コレステロール サブクラス 2 の測定。")</f>
        <v>生物標本中の高密度リポタンパク質 (HDL) コレステロール サブクラス 2 の測定。</v>
      </c>
      <c r="K2184" s="1" t="str">
        <f>IFERROR(__xludf.DUMMYFUNCTION("GOOGLETRANSLATE(G2184,""EN"",""JA"")"),"HDLコレステロールサブクラス2測定")</f>
        <v>HDLコレステロールサブクラス2測定</v>
      </c>
    </row>
    <row r="2185" ht="13.5" customHeight="1">
      <c r="A2185" s="1" t="s">
        <v>11</v>
      </c>
      <c r="B2185" s="1" t="s">
        <v>11025</v>
      </c>
      <c r="C2185" s="1" t="s">
        <v>11026</v>
      </c>
      <c r="D2185" s="1" t="s">
        <v>11027</v>
      </c>
      <c r="E2185" s="1" t="s">
        <v>11027</v>
      </c>
      <c r="F2185" s="1" t="s">
        <v>11028</v>
      </c>
      <c r="G2185" s="1" t="s">
        <v>11029</v>
      </c>
      <c r="H2185" s="1" t="str">
        <f>IFERROR(__xludf.DUMMYFUNCTION("GOOGLETRANSLATE(D2185,""EN"",""JA"")"),"HDLコレステロールサブクラス3")</f>
        <v>HDLコレステロールサブクラス3</v>
      </c>
      <c r="I2185" s="1" t="str">
        <f>IFERROR(__xludf.DUMMYFUNCTION("GOOGLETRANSLATE(E2185,""EN"",""JA"")"),"HDLコレステロールサブクラス3")</f>
        <v>HDLコレステロールサブクラス3</v>
      </c>
      <c r="J2185" s="1" t="str">
        <f>IFERROR(__xludf.DUMMYFUNCTION("GOOGLETRANSLATE(F2185,""EN"",""JA"")"),"生物標本中の高密度リポタンパク質 (HDL) コレステロール サブクラス 3 の測定。")</f>
        <v>生物標本中の高密度リポタンパク質 (HDL) コレステロール サブクラス 3 の測定。</v>
      </c>
      <c r="K2185" s="1" t="str">
        <f>IFERROR(__xludf.DUMMYFUNCTION("GOOGLETRANSLATE(G2185,""EN"",""JA"")"),"HDLコレステロールサブクラス3測定")</f>
        <v>HDLコレステロールサブクラス3測定</v>
      </c>
    </row>
    <row r="2186" ht="13.5" customHeight="1">
      <c r="A2186" s="1" t="s">
        <v>11</v>
      </c>
      <c r="B2186" s="1" t="s">
        <v>11030</v>
      </c>
      <c r="C2186" s="1" t="s">
        <v>11031</v>
      </c>
      <c r="D2186" s="1" t="s">
        <v>11032</v>
      </c>
      <c r="E2186" s="1" t="s">
        <v>11032</v>
      </c>
      <c r="F2186" s="1" t="s">
        <v>11033</v>
      </c>
      <c r="G2186" s="1" t="s">
        <v>11034</v>
      </c>
      <c r="H2186" s="1" t="str">
        <f>IFERROR(__xludf.DUMMYFUNCTION("GOOGLETRANSLATE(D2186,""EN"",""JA"")"),"HDLコレステロール/総コレステロール")</f>
        <v>HDLコレステロール/総コレステロール</v>
      </c>
      <c r="I2186" s="1" t="str">
        <f>IFERROR(__xludf.DUMMYFUNCTION("GOOGLETRANSLATE(E2186,""EN"",""JA"")"),"HDLコレステロール/総コレステロール")</f>
        <v>HDLコレステロール/総コレステロール</v>
      </c>
      <c r="J2186" s="1" t="str">
        <f>IFERROR(__xludf.DUMMYFUNCTION("GOOGLETRANSLATE(F2186,""EN"",""JA"")"),"生物学的標本中の総コレステロールと比較した HDL コレステロールの量の相対的な測定値 (比率またはパーセンテージ)。")</f>
        <v>生物学的標本中の総コレステロールと比較した HDL コレステロールの量の相対的な測定値 (比率またはパーセンテージ)。</v>
      </c>
      <c r="K2186" s="1" t="str">
        <f>IFERROR(__xludf.DUMMYFUNCTION("GOOGLETRANSLATE(G2186,""EN"",""JA"")"),"HDLコレステロールと総コレステロールの比率測定")</f>
        <v>HDLコレステロールと総コレステロールの比率測定</v>
      </c>
    </row>
    <row r="2187" ht="13.5" customHeight="1">
      <c r="A2187" s="1" t="s">
        <v>11</v>
      </c>
      <c r="B2187" s="1" t="s">
        <v>11035</v>
      </c>
      <c r="C2187" s="1" t="s">
        <v>11036</v>
      </c>
      <c r="D2187" s="1" t="s">
        <v>11037</v>
      </c>
      <c r="E2187" s="1" t="s">
        <v>11037</v>
      </c>
      <c r="F2187" s="1" t="s">
        <v>11038</v>
      </c>
      <c r="G2187" s="1" t="s">
        <v>11039</v>
      </c>
      <c r="H2187" s="1" t="str">
        <f>IFERROR(__xludf.DUMMYFUNCTION("GOOGLETRANSLATE(D2187,""EN"",""JA"")"),"HDLコレステロール/LDLコレステロール")</f>
        <v>HDLコレステロール/LDLコレステロール</v>
      </c>
      <c r="I2187" s="1" t="str">
        <f>IFERROR(__xludf.DUMMYFUNCTION("GOOGLETRANSLATE(E2187,""EN"",""JA"")"),"HDLコレステロール/LDLコレステロール")</f>
        <v>HDLコレステロール/LDLコレステロール</v>
      </c>
      <c r="J2187" s="1" t="str">
        <f>IFERROR(__xludf.DUMMYFUNCTION("GOOGLETRANSLATE(F2187,""EN"",""JA"")"),"生物学的標本中の LDL コレステロールと比較した HDL コレステロールの量の相対的な測定値 (比率またはパーセンテージ)。")</f>
        <v>生物学的標本中の LDL コレステロールと比較した HDL コレステロールの量の相対的な測定値 (比率またはパーセンテージ)。</v>
      </c>
      <c r="K2187" s="1" t="str">
        <f>IFERROR(__xludf.DUMMYFUNCTION("GOOGLETRANSLATE(G2187,""EN"",""JA"")"),"HDLコレステロールとLDLコレステロールの比測定")</f>
        <v>HDLコレステロールとLDLコレステロールの比測定</v>
      </c>
    </row>
    <row r="2188" ht="13.5" customHeight="1">
      <c r="A2188" s="1" t="s">
        <v>11</v>
      </c>
      <c r="B2188" s="1" t="s">
        <v>11040</v>
      </c>
      <c r="C2188" s="1" t="s">
        <v>11041</v>
      </c>
      <c r="D2188" s="1" t="s">
        <v>11042</v>
      </c>
      <c r="E2188" s="1" t="s">
        <v>11043</v>
      </c>
      <c r="F2188" s="1" t="s">
        <v>11044</v>
      </c>
      <c r="G2188" s="1" t="s">
        <v>11045</v>
      </c>
      <c r="H2188" s="1" t="str">
        <f>IFERROR(__xludf.DUMMYFUNCTION("GOOGLETRANSLATE(D2188,""EN"",""JA"")"),"HDLリン脂質")</f>
        <v>HDLリン脂質</v>
      </c>
      <c r="I2188" s="1" t="str">
        <f>IFERROR(__xludf.DUMMYFUNCTION("GOOGLETRANSLATE(E2188,""EN"",""JA"")"),"HDLリン脂質; HDL-PL")</f>
        <v>HDLリン脂質; HDL-PL</v>
      </c>
      <c r="J2188" s="1" t="str">
        <f>IFERROR(__xludf.DUMMYFUNCTION("GOOGLETRANSLATE(F2188,""EN"",""JA"")"),"生物標本中の高密度リポタンパク質リン脂質の測定。")</f>
        <v>生物標本中の高密度リポタンパク質リン脂質の測定。</v>
      </c>
      <c r="K2188" s="1" t="str">
        <f>IFERROR(__xludf.DUMMYFUNCTION("GOOGLETRANSLATE(G2188,""EN"",""JA"")"),"HDLリン脂質測定")</f>
        <v>HDLリン脂質測定</v>
      </c>
    </row>
    <row r="2189" ht="13.5" customHeight="1">
      <c r="A2189" s="1" t="s">
        <v>11</v>
      </c>
      <c r="B2189" s="1" t="s">
        <v>11046</v>
      </c>
      <c r="C2189" s="1" t="s">
        <v>11047</v>
      </c>
      <c r="D2189" s="1" t="s">
        <v>11048</v>
      </c>
      <c r="E2189" s="1" t="s">
        <v>11048</v>
      </c>
      <c r="F2189" s="1" t="s">
        <v>11049</v>
      </c>
      <c r="G2189" s="1" t="s">
        <v>11050</v>
      </c>
      <c r="H2189" s="1" t="str">
        <f>IFERROR(__xludf.DUMMYFUNCTION("GOOGLETRANSLATE(D2189,""EN"",""JA"")"),"HDL粒子サイズ")</f>
        <v>HDL粒子サイズ</v>
      </c>
      <c r="I2189" s="1" t="str">
        <f>IFERROR(__xludf.DUMMYFUNCTION("GOOGLETRANSLATE(E2189,""EN"",""JA"")"),"HDL粒子サイズ")</f>
        <v>HDL粒子サイズ</v>
      </c>
      <c r="J2189" s="1" t="str">
        <f>IFERROR(__xludf.DUMMYFUNCTION("GOOGLETRANSLATE(F2189,""EN"",""JA"")"),"生物標本中の高密度リポタンパク質の平均粒子サイズの測定。")</f>
        <v>生物標本中の高密度リポタンパク質の平均粒子サイズの測定。</v>
      </c>
      <c r="K2189" s="1" t="str">
        <f>IFERROR(__xludf.DUMMYFUNCTION("GOOGLETRANSLATE(G2189,""EN"",""JA"")"),"HDL粒子サイズ測定")</f>
        <v>HDL粒子サイズ測定</v>
      </c>
    </row>
    <row r="2190" ht="13.5" customHeight="1">
      <c r="A2190" s="1" t="s">
        <v>11</v>
      </c>
      <c r="B2190" s="1" t="s">
        <v>11051</v>
      </c>
      <c r="C2190" s="1" t="s">
        <v>11052</v>
      </c>
      <c r="D2190" s="1" t="s">
        <v>11053</v>
      </c>
      <c r="E2190" s="1" t="s">
        <v>11053</v>
      </c>
      <c r="F2190" s="1" t="s">
        <v>11054</v>
      </c>
      <c r="G2190" s="1" t="s">
        <v>11055</v>
      </c>
      <c r="H2190" s="1" t="str">
        <f>IFERROR(__xludf.DUMMYFUNCTION("GOOGLETRANSLATE(D2190,""EN"",""JA"")"),"HLA-DR51抗原型")</f>
        <v>HLA-DR51抗原型</v>
      </c>
      <c r="I2190" s="1" t="str">
        <f>IFERROR(__xludf.DUMMYFUNCTION("GOOGLETRANSLATE(E2190,""EN"",""JA"")"),"HLA-DR51抗原型")</f>
        <v>HLA-DR51抗原型</v>
      </c>
      <c r="J2190" s="1" t="str">
        <f>IFERROR(__xludf.DUMMYFUNCTION("GOOGLETRANSLATE(F2190,""EN"",""JA"")"),"生物学的標本中のヒト白血球抗原クラス II 抗原 D 関連 51 (HLA-DR51) のタイプの識別。")</f>
        <v>生物学的標本中のヒト白血球抗原クラス II 抗原 D 関連 51 (HLA-DR51) のタイプの識別。</v>
      </c>
      <c r="K2190" s="1" t="str">
        <f>IFERROR(__xludf.DUMMYFUNCTION("GOOGLETRANSLATE(G2190,""EN"",""JA"")"),"HLA-DR51抗原測定")</f>
        <v>HLA-DR51抗原測定</v>
      </c>
    </row>
    <row r="2191" ht="13.5" customHeight="1">
      <c r="A2191" s="1" t="s">
        <v>11</v>
      </c>
      <c r="B2191" s="1" t="s">
        <v>11056</v>
      </c>
      <c r="C2191" s="1" t="s">
        <v>11057</v>
      </c>
      <c r="D2191" s="1" t="s">
        <v>11058</v>
      </c>
      <c r="E2191" s="1" t="s">
        <v>11058</v>
      </c>
      <c r="F2191" s="1" t="s">
        <v>11059</v>
      </c>
      <c r="G2191" s="1" t="s">
        <v>11060</v>
      </c>
      <c r="H2191" s="1" t="str">
        <f>IFERROR(__xludf.DUMMYFUNCTION("GOOGLETRANSLATE(D2191,""EN"",""JA"")"),"HLA-DR52抗原型")</f>
        <v>HLA-DR52抗原型</v>
      </c>
      <c r="I2191" s="1" t="str">
        <f>IFERROR(__xludf.DUMMYFUNCTION("GOOGLETRANSLATE(E2191,""EN"",""JA"")"),"HLA-DR52抗原型")</f>
        <v>HLA-DR52抗原型</v>
      </c>
      <c r="J2191" s="1" t="str">
        <f>IFERROR(__xludf.DUMMYFUNCTION("GOOGLETRANSLATE(F2191,""EN"",""JA"")"),"生物学的標本中のヒト白血球抗原クラス II 抗原 D 関連 52 (HLA-DR52) のタイプの識別。")</f>
        <v>生物学的標本中のヒト白血球抗原クラス II 抗原 D 関連 52 (HLA-DR52) のタイプの識別。</v>
      </c>
      <c r="K2191" s="1" t="str">
        <f>IFERROR(__xludf.DUMMYFUNCTION("GOOGLETRANSLATE(G2191,""EN"",""JA"")"),"HLA-DR52抗原測定")</f>
        <v>HLA-DR52抗原測定</v>
      </c>
    </row>
    <row r="2192" ht="13.5" customHeight="1">
      <c r="A2192" s="1" t="s">
        <v>11</v>
      </c>
      <c r="B2192" s="1" t="s">
        <v>11061</v>
      </c>
      <c r="C2192" s="1" t="s">
        <v>11062</v>
      </c>
      <c r="D2192" s="1" t="s">
        <v>11063</v>
      </c>
      <c r="E2192" s="1" t="s">
        <v>11063</v>
      </c>
      <c r="F2192" s="1" t="s">
        <v>11064</v>
      </c>
      <c r="G2192" s="1" t="s">
        <v>11065</v>
      </c>
      <c r="H2192" s="1" t="str">
        <f>IFERROR(__xludf.DUMMYFUNCTION("GOOGLETRANSLATE(D2192,""EN"",""JA"")"),"HLA-DR53抗原型")</f>
        <v>HLA-DR53抗原型</v>
      </c>
      <c r="I2192" s="1" t="str">
        <f>IFERROR(__xludf.DUMMYFUNCTION("GOOGLETRANSLATE(E2192,""EN"",""JA"")"),"HLA-DR53抗原型")</f>
        <v>HLA-DR53抗原型</v>
      </c>
      <c r="J2192" s="1" t="str">
        <f>IFERROR(__xludf.DUMMYFUNCTION("GOOGLETRANSLATE(F2192,""EN"",""JA"")"),"生物学的標本中のヒト白血球抗原クラス II 抗原 D 関連 53 (HLA-DR53) のタイプの識別。")</f>
        <v>生物学的標本中のヒト白血球抗原クラス II 抗原 D 関連 53 (HLA-DR53) のタイプの識別。</v>
      </c>
      <c r="K2192" s="1" t="str">
        <f>IFERROR(__xludf.DUMMYFUNCTION("GOOGLETRANSLATE(G2192,""EN"",""JA"")"),"HLA-DR53抗原測定")</f>
        <v>HLA-DR53抗原測定</v>
      </c>
    </row>
    <row r="2193" ht="13.5" customHeight="1">
      <c r="A2193" s="1" t="s">
        <v>67</v>
      </c>
      <c r="B2193" s="1" t="s">
        <v>11066</v>
      </c>
      <c r="C2193" s="1" t="s">
        <v>11067</v>
      </c>
      <c r="D2193" s="1" t="s">
        <v>11068</v>
      </c>
      <c r="E2193" s="1" t="s">
        <v>11068</v>
      </c>
      <c r="F2193" s="1" t="s">
        <v>11069</v>
      </c>
      <c r="G2193" s="1" t="s">
        <v>11070</v>
      </c>
      <c r="H2193" s="1" t="str">
        <f>IFERROR(__xludf.DUMMYFUNCTION("GOOGLETRANSLATE(D2193,""EN"",""JA"")"),"D型肝炎ウイルスRNA")</f>
        <v>D型肝炎ウイルスRNA</v>
      </c>
      <c r="I2193" s="1" t="str">
        <f>IFERROR(__xludf.DUMMYFUNCTION("GOOGLETRANSLATE(E2193,""EN"",""JA"")"),"D型肝炎ウイルスRNA")</f>
        <v>D型肝炎ウイルスRNA</v>
      </c>
      <c r="J2193" s="1" t="str">
        <f>IFERROR(__xludf.DUMMYFUNCTION("GOOGLETRANSLATE(F2193,""EN"",""JA"")"),"生物学的標本中のD型肝炎ウイルスRNAの測定。")</f>
        <v>生物学的標本中のD型肝炎ウイルスRNAの測定。</v>
      </c>
      <c r="K2193" s="1" t="str">
        <f>IFERROR(__xludf.DUMMYFUNCTION("GOOGLETRANSLATE(G2193,""EN"",""JA"")"),"D型肝炎ウイルスRNA測定")</f>
        <v>D型肝炎ウイルスRNA測定</v>
      </c>
    </row>
    <row r="2194" ht="13.5" customHeight="1">
      <c r="A2194" s="1" t="s">
        <v>11</v>
      </c>
      <c r="B2194" s="1" t="s">
        <v>11071</v>
      </c>
      <c r="C2194" s="1" t="s">
        <v>11072</v>
      </c>
      <c r="D2194" s="1" t="s">
        <v>11073</v>
      </c>
      <c r="E2194" s="1" t="s">
        <v>11074</v>
      </c>
      <c r="F2194" s="1" t="s">
        <v>11075</v>
      </c>
      <c r="G2194" s="1" t="s">
        <v>11076</v>
      </c>
      <c r="H2194" s="1" t="str">
        <f>IFERROR(__xludf.DUMMYFUNCTION("GOOGLETRANSLATE(D2194,""EN"",""JA"")"),"ヘモグロビン分布幅")</f>
        <v>ヘモグロビン分布幅</v>
      </c>
      <c r="I2194" s="1" t="str">
        <f>IFERROR(__xludf.DUMMYFUNCTION("GOOGLETRANSLATE(E2194,""EN"",""JA"")"),"ヘモグロビン濃度分布幅; ヘモグロビン分布幅")</f>
        <v>ヘモグロビン濃度分布幅; ヘモグロビン分布幅</v>
      </c>
      <c r="J2194" s="1" t="str">
        <f>IFERROR(__xludf.DUMMYFUNCTION("GOOGLETRANSLATE(F2194,""EN"",""JA"")"),"赤血球内のヘモグロビン濃度の分布の測定。")</f>
        <v>赤血球内のヘモグロビン濃度の分布の測定。</v>
      </c>
      <c r="K2194" s="1" t="str">
        <f>IFERROR(__xludf.DUMMYFUNCTION("GOOGLETRANSLATE(G2194,""EN"",""JA"")"),"ヘモグロビン分布幅測定")</f>
        <v>ヘモグロビン分布幅測定</v>
      </c>
    </row>
    <row r="2195" ht="13.5" customHeight="1">
      <c r="A2195" s="1" t="s">
        <v>11</v>
      </c>
      <c r="B2195" s="1" t="s">
        <v>11077</v>
      </c>
      <c r="C2195" s="1" t="s">
        <v>11078</v>
      </c>
      <c r="D2195" s="1" t="s">
        <v>11079</v>
      </c>
      <c r="E2195" s="1" t="s">
        <v>11080</v>
      </c>
      <c r="F2195" s="1" t="s">
        <v>11081</v>
      </c>
      <c r="G2195" s="1" t="s">
        <v>11082</v>
      </c>
      <c r="H2195" s="1" t="str">
        <f>IFERROR(__xludf.DUMMYFUNCTION("GOOGLETRANSLATE(D2195,""EN"",""JA"")"),"網状ヘモグロビン分布幅")</f>
        <v>網状ヘモグロビン分布幅</v>
      </c>
      <c r="I2195" s="1" t="str">
        <f>IFERROR(__xludf.DUMMYFUNCTION("GOOGLETRANSLATE(E2195,""EN"",""JA"")"),"網状赤血球ヘモグロビン分布幅; 網状赤血球ヘモグロビン濃度分布幅")</f>
        <v>網状赤血球ヘモグロビン分布幅; 網状赤血球ヘモグロビン濃度分布幅</v>
      </c>
      <c r="J2195" s="1" t="str">
        <f>IFERROR(__xludf.DUMMYFUNCTION("GOOGLETRANSLATE(F2195,""EN"",""JA"")"),"網状赤血球内のヘモグロビン濃度の分布の測定。")</f>
        <v>網状赤血球内のヘモグロビン濃度の分布の測定。</v>
      </c>
      <c r="K2195" s="1" t="str">
        <f>IFERROR(__xludf.DUMMYFUNCTION("GOOGLETRANSLATE(G2195,""EN"",""JA"")"),"網状赤血球ヘモグロビン分布幅")</f>
        <v>網状赤血球ヘモグロビン分布幅</v>
      </c>
    </row>
    <row r="2196" ht="13.5" customHeight="1">
      <c r="A2196" s="1" t="s">
        <v>11</v>
      </c>
      <c r="B2196" s="1" t="s">
        <v>11083</v>
      </c>
      <c r="C2196" s="1" t="s">
        <v>11084</v>
      </c>
      <c r="D2196" s="1" t="s">
        <v>11085</v>
      </c>
      <c r="E2196" s="1" t="s">
        <v>11085</v>
      </c>
      <c r="F2196" s="1" t="s">
        <v>11086</v>
      </c>
      <c r="G2196" s="1" t="s">
        <v>11087</v>
      </c>
      <c r="H2196" s="1" t="str">
        <f>IFERROR(__xludf.DUMMYFUNCTION("GOOGLETRANSLATE(D2196,""EN"",""JA"")"),"ヒト精巣上体タンパク質4")</f>
        <v>ヒト精巣上体タンパク質4</v>
      </c>
      <c r="I2196" s="1" t="str">
        <f>IFERROR(__xludf.DUMMYFUNCTION("GOOGLETRANSLATE(E2196,""EN"",""JA"")"),"ヒト精巣上体タンパク質4")</f>
        <v>ヒト精巣上体タンパク質4</v>
      </c>
      <c r="J2196" s="1" t="str">
        <f>IFERROR(__xludf.DUMMYFUNCTION("GOOGLETRANSLATE(F2196,""EN"",""JA"")"),"生物標本中のヒト精巣上体タンパク質 4 の測定。")</f>
        <v>生物標本中のヒト精巣上体タンパク質 4 の測定。</v>
      </c>
      <c r="K2196" s="1" t="str">
        <f>IFERROR(__xludf.DUMMYFUNCTION("GOOGLETRANSLATE(G2196,""EN"",""JA"")"),"ヒト精巣上体タンパク質4の測定")</f>
        <v>ヒト精巣上体タンパク質4の測定</v>
      </c>
    </row>
    <row r="2197" ht="13.5" customHeight="1">
      <c r="A2197" s="1" t="s">
        <v>67</v>
      </c>
      <c r="B2197" s="1" t="s">
        <v>11088</v>
      </c>
      <c r="C2197" s="1" t="s">
        <v>11089</v>
      </c>
      <c r="D2197" s="1" t="s">
        <v>11090</v>
      </c>
      <c r="E2197" s="1" t="s">
        <v>11090</v>
      </c>
      <c r="F2197" s="1" t="s">
        <v>11091</v>
      </c>
      <c r="G2197" s="1" t="s">
        <v>11092</v>
      </c>
      <c r="H2197" s="1" t="str">
        <f>IFERROR(__xludf.DUMMYFUNCTION("GOOGLETRANSLATE(D2197,""EN"",""JA"")"),"E型肝炎ウイルス抗原")</f>
        <v>E型肝炎ウイルス抗原</v>
      </c>
      <c r="I2197" s="1" t="str">
        <f>IFERROR(__xludf.DUMMYFUNCTION("GOOGLETRANSLATE(E2197,""EN"",""JA"")"),"E型肝炎ウイルス抗原")</f>
        <v>E型肝炎ウイルス抗原</v>
      </c>
      <c r="J2197" s="1" t="str">
        <f>IFERROR(__xludf.DUMMYFUNCTION("GOOGLETRANSLATE(F2197,""EN"",""JA"")"),"生物学的標本中のE型肝炎ウイルス抗原の測定。")</f>
        <v>生物学的標本中のE型肝炎ウイルス抗原の測定。</v>
      </c>
      <c r="K2197" s="1" t="str">
        <f>IFERROR(__xludf.DUMMYFUNCTION("GOOGLETRANSLATE(G2197,""EN"",""JA"")"),"E型肝炎ウイルス抗原測定")</f>
        <v>E型肝炎ウイルス抗原測定</v>
      </c>
    </row>
    <row r="2198" ht="13.5" customHeight="1">
      <c r="A2198" s="1" t="s">
        <v>129</v>
      </c>
      <c r="B2198" s="1" t="s">
        <v>11093</v>
      </c>
      <c r="C2198" s="1" t="s">
        <v>11094</v>
      </c>
      <c r="D2198" s="1" t="s">
        <v>11095</v>
      </c>
      <c r="E2198" s="1" t="s">
        <v>11095</v>
      </c>
      <c r="F2198" s="1" t="s">
        <v>11096</v>
      </c>
      <c r="G2198" s="1" t="s">
        <v>11095</v>
      </c>
      <c r="H2198" s="1" t="str">
        <f>IFERROR(__xludf.DUMMYFUNCTION("GOOGLETRANSLATE(D2198,""EN"",""JA"")"),"身長")</f>
        <v>身長</v>
      </c>
      <c r="I2198" s="1" t="str">
        <f>IFERROR(__xludf.DUMMYFUNCTION("GOOGLETRANSLATE(E2198,""EN"",""JA"")"),"身長")</f>
        <v>身長</v>
      </c>
      <c r="J2198" s="1" t="str">
        <f>IFERROR(__xludf.DUMMYFUNCTION("GOOGLETRANSLATE(F2198,""EN"",""JA"")"),"物体の底面から上面までの垂直方向の測定値または距離。延長部分の垂直方向の寸法。(NCI)")</f>
        <v>物体の底面から上面までの垂直方向の測定値または距離。延長部分の垂直方向の寸法。(NCI)</v>
      </c>
      <c r="K2198" s="1" t="str">
        <f>IFERROR(__xludf.DUMMYFUNCTION("GOOGLETRANSLATE(G2198,""EN"",""JA"")"),"身長")</f>
        <v>身長</v>
      </c>
    </row>
    <row r="2199" ht="13.5" customHeight="1">
      <c r="A2199" s="1" t="s">
        <v>11</v>
      </c>
      <c r="B2199" s="1" t="s">
        <v>11097</v>
      </c>
      <c r="C2199" s="1" t="s">
        <v>11098</v>
      </c>
      <c r="D2199" s="1" t="s">
        <v>11099</v>
      </c>
      <c r="E2199" s="1" t="s">
        <v>11100</v>
      </c>
      <c r="F2199" s="1" t="s">
        <v>11101</v>
      </c>
      <c r="G2199" s="1" t="s">
        <v>11102</v>
      </c>
      <c r="H2199" s="1" t="str">
        <f>IFERROR(__xludf.DUMMYFUNCTION("GOOGLETRANSLATE(D2199,""EN"",""JA"")"),"ハインツ・ボディーズ")</f>
        <v>ハインツ・ボディーズ</v>
      </c>
      <c r="I2199" s="1" t="str">
        <f>IFERROR(__xludf.DUMMYFUNCTION("GOOGLETRANSLATE(E2199,""EN"",""JA"")"),"ハインツボディ;ハインツ・エーリッヒ体")</f>
        <v>ハインツボディ;ハインツ・エーリッヒ体</v>
      </c>
      <c r="J2199" s="1" t="str">
        <f>IFERROR(__xludf.DUMMYFUNCTION("GOOGLETRANSLATE(F2199,""EN"",""JA"")"),"生物標本中のハインツ小体（赤血球の体内にある小さな丸い封入体）の測定。")</f>
        <v>生物標本中のハインツ小体（赤血球の体内にある小さな丸い封入体）の測定。</v>
      </c>
      <c r="K2199" s="1" t="str">
        <f>IFERROR(__xludf.DUMMYFUNCTION("GOOGLETRANSLATE(G2199,""EN"",""JA"")"),"ハインツ・エーリッヒ身体測定")</f>
        <v>ハインツ・エーリッヒ身体測定</v>
      </c>
    </row>
    <row r="2200" ht="13.5" customHeight="1">
      <c r="A2200" s="1" t="s">
        <v>11</v>
      </c>
      <c r="B2200" s="1" t="s">
        <v>11103</v>
      </c>
      <c r="C2200" s="1" t="s">
        <v>11104</v>
      </c>
      <c r="D2200" s="1" t="s">
        <v>11105</v>
      </c>
      <c r="E2200" s="1" t="s">
        <v>11105</v>
      </c>
      <c r="F2200" s="1" t="s">
        <v>11106</v>
      </c>
      <c r="G2200" s="1" t="s">
        <v>11107</v>
      </c>
      <c r="H2200" s="1" t="str">
        <f>IFERROR(__xludf.DUMMYFUNCTION("GOOGLETRANSLATE(D2200,""EN"",""JA"")"),"ハインツ小体/赤血球")</f>
        <v>ハインツ小体/赤血球</v>
      </c>
      <c r="I2200" s="1" t="str">
        <f>IFERROR(__xludf.DUMMYFUNCTION("GOOGLETRANSLATE(E2200,""EN"",""JA"")"),"ハインツ小体/赤血球")</f>
        <v>ハインツ小体/赤血球</v>
      </c>
      <c r="J2200" s="1" t="str">
        <f>IFERROR(__xludf.DUMMYFUNCTION("GOOGLETRANSLATE(F2200,""EN"",""JA"")"),"生物標本中の赤血球総数に対するハインツ小体を含む赤血球数の相対的な測定値（比率またはパーセンテージ）。")</f>
        <v>生物標本中の赤血球総数に対するハインツ小体を含む赤血球数の相対的な測定値（比率またはパーセンテージ）。</v>
      </c>
      <c r="K2200" s="1" t="str">
        <f>IFERROR(__xludf.DUMMYFUNCTION("GOOGLETRANSLATE(G2200,""EN"",""JA"")"),"ハインツ小体と赤血球の比率の測定")</f>
        <v>ハインツ小体と赤血球の比率の測定</v>
      </c>
    </row>
    <row r="2201" ht="13.5" customHeight="1">
      <c r="A2201" s="1" t="s">
        <v>11</v>
      </c>
      <c r="B2201" s="1" t="s">
        <v>11108</v>
      </c>
      <c r="C2201" s="1" t="s">
        <v>11109</v>
      </c>
      <c r="D2201" s="1" t="s">
        <v>11110</v>
      </c>
      <c r="E2201" s="1" t="s">
        <v>11110</v>
      </c>
      <c r="F2201" s="1" t="s">
        <v>11111</v>
      </c>
      <c r="G2201" s="1" t="s">
        <v>11112</v>
      </c>
      <c r="H2201" s="1" t="str">
        <f>IFERROR(__xludf.DUMMYFUNCTION("GOOGLETRANSLATE(D2201,""EN"",""JA"")"),"ヘルメットセル")</f>
        <v>ヘルメットセル</v>
      </c>
      <c r="I2201" s="1" t="str">
        <f>IFERROR(__xludf.DUMMYFUNCTION("GOOGLETRANSLATE(E2201,""EN"",""JA"")"),"ヘルメットセル")</f>
        <v>ヘルメットセル</v>
      </c>
      <c r="J2201" s="1" t="str">
        <f>IFERROR(__xludf.DUMMYFUNCTION("GOOGLETRANSLATE(F2201,""EN"",""JA"")"),"生物標本内のヘルメット細胞（先細りの角のような形状をした、両端に 2 つの突起がある特殊な角膜実​​質細胞）の測定。")</f>
        <v>生物標本内のヘルメット細胞（先細りの角のような形状をした、両端に 2 つの突起がある特殊な角膜実​​質細胞）の測定。</v>
      </c>
      <c r="K2201" s="1" t="str">
        <f>IFERROR(__xludf.DUMMYFUNCTION("GOOGLETRANSLATE(G2201,""EN"",""JA"")"),"ヘルメットセルカウント")</f>
        <v>ヘルメットセルカウント</v>
      </c>
    </row>
    <row r="2202" ht="13.5" customHeight="1">
      <c r="A2202" s="1" t="s">
        <v>11</v>
      </c>
      <c r="B2202" s="1" t="s">
        <v>11113</v>
      </c>
      <c r="C2202" s="1" t="s">
        <v>11114</v>
      </c>
      <c r="D2202" s="1" t="s">
        <v>11115</v>
      </c>
      <c r="E2202" s="1" t="s">
        <v>11116</v>
      </c>
      <c r="F2202" s="1" t="s">
        <v>11117</v>
      </c>
      <c r="G2202" s="1" t="s">
        <v>11118</v>
      </c>
      <c r="H2202" s="1" t="str">
        <f>IFERROR(__xludf.DUMMYFUNCTION("GOOGLETRANSLATE(D2202,""EN"",""JA"")"),"ヘリカーゼMOV-10タンパク質")</f>
        <v>ヘリカーゼMOV-10タンパク質</v>
      </c>
      <c r="I2202" s="1" t="str">
        <f>IFERROR(__xludf.DUMMYFUNCTION("GOOGLETRANSLATE(E2202,""EN"",""JA"")"),"ヘリカーゼMOV-10タンパク質; モロニー白血病ウイルス10タンパク質")</f>
        <v>ヘリカーゼMOV-10タンパク質; モロニー白血病ウイルス10タンパク質</v>
      </c>
      <c r="J2202" s="1" t="str">
        <f>IFERROR(__xludf.DUMMYFUNCTION("GOOGLETRANSLATE(F2202,""EN"",""JA"")"),"生物標本中のヘリカーゼ MOV-10 タンパク質の測定。")</f>
        <v>生物標本中のヘリカーゼ MOV-10 タンパク質の測定。</v>
      </c>
      <c r="K2202" s="1" t="str">
        <f>IFERROR(__xludf.DUMMYFUNCTION("GOOGLETRANSLATE(G2202,""EN"",""JA"")"),"ヘリカーゼMOV-10タンパク質測定")</f>
        <v>ヘリカーゼMOV-10タンパク質測定</v>
      </c>
    </row>
    <row r="2203" ht="13.5" customHeight="1">
      <c r="A2203" s="1" t="s">
        <v>1342</v>
      </c>
      <c r="B2203" s="1" t="s">
        <v>11119</v>
      </c>
      <c r="C2203" s="1" t="s">
        <v>11120</v>
      </c>
      <c r="D2203" s="1" t="s">
        <v>11121</v>
      </c>
      <c r="E2203" s="1" t="s">
        <v>11121</v>
      </c>
      <c r="F2203" s="1" t="s">
        <v>11122</v>
      </c>
      <c r="G2203" s="1" t="s">
        <v>11121</v>
      </c>
      <c r="H2203" s="1" t="str">
        <f>IFERROR(__xludf.DUMMYFUNCTION("GOOGLETRANSLATE(D2203,""EN"",""JA"")"),"血液学的改善")</f>
        <v>血液学的改善</v>
      </c>
      <c r="I2203" s="1" t="str">
        <f>IFERROR(__xludf.DUMMYFUNCTION("GOOGLETRANSLATE(E2203,""EN"",""JA"")"),"血液学的改善")</f>
        <v>血液学的改善</v>
      </c>
      <c r="J2203" s="1" t="str">
        <f>IFERROR(__xludf.DUMMYFUNCTION("GOOGLETRANSLATE(F2203,""EN"",""JA"")"),"治療に対する反応として特定の血球数の改善を評価します。")</f>
        <v>治療に対する反応として特定の血球数の改善を評価します。</v>
      </c>
      <c r="K2203" s="1" t="str">
        <f>IFERROR(__xludf.DUMMYFUNCTION("GOOGLETRANSLATE(G2203,""EN"",""JA"")"),"血液学的改善")</f>
        <v>血液学的改善</v>
      </c>
    </row>
    <row r="2204" ht="13.5" customHeight="1">
      <c r="A2204" s="1" t="s">
        <v>3094</v>
      </c>
      <c r="B2204" s="1" t="s">
        <v>11123</v>
      </c>
      <c r="C2204" s="1" t="s">
        <v>11124</v>
      </c>
      <c r="D2204" s="1" t="s">
        <v>11125</v>
      </c>
      <c r="E2204" s="1" t="s">
        <v>11125</v>
      </c>
      <c r="F2204" s="1" t="s">
        <v>11126</v>
      </c>
      <c r="G2204" s="1" t="s">
        <v>11125</v>
      </c>
      <c r="H2204" s="1" t="str">
        <f>IFERROR(__xludf.DUMMYFUNCTION("GOOGLETRANSLATE(D2204,""EN"",""JA"")"),"血腫指標")</f>
        <v>血腫指標</v>
      </c>
      <c r="I2204" s="1" t="str">
        <f>IFERROR(__xludf.DUMMYFUNCTION("GOOGLETRANSLATE(E2204,""EN"",""JA"")"),"血腫指標")</f>
        <v>血腫指標</v>
      </c>
      <c r="J2204" s="1" t="str">
        <f>IFERROR(__xludf.DUMMYFUNCTION("GOOGLETRANSLATE(F2204,""EN"",""JA"")"),"血腫が発生しているかどうかを示します。")</f>
        <v>血腫が発生しているかどうかを示します。</v>
      </c>
      <c r="K2204" s="1" t="str">
        <f>IFERROR(__xludf.DUMMYFUNCTION("GOOGLETRANSLATE(G2204,""EN"",""JA"")"),"血腫指標")</f>
        <v>血腫指標</v>
      </c>
    </row>
    <row r="2205" ht="13.5" customHeight="1">
      <c r="A2205" s="1" t="s">
        <v>1342</v>
      </c>
      <c r="B2205" s="1" t="s">
        <v>11127</v>
      </c>
      <c r="C2205" s="1" t="s">
        <v>11128</v>
      </c>
      <c r="D2205" s="1" t="s">
        <v>11129</v>
      </c>
      <c r="E2205" s="1" t="s">
        <v>11129</v>
      </c>
      <c r="F2205" s="1" t="s">
        <v>11130</v>
      </c>
      <c r="G2205" s="1" t="s">
        <v>11129</v>
      </c>
      <c r="H2205" s="1" t="str">
        <f>IFERROR(__xludf.DUMMYFUNCTION("GOOGLETRANSLATE(D2205,""EN"",""JA"")"),"血液学的反応")</f>
        <v>血液学的反応</v>
      </c>
      <c r="I2205" s="1" t="str">
        <f>IFERROR(__xludf.DUMMYFUNCTION("GOOGLETRANSLATE(E2205,""EN"",""JA"")"),"血液学的反応")</f>
        <v>血液学的反応</v>
      </c>
      <c r="J2205" s="1" t="str">
        <f>IFERROR(__xludf.DUMMYFUNCTION("GOOGLETRANSLATE(F2205,""EN"",""JA"")"),"治療に対する疾患の血液学的反応の評価。")</f>
        <v>治療に対する疾患の血液学的反応の評価。</v>
      </c>
      <c r="K2205" s="1" t="str">
        <f>IFERROR(__xludf.DUMMYFUNCTION("GOOGLETRANSLATE(G2205,""EN"",""JA"")"),"血液学的反応")</f>
        <v>血液学的反応</v>
      </c>
    </row>
    <row r="2206" ht="13.5" customHeight="1">
      <c r="A2206" s="1" t="s">
        <v>11</v>
      </c>
      <c r="B2206" s="1" t="s">
        <v>11131</v>
      </c>
      <c r="C2206" s="1" t="s">
        <v>11132</v>
      </c>
      <c r="D2206" s="1" t="s">
        <v>11133</v>
      </c>
      <c r="E2206" s="1" t="s">
        <v>11134</v>
      </c>
      <c r="F2206" s="1" t="s">
        <v>11135</v>
      </c>
      <c r="G2206" s="1" t="s">
        <v>11133</v>
      </c>
      <c r="H2206" s="1" t="str">
        <f>IFERROR(__xludf.DUMMYFUNCTION("GOOGLETRANSLATE(D2206,""EN"",""JA"")"),"溶血指数")</f>
        <v>溶血指数</v>
      </c>
      <c r="I2206" s="1" t="str">
        <f>IFERROR(__xludf.DUMMYFUNCTION("GOOGLETRANSLATE(E2206,""EN"",""JA"")"),"溶血; 溶血指数")</f>
        <v>溶血; 溶血指数</v>
      </c>
      <c r="J2206" s="1" t="str">
        <f>IFERROR(__xludf.DUMMYFUNCTION("GOOGLETRANSLATE(F2206,""EN"",""JA"")"),"生物標本中の赤血球の破壊の測定。")</f>
        <v>生物標本中の赤血球の破壊の測定。</v>
      </c>
      <c r="K2206" s="1" t="str">
        <f>IFERROR(__xludf.DUMMYFUNCTION("GOOGLETRANSLATE(G2206,""EN"",""JA"")"),"溶血指数")</f>
        <v>溶血指数</v>
      </c>
    </row>
    <row r="2207" ht="13.5" customHeight="1">
      <c r="A2207" s="1" t="s">
        <v>67</v>
      </c>
      <c r="B2207" s="1" t="s">
        <v>11136</v>
      </c>
      <c r="C2207" s="1" t="s">
        <v>11137</v>
      </c>
      <c r="D2207" s="1" t="s">
        <v>11138</v>
      </c>
      <c r="E2207" s="1" t="s">
        <v>11138</v>
      </c>
      <c r="F2207" s="1" t="s">
        <v>11139</v>
      </c>
      <c r="G2207" s="1" t="s">
        <v>11140</v>
      </c>
      <c r="H2207" s="1" t="str">
        <f>IFERROR(__xludf.DUMMYFUNCTION("GOOGLETRANSLATE(D2207,""EN"",""JA"")"),"ヘモゾイン")</f>
        <v>ヘモゾイン</v>
      </c>
      <c r="I2207" s="1" t="str">
        <f>IFERROR(__xludf.DUMMYFUNCTION("GOOGLETRANSLATE(E2207,""EN"",""JA"")"),"ヘモゾイン")</f>
        <v>ヘモゾイン</v>
      </c>
      <c r="J2207" s="1" t="str">
        <f>IFERROR(__xludf.DUMMYFUNCTION("GOOGLETRANSLATE(F2207,""EN"",""JA"")"),"生物標本中のヘモゾインの測定。ヘモゾインは、ヘモグロビンと鉄含有色素の分解産物であり、吸血寄生虫の細胞質顆粒として蓄積します。")</f>
        <v>生物標本中のヘモゾインの測定。ヘモゾインは、ヘモグロビンと鉄含有色素の分解産物であり、吸血寄生虫の細胞質顆粒として蓄積します。</v>
      </c>
      <c r="K2207" s="1" t="str">
        <f>IFERROR(__xludf.DUMMYFUNCTION("GOOGLETRANSLATE(G2207,""EN"",""JA"")"),"ヘモゾイン測定")</f>
        <v>ヘモゾイン測定</v>
      </c>
    </row>
    <row r="2208" ht="13.5" customHeight="1">
      <c r="A2208" s="1" t="s">
        <v>11</v>
      </c>
      <c r="B2208" s="1" t="s">
        <v>11141</v>
      </c>
      <c r="C2208" s="1" t="s">
        <v>11142</v>
      </c>
      <c r="D2208" s="1" t="s">
        <v>11143</v>
      </c>
      <c r="E2208" s="1" t="s">
        <v>11143</v>
      </c>
      <c r="F2208" s="1" t="s">
        <v>11144</v>
      </c>
      <c r="G2208" s="1" t="s">
        <v>11145</v>
      </c>
      <c r="H2208" s="1" t="str">
        <f>IFERROR(__xludf.DUMMYFUNCTION("GOOGLETRANSLATE(D2208,""EN"",""JA"")"),"ヘパリン")</f>
        <v>ヘパリン</v>
      </c>
      <c r="I2208" s="1" t="str">
        <f>IFERROR(__xludf.DUMMYFUNCTION("GOOGLETRANSLATE(E2208,""EN"",""JA"")"),"ヘパリン")</f>
        <v>ヘパリン</v>
      </c>
      <c r="J2208" s="1" t="str">
        <f>IFERROR(__xludf.DUMMYFUNCTION("GOOGLETRANSLATE(F2208,""EN"",""JA"")"),"生物標本中のヘパリンの測定。")</f>
        <v>生物標本中のヘパリンの測定。</v>
      </c>
      <c r="K2208" s="1" t="str">
        <f>IFERROR(__xludf.DUMMYFUNCTION("GOOGLETRANSLATE(G2208,""EN"",""JA"")"),"ヘパリン測定")</f>
        <v>ヘパリン測定</v>
      </c>
    </row>
    <row r="2209" ht="13.5" customHeight="1">
      <c r="A2209" s="1" t="s">
        <v>134</v>
      </c>
      <c r="B2209" s="1" t="s">
        <v>11146</v>
      </c>
      <c r="C2209" s="1" t="s">
        <v>11147</v>
      </c>
      <c r="D2209" s="1" t="s">
        <v>11148</v>
      </c>
      <c r="E2209" s="1" t="s">
        <v>11149</v>
      </c>
      <c r="F2209" s="1" t="s">
        <v>11150</v>
      </c>
      <c r="G2209" s="1" t="s">
        <v>11151</v>
      </c>
      <c r="H2209" s="1" t="str">
        <f>IFERROR(__xludf.DUMMYFUNCTION("GOOGLETRANSLATE(D2209,""EN"",""JA"")"),"肝細胞バルーン")</f>
        <v>肝細胞バルーン</v>
      </c>
      <c r="I2209" s="1" t="str">
        <f>IFERROR(__xludf.DUMMYFUNCTION("GOOGLETRANSLATE(E2209,""EN"",""JA"")"),"バルーン変性；肝細胞バルーン化")</f>
        <v>バルーン変性；肝細胞バルーン化</v>
      </c>
      <c r="J2209" s="1" t="str">
        <f>IFERROR(__xludf.DUMMYFUNCTION("GOOGLETRANSLATE(F2209,""EN"",""JA"")"),"生物標本における肝細胞バルーン化の評価。")</f>
        <v>生物標本における肝細胞バルーン化の評価。</v>
      </c>
      <c r="K2209" s="1" t="str">
        <f>IFERROR(__xludf.DUMMYFUNCTION("GOOGLETRANSLATE(G2209,""EN"",""JA"")"),"肝細胞バルーン評価")</f>
        <v>肝細胞バルーン評価</v>
      </c>
    </row>
    <row r="2210" ht="13.5" customHeight="1">
      <c r="A2210" s="1" t="s">
        <v>11</v>
      </c>
      <c r="B2210" s="1" t="s">
        <v>11152</v>
      </c>
      <c r="C2210" s="1" t="s">
        <v>11153</v>
      </c>
      <c r="D2210" s="1" t="s">
        <v>11154</v>
      </c>
      <c r="E2210" s="1" t="s">
        <v>11155</v>
      </c>
      <c r="F2210" s="1" t="s">
        <v>11156</v>
      </c>
      <c r="G2210" s="1" t="s">
        <v>11157</v>
      </c>
      <c r="H2210" s="1" t="str">
        <f>IFERROR(__xludf.DUMMYFUNCTION("GOOGLETRANSLATE(D2210,""EN"",""JA"")"),"ヘパリン結合タンパク質")</f>
        <v>ヘパリン結合タンパク質</v>
      </c>
      <c r="I2210" s="1" t="str">
        <f>IFERROR(__xludf.DUMMYFUNCTION("GOOGLETRANSLATE(E2210,""EN"",""JA"")"),"アズロシジン; CAP37; 陽イオン抗菌タンパク質 CAP37; HBP; ヘパリン結合タンパク質")</f>
        <v>アズロシジン; CAP37; 陽イオン抗菌タンパク質 CAP37; HBP; ヘパリン結合タンパク質</v>
      </c>
      <c r="J2210" s="1" t="str">
        <f>IFERROR(__xludf.DUMMYFUNCTION("GOOGLETRANSLATE(F2210,""EN"",""JA"")"),"生物標本中のヘパリン結合タンパク質の測定。")</f>
        <v>生物標本中のヘパリン結合タンパク質の測定。</v>
      </c>
      <c r="K2210" s="1" t="str">
        <f>IFERROR(__xludf.DUMMYFUNCTION("GOOGLETRANSLATE(G2210,""EN"",""JA"")"),"ヘパリン結合タンパク質測定")</f>
        <v>ヘパリン結合タンパク質測定</v>
      </c>
    </row>
    <row r="2211" ht="13.5" customHeight="1">
      <c r="A2211" s="1" t="s">
        <v>11</v>
      </c>
      <c r="B2211" s="1" t="s">
        <v>11158</v>
      </c>
      <c r="C2211" s="1" t="s">
        <v>11159</v>
      </c>
      <c r="D2211" s="1" t="s">
        <v>11160</v>
      </c>
      <c r="E2211" s="1" t="s">
        <v>11160</v>
      </c>
      <c r="F2211" s="1" t="s">
        <v>11161</v>
      </c>
      <c r="G2211" s="1" t="s">
        <v>11162</v>
      </c>
      <c r="H2211" s="1" t="str">
        <f>IFERROR(__xludf.DUMMYFUNCTION("GOOGLETRANSLATE(D2211,""EN"",""JA"")"),"ヘプシジン")</f>
        <v>ヘプシジン</v>
      </c>
      <c r="I2211" s="1" t="str">
        <f>IFERROR(__xludf.DUMMYFUNCTION("GOOGLETRANSLATE(E2211,""EN"",""JA"")"),"ヘプシジン")</f>
        <v>ヘプシジン</v>
      </c>
      <c r="J2211" s="1" t="str">
        <f>IFERROR(__xludf.DUMMYFUNCTION("GOOGLETRANSLATE(F2211,""EN"",""JA"")"),"生物標本中の総ヘプシジンの測定。")</f>
        <v>生物標本中の総ヘプシジンの測定。</v>
      </c>
      <c r="K2211" s="1" t="str">
        <f>IFERROR(__xludf.DUMMYFUNCTION("GOOGLETRANSLATE(G2211,""EN"",""JA"")"),"ヘプシジン測定")</f>
        <v>ヘプシジン測定</v>
      </c>
    </row>
    <row r="2212" ht="13.5" customHeight="1">
      <c r="A2212" s="1" t="s">
        <v>11</v>
      </c>
      <c r="B2212" s="1" t="s">
        <v>11163</v>
      </c>
      <c r="C2212" s="1" t="s">
        <v>11164</v>
      </c>
      <c r="D2212" s="1" t="s">
        <v>11165</v>
      </c>
      <c r="E2212" s="1" t="s">
        <v>11166</v>
      </c>
      <c r="F2212" s="1" t="s">
        <v>11167</v>
      </c>
      <c r="G2212" s="1" t="s">
        <v>11168</v>
      </c>
      <c r="H2212" s="1" t="str">
        <f>IFERROR(__xludf.DUMMYFUNCTION("GOOGLETRANSLATE(D2212,""EN"",""JA"")"),"ヘプシン")</f>
        <v>ヘプシン</v>
      </c>
      <c r="I2212" s="1" t="str">
        <f>IFERROR(__xludf.DUMMYFUNCTION("GOOGLETRANSLATE(E2212,""EN"",""JA"")"),"HEPS;ヘプシン;セリンプロテアーゼ ヘプシン; TMPRSS1;膜貫通プロテアーゼ セリン 1")</f>
        <v>HEPS;ヘプシン;セリンプロテアーゼ ヘプシン; TMPRSS1;膜貫通プロテアーゼ セリン 1</v>
      </c>
      <c r="J2212" s="1" t="str">
        <f>IFERROR(__xludf.DUMMYFUNCTION("GOOGLETRANSLATE(F2212,""EN"",""JA"")"),"生物標本中のヘプシンの測定。")</f>
        <v>生物標本中のヘプシンの測定。</v>
      </c>
      <c r="K2212" s="1" t="str">
        <f>IFERROR(__xludf.DUMMYFUNCTION("GOOGLETRANSLATE(G2212,""EN"",""JA"")"),"ヘプシン測定")</f>
        <v>ヘプシン測定</v>
      </c>
    </row>
    <row r="2213" ht="13.5" customHeight="1">
      <c r="A2213" s="1" t="s">
        <v>134</v>
      </c>
      <c r="B2213" s="1" t="s">
        <v>11169</v>
      </c>
      <c r="C2213" s="1" t="s">
        <v>11170</v>
      </c>
      <c r="D2213" s="1" t="s">
        <v>11171</v>
      </c>
      <c r="E2213" s="1" t="s">
        <v>11172</v>
      </c>
      <c r="F2213" s="1" t="s">
        <v>11173</v>
      </c>
      <c r="G2213" s="1" t="s">
        <v>11174</v>
      </c>
      <c r="H2213" s="1" t="str">
        <f>IFERROR(__xludf.DUMMYFUNCTION("GOOGLETRANSLATE(D2213,""EN"",""JA"")"),"ヒト上皮成長因子受容体2")</f>
        <v>ヒト上皮成長因子受容体2</v>
      </c>
      <c r="I2213" s="1" t="str">
        <f>IFERROR(__xludf.DUMMYFUNCTION("GOOGLETRANSLATE(E2213,""EN"",""JA"")"),"ERBB2; HER2/NEU; ヒト上皮成長因子受容体2")</f>
        <v>ERBB2; HER2/NEU; ヒト上皮成長因子受容体2</v>
      </c>
      <c r="J2213" s="1" t="str">
        <f>IFERROR(__xludf.DUMMYFUNCTION("GOOGLETRANSLATE(F2213,""EN"",""JA"")"),"生物標本中の HER2 タンパク質の測定。")</f>
        <v>生物標本中の HER2 タンパク質の測定。</v>
      </c>
      <c r="K2213" s="1" t="str">
        <f>IFERROR(__xludf.DUMMYFUNCTION("GOOGLETRANSLATE(G2213,""EN"",""JA"")"),"ヒト上皮成長因子受容体2の測定")</f>
        <v>ヒト上皮成長因子受容体2の測定</v>
      </c>
    </row>
    <row r="2214" ht="13.5" customHeight="1">
      <c r="A2214" s="1" t="s">
        <v>11</v>
      </c>
      <c r="B2214" s="1" t="s">
        <v>11169</v>
      </c>
      <c r="C2214" s="1" t="s">
        <v>11170</v>
      </c>
      <c r="D2214" s="1" t="s">
        <v>11171</v>
      </c>
      <c r="E2214" s="1" t="s">
        <v>11172</v>
      </c>
      <c r="F2214" s="1" t="s">
        <v>11173</v>
      </c>
      <c r="G2214" s="1" t="s">
        <v>11174</v>
      </c>
      <c r="H2214" s="1" t="str">
        <f>IFERROR(__xludf.DUMMYFUNCTION("GOOGLETRANSLATE(D2214,""EN"",""JA"")"),"ヒト上皮成長因子受容体2")</f>
        <v>ヒト上皮成長因子受容体2</v>
      </c>
      <c r="I2214" s="1" t="str">
        <f>IFERROR(__xludf.DUMMYFUNCTION("GOOGLETRANSLATE(E2214,""EN"",""JA"")"),"ERBB2; HER2/NEU; ヒト上皮成長因子受容体2")</f>
        <v>ERBB2; HER2/NEU; ヒト上皮成長因子受容体2</v>
      </c>
      <c r="J2214" s="1" t="str">
        <f>IFERROR(__xludf.DUMMYFUNCTION("GOOGLETRANSLATE(F2214,""EN"",""JA"")"),"生物標本中の HER2 タンパク質の測定。")</f>
        <v>生物標本中の HER2 タンパク質の測定。</v>
      </c>
      <c r="K2214" s="1" t="str">
        <f>IFERROR(__xludf.DUMMYFUNCTION("GOOGLETRANSLATE(G2214,""EN"",""JA"")"),"ヒト上皮成長因子受容体2の測定")</f>
        <v>ヒト上皮成長因子受容体2の測定</v>
      </c>
    </row>
    <row r="2215" ht="13.5" customHeight="1">
      <c r="A2215" s="1" t="s">
        <v>11</v>
      </c>
      <c r="B2215" s="1" t="s">
        <v>11175</v>
      </c>
      <c r="C2215" s="1" t="s">
        <v>11176</v>
      </c>
      <c r="D2215" s="1" t="s">
        <v>11177</v>
      </c>
      <c r="E2215" s="1" t="s">
        <v>11178</v>
      </c>
      <c r="F2215" s="1" t="s">
        <v>11179</v>
      </c>
      <c r="G2215" s="1" t="s">
        <v>11180</v>
      </c>
      <c r="H2215" s="1" t="str">
        <f>IFERROR(__xludf.DUMMYFUNCTION("GOOGLETRANSLATE(D2215,""EN"",""JA"")"),"可溶性HER2")</f>
        <v>可溶性HER2</v>
      </c>
      <c r="I2215" s="1" t="str">
        <f>IFERROR(__xludf.DUMMYFUNCTION("GOOGLETRANSLATE(E2215,""EN"",""JA"")"),"HER2抗原; HER2/NEU抗原; HER2/NEU放出抗原; 可溶性HER2; 可溶性HER2/NEU")</f>
        <v>HER2抗原; HER2/NEU抗原; HER2/NEU放出抗原; 可溶性HER2; 可溶性HER2/NEU</v>
      </c>
      <c r="J2215" s="1" t="str">
        <f>IFERROR(__xludf.DUMMYFUNCTION("GOOGLETRANSLATE(F2215,""EN"",""JA"")"),"生物標本中の可溶性 HER2 タンパク質の測定。")</f>
        <v>生物標本中の可溶性 HER2 タンパク質の測定。</v>
      </c>
      <c r="K2215" s="1" t="str">
        <f>IFERROR(__xludf.DUMMYFUNCTION("GOOGLETRANSLATE(G2215,""EN"",""JA"")"),"可溶性HER2抗原測定")</f>
        <v>可溶性HER2抗原測定</v>
      </c>
    </row>
    <row r="2216" ht="13.5" customHeight="1">
      <c r="A2216" s="1" t="s">
        <v>11</v>
      </c>
      <c r="B2216" s="1" t="s">
        <v>11181</v>
      </c>
      <c r="C2216" s="1" t="s">
        <v>11182</v>
      </c>
      <c r="D2216" s="1" t="s">
        <v>11183</v>
      </c>
      <c r="E2216" s="1" t="s">
        <v>11184</v>
      </c>
      <c r="F2216" s="1" t="s">
        <v>11185</v>
      </c>
      <c r="G2216" s="1" t="s">
        <v>11186</v>
      </c>
      <c r="H2216" s="1" t="str">
        <f>IFERROR(__xludf.DUMMYFUNCTION("GOOGLETRANSLATE(D2216,""EN"",""JA"")"),"ヘクトドメインとRLD 5")</f>
        <v>ヘクトドメインとRLD 5</v>
      </c>
      <c r="I2216" s="1" t="str">
        <f>IFERROR(__xludf.DUMMYFUNCTION("GOOGLETRANSLATE(E2216,""EN"",""JA"")"),"E3 ISG15 - タンパク質リガーゼ HERC5; HECT および RLD ドメインを含む E3 ユビキチンタンパク質リガーゼ 5; Hect ドメインおよび RLD 5")</f>
        <v>E3 ISG15 - タンパク質リガーゼ HERC5; HECT および RLD ドメインを含む E3 ユビキチンタンパク質リガーゼ 5; Hect ドメインおよび RLD 5</v>
      </c>
      <c r="J2216" s="1" t="str">
        <f>IFERROR(__xludf.DUMMYFUNCTION("GOOGLETRANSLATE(F2216,""EN"",""JA"")"),"生物標本における hect ドメインと RLD 5 の測定。")</f>
        <v>生物標本における hect ドメインと RLD 5 の測定。</v>
      </c>
      <c r="K2216" s="1" t="str">
        <f>IFERROR(__xludf.DUMMYFUNCTION("GOOGLETRANSLATE(G2216,""EN"",""JA"")"),"HectドメインとRLD 5測定")</f>
        <v>HectドメインとRLD 5測定</v>
      </c>
    </row>
    <row r="2217" ht="13.5" customHeight="1">
      <c r="A2217" s="1" t="s">
        <v>67</v>
      </c>
      <c r="B2217" s="1" t="s">
        <v>11187</v>
      </c>
      <c r="C2217" s="1" t="s">
        <v>11188</v>
      </c>
      <c r="D2217" s="1" t="s">
        <v>11189</v>
      </c>
      <c r="E2217" s="1" t="s">
        <v>11189</v>
      </c>
      <c r="F2217" s="1" t="s">
        <v>11190</v>
      </c>
      <c r="G2217" s="1" t="s">
        <v>11191</v>
      </c>
      <c r="H2217" s="1" t="str">
        <f>IFERROR(__xludf.DUMMYFUNCTION("GOOGLETRANSLATE(D2217,""EN"",""JA"")"),"E型肝炎ウイルスRNA")</f>
        <v>E型肝炎ウイルスRNA</v>
      </c>
      <c r="I2217" s="1" t="str">
        <f>IFERROR(__xludf.DUMMYFUNCTION("GOOGLETRANSLATE(E2217,""EN"",""JA"")"),"E型肝炎ウイルスRNA")</f>
        <v>E型肝炎ウイルスRNA</v>
      </c>
      <c r="J2217" s="1" t="str">
        <f>IFERROR(__xludf.DUMMYFUNCTION("GOOGLETRANSLATE(F2217,""EN"",""JA"")"),"生物学的標本中の E 型肝炎ウイルス RNA の測定。")</f>
        <v>生物学的標本中の E 型肝炎ウイルス RNA の測定。</v>
      </c>
      <c r="K2217" s="1" t="str">
        <f>IFERROR(__xludf.DUMMYFUNCTION("GOOGLETRANSLATE(G2217,""EN"",""JA"")"),"E型肝炎ウイルスRNA測定")</f>
        <v>E型肝炎ウイルスRNA測定</v>
      </c>
    </row>
    <row r="2218" ht="13.5" customHeight="1">
      <c r="A2218" s="1" t="s">
        <v>11</v>
      </c>
      <c r="B2218" s="1" t="s">
        <v>11192</v>
      </c>
      <c r="C2218" s="1" t="s">
        <v>11193</v>
      </c>
      <c r="D2218" s="1" t="s">
        <v>11194</v>
      </c>
      <c r="E2218" s="1" t="s">
        <v>11194</v>
      </c>
      <c r="F2218" s="1" t="s">
        <v>11195</v>
      </c>
      <c r="G2218" s="1" t="s">
        <v>11196</v>
      </c>
      <c r="H2218" s="1" t="str">
        <f>IFERROR(__xludf.DUMMYFUNCTION("GOOGLETRANSLATE(D2218,""EN"",""JA"")"),"異好菌")</f>
        <v>異好菌</v>
      </c>
      <c r="I2218" s="1" t="str">
        <f>IFERROR(__xludf.DUMMYFUNCTION("GOOGLETRANSLATE(E2218,""EN"",""JA"")"),"異好菌")</f>
        <v>異好菌</v>
      </c>
      <c r="J2218" s="1" t="str">
        <f>IFERROR(__xludf.DUMMYFUNCTION("GOOGLETRANSLATE(F2218,""EN"",""JA"")"),"鳥類の生物学的標本における異好球（顆粒状白血球）の測定。")</f>
        <v>鳥類の生物学的標本における異好球（顆粒状白血球）の測定。</v>
      </c>
      <c r="K2218" s="1" t="str">
        <f>IFERROR(__xludf.DUMMYFUNCTION("GOOGLETRANSLATE(G2218,""EN"",""JA"")"),"異好性測定")</f>
        <v>異好性測定</v>
      </c>
    </row>
    <row r="2219" ht="13.5" customHeight="1">
      <c r="A2219" s="1" t="s">
        <v>11</v>
      </c>
      <c r="B2219" s="1" t="s">
        <v>11197</v>
      </c>
      <c r="C2219" s="1" t="s">
        <v>11198</v>
      </c>
      <c r="D2219" s="1" t="s">
        <v>11199</v>
      </c>
      <c r="E2219" s="1" t="s">
        <v>11199</v>
      </c>
      <c r="F2219" s="1" t="s">
        <v>11200</v>
      </c>
      <c r="G2219" s="1" t="s">
        <v>11201</v>
      </c>
      <c r="H2219" s="1" t="str">
        <f>IFERROR(__xludf.DUMMYFUNCTION("GOOGLETRANSLATE(D2219,""EN"",""JA"")"),"異好球/白血球")</f>
        <v>異好球/白血球</v>
      </c>
      <c r="I2219" s="1" t="str">
        <f>IFERROR(__xludf.DUMMYFUNCTION("GOOGLETRANSLATE(E2219,""EN"",""JA"")"),"異好球/白血球")</f>
        <v>異好球/白血球</v>
      </c>
      <c r="J2219" s="1" t="str">
        <f>IFERROR(__xludf.DUMMYFUNCTION("GOOGLETRANSLATE(F2219,""EN"",""JA"")"),"鳥類の生物学的標本における白血球に対する異好球の相対的な測定値（比率またはパーセンテージ）。")</f>
        <v>鳥類の生物学的標本における白血球に対する異好球の相対的な測定値（比率またはパーセンテージ）。</v>
      </c>
      <c r="K2219" s="1" t="str">
        <f>IFERROR(__xludf.DUMMYFUNCTION("GOOGLETRANSLATE(G2219,""EN"",""JA"")"),"異好球と白血球の比率測定")</f>
        <v>異好球と白血球の比率測定</v>
      </c>
    </row>
    <row r="2220" ht="13.5" customHeight="1">
      <c r="A2220" s="1" t="s">
        <v>11</v>
      </c>
      <c r="B2220" s="1" t="s">
        <v>11202</v>
      </c>
      <c r="C2220" s="1" t="s">
        <v>11203</v>
      </c>
      <c r="D2220" s="1" t="s">
        <v>11204</v>
      </c>
      <c r="E2220" s="1" t="s">
        <v>11205</v>
      </c>
      <c r="F2220" s="1" t="s">
        <v>11206</v>
      </c>
      <c r="G2220" s="1" t="s">
        <v>11207</v>
      </c>
      <c r="H2220" s="1" t="str">
        <f>IFERROR(__xludf.DUMMYFUNCTION("GOOGLETRANSLATE(D2220,""EN"",""JA"")"),"ヘキソサミニダーゼA")</f>
        <v>ヘキソサミニダーゼA</v>
      </c>
      <c r="I2220" s="1" t="str">
        <f>IFERROR(__xludf.DUMMYFUNCTION("GOOGLETRANSLATE(E2220,""EN"",""JA"")"),"ベータ-ヘキソサミニダーゼサブユニットアルファ; ベータ-N-アセチルヘキソサミニダーゼサブユニットアルファ; ヘキソサミニダーゼA; ヘキソサミニダーゼサブユニットA; ヘキソサミニダーゼサブユニットアルファ; N-アセチル-ベータ-グルコサミニダーゼサブユニットアルファ")</f>
        <v>ベータ-ヘキソサミニダーゼサブユニットアルファ; ベータ-N-アセチルヘキソサミニダーゼサブユニットアルファ; ヘキソサミニダーゼA; ヘキソサミニダーゼサブユニットA; ヘキソサミニダーゼサブユニットアルファ; N-アセチル-ベータ-グルコサミニダーゼサブユニットアルファ</v>
      </c>
      <c r="J2220" s="1" t="str">
        <f>IFERROR(__xludf.DUMMYFUNCTION("GOOGLETRANSLATE(F2220,""EN"",""JA"")"),"生物標本中のヘキソサミニダーゼ A の測定。")</f>
        <v>生物標本中のヘキソサミニダーゼ A の測定。</v>
      </c>
      <c r="K2220" s="1" t="str">
        <f>IFERROR(__xludf.DUMMYFUNCTION("GOOGLETRANSLATE(G2220,""EN"",""JA"")"),"ヘキソサミニダーゼA測定")</f>
        <v>ヘキソサミニダーゼA測定</v>
      </c>
    </row>
    <row r="2221" ht="13.5" customHeight="1">
      <c r="A2221" s="1" t="s">
        <v>11</v>
      </c>
      <c r="B2221" s="1" t="s">
        <v>11208</v>
      </c>
      <c r="C2221" s="1" t="s">
        <v>11209</v>
      </c>
      <c r="D2221" s="1" t="s">
        <v>11210</v>
      </c>
      <c r="E2221" s="1" t="s">
        <v>11210</v>
      </c>
      <c r="F2221" s="1" t="s">
        <v>11211</v>
      </c>
      <c r="G2221" s="1" t="s">
        <v>11212</v>
      </c>
      <c r="H2221" s="1" t="str">
        <f>IFERROR(__xludf.DUMMYFUNCTION("GOOGLETRANSLATE(D2221,""EN"",""JA"")"),"ヘキソキナーゼ")</f>
        <v>ヘキソキナーゼ</v>
      </c>
      <c r="I2221" s="1" t="str">
        <f>IFERROR(__xludf.DUMMYFUNCTION("GOOGLETRANSLATE(E2221,""EN"",""JA"")"),"ヘキソキナーゼ")</f>
        <v>ヘキソキナーゼ</v>
      </c>
      <c r="J2221" s="1" t="str">
        <f>IFERROR(__xludf.DUMMYFUNCTION("GOOGLETRANSLATE(F2221,""EN"",""JA"")"),"生物標本中のヘキソキナーゼの測定。")</f>
        <v>生物標本中のヘキソキナーゼの測定。</v>
      </c>
      <c r="K2221" s="1" t="str">
        <f>IFERROR(__xludf.DUMMYFUNCTION("GOOGLETRANSLATE(G2221,""EN"",""JA"")"),"ヘキソキナーゼ測定")</f>
        <v>ヘキソキナーゼ測定</v>
      </c>
    </row>
    <row r="2222" ht="13.5" customHeight="1">
      <c r="A2222" s="1" t="s">
        <v>11</v>
      </c>
      <c r="B2222" s="1" t="s">
        <v>11213</v>
      </c>
      <c r="C2222" s="1" t="s">
        <v>11214</v>
      </c>
      <c r="D2222" s="1" t="s">
        <v>11215</v>
      </c>
      <c r="E2222" s="1" t="s">
        <v>11216</v>
      </c>
      <c r="F2222" s="1" t="s">
        <v>11217</v>
      </c>
      <c r="G2222" s="1" t="s">
        <v>11218</v>
      </c>
      <c r="H2222" s="1" t="str">
        <f>IFERROR(__xludf.DUMMYFUNCTION("GOOGLETRANSLATE(D2222,""EN"",""JA"")"),"ヘモグロビン")</f>
        <v>ヘモグロビン</v>
      </c>
      <c r="I2222" s="1" t="str">
        <f>IFERROR(__xludf.DUMMYFUNCTION("GOOGLETRANSLATE(E2222,""EN"",""JA"")"),"ヘモグロビン; ヘモグロビンモノマー")</f>
        <v>ヘモグロビン; ヘモグロビンモノマー</v>
      </c>
      <c r="J2222" s="1" t="str">
        <f>IFERROR(__xludf.DUMMYFUNCTION("GOOGLETRANSLATE(F2222,""EN"",""JA"")"),"生物学的標本中の赤血球関連ヘモグロビンの総量の測定。")</f>
        <v>生物学的標本中の赤血球関連ヘモグロビンの総量の測定。</v>
      </c>
      <c r="K2222" s="1" t="str">
        <f>IFERROR(__xludf.DUMMYFUNCTION("GOOGLETRANSLATE(G2222,""EN"",""JA"")"),"ヘモグロビン測定")</f>
        <v>ヘモグロビン測定</v>
      </c>
    </row>
    <row r="2223" ht="13.5" customHeight="1">
      <c r="A2223" s="1" t="s">
        <v>11</v>
      </c>
      <c r="B2223" s="1" t="s">
        <v>11219</v>
      </c>
      <c r="C2223" s="1" t="s">
        <v>11220</v>
      </c>
      <c r="D2223" s="1" t="s">
        <v>11221</v>
      </c>
      <c r="E2223" s="1" t="s">
        <v>11221</v>
      </c>
      <c r="F2223" s="1" t="s">
        <v>11222</v>
      </c>
      <c r="G2223" s="1" t="s">
        <v>11223</v>
      </c>
      <c r="H2223" s="1" t="str">
        <f>IFERROR(__xludf.DUMMYFUNCTION("GOOGLETRANSLATE(D2223,""EN"",""JA"")"),"ヘモグロビンA")</f>
        <v>ヘモグロビンA</v>
      </c>
      <c r="I2223" s="1" t="str">
        <f>IFERROR(__xludf.DUMMYFUNCTION("GOOGLETRANSLATE(E2223,""EN"",""JA"")"),"ヘモグロビンA")</f>
        <v>ヘモグロビンA</v>
      </c>
      <c r="J2223" s="1" t="str">
        <f>IFERROR(__xludf.DUMMYFUNCTION("GOOGLETRANSLATE(F2223,""EN"",""JA"")"),"生物標本中のヘモグロビン A の測定。")</f>
        <v>生物標本中のヘモグロビン A の測定。</v>
      </c>
      <c r="K2223" s="1" t="str">
        <f>IFERROR(__xludf.DUMMYFUNCTION("GOOGLETRANSLATE(G2223,""EN"",""JA"")"),"ヘモグロビンA測定")</f>
        <v>ヘモグロビンA測定</v>
      </c>
    </row>
    <row r="2224" ht="13.5" customHeight="1">
      <c r="A2224" s="1" t="s">
        <v>11</v>
      </c>
      <c r="B2224" s="1" t="s">
        <v>11224</v>
      </c>
      <c r="C2224" s="1" t="s">
        <v>11225</v>
      </c>
      <c r="D2224" s="1" t="s">
        <v>11226</v>
      </c>
      <c r="E2224" s="1" t="s">
        <v>11226</v>
      </c>
      <c r="F2224" s="1" t="s">
        <v>11227</v>
      </c>
      <c r="G2224" s="1" t="s">
        <v>11228</v>
      </c>
      <c r="H2224" s="1" t="str">
        <f>IFERROR(__xludf.DUMMYFUNCTION("GOOGLETRANSLATE(D2224,""EN"",""JA"")"),"ヘモグロビンA1/総ヘモグロビン")</f>
        <v>ヘモグロビンA1/総ヘモグロビン</v>
      </c>
      <c r="I2224" s="1" t="str">
        <f>IFERROR(__xludf.DUMMYFUNCTION("GOOGLETRANSLATE(E2224,""EN"",""JA"")"),"ヘモグロビンA1/総ヘモグロビン")</f>
        <v>ヘモグロビンA1/総ヘモグロビン</v>
      </c>
      <c r="J2224" s="1" t="str">
        <f>IFERROR(__xludf.DUMMYFUNCTION("GOOGLETRANSLATE(F2224,""EN"",""JA"")"),"生物標本中のヘモグロビン A1 と総ヘモグロビンの相対的な測定値 (比率またはパーセンテージ)。")</f>
        <v>生物標本中のヘモグロビン A1 と総ヘモグロビンの相対的な測定値 (比率またはパーセンテージ)。</v>
      </c>
      <c r="K2224" s="1" t="str">
        <f>IFERROR(__xludf.DUMMYFUNCTION("GOOGLETRANSLATE(G2224,""EN"",""JA"")"),"ヘモグロビンA1と総ヘモグロビンの比の測定")</f>
        <v>ヘモグロビンA1と総ヘモグロビンの比の測定</v>
      </c>
    </row>
    <row r="2225" ht="13.5" customHeight="1">
      <c r="A2225" s="1" t="s">
        <v>11</v>
      </c>
      <c r="B2225" s="1" t="s">
        <v>11229</v>
      </c>
      <c r="C2225" s="1" t="s">
        <v>11230</v>
      </c>
      <c r="D2225" s="1" t="s">
        <v>11231</v>
      </c>
      <c r="E2225" s="1" t="s">
        <v>11231</v>
      </c>
      <c r="F2225" s="1" t="s">
        <v>11232</v>
      </c>
      <c r="G2225" s="1" t="s">
        <v>11233</v>
      </c>
      <c r="H2225" s="1" t="str">
        <f>IFERROR(__xludf.DUMMYFUNCTION("GOOGLETRANSLATE(D2225,""EN"",""JA"")"),"ヘモグロビンA2")</f>
        <v>ヘモグロビンA2</v>
      </c>
      <c r="I2225" s="1" t="str">
        <f>IFERROR(__xludf.DUMMYFUNCTION("GOOGLETRANSLATE(E2225,""EN"",""JA"")"),"ヘモグロビンA2")</f>
        <v>ヘモグロビンA2</v>
      </c>
      <c r="J2225" s="1" t="str">
        <f>IFERROR(__xludf.DUMMYFUNCTION("GOOGLETRANSLATE(F2225,""EN"",""JA"")"),"生物標本中のヘモグロビン A2 の測定。")</f>
        <v>生物標本中のヘモグロビン A2 の測定。</v>
      </c>
      <c r="K2225" s="1" t="str">
        <f>IFERROR(__xludf.DUMMYFUNCTION("GOOGLETRANSLATE(G2225,""EN"",""JA"")"),"ヘモグロビンA2測定")</f>
        <v>ヘモグロビンA2測定</v>
      </c>
    </row>
    <row r="2226" ht="13.5" customHeight="1">
      <c r="A2226" s="1" t="s">
        <v>11</v>
      </c>
      <c r="B2226" s="1" t="s">
        <v>11234</v>
      </c>
      <c r="C2226" s="1" t="s">
        <v>11235</v>
      </c>
      <c r="D2226" s="1" t="s">
        <v>11236</v>
      </c>
      <c r="E2226" s="1" t="s">
        <v>11236</v>
      </c>
      <c r="F2226" s="1" t="s">
        <v>11237</v>
      </c>
      <c r="G2226" s="1" t="s">
        <v>11238</v>
      </c>
      <c r="H2226" s="1" t="str">
        <f>IFERROR(__xludf.DUMMYFUNCTION("GOOGLETRANSLATE(D2226,""EN"",""JA"")"),"ヘモグロビンA2/総ヘモグロビン")</f>
        <v>ヘモグロビンA2/総ヘモグロビン</v>
      </c>
      <c r="I2226" s="1" t="str">
        <f>IFERROR(__xludf.DUMMYFUNCTION("GOOGLETRANSLATE(E2226,""EN"",""JA"")"),"ヘモグロビンA2/総ヘモグロビン")</f>
        <v>ヘモグロビンA2/総ヘモグロビン</v>
      </c>
      <c r="J2226" s="1" t="str">
        <f>IFERROR(__xludf.DUMMYFUNCTION("GOOGLETRANSLATE(F2226,""EN"",""JA"")"),"生物標本中のヘモグロビン A2 と総ヘモグロビンの相対的な測定値 (比率またはパーセンテージ)。")</f>
        <v>生物標本中のヘモグロビン A2 と総ヘモグロビンの相対的な測定値 (比率またはパーセンテージ)。</v>
      </c>
      <c r="K2226" s="1" t="str">
        <f>IFERROR(__xludf.DUMMYFUNCTION("GOOGLETRANSLATE(G2226,""EN"",""JA"")"),"ヘモグロビンA2と総ヘモグロビンの比の測定")</f>
        <v>ヘモグロビンA2と総ヘモグロビンの比の測定</v>
      </c>
    </row>
    <row r="2227" ht="13.5" customHeight="1">
      <c r="A2227" s="1" t="s">
        <v>11</v>
      </c>
      <c r="B2227" s="1" t="s">
        <v>11239</v>
      </c>
      <c r="C2227" s="1" t="s">
        <v>11240</v>
      </c>
      <c r="D2227" s="1" t="s">
        <v>11241</v>
      </c>
      <c r="E2227" s="1" t="s">
        <v>11241</v>
      </c>
      <c r="F2227" s="1" t="s">
        <v>11242</v>
      </c>
      <c r="G2227" s="1" t="s">
        <v>11243</v>
      </c>
      <c r="H2227" s="1" t="str">
        <f>IFERROR(__xludf.DUMMYFUNCTION("GOOGLETRANSLATE(D2227,""EN"",""JA"")"),"ヘモグロビンA/総ヘモグロビン")</f>
        <v>ヘモグロビンA/総ヘモグロビン</v>
      </c>
      <c r="I2227" s="1" t="str">
        <f>IFERROR(__xludf.DUMMYFUNCTION("GOOGLETRANSLATE(E2227,""EN"",""JA"")"),"ヘモグロビンA/総ヘモグロビン")</f>
        <v>ヘモグロビンA/総ヘモグロビン</v>
      </c>
      <c r="J2227" s="1" t="str">
        <f>IFERROR(__xludf.DUMMYFUNCTION("GOOGLETRANSLATE(F2227,""EN"",""JA"")"),"生物標本中のヘモグロビン A と総ヘモグロビンの相対的な測定値 (比率またはパーセンテージ)。")</f>
        <v>生物標本中のヘモグロビン A と総ヘモグロビンの相対的な測定値 (比率またはパーセンテージ)。</v>
      </c>
      <c r="K2227" s="1" t="str">
        <f>IFERROR(__xludf.DUMMYFUNCTION("GOOGLETRANSLATE(G2227,""EN"",""JA"")"),"ヘモグロビンAと総ヘモグロビンの比の測定")</f>
        <v>ヘモグロビンAと総ヘモグロビンの比の測定</v>
      </c>
    </row>
    <row r="2228" ht="13.5" customHeight="1">
      <c r="A2228" s="1" t="s">
        <v>11</v>
      </c>
      <c r="B2228" s="1" t="s">
        <v>11244</v>
      </c>
      <c r="C2228" s="1" t="s">
        <v>11245</v>
      </c>
      <c r="D2228" s="1" t="s">
        <v>11246</v>
      </c>
      <c r="E2228" s="1" t="s">
        <v>11246</v>
      </c>
      <c r="F2228" s="1" t="s">
        <v>11247</v>
      </c>
      <c r="G2228" s="1" t="s">
        <v>11248</v>
      </c>
      <c r="H2228" s="1" t="str">
        <f>IFERROR(__xludf.DUMMYFUNCTION("GOOGLETRANSLATE(D2228,""EN"",""JA"")"),"ヘモグロビンB")</f>
        <v>ヘモグロビンB</v>
      </c>
      <c r="I2228" s="1" t="str">
        <f>IFERROR(__xludf.DUMMYFUNCTION("GOOGLETRANSLATE(E2228,""EN"",""JA"")"),"ヘモグロビンB")</f>
        <v>ヘモグロビンB</v>
      </c>
      <c r="J2228" s="1" t="str">
        <f>IFERROR(__xludf.DUMMYFUNCTION("GOOGLETRANSLATE(F2228,""EN"",""JA"")"),"生物標本中のヘモグロビン B の測定。")</f>
        <v>生物標本中のヘモグロビン B の測定。</v>
      </c>
      <c r="K2228" s="1" t="str">
        <f>IFERROR(__xludf.DUMMYFUNCTION("GOOGLETRANSLATE(G2228,""EN"",""JA"")"),"ヘモグロビンB測定")</f>
        <v>ヘモグロビンB測定</v>
      </c>
    </row>
    <row r="2229" ht="13.5" customHeight="1">
      <c r="A2229" s="1" t="s">
        <v>11</v>
      </c>
      <c r="B2229" s="1" t="s">
        <v>11249</v>
      </c>
      <c r="C2229" s="1" t="s">
        <v>11250</v>
      </c>
      <c r="D2229" s="1" t="s">
        <v>11251</v>
      </c>
      <c r="E2229" s="1" t="s">
        <v>11251</v>
      </c>
      <c r="F2229" s="1" t="s">
        <v>11252</v>
      </c>
      <c r="G2229" s="1" t="s">
        <v>11253</v>
      </c>
      <c r="H2229" s="1" t="str">
        <f>IFERROR(__xludf.DUMMYFUNCTION("GOOGLETRANSLATE(D2229,""EN"",""JA"")"),"ヘモグロビンC")</f>
        <v>ヘモグロビンC</v>
      </c>
      <c r="I2229" s="1" t="str">
        <f>IFERROR(__xludf.DUMMYFUNCTION("GOOGLETRANSLATE(E2229,""EN"",""JA"")"),"ヘモグロビンC")</f>
        <v>ヘモグロビンC</v>
      </c>
      <c r="J2229" s="1" t="str">
        <f>IFERROR(__xludf.DUMMYFUNCTION("GOOGLETRANSLATE(F2229,""EN"",""JA"")"),"生物標本中のヘモグロビン C の測定。")</f>
        <v>生物標本中のヘモグロビン C の測定。</v>
      </c>
      <c r="K2229" s="1" t="str">
        <f>IFERROR(__xludf.DUMMYFUNCTION("GOOGLETRANSLATE(G2229,""EN"",""JA"")"),"ヘモグロビンC測定")</f>
        <v>ヘモグロビンC測定</v>
      </c>
    </row>
    <row r="2230" ht="13.5" customHeight="1">
      <c r="A2230" s="1" t="s">
        <v>11</v>
      </c>
      <c r="B2230" s="1" t="s">
        <v>11254</v>
      </c>
      <c r="C2230" s="1" t="s">
        <v>11255</v>
      </c>
      <c r="D2230" s="1" t="s">
        <v>11256</v>
      </c>
      <c r="E2230" s="1" t="s">
        <v>11256</v>
      </c>
      <c r="F2230" s="1" t="s">
        <v>11257</v>
      </c>
      <c r="G2230" s="1" t="s">
        <v>11258</v>
      </c>
      <c r="H2230" s="1" t="str">
        <f>IFERROR(__xludf.DUMMYFUNCTION("GOOGLETRANSLATE(D2230,""EN"",""JA"")"),"ヘモグロビンC/総ヘモグロビン")</f>
        <v>ヘモグロビンC/総ヘモグロビン</v>
      </c>
      <c r="I2230" s="1" t="str">
        <f>IFERROR(__xludf.DUMMYFUNCTION("GOOGLETRANSLATE(E2230,""EN"",""JA"")"),"ヘモグロビンC/総ヘモグロビン")</f>
        <v>ヘモグロビンC/総ヘモグロビン</v>
      </c>
      <c r="J2230" s="1" t="str">
        <f>IFERROR(__xludf.DUMMYFUNCTION("GOOGLETRANSLATE(F2230,""EN"",""JA"")"),"生物標本中のヘモグロビン C と総ヘモグロビンの相対的な測定値 (比率またはパーセンテージ)。")</f>
        <v>生物標本中のヘモグロビン C と総ヘモグロビンの相対的な測定値 (比率またはパーセンテージ)。</v>
      </c>
      <c r="K2230" s="1" t="str">
        <f>IFERROR(__xludf.DUMMYFUNCTION("GOOGLETRANSLATE(G2230,""EN"",""JA"")"),"ヘモグロビンCと総ヘモグロビンの比の測定")</f>
        <v>ヘモグロビンCと総ヘモグロビンの比の測定</v>
      </c>
    </row>
    <row r="2231" ht="13.5" customHeight="1">
      <c r="A2231" s="1" t="s">
        <v>11</v>
      </c>
      <c r="B2231" s="1" t="s">
        <v>11259</v>
      </c>
      <c r="C2231" s="1" t="s">
        <v>11260</v>
      </c>
      <c r="D2231" s="1" t="s">
        <v>11261</v>
      </c>
      <c r="E2231" s="1" t="s">
        <v>11261</v>
      </c>
      <c r="F2231" s="1" t="s">
        <v>11262</v>
      </c>
      <c r="G2231" s="1" t="s">
        <v>11263</v>
      </c>
      <c r="H2231" s="1" t="str">
        <f>IFERROR(__xludf.DUMMYFUNCTION("GOOGLETRANSLATE(D2231,""EN"",""JA"")"),"ヘモグロビン円柱")</f>
        <v>ヘモグロビン円柱</v>
      </c>
      <c r="I2231" s="1" t="str">
        <f>IFERROR(__xludf.DUMMYFUNCTION("GOOGLETRANSLATE(E2231,""EN"",""JA"")"),"ヘモグロビン円柱")</f>
        <v>ヘモグロビン円柱</v>
      </c>
      <c r="J2231" s="1" t="str">
        <f>IFERROR(__xludf.DUMMYFUNCTION("GOOGLETRANSLATE(F2231,""EN"",""JA"")"),"生物標本中に存在するヘモグロビン円柱の測定。")</f>
        <v>生物標本中に存在するヘモグロビン円柱の測定。</v>
      </c>
      <c r="K2231" s="1" t="str">
        <f>IFERROR(__xludf.DUMMYFUNCTION("GOOGLETRANSLATE(G2231,""EN"",""JA"")"),"ヘモグロビンキャスト測定")</f>
        <v>ヘモグロビンキャスト測定</v>
      </c>
    </row>
    <row r="2232" ht="13.5" customHeight="1">
      <c r="A2232" s="1" t="s">
        <v>11</v>
      </c>
      <c r="B2232" s="1" t="s">
        <v>11264</v>
      </c>
      <c r="C2232" s="1" t="s">
        <v>11265</v>
      </c>
      <c r="D2232" s="1" t="s">
        <v>11266</v>
      </c>
      <c r="E2232" s="1" t="s">
        <v>11266</v>
      </c>
      <c r="F2232" s="1" t="s">
        <v>11267</v>
      </c>
      <c r="G2232" s="1" t="s">
        <v>11268</v>
      </c>
      <c r="H2232" s="1" t="str">
        <f>IFERROR(__xludf.DUMMYFUNCTION("GOOGLETRANSLATE(D2232,""EN"",""JA"")"),"ヘモグロビンD/総ヘモグロビン")</f>
        <v>ヘモグロビンD/総ヘモグロビン</v>
      </c>
      <c r="I2232" s="1" t="str">
        <f>IFERROR(__xludf.DUMMYFUNCTION("GOOGLETRANSLATE(E2232,""EN"",""JA"")"),"ヘモグロビンD/総ヘモグロビン")</f>
        <v>ヘモグロビンD/総ヘモグロビン</v>
      </c>
      <c r="J2232" s="1" t="str">
        <f>IFERROR(__xludf.DUMMYFUNCTION("GOOGLETRANSLATE(F2232,""EN"",""JA"")"),"生物標本中のヘモグロビン D と総ヘモグロビンの相対的な測定値 (比率またはパーセンテージ)。")</f>
        <v>生物標本中のヘモグロビン D と総ヘモグロビンの相対的な測定値 (比率またはパーセンテージ)。</v>
      </c>
      <c r="K2232" s="1" t="str">
        <f>IFERROR(__xludf.DUMMYFUNCTION("GOOGLETRANSLATE(G2232,""EN"",""JA"")"),"ヘモグロビンDと総ヘモグロビンの比の測定")</f>
        <v>ヘモグロビンDと総ヘモグロビンの比の測定</v>
      </c>
    </row>
    <row r="2233" ht="13.5" customHeight="1">
      <c r="A2233" s="1" t="s">
        <v>11</v>
      </c>
      <c r="B2233" s="1" t="s">
        <v>11269</v>
      </c>
      <c r="C2233" s="1" t="s">
        <v>11270</v>
      </c>
      <c r="D2233" s="1" t="s">
        <v>11271</v>
      </c>
      <c r="E2233" s="1" t="s">
        <v>11271</v>
      </c>
      <c r="F2233" s="1" t="s">
        <v>11272</v>
      </c>
      <c r="G2233" s="1" t="s">
        <v>11273</v>
      </c>
      <c r="H2233" s="1" t="str">
        <f>IFERROR(__xludf.DUMMYFUNCTION("GOOGLETRANSLATE(D2233,""EN"",""JA"")"),"脱酸素ヘモグロビン")</f>
        <v>脱酸素ヘモグロビン</v>
      </c>
      <c r="I2233" s="1" t="str">
        <f>IFERROR(__xludf.DUMMYFUNCTION("GOOGLETRANSLATE(E2233,""EN"",""JA"")"),"脱酸素ヘモグロビン")</f>
        <v>脱酸素ヘモグロビン</v>
      </c>
      <c r="J2233" s="1" t="str">
        <f>IFERROR(__xludf.DUMMYFUNCTION("GOOGLETRANSLATE(F2233,""EN"",""JA"")"),"生物標本中の脱酸素ヘモグロビン（酸素のないヘモグロビン）の測定。")</f>
        <v>生物標本中の脱酸素ヘモグロビン（酸素のないヘモグロビン）の測定。</v>
      </c>
      <c r="K2233" s="1" t="str">
        <f>IFERROR(__xludf.DUMMYFUNCTION("GOOGLETRANSLATE(G2233,""EN"",""JA"")"),"脱酸素ヘモグロビン測定")</f>
        <v>脱酸素ヘモグロビン測定</v>
      </c>
    </row>
    <row r="2234" ht="13.5" customHeight="1">
      <c r="A2234" s="1" t="s">
        <v>11</v>
      </c>
      <c r="B2234" s="1" t="s">
        <v>11274</v>
      </c>
      <c r="C2234" s="1" t="s">
        <v>11275</v>
      </c>
      <c r="D2234" s="1" t="s">
        <v>11276</v>
      </c>
      <c r="E2234" s="1" t="s">
        <v>11276</v>
      </c>
      <c r="F2234" s="1" t="s">
        <v>11277</v>
      </c>
      <c r="G2234" s="1" t="s">
        <v>11278</v>
      </c>
      <c r="H2234" s="1" t="str">
        <f>IFERROR(__xludf.DUMMYFUNCTION("GOOGLETRANSLATE(D2234,""EN"",""JA"")"),"ヘモグロビンE/総ヘモグロビン")</f>
        <v>ヘモグロビンE/総ヘモグロビン</v>
      </c>
      <c r="I2234" s="1" t="str">
        <f>IFERROR(__xludf.DUMMYFUNCTION("GOOGLETRANSLATE(E2234,""EN"",""JA"")"),"ヘモグロビンE/総ヘモグロビン")</f>
        <v>ヘモグロビンE/総ヘモグロビン</v>
      </c>
      <c r="J2234" s="1" t="str">
        <f>IFERROR(__xludf.DUMMYFUNCTION("GOOGLETRANSLATE(F2234,""EN"",""JA"")"),"生物標本中のヘモグロビン E と総ヘモグロビンの相対的な測定値 (比率またはパーセンテージ)。")</f>
        <v>生物標本中のヘモグロビン E と総ヘモグロビンの相対的な測定値 (比率またはパーセンテージ)。</v>
      </c>
      <c r="K2234" s="1" t="str">
        <f>IFERROR(__xludf.DUMMYFUNCTION("GOOGLETRANSLATE(G2234,""EN"",""JA"")"),"ヘモグロビンEと総ヘモグロビンの比の測定")</f>
        <v>ヘモグロビンEと総ヘモグロビンの比の測定</v>
      </c>
    </row>
    <row r="2235" ht="13.5" customHeight="1">
      <c r="A2235" s="1" t="s">
        <v>11</v>
      </c>
      <c r="B2235" s="1" t="s">
        <v>11279</v>
      </c>
      <c r="C2235" s="1" t="s">
        <v>11280</v>
      </c>
      <c r="D2235" s="1" t="s">
        <v>11281</v>
      </c>
      <c r="E2235" s="1" t="s">
        <v>11282</v>
      </c>
      <c r="F2235" s="1" t="s">
        <v>11283</v>
      </c>
      <c r="G2235" s="1" t="s">
        <v>11284</v>
      </c>
      <c r="H2235" s="1" t="str">
        <f>IFERROR(__xludf.DUMMYFUNCTION("GOOGLETRANSLATE(D2235,""EN"",""JA"")"),"ヘモグロビンF")</f>
        <v>ヘモグロビンF</v>
      </c>
      <c r="I2235" s="1" t="str">
        <f>IFERROR(__xludf.DUMMYFUNCTION("GOOGLETRANSLATE(E2235,""EN"",""JA"")"),"胎児ヘモグロビン; ヘモグロビンF")</f>
        <v>胎児ヘモグロビン; ヘモグロビンF</v>
      </c>
      <c r="J2235" s="1" t="str">
        <f>IFERROR(__xludf.DUMMYFUNCTION("GOOGLETRANSLATE(F2235,""EN"",""JA"")"),"生物標本中のヘモグロビン F の測定。")</f>
        <v>生物標本中のヘモグロビン F の測定。</v>
      </c>
      <c r="K2235" s="1" t="str">
        <f>IFERROR(__xludf.DUMMYFUNCTION("GOOGLETRANSLATE(G2235,""EN"",""JA"")"),"ヘモグロビンF測定")</f>
        <v>ヘモグロビンF測定</v>
      </c>
    </row>
    <row r="2236" ht="13.5" customHeight="1">
      <c r="A2236" s="1" t="s">
        <v>11</v>
      </c>
      <c r="B2236" s="1" t="s">
        <v>11285</v>
      </c>
      <c r="C2236" s="1" t="s">
        <v>11286</v>
      </c>
      <c r="D2236" s="1" t="s">
        <v>11287</v>
      </c>
      <c r="E2236" s="1" t="s">
        <v>11287</v>
      </c>
      <c r="F2236" s="1" t="s">
        <v>11288</v>
      </c>
      <c r="G2236" s="1" t="s">
        <v>11289</v>
      </c>
      <c r="H2236" s="1" t="str">
        <f>IFERROR(__xludf.DUMMYFUNCTION("GOOGLETRANSLATE(D2236,""EN"",""JA"")"),"ヘモグロビンF/総ヘモグロビン")</f>
        <v>ヘモグロビンF/総ヘモグロビン</v>
      </c>
      <c r="I2236" s="1" t="str">
        <f>IFERROR(__xludf.DUMMYFUNCTION("GOOGLETRANSLATE(E2236,""EN"",""JA"")"),"ヘモグロビンF/総ヘモグロビン")</f>
        <v>ヘモグロビンF/総ヘモグロビン</v>
      </c>
      <c r="J2236" s="1" t="str">
        <f>IFERROR(__xludf.DUMMYFUNCTION("GOOGLETRANSLATE(F2236,""EN"",""JA"")"),"生物学的標本中の総ヘモグロビンに対する胎児ヘモグロビン（ヘモグロビン F）の相対的な測定値（比率またはパーセンテージ）。")</f>
        <v>生物学的標本中の総ヘモグロビンに対する胎児ヘモグロビン（ヘモグロビン F）の相対的な測定値（比率またはパーセンテージ）。</v>
      </c>
      <c r="K2236" s="1" t="str">
        <f>IFERROR(__xludf.DUMMYFUNCTION("GOOGLETRANSLATE(G2236,""EN"",""JA"")"),"ヘモグロビンFと総ヘモグロビンの比の測定")</f>
        <v>ヘモグロビンFと総ヘモグロビンの比の測定</v>
      </c>
    </row>
    <row r="2237" ht="13.5" customHeight="1">
      <c r="A2237" s="1" t="s">
        <v>11</v>
      </c>
      <c r="B2237" s="1" t="s">
        <v>11290</v>
      </c>
      <c r="C2237" s="1" t="s">
        <v>11291</v>
      </c>
      <c r="D2237" s="1" t="s">
        <v>11292</v>
      </c>
      <c r="E2237" s="1" t="s">
        <v>11292</v>
      </c>
      <c r="F2237" s="1" t="s">
        <v>11293</v>
      </c>
      <c r="G2237" s="1" t="s">
        <v>11292</v>
      </c>
      <c r="H2237" s="1" t="str">
        <f>IFERROR(__xludf.DUMMYFUNCTION("GOOGLETRANSLATE(D2237,""EN"",""JA"")"),"ヘモグロビン分画パターン")</f>
        <v>ヘモグロビン分画パターン</v>
      </c>
      <c r="I2237" s="1" t="str">
        <f>IFERROR(__xludf.DUMMYFUNCTION("GOOGLETRANSLATE(E2237,""EN"",""JA"")"),"ヘモグロビン分画パターン")</f>
        <v>ヘモグロビン分画パターン</v>
      </c>
      <c r="J2237" s="1" t="str">
        <f>IFERROR(__xludf.DUMMYFUNCTION("GOOGLETRANSLATE(F2237,""EN"",""JA"")"),"生物標本中のヘモグロビン分画パターンの説明。")</f>
        <v>生物標本中のヘモグロビン分画パターンの説明。</v>
      </c>
      <c r="K2237" s="1" t="str">
        <f>IFERROR(__xludf.DUMMYFUNCTION("GOOGLETRANSLATE(G2237,""EN"",""JA"")"),"ヘモグロビン分画パターン")</f>
        <v>ヘモグロビン分画パターン</v>
      </c>
    </row>
    <row r="2238" ht="13.5" customHeight="1">
      <c r="A2238" s="1" t="s">
        <v>11</v>
      </c>
      <c r="B2238" s="1" t="s">
        <v>11294</v>
      </c>
      <c r="C2238" s="1" t="s">
        <v>11295</v>
      </c>
      <c r="D2238" s="1" t="s">
        <v>11296</v>
      </c>
      <c r="E2238" s="1" t="s">
        <v>11296</v>
      </c>
      <c r="F2238" s="1" t="s">
        <v>11297</v>
      </c>
      <c r="G2238" s="1" t="s">
        <v>11298</v>
      </c>
      <c r="H2238" s="1" t="str">
        <f>IFERROR(__xludf.DUMMYFUNCTION("GOOGLETRANSLATE(D2238,""EN"",""JA"")"),"遊離ヘモグロビン")</f>
        <v>遊離ヘモグロビン</v>
      </c>
      <c r="I2238" s="1" t="str">
        <f>IFERROR(__xludf.DUMMYFUNCTION("GOOGLETRANSLATE(E2238,""EN"",""JA"")"),"遊離ヘモグロビン")</f>
        <v>遊離ヘモグロビン</v>
      </c>
      <c r="J2238" s="1" t="str">
        <f>IFERROR(__xludf.DUMMYFUNCTION("GOOGLETRANSLATE(F2238,""EN"",""JA"")"),"生物標本中の赤血球外部のヘモグロビンの測定。")</f>
        <v>生物標本中の赤血球外部のヘモグロビンの測定。</v>
      </c>
      <c r="K2238" s="1" t="str">
        <f>IFERROR(__xludf.DUMMYFUNCTION("GOOGLETRANSLATE(G2238,""EN"",""JA"")"),"遊離ヘモグロビン測定")</f>
        <v>遊離ヘモグロビン測定</v>
      </c>
    </row>
    <row r="2239" ht="13.5" customHeight="1">
      <c r="A2239" s="1" t="s">
        <v>11</v>
      </c>
      <c r="B2239" s="1" t="s">
        <v>11299</v>
      </c>
      <c r="C2239" s="1" t="s">
        <v>11300</v>
      </c>
      <c r="D2239" s="1" t="s">
        <v>11301</v>
      </c>
      <c r="E2239" s="1" t="s">
        <v>11302</v>
      </c>
      <c r="F2239" s="1" t="s">
        <v>11303</v>
      </c>
      <c r="G2239" s="1" t="s">
        <v>11304</v>
      </c>
      <c r="H2239" s="1" t="str">
        <f>IFERROR(__xludf.DUMMYFUNCTION("GOOGLETRANSLATE(D2239,""EN"",""JA"")"),"ヘモグロビンH/総ヘモグロビン")</f>
        <v>ヘモグロビンH/総ヘモグロビン</v>
      </c>
      <c r="I2239" s="1" t="str">
        <f>IFERROR(__xludf.DUMMYFUNCTION("GOOGLETRANSLATE(E2239,""EN"",""JA"")"),"HB H/総ヘモグロビン; ヘモグロビン H/総ヘモグロビン")</f>
        <v>HB H/総ヘモグロビン; ヘモグロビン H/総ヘモグロビン</v>
      </c>
      <c r="J2239" s="1" t="str">
        <f>IFERROR(__xludf.DUMMYFUNCTION("GOOGLETRANSLATE(F2239,""EN"",""JA"")"),"生物標本中のヘモグロビン H と総ヘモグロビンの相対的な測定値 (比率またはパーセンテージ)。")</f>
        <v>生物標本中のヘモグロビン H と総ヘモグロビンの相対的な測定値 (比率またはパーセンテージ)。</v>
      </c>
      <c r="K2239" s="1" t="str">
        <f>IFERROR(__xludf.DUMMYFUNCTION("GOOGLETRANSLATE(G2239,""EN"",""JA"")"),"ヘモグロビンHとヘモグロビンの比測定")</f>
        <v>ヘモグロビンHとヘモグロビンの比測定</v>
      </c>
    </row>
    <row r="2240" ht="13.5" customHeight="1">
      <c r="A2240" s="1" t="s">
        <v>11</v>
      </c>
      <c r="B2240" s="1" t="s">
        <v>11305</v>
      </c>
      <c r="C2240" s="1" t="s">
        <v>11306</v>
      </c>
      <c r="D2240" s="1" t="s">
        <v>11307</v>
      </c>
      <c r="E2240" s="1" t="s">
        <v>11307</v>
      </c>
      <c r="F2240" s="1" t="s">
        <v>11308</v>
      </c>
      <c r="G2240" s="1" t="s">
        <v>11309</v>
      </c>
      <c r="H2240" s="1" t="str">
        <f>IFERROR(__xludf.DUMMYFUNCTION("GOOGLETRANSLATE(D2240,""EN"",""JA"")"),"メトヘモグロビン")</f>
        <v>メトヘモグロビン</v>
      </c>
      <c r="I2240" s="1" t="str">
        <f>IFERROR(__xludf.DUMMYFUNCTION("GOOGLETRANSLATE(E2240,""EN"",""JA"")"),"メトヘモグロビン")</f>
        <v>メトヘモグロビン</v>
      </c>
      <c r="J2240" s="1" t="str">
        <f>IFERROR(__xludf.DUMMYFUNCTION("GOOGLETRANSLATE(F2240,""EN"",""JA"")"),"生物標本中のメトヘモグロビンの測定。")</f>
        <v>生物標本中のメトヘモグロビンの測定。</v>
      </c>
      <c r="K2240" s="1" t="str">
        <f>IFERROR(__xludf.DUMMYFUNCTION("GOOGLETRANSLATE(G2240,""EN"",""JA"")"),"メトヘモグロビン測定")</f>
        <v>メトヘモグロビン測定</v>
      </c>
    </row>
    <row r="2241" ht="13.5" customHeight="1">
      <c r="A2241" s="1" t="s">
        <v>11</v>
      </c>
      <c r="B2241" s="1" t="s">
        <v>11310</v>
      </c>
      <c r="C2241" s="1" t="s">
        <v>11311</v>
      </c>
      <c r="D2241" s="1" t="s">
        <v>11312</v>
      </c>
      <c r="E2241" s="1" t="s">
        <v>11313</v>
      </c>
      <c r="F2241" s="1" t="s">
        <v>11314</v>
      </c>
      <c r="G2241" s="1" t="s">
        <v>11315</v>
      </c>
      <c r="H2241" s="1" t="str">
        <f>IFERROR(__xludf.DUMMYFUNCTION("GOOGLETRANSLATE(D2241,""EN"",""JA"")"),"メトヘモグロビン/総ヘモグロビン")</f>
        <v>メトヘモグロビン/総ヘモグロビン</v>
      </c>
      <c r="I2241" s="1" t="str">
        <f>IFERROR(__xludf.DUMMYFUNCTION("GOOGLETRANSLATE(E2241,""EN"",""JA"")"),"FMET HB; 分画メトヘモグロビン; メトヘモグロビン/総ヘモグロビン")</f>
        <v>FMET HB; 分画メトヘモグロビン; メトヘモグロビン/総ヘモグロビン</v>
      </c>
      <c r="J2241" s="1" t="str">
        <f>IFERROR(__xludf.DUMMYFUNCTION("GOOGLETRANSLATE(F2241,""EN"",""JA"")"),"生物標本中の総ヘモグロビンと比較したメトヘモグロビンの量の相対的な測定値（比率またはパーセンテージ）。")</f>
        <v>生物標本中の総ヘモグロビンと比較したメトヘモグロビンの量の相対的な測定値（比率またはパーセンテージ）。</v>
      </c>
      <c r="K2241" s="1" t="str">
        <f>IFERROR(__xludf.DUMMYFUNCTION("GOOGLETRANSLATE(G2241,""EN"",""JA"")"),"メトヘモグロビンと総ヘモグロビンの比測定")</f>
        <v>メトヘモグロビンと総ヘモグロビンの比測定</v>
      </c>
    </row>
    <row r="2242" ht="13.5" customHeight="1">
      <c r="A2242" s="1" t="s">
        <v>11</v>
      </c>
      <c r="B2242" s="1" t="s">
        <v>11316</v>
      </c>
      <c r="C2242" s="1" t="s">
        <v>11317</v>
      </c>
      <c r="D2242" s="1" t="s">
        <v>11318</v>
      </c>
      <c r="E2242" s="1" t="s">
        <v>11318</v>
      </c>
      <c r="F2242" s="1" t="s">
        <v>11319</v>
      </c>
      <c r="G2242" s="1" t="s">
        <v>11320</v>
      </c>
      <c r="H2242" s="1" t="str">
        <f>IFERROR(__xludf.DUMMYFUNCTION("GOOGLETRANSLATE(D2242,""EN"",""JA"")"),"酸素ヘモグロビン")</f>
        <v>酸素ヘモグロビン</v>
      </c>
      <c r="I2242" s="1" t="str">
        <f>IFERROR(__xludf.DUMMYFUNCTION("GOOGLETRANSLATE(E2242,""EN"",""JA"")"),"酸素ヘモグロビン")</f>
        <v>酸素ヘモグロビン</v>
      </c>
      <c r="J2242" s="1" t="str">
        <f>IFERROR(__xludf.DUMMYFUNCTION("GOOGLETRANSLATE(F2242,""EN"",""JA"")"),"生物標本中の酸素結合ヘモグロビン（オキシヘモグロビン）の測定。")</f>
        <v>生物標本中の酸素結合ヘモグロビン（オキシヘモグロビン）の測定。</v>
      </c>
      <c r="K2242" s="1" t="str">
        <f>IFERROR(__xludf.DUMMYFUNCTION("GOOGLETRANSLATE(G2242,""EN"",""JA"")"),"酸素ヘモグロビン測定")</f>
        <v>酸素ヘモグロビン測定</v>
      </c>
    </row>
    <row r="2243" ht="13.5" customHeight="1">
      <c r="A2243" s="1" t="s">
        <v>1342</v>
      </c>
      <c r="B2243" s="1" t="s">
        <v>11321</v>
      </c>
      <c r="C2243" s="1" t="s">
        <v>11322</v>
      </c>
      <c r="D2243" s="1" t="s">
        <v>11323</v>
      </c>
      <c r="E2243" s="1" t="s">
        <v>11323</v>
      </c>
      <c r="F2243" s="1" t="s">
        <v>11324</v>
      </c>
      <c r="G2243" s="1" t="s">
        <v>11323</v>
      </c>
      <c r="H2243" s="1" t="str">
        <f>IFERROR(__xludf.DUMMYFUNCTION("GOOGLETRANSLATE(D2243,""EN"",""JA"")"),"ヘモグロビン反応")</f>
        <v>ヘモグロビン反応</v>
      </c>
      <c r="I2243" s="1" t="str">
        <f>IFERROR(__xludf.DUMMYFUNCTION("GOOGLETRANSLATE(E2243,""EN"",""JA"")"),"ヘモグロビン反応")</f>
        <v>ヘモグロビン反応</v>
      </c>
      <c r="J2243" s="1" t="str">
        <f>IFERROR(__xludf.DUMMYFUNCTION("GOOGLETRANSLATE(F2243,""EN"",""JA"")"),"ヘモグロビン測定に基づいた治療に対する疾患反応の評価。")</f>
        <v>ヘモグロビン測定に基づいた治療に対する疾患反応の評価。</v>
      </c>
      <c r="K2243" s="1" t="str">
        <f>IFERROR(__xludf.DUMMYFUNCTION("GOOGLETRANSLATE(G2243,""EN"",""JA"")"),"ヘモグロビン反応")</f>
        <v>ヘモグロビン反応</v>
      </c>
    </row>
    <row r="2244" ht="13.5" customHeight="1">
      <c r="A2244" s="1" t="s">
        <v>11</v>
      </c>
      <c r="B2244" s="1" t="s">
        <v>11325</v>
      </c>
      <c r="C2244" s="1" t="s">
        <v>11326</v>
      </c>
      <c r="D2244" s="1" t="s">
        <v>11327</v>
      </c>
      <c r="E2244" s="1" t="s">
        <v>11328</v>
      </c>
      <c r="F2244" s="1" t="s">
        <v>11329</v>
      </c>
      <c r="G2244" s="1" t="s">
        <v>11330</v>
      </c>
      <c r="H2244" s="1" t="str">
        <f>IFERROR(__xludf.DUMMYFUNCTION("GOOGLETRANSLATE(D2244,""EN"",""JA"")"),"ヘモグロビンS")</f>
        <v>ヘモグロビンS</v>
      </c>
      <c r="I2244" s="1" t="str">
        <f>IFERROR(__xludf.DUMMYFUNCTION("GOOGLETRANSLATE(E2244,""EN"",""JA"")"),"ヘモグロビンS; 鎌状ヘモグロビン")</f>
        <v>ヘモグロビンS; 鎌状ヘモグロビン</v>
      </c>
      <c r="J2244" s="1" t="str">
        <f>IFERROR(__xludf.DUMMYFUNCTION("GOOGLETRANSLATE(F2244,""EN"",""JA"")"),"生物標本中のヘモグロビン S の測定。")</f>
        <v>生物標本中のヘモグロビン S の測定。</v>
      </c>
      <c r="K2244" s="1" t="str">
        <f>IFERROR(__xludf.DUMMYFUNCTION("GOOGLETRANSLATE(G2244,""EN"",""JA"")"),"ヘモグロビンS測定")</f>
        <v>ヘモグロビンS測定</v>
      </c>
    </row>
    <row r="2245" ht="13.5" customHeight="1">
      <c r="A2245" s="1" t="s">
        <v>11</v>
      </c>
      <c r="B2245" s="1" t="s">
        <v>11331</v>
      </c>
      <c r="C2245" s="1" t="s">
        <v>11332</v>
      </c>
      <c r="D2245" s="1" t="s">
        <v>11333</v>
      </c>
      <c r="E2245" s="1" t="s">
        <v>11333</v>
      </c>
      <c r="F2245" s="1" t="s">
        <v>11334</v>
      </c>
      <c r="G2245" s="1" t="s">
        <v>11335</v>
      </c>
      <c r="H2245" s="1" t="str">
        <f>IFERROR(__xludf.DUMMYFUNCTION("GOOGLETRANSLATE(D2245,""EN"",""JA"")"),"ヘモグロビンS/総ヘモグロビン")</f>
        <v>ヘモグロビンS/総ヘモグロビン</v>
      </c>
      <c r="I2245" s="1" t="str">
        <f>IFERROR(__xludf.DUMMYFUNCTION("GOOGLETRANSLATE(E2245,""EN"",""JA"")"),"ヘモグロビンS/総ヘモグロビン")</f>
        <v>ヘモグロビンS/総ヘモグロビン</v>
      </c>
      <c r="J2245" s="1" t="str">
        <f>IFERROR(__xludf.DUMMYFUNCTION("GOOGLETRANSLATE(F2245,""EN"",""JA"")"),"生物標本中のヘモグロビン S と総ヘモグロビンの相対的な測定値 (比率またはパーセンテージ)。")</f>
        <v>生物標本中のヘモグロビン S と総ヘモグロビンの相対的な測定値 (比率またはパーセンテージ)。</v>
      </c>
      <c r="K2245" s="1" t="str">
        <f>IFERROR(__xludf.DUMMYFUNCTION("GOOGLETRANSLATE(G2245,""EN"",""JA"")"),"ヘモグロビンSと総ヘモグロビンの比測定")</f>
        <v>ヘモグロビンSと総ヘモグロビンの比測定</v>
      </c>
    </row>
    <row r="2246" ht="13.5" customHeight="1">
      <c r="A2246" s="1" t="s">
        <v>11</v>
      </c>
      <c r="B2246" s="1" t="s">
        <v>11336</v>
      </c>
      <c r="C2246" s="1" t="s">
        <v>11337</v>
      </c>
      <c r="D2246" s="1" t="s">
        <v>11338</v>
      </c>
      <c r="E2246" s="1" t="s">
        <v>11338</v>
      </c>
      <c r="F2246" s="1" t="s">
        <v>11339</v>
      </c>
      <c r="G2246" s="1" t="s">
        <v>11340</v>
      </c>
      <c r="H2246" s="1" t="str">
        <f>IFERROR(__xludf.DUMMYFUNCTION("GOOGLETRANSLATE(D2246,""EN"",""JA"")"),"ヘモグロビンテトラマー")</f>
        <v>ヘモグロビンテトラマー</v>
      </c>
      <c r="I2246" s="1" t="str">
        <f>IFERROR(__xludf.DUMMYFUNCTION("GOOGLETRANSLATE(E2246,""EN"",""JA"")"),"ヘモグロビンテトラマー")</f>
        <v>ヘモグロビンテトラマー</v>
      </c>
      <c r="J2246" s="1" t="str">
        <f>IFERROR(__xludf.DUMMYFUNCTION("GOOGLETRANSLATE(F2246,""EN"",""JA"")"),"生物標本中のヘモグロビンテトラマーの測定。")</f>
        <v>生物標本中のヘモグロビンテトラマーの測定。</v>
      </c>
      <c r="K2246" s="1" t="str">
        <f>IFERROR(__xludf.DUMMYFUNCTION("GOOGLETRANSLATE(G2246,""EN"",""JA"")"),"ヘモグロビンテトラマー測定")</f>
        <v>ヘモグロビンテトラマー測定</v>
      </c>
    </row>
    <row r="2247" ht="13.5" customHeight="1">
      <c r="A2247" s="1" t="s">
        <v>11</v>
      </c>
      <c r="B2247" s="1" t="s">
        <v>11341</v>
      </c>
      <c r="C2247" s="1" t="s">
        <v>11342</v>
      </c>
      <c r="D2247" s="1" t="s">
        <v>11343</v>
      </c>
      <c r="E2247" s="1" t="s">
        <v>11343</v>
      </c>
      <c r="F2247" s="1" t="s">
        <v>11344</v>
      </c>
      <c r="G2247" s="1" t="s">
        <v>11345</v>
      </c>
      <c r="H2247" s="1" t="str">
        <f>IFERROR(__xludf.DUMMYFUNCTION("GOOGLETRANSLATE(D2247,""EN"",""JA"")"),"ヘモグロビン変異体")</f>
        <v>ヘモグロビン変異体</v>
      </c>
      <c r="I2247" s="1" t="str">
        <f>IFERROR(__xludf.DUMMYFUNCTION("GOOGLETRANSLATE(E2247,""EN"",""JA"")"),"ヘモグロビン変異体")</f>
        <v>ヘモグロビン変異体</v>
      </c>
      <c r="J2247" s="1" t="str">
        <f>IFERROR(__xludf.DUMMYFUNCTION("GOOGLETRANSLATE(F2247,""EN"",""JA"")"),"生物学的標本において、定義された一連のヘモグロビン変異体が検索されたことを示すステートメント。")</f>
        <v>生物学的標本において、定義された一連のヘモグロビン変異体が検索されたことを示すステートメント。</v>
      </c>
      <c r="K2247" s="1" t="str">
        <f>IFERROR(__xludf.DUMMYFUNCTION("GOOGLETRANSLATE(G2247,""EN"",""JA"")"),"ヘモグロビン変異測定")</f>
        <v>ヘモグロビン変異測定</v>
      </c>
    </row>
    <row r="2248" ht="13.5" customHeight="1">
      <c r="A2248" s="1" t="s">
        <v>11</v>
      </c>
      <c r="B2248" s="1" t="s">
        <v>11346</v>
      </c>
      <c r="C2248" s="1" t="s">
        <v>11347</v>
      </c>
      <c r="D2248" s="1" t="s">
        <v>11348</v>
      </c>
      <c r="E2248" s="1" t="s">
        <v>11348</v>
      </c>
      <c r="F2248" s="1" t="s">
        <v>11349</v>
      </c>
      <c r="G2248" s="1" t="s">
        <v>11350</v>
      </c>
      <c r="H2248" s="1" t="str">
        <f>IFERROR(__xludf.DUMMYFUNCTION("GOOGLETRANSLATE(D2248,""EN"",""JA"")"),"肝細胞増殖因子")</f>
        <v>肝細胞増殖因子</v>
      </c>
      <c r="I2248" s="1" t="str">
        <f>IFERROR(__xludf.DUMMYFUNCTION("GOOGLETRANSLATE(E2248,""EN"",""JA"")"),"肝細胞増殖因子")</f>
        <v>肝細胞増殖因子</v>
      </c>
      <c r="J2248" s="1" t="str">
        <f>IFERROR(__xludf.DUMMYFUNCTION("GOOGLETRANSLATE(F2248,""EN"",""JA"")"),"生物標本中の肝細胞増殖因子の測定。")</f>
        <v>生物標本中の肝細胞増殖因子の測定。</v>
      </c>
      <c r="K2248" s="1" t="str">
        <f>IFERROR(__xludf.DUMMYFUNCTION("GOOGLETRANSLATE(G2248,""EN"",""JA"")"),"肝細胞増殖因子測定")</f>
        <v>肝細胞増殖因子測定</v>
      </c>
    </row>
    <row r="2249" ht="13.5" customHeight="1">
      <c r="A2249" s="1" t="s">
        <v>134</v>
      </c>
      <c r="B2249" s="1" t="s">
        <v>11351</v>
      </c>
      <c r="C2249" s="1" t="s">
        <v>11352</v>
      </c>
      <c r="D2249" s="1" t="s">
        <v>11353</v>
      </c>
      <c r="E2249" s="1" t="s">
        <v>11354</v>
      </c>
      <c r="F2249" s="1" t="s">
        <v>11355</v>
      </c>
      <c r="G2249" s="1" t="s">
        <v>11356</v>
      </c>
      <c r="H2249" s="1" t="str">
        <f>IFERROR(__xludf.DUMMYFUNCTION("GOOGLETRANSLATE(D2249,""EN"",""JA"")"),"肝細胞増殖因子受容体")</f>
        <v>肝細胞増殖因子受容体</v>
      </c>
      <c r="I2249" s="1" t="str">
        <f>IFERROR(__xludf.DUMMYFUNCTION("GOOGLETRANSLATE(E2249,""EN"",""JA"")"),"c-Met; 肝細胞増殖因子受容体; MET 癌原遺伝子、受容体チロシンキナーゼ; チロシンタンパク質キナーゼ Met")</f>
        <v>c-Met; 肝細胞増殖因子受容体; MET 癌原遺伝子、受容体チロシンキナーゼ; チロシンタンパク質キナーゼ Met</v>
      </c>
      <c r="J2249" s="1" t="str">
        <f>IFERROR(__xludf.DUMMYFUNCTION("GOOGLETRANSLATE(F2249,""EN"",""JA"")"),"生物標本中の肝細胞増殖因子受容体の測定。")</f>
        <v>生物標本中の肝細胞増殖因子受容体の測定。</v>
      </c>
      <c r="K2249" s="1" t="str">
        <f>IFERROR(__xludf.DUMMYFUNCTION("GOOGLETRANSLATE(G2249,""EN"",""JA"")"),"肝細胞増殖因子受容体測定")</f>
        <v>肝細胞増殖因子受容体測定</v>
      </c>
    </row>
    <row r="2250" ht="13.5" customHeight="1">
      <c r="A2250" s="1" t="s">
        <v>11</v>
      </c>
      <c r="B2250" s="1" t="s">
        <v>11351</v>
      </c>
      <c r="C2250" s="1" t="s">
        <v>11352</v>
      </c>
      <c r="D2250" s="1" t="s">
        <v>11353</v>
      </c>
      <c r="E2250" s="1" t="s">
        <v>11354</v>
      </c>
      <c r="F2250" s="1" t="s">
        <v>11355</v>
      </c>
      <c r="G2250" s="1" t="s">
        <v>11356</v>
      </c>
      <c r="H2250" s="1" t="str">
        <f>IFERROR(__xludf.DUMMYFUNCTION("GOOGLETRANSLATE(D2250,""EN"",""JA"")"),"肝細胞増殖因子受容体")</f>
        <v>肝細胞増殖因子受容体</v>
      </c>
      <c r="I2250" s="1" t="str">
        <f>IFERROR(__xludf.DUMMYFUNCTION("GOOGLETRANSLATE(E2250,""EN"",""JA"")"),"c-Met; 肝細胞増殖因子受容体; MET 癌原遺伝子、受容体チロシンキナーゼ; チロシンタンパク質キナーゼ Met")</f>
        <v>c-Met; 肝細胞増殖因子受容体; MET 癌原遺伝子、受容体チロシンキナーゼ; チロシンタンパク質キナーゼ Met</v>
      </c>
      <c r="J2250" s="1" t="str">
        <f>IFERROR(__xludf.DUMMYFUNCTION("GOOGLETRANSLATE(F2250,""EN"",""JA"")"),"生物標本中の肝細胞増殖因子受容体の測定。")</f>
        <v>生物標本中の肝細胞増殖因子受容体の測定。</v>
      </c>
      <c r="K2250" s="1" t="str">
        <f>IFERROR(__xludf.DUMMYFUNCTION("GOOGLETRANSLATE(G2250,""EN"",""JA"")"),"肝細胞増殖因子受容体測定")</f>
        <v>肝細胞増殖因子受容体測定</v>
      </c>
    </row>
    <row r="2251" ht="13.5" customHeight="1">
      <c r="A2251" s="1" t="s">
        <v>11</v>
      </c>
      <c r="B2251" s="1" t="s">
        <v>11357</v>
      </c>
      <c r="C2251" s="1" t="s">
        <v>11358</v>
      </c>
      <c r="D2251" s="1" t="s">
        <v>11359</v>
      </c>
      <c r="E2251" s="1" t="s">
        <v>11359</v>
      </c>
      <c r="F2251" s="1" t="s">
        <v>11360</v>
      </c>
      <c r="G2251" s="1" t="s">
        <v>11361</v>
      </c>
      <c r="H2251" s="1" t="str">
        <f>IFERROR(__xludf.DUMMYFUNCTION("GOOGLETRANSLATE(D2251,""EN"",""JA"")"),"肝細胞増殖因子受容体、遊離")</f>
        <v>肝細胞増殖因子受容体、遊離</v>
      </c>
      <c r="I2251" s="1" t="str">
        <f>IFERROR(__xludf.DUMMYFUNCTION("GOOGLETRANSLATE(E2251,""EN"",""JA"")"),"肝細胞増殖因子受容体、遊離")</f>
        <v>肝細胞増殖因子受容体、遊離</v>
      </c>
      <c r="J2251" s="1" t="str">
        <f>IFERROR(__xludf.DUMMYFUNCTION("GOOGLETRANSLATE(F2251,""EN"",""JA"")"),"生物学的標本中の遊離（非結合）肝細胞増殖因子受容体の測定。")</f>
        <v>生物学的標本中の遊離（非結合）肝細胞増殖因子受容体の測定。</v>
      </c>
      <c r="K2251" s="1" t="str">
        <f>IFERROR(__xludf.DUMMYFUNCTION("GOOGLETRANSLATE(G2251,""EN"",""JA"")"),"遊離肝細胞増殖因子受容体測定")</f>
        <v>遊離肝細胞増殖因子受容体測定</v>
      </c>
    </row>
    <row r="2252" ht="13.5" customHeight="1">
      <c r="A2252" s="1" t="s">
        <v>11</v>
      </c>
      <c r="B2252" s="1" t="s">
        <v>11362</v>
      </c>
      <c r="C2252" s="1" t="s">
        <v>11363</v>
      </c>
      <c r="D2252" s="1" t="s">
        <v>11364</v>
      </c>
      <c r="E2252" s="1" t="s">
        <v>11365</v>
      </c>
      <c r="F2252" s="1" t="s">
        <v>11366</v>
      </c>
      <c r="G2252" s="1" t="s">
        <v>11367</v>
      </c>
      <c r="H2252" s="1" t="str">
        <f>IFERROR(__xludf.DUMMYFUNCTION("GOOGLETRANSLATE(D2252,""EN"",""JA"")"),"ヒポキサンチン-グアニンPRT")</f>
        <v>ヒポキサンチン-グアニンPRT</v>
      </c>
      <c r="I2252" s="1" t="str">
        <f>IFERROR(__xludf.DUMMYFUNCTION("GOOGLETRANSLATE(E2252,""EN"",""JA"")"),"ヒポキサンチン-グアニンホスホリボシルトランスフェラーゼ; ヒポキサンチン-グアニン PRT")</f>
        <v>ヒポキサンチン-グアニンホスホリボシルトランスフェラーゼ; ヒポキサンチン-グアニン PRT</v>
      </c>
      <c r="J2252" s="1" t="str">
        <f>IFERROR(__xludf.DUMMYFUNCTION("GOOGLETRANSLATE(F2252,""EN"",""JA"")"),"生物標本中のヒポキサンチン-グアニンホスホリボシルトランスフェラーゼの測定。")</f>
        <v>生物標本中のヒポキサンチン-グアニンホスホリボシルトランスフェラーゼの測定。</v>
      </c>
      <c r="K2252" s="1" t="str">
        <f>IFERROR(__xludf.DUMMYFUNCTION("GOOGLETRANSLATE(G2252,""EN"",""JA"")"),"ヒポキサンチン-グアニンホスホリボシルトランスフェラーゼ測定")</f>
        <v>ヒポキサンチン-グアニンホスホリボシルトランスフェラーゼ測定</v>
      </c>
    </row>
    <row r="2253" ht="13.5" customHeight="1">
      <c r="A2253" s="1" t="s">
        <v>67</v>
      </c>
      <c r="B2253" s="1" t="s">
        <v>11368</v>
      </c>
      <c r="C2253" s="1" t="s">
        <v>11369</v>
      </c>
      <c r="D2253" s="1" t="s">
        <v>11370</v>
      </c>
      <c r="E2253" s="1" t="s">
        <v>11370</v>
      </c>
      <c r="F2253" s="1" t="s">
        <v>11371</v>
      </c>
      <c r="G2253" s="1" t="s">
        <v>11372</v>
      </c>
      <c r="H2253" s="1" t="str">
        <f>IFERROR(__xludf.DUMMYFUNCTION("GOOGLETRANSLATE(D2253,""EN"",""JA"")"),"ヒトヘルペスウイルス6")</f>
        <v>ヒトヘルペスウイルス6</v>
      </c>
      <c r="I2253" s="1" t="str">
        <f>IFERROR(__xludf.DUMMYFUNCTION("GOOGLETRANSLATE(E2253,""EN"",""JA"")"),"ヒトヘルペスウイルス6")</f>
        <v>ヒトヘルペスウイルス6</v>
      </c>
      <c r="J2253" s="1" t="str">
        <f>IFERROR(__xludf.DUMMYFUNCTION("GOOGLETRANSLATE(F2253,""EN"",""JA"")"),"生物標本中のヒトヘルペスウイルス6の測定。")</f>
        <v>生物標本中のヒトヘルペスウイルス6の測定。</v>
      </c>
      <c r="K2253" s="1" t="str">
        <f>IFERROR(__xludf.DUMMYFUNCTION("GOOGLETRANSLATE(G2253,""EN"",""JA"")"),"ヒトヘルペスウイルス6の測定")</f>
        <v>ヒトヘルペスウイルス6の測定</v>
      </c>
    </row>
    <row r="2254" ht="13.5" customHeight="1">
      <c r="A2254" s="1" t="s">
        <v>67</v>
      </c>
      <c r="B2254" s="1" t="s">
        <v>11373</v>
      </c>
      <c r="C2254" s="1" t="s">
        <v>11374</v>
      </c>
      <c r="D2254" s="1" t="s">
        <v>11375</v>
      </c>
      <c r="E2254" s="1" t="s">
        <v>11375</v>
      </c>
      <c r="F2254" s="1" t="s">
        <v>11376</v>
      </c>
      <c r="G2254" s="1" t="s">
        <v>11377</v>
      </c>
      <c r="H2254" s="1" t="str">
        <f>IFERROR(__xludf.DUMMYFUNCTION("GOOGLETRANSLATE(D2254,""EN"",""JA"")"),"ヒトヘルペスウイルス6 DNA")</f>
        <v>ヒトヘルペスウイルス6 DNA</v>
      </c>
      <c r="I2254" s="1" t="str">
        <f>IFERROR(__xludf.DUMMYFUNCTION("GOOGLETRANSLATE(E2254,""EN"",""JA"")"),"ヒトヘルペスウイルス6 DNA")</f>
        <v>ヒトヘルペスウイルス6 DNA</v>
      </c>
      <c r="J2254" s="1" t="str">
        <f>IFERROR(__xludf.DUMMYFUNCTION("GOOGLETRANSLATE(F2254,""EN"",""JA"")"),"生物標本中のヒトヘルペスウイルス 6 DNA の測定。")</f>
        <v>生物標本中のヒトヘルペスウイルス 6 DNA の測定。</v>
      </c>
      <c r="K2254" s="1" t="str">
        <f>IFERROR(__xludf.DUMMYFUNCTION("GOOGLETRANSLATE(G2254,""EN"",""JA"")"),"ヒトヘルペスウイルス6のDNA測定")</f>
        <v>ヒトヘルペスウイルス6のDNA測定</v>
      </c>
    </row>
    <row r="2255" ht="13.5" customHeight="1">
      <c r="A2255" s="1" t="s">
        <v>67</v>
      </c>
      <c r="B2255" s="1" t="s">
        <v>11378</v>
      </c>
      <c r="C2255" s="1" t="s">
        <v>11379</v>
      </c>
      <c r="D2255" s="1" t="s">
        <v>11380</v>
      </c>
      <c r="E2255" s="1" t="s">
        <v>11380</v>
      </c>
      <c r="F2255" s="1" t="s">
        <v>11381</v>
      </c>
      <c r="G2255" s="1" t="s">
        <v>11382</v>
      </c>
      <c r="H2255" s="1" t="str">
        <f>IFERROR(__xludf.DUMMYFUNCTION("GOOGLETRANSLATE(D2255,""EN"",""JA"")"),"ヒトヘルペスウイルス7")</f>
        <v>ヒトヘルペスウイルス7</v>
      </c>
      <c r="I2255" s="1" t="str">
        <f>IFERROR(__xludf.DUMMYFUNCTION("GOOGLETRANSLATE(E2255,""EN"",""JA"")"),"ヒトヘルペスウイルス7")</f>
        <v>ヒトヘルペスウイルス7</v>
      </c>
      <c r="J2255" s="1" t="str">
        <f>IFERROR(__xludf.DUMMYFUNCTION("GOOGLETRANSLATE(F2255,""EN"",""JA"")"),"生物標本中のヒトヘルペスウイルス 7 の測定。")</f>
        <v>生物標本中のヒトヘルペスウイルス 7 の測定。</v>
      </c>
      <c r="K2255" s="1" t="str">
        <f>IFERROR(__xludf.DUMMYFUNCTION("GOOGLETRANSLATE(G2255,""EN"",""JA"")"),"ヒトヘルペスウイルス7の測定")</f>
        <v>ヒトヘルペスウイルス7の測定</v>
      </c>
    </row>
    <row r="2256" ht="13.5" customHeight="1">
      <c r="A2256" s="1" t="s">
        <v>67</v>
      </c>
      <c r="B2256" s="1" t="s">
        <v>11383</v>
      </c>
      <c r="C2256" s="1" t="s">
        <v>11384</v>
      </c>
      <c r="D2256" s="1" t="s">
        <v>11385</v>
      </c>
      <c r="E2256" s="1" t="s">
        <v>11385</v>
      </c>
      <c r="F2256" s="1" t="s">
        <v>11386</v>
      </c>
      <c r="G2256" s="1" t="s">
        <v>11387</v>
      </c>
      <c r="H2256" s="1" t="str">
        <f>IFERROR(__xludf.DUMMYFUNCTION("GOOGLETRANSLATE(D2256,""EN"",""JA"")"),"ヒトヘルペスウイルス7 DNA")</f>
        <v>ヒトヘルペスウイルス7 DNA</v>
      </c>
      <c r="I2256" s="1" t="str">
        <f>IFERROR(__xludf.DUMMYFUNCTION("GOOGLETRANSLATE(E2256,""EN"",""JA"")"),"ヒトヘルペスウイルス7 DNA")</f>
        <v>ヒトヘルペスウイルス7 DNA</v>
      </c>
      <c r="J2256" s="1" t="str">
        <f>IFERROR(__xludf.DUMMYFUNCTION("GOOGLETRANSLATE(F2256,""EN"",""JA"")"),"生物標本中のヒトヘルペスウイルス 7 DNA の測定。")</f>
        <v>生物標本中のヒトヘルペスウイルス 7 DNA の測定。</v>
      </c>
      <c r="K2256" s="1" t="str">
        <f>IFERROR(__xludf.DUMMYFUNCTION("GOOGLETRANSLATE(G2256,""EN"",""JA"")"),"ヒトヘルペスウイルス7のDNA測定")</f>
        <v>ヒトヘルペスウイルス7のDNA測定</v>
      </c>
    </row>
    <row r="2257" ht="13.5" customHeight="1">
      <c r="A2257" s="1" t="s">
        <v>67</v>
      </c>
      <c r="B2257" s="1" t="s">
        <v>11388</v>
      </c>
      <c r="C2257" s="1" t="s">
        <v>11389</v>
      </c>
      <c r="D2257" s="1" t="s">
        <v>11390</v>
      </c>
      <c r="E2257" s="1" t="s">
        <v>11391</v>
      </c>
      <c r="F2257" s="1" t="s">
        <v>11392</v>
      </c>
      <c r="G2257" s="1" t="s">
        <v>11393</v>
      </c>
      <c r="H2257" s="1" t="str">
        <f>IFERROR(__xludf.DUMMYFUNCTION("GOOGLETRANSLATE(D2257,""EN"",""JA"")"),"ヒトヘルペスウイルス8")</f>
        <v>ヒトヘルペスウイルス8</v>
      </c>
      <c r="I2257" s="1" t="str">
        <f>IFERROR(__xludf.DUMMYFUNCTION("GOOGLETRANSLATE(E2257,""EN"",""JA"")"),"ヒトヘルペスウイルス8; ヒトヘルペスウイルス8")</f>
        <v>ヒトヘルペスウイルス8; ヒトヘルペスウイルス8</v>
      </c>
      <c r="J2257" s="1" t="str">
        <f>IFERROR(__xludf.DUMMYFUNCTION("GOOGLETRANSLATE(F2257,""EN"",""JA"")"),"生物標本中のヒトヘルペスウイルス 8 の測定。")</f>
        <v>生物標本中のヒトヘルペスウイルス 8 の測定。</v>
      </c>
      <c r="K2257" s="1" t="str">
        <f>IFERROR(__xludf.DUMMYFUNCTION("GOOGLETRANSLATE(G2257,""EN"",""JA"")"),"ヒトヘルペスウイルス8の測定")</f>
        <v>ヒトヘルペスウイルス8の測定</v>
      </c>
    </row>
    <row r="2258" ht="13.5" customHeight="1">
      <c r="A2258" s="1" t="s">
        <v>67</v>
      </c>
      <c r="B2258" s="1" t="s">
        <v>11394</v>
      </c>
      <c r="C2258" s="1" t="s">
        <v>11395</v>
      </c>
      <c r="D2258" s="1" t="s">
        <v>11396</v>
      </c>
      <c r="E2258" s="1" t="s">
        <v>11396</v>
      </c>
      <c r="F2258" s="1" t="s">
        <v>11397</v>
      </c>
      <c r="G2258" s="1" t="s">
        <v>11398</v>
      </c>
      <c r="H2258" s="1" t="str">
        <f>IFERROR(__xludf.DUMMYFUNCTION("GOOGLETRANSLATE(D2258,""EN"",""JA"")"),"ヒトヘルペスウイルス8型DNA")</f>
        <v>ヒトヘルペスウイルス8型DNA</v>
      </c>
      <c r="I2258" s="1" t="str">
        <f>IFERROR(__xludf.DUMMYFUNCTION("GOOGLETRANSLATE(E2258,""EN"",""JA"")"),"ヒトヘルペスウイルス8型DNA")</f>
        <v>ヒトヘルペスウイルス8型DNA</v>
      </c>
      <c r="J2258" s="1" t="str">
        <f>IFERROR(__xludf.DUMMYFUNCTION("GOOGLETRANSLATE(F2258,""EN"",""JA"")"),"生物標本中のヒトヘルペスウイルス 8 DNA の測定。")</f>
        <v>生物標本中のヒトヘルペスウイルス 8 DNA の測定。</v>
      </c>
      <c r="K2258" s="1" t="str">
        <f>IFERROR(__xludf.DUMMYFUNCTION("GOOGLETRANSLATE(G2258,""EN"",""JA"")"),"ヒトヘルペスウイルス8のDNA測定")</f>
        <v>ヒトヘルペスウイルス8のDNA測定</v>
      </c>
    </row>
    <row r="2259" ht="13.5" customHeight="1">
      <c r="A2259" s="1" t="s">
        <v>601</v>
      </c>
      <c r="B2259" s="1" t="s">
        <v>11399</v>
      </c>
      <c r="C2259" s="1" t="s">
        <v>11400</v>
      </c>
      <c r="D2259" s="1" t="s">
        <v>11401</v>
      </c>
      <c r="E2259" s="1" t="s">
        <v>11401</v>
      </c>
      <c r="F2259" s="1" t="s">
        <v>11402</v>
      </c>
      <c r="G2259" s="1" t="s">
        <v>11403</v>
      </c>
      <c r="H2259" s="1" t="str">
        <f>IFERROR(__xludf.DUMMYFUNCTION("GOOGLETRANSLATE(D2259,""EN"",""JA"")"),"雇用主ベースの健康保険業界")</f>
        <v>雇用主ベースの健康保険業界</v>
      </c>
      <c r="I2259" s="1" t="str">
        <f>IFERROR(__xludf.DUMMYFUNCTION("GOOGLETRANSLATE(E2259,""EN"",""JA"")"),"雇用主ベースの健康保険業界")</f>
        <v>雇用主ベースの健康保険業界</v>
      </c>
      <c r="J2259" s="1" t="str">
        <f>IFERROR(__xludf.DUMMYFUNCTION("GOOGLETRANSLATE(F2259,""EN"",""JA"")"),"対象者が自分自身または家族の勤務先の健康保険に加入しているかどうかを示します。")</f>
        <v>対象者が自分自身または家族の勤務先の健康保険に加入しているかどうかを示します。</v>
      </c>
      <c r="K2259" s="1" t="str">
        <f>IFERROR(__xludf.DUMMYFUNCTION("GOOGLETRANSLATE(G2259,""EN"",""JA"")"),"雇用主ベースの健康保険指標")</f>
        <v>雇用主ベースの健康保険指標</v>
      </c>
    </row>
    <row r="2260" ht="13.5" customHeight="1">
      <c r="A2260" s="1" t="s">
        <v>601</v>
      </c>
      <c r="B2260" s="1" t="s">
        <v>11404</v>
      </c>
      <c r="C2260" s="1" t="s">
        <v>11405</v>
      </c>
      <c r="D2260" s="1" t="s">
        <v>11406</v>
      </c>
      <c r="E2260" s="1" t="s">
        <v>11406</v>
      </c>
      <c r="F2260" s="1" t="s">
        <v>11407</v>
      </c>
      <c r="G2260" s="1" t="s">
        <v>11408</v>
      </c>
      <c r="H2260" s="1" t="str">
        <f>IFERROR(__xludf.DUMMYFUNCTION("GOOGLETRANSLATE(D2260,""EN"",""JA"")"),"インド保健サービス保険Ind")</f>
        <v>インド保健サービス保険Ind</v>
      </c>
      <c r="I2260" s="1" t="str">
        <f>IFERROR(__xludf.DUMMYFUNCTION("GOOGLETRANSLATE(E2260,""EN"",""JA"")"),"インド保健サービス保険Ind")</f>
        <v>インド保健サービス保険Ind</v>
      </c>
      <c r="J2260" s="1" t="str">
        <f>IFERROR(__xludf.DUMMYFUNCTION("GOOGLETRANSLATE(F2260,""EN"",""JA"")"),"対象者が自分自身または家族の米国インディアン保健局保険に加入しているかどうかを示します。")</f>
        <v>対象者が自分自身または家族の米国インディアン保健局保険に加入しているかどうかを示します。</v>
      </c>
      <c r="K2260" s="1" t="str">
        <f>IFERROR(__xludf.DUMMYFUNCTION("GOOGLETRANSLATE(G2260,""EN"",""JA"")"),"インド保健サービス保険指標")</f>
        <v>インド保健サービス保険指標</v>
      </c>
    </row>
    <row r="2261" ht="13.5" customHeight="1">
      <c r="A2261" s="1" t="s">
        <v>601</v>
      </c>
      <c r="B2261" s="1" t="s">
        <v>11409</v>
      </c>
      <c r="C2261" s="1" t="s">
        <v>11410</v>
      </c>
      <c r="D2261" s="1" t="s">
        <v>11411</v>
      </c>
      <c r="E2261" s="1" t="s">
        <v>11411</v>
      </c>
      <c r="F2261" s="1" t="s">
        <v>11412</v>
      </c>
      <c r="G2261" s="1" t="s">
        <v>11411</v>
      </c>
      <c r="H2261" s="1" t="str">
        <f>IFERROR(__xludf.DUMMYFUNCTION("GOOGLETRANSLATE(D2261,""EN"",""JA"")"),"健康保険指標")</f>
        <v>健康保険指標</v>
      </c>
      <c r="I2261" s="1" t="str">
        <f>IFERROR(__xludf.DUMMYFUNCTION("GOOGLETRANSLATE(E2261,""EN"",""JA"")"),"健康保険指標")</f>
        <v>健康保険指標</v>
      </c>
      <c r="J2261" s="1" t="str">
        <f>IFERROR(__xludf.DUMMYFUNCTION("GOOGLETRANSLATE(F2261,""EN"",""JA"")"),"対象者が健康保険に加入しているかどうかを示します。")</f>
        <v>対象者が健康保険に加入しているかどうかを示します。</v>
      </c>
      <c r="K2261" s="1" t="str">
        <f>IFERROR(__xludf.DUMMYFUNCTION("GOOGLETRANSLATE(G2261,""EN"",""JA"")"),"健康保険指標")</f>
        <v>健康保険指標</v>
      </c>
    </row>
    <row r="2262" ht="13.5" customHeight="1">
      <c r="A2262" s="1" t="s">
        <v>601</v>
      </c>
      <c r="B2262" s="1" t="s">
        <v>11413</v>
      </c>
      <c r="C2262" s="1" t="s">
        <v>11414</v>
      </c>
      <c r="D2262" s="1" t="s">
        <v>11415</v>
      </c>
      <c r="E2262" s="1" t="s">
        <v>11415</v>
      </c>
      <c r="F2262" s="1" t="s">
        <v>11416</v>
      </c>
      <c r="G2262" s="1" t="s">
        <v>11415</v>
      </c>
      <c r="H2262" s="1" t="str">
        <f>IFERROR(__xludf.DUMMYFUNCTION("GOOGLETRANSLATE(D2262,""EN"",""JA"")"),"軍人健康保険指標")</f>
        <v>軍人健康保険指標</v>
      </c>
      <c r="I2262" s="1" t="str">
        <f>IFERROR(__xludf.DUMMYFUNCTION("GOOGLETRANSLATE(E2262,""EN"",""JA"")"),"軍人健康保険指標")</f>
        <v>軍人健康保険指標</v>
      </c>
      <c r="J2262" s="1" t="str">
        <f>IFERROR(__xludf.DUMMYFUNCTION("GOOGLETRANSLATE(F2262,""EN"",""JA"")"),"対象者が自分自身または家族の軍事ベースの健康保険に加入しているかどうかを示します。")</f>
        <v>対象者が自分自身または家族の軍事ベースの健康保険に加入しているかどうかを示します。</v>
      </c>
      <c r="K2262" s="1" t="str">
        <f>IFERROR(__xludf.DUMMYFUNCTION("GOOGLETRANSLATE(G2262,""EN"",""JA"")"),"軍人健康保険指標")</f>
        <v>軍人健康保険指標</v>
      </c>
    </row>
    <row r="2263" ht="13.5" customHeight="1">
      <c r="A2263" s="1" t="s">
        <v>67</v>
      </c>
      <c r="B2263" s="1" t="s">
        <v>11417</v>
      </c>
      <c r="C2263" s="1" t="s">
        <v>11418</v>
      </c>
      <c r="D2263" s="1" t="s">
        <v>11419</v>
      </c>
      <c r="E2263" s="1" t="s">
        <v>11419</v>
      </c>
      <c r="F2263" s="1" t="s">
        <v>11420</v>
      </c>
      <c r="G2263" s="1" t="s">
        <v>11421</v>
      </c>
      <c r="H2263" s="1" t="str">
        <f>IFERROR(__xludf.DUMMYFUNCTION("GOOGLETRANSLATE(D2263,""EN"",""JA"")"),"インフルエンザ菌DNA")</f>
        <v>インフルエンザ菌DNA</v>
      </c>
      <c r="I2263" s="1" t="str">
        <f>IFERROR(__xludf.DUMMYFUNCTION("GOOGLETRANSLATE(E2263,""EN"",""JA"")"),"インフルエンザ菌DNA")</f>
        <v>インフルエンザ菌DNA</v>
      </c>
      <c r="J2263" s="1" t="str">
        <f>IFERROR(__xludf.DUMMYFUNCTION("GOOGLETRANSLATE(F2263,""EN"",""JA"")"),"生物標本中のインフルエンザ菌ウイルス DNA の測定。")</f>
        <v>生物標本中のインフルエンザ菌ウイルス DNA の測定。</v>
      </c>
      <c r="K2263" s="1" t="str">
        <f>IFERROR(__xludf.DUMMYFUNCTION("GOOGLETRANSLATE(G2263,""EN"",""JA"")"),"インフルエンザ菌DNA測定")</f>
        <v>インフルエンザ菌DNA測定</v>
      </c>
    </row>
    <row r="2264" ht="13.5" customHeight="1">
      <c r="A2264" s="1" t="s">
        <v>129</v>
      </c>
      <c r="B2264" s="1" t="s">
        <v>11422</v>
      </c>
      <c r="C2264" s="1" t="s">
        <v>11423</v>
      </c>
      <c r="D2264" s="1" t="s">
        <v>11424</v>
      </c>
      <c r="E2264" s="1" t="s">
        <v>11424</v>
      </c>
      <c r="F2264" s="1" t="s">
        <v>11425</v>
      </c>
      <c r="G2264" s="1" t="s">
        <v>11424</v>
      </c>
      <c r="H2264" s="1" t="str">
        <f>IFERROR(__xludf.DUMMYFUNCTION("GOOGLETRANSLATE(D2264,""EN"",""JA"")"),"ヒップ周囲径")</f>
        <v>ヒップ周囲径</v>
      </c>
      <c r="I2264" s="1" t="str">
        <f>IFERROR(__xludf.DUMMYFUNCTION("GOOGLETRANSLATE(E2264,""EN"",""JA"")"),"ヒップ周囲径")</f>
        <v>ヒップ周囲径</v>
      </c>
      <c r="J2264" s="1" t="str">
        <f>IFERROR(__xludf.DUMMYFUNCTION("GOOGLETRANSLATE(F2264,""EN"",""JA"")"),"個人の骨盤領域または腰の周囲の距離。")</f>
        <v>個人の骨盤領域または腰の周囲の距離。</v>
      </c>
      <c r="K2264" s="1" t="str">
        <f>IFERROR(__xludf.DUMMYFUNCTION("GOOGLETRANSLATE(G2264,""EN"",""JA"")"),"ヒップ周囲径")</f>
        <v>ヒップ周囲径</v>
      </c>
    </row>
    <row r="2265" ht="13.5" customHeight="1">
      <c r="A2265" s="1" t="s">
        <v>601</v>
      </c>
      <c r="B2265" s="1" t="s">
        <v>11426</v>
      </c>
      <c r="C2265" s="1" t="s">
        <v>11427</v>
      </c>
      <c r="D2265" s="1" t="s">
        <v>11428</v>
      </c>
      <c r="E2265" s="1" t="s">
        <v>11428</v>
      </c>
      <c r="F2265" s="1" t="s">
        <v>11429</v>
      </c>
      <c r="G2265" s="1" t="s">
        <v>11428</v>
      </c>
      <c r="H2265" s="1" t="str">
        <f>IFERROR(__xludf.DUMMYFUNCTION("GOOGLETRANSLATE(D2265,""EN"",""JA"")"),"民間医療保険指標")</f>
        <v>民間医療保険指標</v>
      </c>
      <c r="I2265" s="1" t="str">
        <f>IFERROR(__xludf.DUMMYFUNCTION("GOOGLETRANSLATE(E2265,""EN"",""JA"")"),"民間医療保険指標")</f>
        <v>民間医療保険指標</v>
      </c>
      <c r="J2265" s="1" t="str">
        <f>IFERROR(__xludf.DUMMYFUNCTION("GOOGLETRANSLATE(F2265,""EN"",""JA"")"),"対象者が自分自身または家族が個人的に購入した健康保険に加入しているかどうかを示します。")</f>
        <v>対象者が自分自身または家族が個人的に購入した健康保険に加入しているかどうかを示します。</v>
      </c>
      <c r="K2265" s="1" t="str">
        <f>IFERROR(__xludf.DUMMYFUNCTION("GOOGLETRANSLATE(G2265,""EN"",""JA"")"),"民間医療保険指標")</f>
        <v>民間医療保険指標</v>
      </c>
    </row>
    <row r="2266" ht="13.5" customHeight="1">
      <c r="A2266" s="1" t="s">
        <v>11</v>
      </c>
      <c r="B2266" s="1" t="s">
        <v>11430</v>
      </c>
      <c r="C2266" s="1" t="s">
        <v>11431</v>
      </c>
      <c r="D2266" s="1" t="s">
        <v>11432</v>
      </c>
      <c r="E2266" s="1" t="s">
        <v>11432</v>
      </c>
      <c r="F2266" s="1" t="s">
        <v>11433</v>
      </c>
      <c r="G2266" s="1" t="s">
        <v>11434</v>
      </c>
      <c r="H2266" s="1" t="str">
        <f>IFERROR(__xludf.DUMMYFUNCTION("GOOGLETRANSLATE(D2266,""EN"",""JA"")"),"ヒスチジン")</f>
        <v>ヒスチジン</v>
      </c>
      <c r="I2266" s="1" t="str">
        <f>IFERROR(__xludf.DUMMYFUNCTION("GOOGLETRANSLATE(E2266,""EN"",""JA"")"),"ヒスチジン")</f>
        <v>ヒスチジン</v>
      </c>
      <c r="J2266" s="1" t="str">
        <f>IFERROR(__xludf.DUMMYFUNCTION("GOOGLETRANSLATE(F2266,""EN"",""JA"")"),"生物標本中のヒスチジンの測定。")</f>
        <v>生物標本中のヒスチジンの測定。</v>
      </c>
      <c r="K2266" s="1" t="str">
        <f>IFERROR(__xludf.DUMMYFUNCTION("GOOGLETRANSLATE(G2266,""EN"",""JA"")"),"ヒスチジン測定")</f>
        <v>ヒスチジン測定</v>
      </c>
    </row>
    <row r="2267" ht="13.5" customHeight="1">
      <c r="A2267" s="1" t="s">
        <v>11</v>
      </c>
      <c r="B2267" s="1" t="s">
        <v>11435</v>
      </c>
      <c r="C2267" s="1" t="s">
        <v>11436</v>
      </c>
      <c r="D2267" s="1" t="s">
        <v>11437</v>
      </c>
      <c r="E2267" s="1" t="s">
        <v>11437</v>
      </c>
      <c r="F2267" s="1" t="s">
        <v>11438</v>
      </c>
      <c r="G2267" s="1" t="s">
        <v>11439</v>
      </c>
      <c r="H2267" s="1" t="str">
        <f>IFERROR(__xludf.DUMMYFUNCTION("GOOGLETRANSLATE(D2267,""EN"",""JA"")"),"ヒスタミン")</f>
        <v>ヒスタミン</v>
      </c>
      <c r="I2267" s="1" t="str">
        <f>IFERROR(__xludf.DUMMYFUNCTION("GOOGLETRANSLATE(E2267,""EN"",""JA"")"),"ヒスタミン")</f>
        <v>ヒスタミン</v>
      </c>
      <c r="J2267" s="1" t="str">
        <f>IFERROR(__xludf.DUMMYFUNCTION("GOOGLETRANSLATE(F2267,""EN"",""JA"")"),"生物標本中のヒスタミンの測定。")</f>
        <v>生物標本中のヒスタミンの測定。</v>
      </c>
      <c r="K2267" s="1" t="str">
        <f>IFERROR(__xludf.DUMMYFUNCTION("GOOGLETRANSLATE(G2267,""EN"",""JA"")"),"ヒスタミン測定")</f>
        <v>ヒスタミン測定</v>
      </c>
    </row>
    <row r="2268" ht="13.5" customHeight="1">
      <c r="A2268" s="1" t="s">
        <v>134</v>
      </c>
      <c r="B2268" s="1" t="s">
        <v>11440</v>
      </c>
      <c r="C2268" s="1" t="s">
        <v>11441</v>
      </c>
      <c r="D2268" s="1" t="s">
        <v>11442</v>
      </c>
      <c r="E2268" s="1" t="s">
        <v>11442</v>
      </c>
      <c r="F2268" s="1" t="s">
        <v>11443</v>
      </c>
      <c r="G2268" s="1" t="s">
        <v>11442</v>
      </c>
      <c r="H2268" s="1" t="str">
        <f>IFERROR(__xludf.DUMMYFUNCTION("GOOGLETRANSLATE(D2268,""EN"",""JA"")"),"癌の組織学的型")</f>
        <v>癌の組織学的型</v>
      </c>
      <c r="I2268" s="1" t="str">
        <f>IFERROR(__xludf.DUMMYFUNCTION("GOOGLETRANSLATE(E2268,""EN"",""JA"")"),"癌の組織学的型")</f>
        <v>癌の組織学的型</v>
      </c>
      <c r="J2268" s="1" t="str">
        <f>IFERROR(__xludf.DUMMYFUNCTION("GOOGLETRANSLATE(F2268,""EN"",""JA"")"),"生物学的標本における癌の組織学的種類の判定。")</f>
        <v>生物学的標本における癌の組織学的種類の判定。</v>
      </c>
      <c r="K2268" s="1" t="str">
        <f>IFERROR(__xludf.DUMMYFUNCTION("GOOGLETRANSLATE(G2268,""EN"",""JA"")"),"癌の組織学的型")</f>
        <v>癌の組織学的型</v>
      </c>
    </row>
    <row r="2269" ht="13.5" customHeight="1">
      <c r="A2269" s="1" t="s">
        <v>67</v>
      </c>
      <c r="B2269" s="1" t="s">
        <v>11444</v>
      </c>
      <c r="C2269" s="1" t="s">
        <v>11445</v>
      </c>
      <c r="D2269" s="1" t="s">
        <v>11446</v>
      </c>
      <c r="E2269" s="1" t="s">
        <v>11446</v>
      </c>
      <c r="F2269" s="1" t="s">
        <v>11447</v>
      </c>
      <c r="G2269" s="1" t="s">
        <v>11448</v>
      </c>
      <c r="H2269" s="1" t="str">
        <f>IFERROR(__xludf.DUMMYFUNCTION("GOOGLETRANSLATE(D2269,""EN"",""JA"")"),"ヒト免疫不全ウイルス")</f>
        <v>ヒト免疫不全ウイルス</v>
      </c>
      <c r="I2269" s="1" t="str">
        <f>IFERROR(__xludf.DUMMYFUNCTION("GOOGLETRANSLATE(E2269,""EN"",""JA"")"),"ヒト免疫不全ウイルス")</f>
        <v>ヒト免疫不全ウイルス</v>
      </c>
      <c r="J2269" s="1" t="str">
        <f>IFERROR(__xludf.DUMMYFUNCTION("GOOGLETRANSLATE(F2269,""EN"",""JA"")"),"生物標本中のヒト免疫不全ウイルスの測定。")</f>
        <v>生物標本中のヒト免疫不全ウイルスの測定。</v>
      </c>
      <c r="K2269" s="1" t="str">
        <f>IFERROR(__xludf.DUMMYFUNCTION("GOOGLETRANSLATE(G2269,""EN"",""JA"")"),"ヒト免疫不全ウイルス測定")</f>
        <v>ヒト免疫不全ウイルス測定</v>
      </c>
    </row>
    <row r="2270" ht="13.5" customHeight="1">
      <c r="A2270" s="1" t="s">
        <v>67</v>
      </c>
      <c r="B2270" s="1" t="s">
        <v>11449</v>
      </c>
      <c r="C2270" s="1" t="s">
        <v>11450</v>
      </c>
      <c r="D2270" s="1" t="s">
        <v>11451</v>
      </c>
      <c r="E2270" s="1" t="s">
        <v>11451</v>
      </c>
      <c r="F2270" s="1" t="s">
        <v>11452</v>
      </c>
      <c r="G2270" s="1" t="s">
        <v>11453</v>
      </c>
      <c r="H2270" s="1" t="str">
        <f>IFERROR(__xludf.DUMMYFUNCTION("GOOGLETRANSLATE(D2270,""EN"",""JA"")"),"HIV-1 p24抗原")</f>
        <v>HIV-1 p24抗原</v>
      </c>
      <c r="I2270" s="1" t="str">
        <f>IFERROR(__xludf.DUMMYFUNCTION("GOOGLETRANSLATE(E2270,""EN"",""JA"")"),"HIV-1 p24抗原")</f>
        <v>HIV-1 p24抗原</v>
      </c>
      <c r="J2270" s="1" t="str">
        <f>IFERROR(__xludf.DUMMYFUNCTION("GOOGLETRANSLATE(F2270,""EN"",""JA"")"),"生物学的標本中の HIV-1 p24 抗原の測定。")</f>
        <v>生物学的標本中の HIV-1 p24 抗原の測定。</v>
      </c>
      <c r="K2270" s="1" t="str">
        <f>IFERROR(__xludf.DUMMYFUNCTION("GOOGLETRANSLATE(G2270,""EN"",""JA"")"),"HIV-1 p24抗原測定")</f>
        <v>HIV-1 p24抗原測定</v>
      </c>
    </row>
    <row r="2271" ht="13.5" customHeight="1">
      <c r="A2271" s="1" t="s">
        <v>67</v>
      </c>
      <c r="B2271" s="1" t="s">
        <v>11454</v>
      </c>
      <c r="C2271" s="1" t="s">
        <v>11455</v>
      </c>
      <c r="D2271" s="1" t="s">
        <v>11456</v>
      </c>
      <c r="E2271" s="1" t="s">
        <v>11456</v>
      </c>
      <c r="F2271" s="1" t="s">
        <v>11457</v>
      </c>
      <c r="G2271" s="1" t="s">
        <v>11458</v>
      </c>
      <c r="H2271" s="1" t="str">
        <f>IFERROR(__xludf.DUMMYFUNCTION("GOOGLETRANSLATE(D2271,""EN"",""JA"")"),"HIV-1/2抗原/抗体")</f>
        <v>HIV-1/2抗原/抗体</v>
      </c>
      <c r="I2271" s="1" t="str">
        <f>IFERROR(__xludf.DUMMYFUNCTION("GOOGLETRANSLATE(E2271,""EN"",""JA"")"),"HIV-1/2抗原/抗体")</f>
        <v>HIV-1/2抗原/抗体</v>
      </c>
      <c r="J2271" s="1" t="str">
        <f>IFERROR(__xludf.DUMMYFUNCTION("GOOGLETRANSLATE(F2271,""EN"",""JA"")"),"生物学的標本中の HIV-1/HIV-2 抗原および/または HIV-1/HIV-2 抗体の測定（抗原が指定されていない場合に使用します）。")</f>
        <v>生物学的標本中の HIV-1/HIV-2 抗原および/または HIV-1/HIV-2 抗体の測定（抗原が指定されていない場合に使用します）。</v>
      </c>
      <c r="K2271" s="1" t="str">
        <f>IFERROR(__xludf.DUMMYFUNCTION("GOOGLETRANSLATE(G2271,""EN"",""JA"")"),"HIV-1/2抗原/抗体測定")</f>
        <v>HIV-1/2抗原/抗体測定</v>
      </c>
    </row>
    <row r="2272" ht="13.5" customHeight="1">
      <c r="A2272" s="1" t="s">
        <v>67</v>
      </c>
      <c r="B2272" s="1" t="s">
        <v>11459</v>
      </c>
      <c r="C2272" s="1" t="s">
        <v>11460</v>
      </c>
      <c r="D2272" s="1" t="s">
        <v>11461</v>
      </c>
      <c r="E2272" s="1" t="s">
        <v>11461</v>
      </c>
      <c r="F2272" s="1" t="s">
        <v>11462</v>
      </c>
      <c r="G2272" s="1" t="s">
        <v>11463</v>
      </c>
      <c r="H2272" s="1" t="str">
        <f>IFERROR(__xludf.DUMMYFUNCTION("GOOGLETRANSLATE(D2272,""EN"",""JA"")"),"HIV-1/2抗体 + HIV-1 p24抗原")</f>
        <v>HIV-1/2抗体 + HIV-1 p24抗原</v>
      </c>
      <c r="I2272" s="1" t="str">
        <f>IFERROR(__xludf.DUMMYFUNCTION("GOOGLETRANSLATE(E2272,""EN"",""JA"")"),"HIV-1/2抗体 + HIV-1 p24抗原")</f>
        <v>HIV-1/2抗体 + HIV-1 p24抗原</v>
      </c>
      <c r="J2272" s="1" t="str">
        <f>IFERROR(__xludf.DUMMYFUNCTION("GOOGLETRANSLATE(F2272,""EN"",""JA"")"),"生物学的標本における HIV-1 または HIV-2 ウイルスに対する抗体反応の測定と、生物学的標本内の HIV-1 p24 抗原の測定。")</f>
        <v>生物学的標本における HIV-1 または HIV-2 ウイルスに対する抗体反応の測定と、生物学的標本内の HIV-1 p24 抗原の測定。</v>
      </c>
      <c r="K2272" s="1" t="str">
        <f>IFERROR(__xludf.DUMMYFUNCTION("GOOGLETRANSLATE(G2272,""EN"",""JA"")"),"HIV-1/2抗体およびHIV-1 p24抗原測定")</f>
        <v>HIV-1/2抗体およびHIV-1 p24抗原測定</v>
      </c>
    </row>
    <row r="2273" ht="13.5" customHeight="1">
      <c r="A2273" s="1" t="s">
        <v>67</v>
      </c>
      <c r="B2273" s="1" t="s">
        <v>11464</v>
      </c>
      <c r="C2273" s="1" t="s">
        <v>11465</v>
      </c>
      <c r="D2273" s="1" t="s">
        <v>11466</v>
      </c>
      <c r="E2273" s="1" t="s">
        <v>11466</v>
      </c>
      <c r="F2273" s="1" t="s">
        <v>11467</v>
      </c>
      <c r="G2273" s="1" t="s">
        <v>11468</v>
      </c>
      <c r="H2273" s="1" t="str">
        <f>IFERROR(__xludf.DUMMYFUNCTION("GOOGLETRANSLATE(D2273,""EN"",""JA"")"),"HIV-1/2 RNA")</f>
        <v>HIV-1/2 RNA</v>
      </c>
      <c r="I2273" s="1" t="str">
        <f>IFERROR(__xludf.DUMMYFUNCTION("GOOGLETRANSLATE(E2273,""EN"",""JA"")"),"HIV-1/2 RNA")</f>
        <v>HIV-1/2 RNA</v>
      </c>
      <c r="J2273" s="1" t="str">
        <f>IFERROR(__xludf.DUMMYFUNCTION("GOOGLETRANSLATE(F2273,""EN"",""JA"")"),"生物学的標本中の HIV-1 および/または HIV-2 RNA の測定。")</f>
        <v>生物学的標本中の HIV-1 および/または HIV-2 RNA の測定。</v>
      </c>
      <c r="K2273" s="1" t="str">
        <f>IFERROR(__xludf.DUMMYFUNCTION("GOOGLETRANSLATE(G2273,""EN"",""JA"")"),"HIV-1/2 RNA測定")</f>
        <v>HIV-1/2 RNA測定</v>
      </c>
    </row>
    <row r="2274" ht="13.5" customHeight="1">
      <c r="A2274" s="1" t="s">
        <v>67</v>
      </c>
      <c r="B2274" s="1" t="s">
        <v>11469</v>
      </c>
      <c r="C2274" s="1" t="s">
        <v>11470</v>
      </c>
      <c r="D2274" s="1" t="s">
        <v>11471</v>
      </c>
      <c r="E2274" s="1" t="s">
        <v>11471</v>
      </c>
      <c r="F2274" s="1" t="s">
        <v>11472</v>
      </c>
      <c r="G2274" s="1" t="s">
        <v>11473</v>
      </c>
      <c r="H2274" s="1" t="str">
        <f>IFERROR(__xludf.DUMMYFUNCTION("GOOGLETRANSLATE(D2274,""EN"",""JA"")"),"HIV-1抗体 + HIV-1 p24抗原")</f>
        <v>HIV-1抗体 + HIV-1 p24抗原</v>
      </c>
      <c r="I2274" s="1" t="str">
        <f>IFERROR(__xludf.DUMMYFUNCTION("GOOGLETRANSLATE(E2274,""EN"",""JA"")"),"HIV-1抗体 + HIV-1 p24抗原")</f>
        <v>HIV-1抗体 + HIV-1 p24抗原</v>
      </c>
      <c r="J2274" s="1" t="str">
        <f>IFERROR(__xludf.DUMMYFUNCTION("GOOGLETRANSLATE(F2274,""EN"",""JA"")"),"HIV-1 ウイルスに対する抗体反応の測定と生物学的標本中の HIV-1 p24 抗原の測定。")</f>
        <v>HIV-1 ウイルスに対する抗体反応の測定と生物学的標本中の HIV-1 p24 抗原の測定。</v>
      </c>
      <c r="K2274" s="1" t="str">
        <f>IFERROR(__xludf.DUMMYFUNCTION("GOOGLETRANSLATE(G2274,""EN"",""JA"")"),"HIV-1抗体およびHIV-1 p24抗原測定")</f>
        <v>HIV-1抗体およびHIV-1 p24抗原測定</v>
      </c>
    </row>
    <row r="2275" ht="13.5" customHeight="1">
      <c r="A2275" s="1" t="s">
        <v>67</v>
      </c>
      <c r="B2275" s="1" t="s">
        <v>11474</v>
      </c>
      <c r="C2275" s="1" t="s">
        <v>11475</v>
      </c>
      <c r="D2275" s="1" t="s">
        <v>11476</v>
      </c>
      <c r="E2275" s="1" t="s">
        <v>11476</v>
      </c>
      <c r="F2275" s="1" t="s">
        <v>11477</v>
      </c>
      <c r="G2275" s="1" t="s">
        <v>11478</v>
      </c>
      <c r="H2275" s="1" t="str">
        <f>IFERROR(__xludf.DUMMYFUNCTION("GOOGLETRANSLATE(D2275,""EN"",""JA"")"),"HIV-1抗原")</f>
        <v>HIV-1抗原</v>
      </c>
      <c r="I2275" s="1" t="str">
        <f>IFERROR(__xludf.DUMMYFUNCTION("GOOGLETRANSLATE(E2275,""EN"",""JA"")"),"HIV-1抗原")</f>
        <v>HIV-1抗原</v>
      </c>
      <c r="J2275" s="1" t="str">
        <f>IFERROR(__xludf.DUMMYFUNCTION("GOOGLETRANSLATE(F2275,""EN"",""JA"")"),"生物学的標本中の HIV-1 抗原の測定。")</f>
        <v>生物学的標本中の HIV-1 抗原の測定。</v>
      </c>
      <c r="K2275" s="1" t="str">
        <f>IFERROR(__xludf.DUMMYFUNCTION("GOOGLETRANSLATE(G2275,""EN"",""JA"")"),"HIV-1抗原測定")</f>
        <v>HIV-1抗原測定</v>
      </c>
    </row>
    <row r="2276" ht="13.5" customHeight="1">
      <c r="A2276" s="1" t="s">
        <v>67</v>
      </c>
      <c r="B2276" s="1" t="s">
        <v>11479</v>
      </c>
      <c r="C2276" s="1" t="s">
        <v>11480</v>
      </c>
      <c r="D2276" s="1" t="s">
        <v>11481</v>
      </c>
      <c r="E2276" s="1" t="s">
        <v>11481</v>
      </c>
      <c r="F2276" s="1" t="s">
        <v>11482</v>
      </c>
      <c r="G2276" s="1" t="s">
        <v>11483</v>
      </c>
      <c r="H2276" s="1" t="str">
        <f>IFERROR(__xludf.DUMMYFUNCTION("GOOGLETRANSLATE(D2276,""EN"",""JA"")"),"HIV-1グループMおよびO核酸")</f>
        <v>HIV-1グループMおよびO核酸</v>
      </c>
      <c r="I2276" s="1" t="str">
        <f>IFERROR(__xludf.DUMMYFUNCTION("GOOGLETRANSLATE(E2276,""EN"",""JA"")"),"HIV-1グループMおよびO核酸")</f>
        <v>HIV-1グループMおよびO核酸</v>
      </c>
      <c r="J2276" s="1" t="str">
        <f>IFERROR(__xludf.DUMMYFUNCTION("GOOGLETRANSLATE(F2276,""EN"",""JA"")"),"生物学的標本中の HIV-1 グループ M および O 核酸の測定。")</f>
        <v>生物学的標本中の HIV-1 グループ M および O 核酸の測定。</v>
      </c>
      <c r="K2276" s="1" t="str">
        <f>IFERROR(__xludf.DUMMYFUNCTION("GOOGLETRANSLATE(G2276,""EN"",""JA"")"),"HIV-1グループMおよびO核酸測定")</f>
        <v>HIV-1グループMおよびO核酸測定</v>
      </c>
    </row>
    <row r="2277" ht="13.5" customHeight="1">
      <c r="A2277" s="1" t="s">
        <v>67</v>
      </c>
      <c r="B2277" s="1" t="s">
        <v>11484</v>
      </c>
      <c r="C2277" s="1" t="s">
        <v>11485</v>
      </c>
      <c r="D2277" s="1" t="s">
        <v>11486</v>
      </c>
      <c r="E2277" s="1" t="s">
        <v>11486</v>
      </c>
      <c r="F2277" s="1" t="s">
        <v>11487</v>
      </c>
      <c r="G2277" s="1" t="s">
        <v>11488</v>
      </c>
      <c r="H2277" s="1" t="str">
        <f>IFERROR(__xludf.DUMMYFUNCTION("GOOGLETRANSLATE(D2277,""EN"",""JA"")"),"HIV-1核酸")</f>
        <v>HIV-1核酸</v>
      </c>
      <c r="I2277" s="1" t="str">
        <f>IFERROR(__xludf.DUMMYFUNCTION("GOOGLETRANSLATE(E2277,""EN"",""JA"")"),"HIV-1核酸")</f>
        <v>HIV-1核酸</v>
      </c>
      <c r="J2277" s="1" t="str">
        <f>IFERROR(__xludf.DUMMYFUNCTION("GOOGLETRANSLATE(F2277,""EN"",""JA"")"),"生物学的標本中の HIV-1 核酸の測定。")</f>
        <v>生物学的標本中の HIV-1 核酸の測定。</v>
      </c>
      <c r="K2277" s="1" t="str">
        <f>IFERROR(__xludf.DUMMYFUNCTION("GOOGLETRANSLATE(G2277,""EN"",""JA"")"),"HIV-1核酸測定")</f>
        <v>HIV-1核酸測定</v>
      </c>
    </row>
    <row r="2278" ht="13.5" customHeight="1">
      <c r="A2278" s="1" t="s">
        <v>67</v>
      </c>
      <c r="B2278" s="1" t="s">
        <v>11489</v>
      </c>
      <c r="C2278" s="1" t="s">
        <v>11490</v>
      </c>
      <c r="D2278" s="1" t="s">
        <v>11491</v>
      </c>
      <c r="E2278" s="1" t="s">
        <v>11491</v>
      </c>
      <c r="F2278" s="1" t="s">
        <v>11492</v>
      </c>
      <c r="G2278" s="1" t="s">
        <v>11493</v>
      </c>
      <c r="H2278" s="1" t="str">
        <f>IFERROR(__xludf.DUMMYFUNCTION("GOOGLETRANSLATE(D2278,""EN"",""JA"")"),"HIV-1 RNA")</f>
        <v>HIV-1 RNA</v>
      </c>
      <c r="I2278" s="1" t="str">
        <f>IFERROR(__xludf.DUMMYFUNCTION("GOOGLETRANSLATE(E2278,""EN"",""JA"")"),"HIV-1 RNA")</f>
        <v>HIV-1 RNA</v>
      </c>
      <c r="J2278" s="1" t="str">
        <f>IFERROR(__xludf.DUMMYFUNCTION("GOOGLETRANSLATE(F2278,""EN"",""JA"")"),"生物学的標本中の HIV-1 RNA の測定。")</f>
        <v>生物学的標本中の HIV-1 RNA の測定。</v>
      </c>
      <c r="K2278" s="1" t="str">
        <f>IFERROR(__xludf.DUMMYFUNCTION("GOOGLETRANSLATE(G2278,""EN"",""JA"")"),"HIV-1 RNA測定")</f>
        <v>HIV-1 RNA測定</v>
      </c>
    </row>
    <row r="2279" ht="13.5" customHeight="1">
      <c r="A2279" s="1" t="s">
        <v>201</v>
      </c>
      <c r="B2279" s="1" t="s">
        <v>11494</v>
      </c>
      <c r="C2279" s="1" t="s">
        <v>11495</v>
      </c>
      <c r="D2279" s="1" t="s">
        <v>11496</v>
      </c>
      <c r="E2279" s="1" t="s">
        <v>11496</v>
      </c>
      <c r="F2279" s="1" t="s">
        <v>11497</v>
      </c>
      <c r="G2279" s="1" t="s">
        <v>11498</v>
      </c>
      <c r="H2279" s="1" t="str">
        <f>IFERROR(__xludf.DUMMYFUNCTION("GOOGLETRANSLATE(D2279,""EN"",""JA"")"),"HIV-1血清反応性")</f>
        <v>HIV-1血清反応性</v>
      </c>
      <c r="I2279" s="1" t="str">
        <f>IFERROR(__xludf.DUMMYFUNCTION("GOOGLETRANSLATE(E2279,""EN"",""JA"")"),"HIV-1血清反応性")</f>
        <v>HIV-1血清反応性</v>
      </c>
      <c r="J2279" s="1" t="str">
        <f>IFERROR(__xludf.DUMMYFUNCTION("GOOGLETRANSLATE(F2279,""EN"",""JA"")"),"生物学的標本における HIV-1 血清反応性の測定。")</f>
        <v>生物学的標本における HIV-1 血清反応性の測定。</v>
      </c>
      <c r="K2279" s="1" t="str">
        <f>IFERROR(__xludf.DUMMYFUNCTION("GOOGLETRANSLATE(G2279,""EN"",""JA"")"),"HIV-1血清反応性測定")</f>
        <v>HIV-1血清反応性測定</v>
      </c>
    </row>
    <row r="2280" ht="13.5" customHeight="1">
      <c r="A2280" s="1" t="s">
        <v>67</v>
      </c>
      <c r="B2280" s="1" t="s">
        <v>11499</v>
      </c>
      <c r="C2280" s="1" t="s">
        <v>11500</v>
      </c>
      <c r="D2280" s="1" t="s">
        <v>11501</v>
      </c>
      <c r="E2280" s="1" t="s">
        <v>11501</v>
      </c>
      <c r="F2280" s="1" t="s">
        <v>11502</v>
      </c>
      <c r="G2280" s="1" t="s">
        <v>11503</v>
      </c>
      <c r="H2280" s="1" t="str">
        <f>IFERROR(__xludf.DUMMYFUNCTION("GOOGLETRANSLATE(D2280,""EN"",""JA"")"),"HIV-2抗体 + HIV-1 p24抗原")</f>
        <v>HIV-2抗体 + HIV-1 p24抗原</v>
      </c>
      <c r="I2280" s="1" t="str">
        <f>IFERROR(__xludf.DUMMYFUNCTION("GOOGLETRANSLATE(E2280,""EN"",""JA"")"),"HIV-2抗体 + HIV-1 p24抗原")</f>
        <v>HIV-2抗体 + HIV-1 p24抗原</v>
      </c>
      <c r="J2280" s="1" t="str">
        <f>IFERROR(__xludf.DUMMYFUNCTION("GOOGLETRANSLATE(F2280,""EN"",""JA"")"),"HIV-2 ウイルスに対する抗体反応の測定と、生物学的標本中の HIV-1 p24 抗原の測定。")</f>
        <v>HIV-2 ウイルスに対する抗体反応の測定と、生物学的標本中の HIV-1 p24 抗原の測定。</v>
      </c>
      <c r="K2280" s="1" t="str">
        <f>IFERROR(__xludf.DUMMYFUNCTION("GOOGLETRANSLATE(G2280,""EN"",""JA"")"),"HIV-2抗体およびHIV-1 p24抗原測定")</f>
        <v>HIV-2抗体およびHIV-1 p24抗原測定</v>
      </c>
    </row>
    <row r="2281" ht="13.5" customHeight="1">
      <c r="A2281" s="1" t="s">
        <v>67</v>
      </c>
      <c r="B2281" s="1" t="s">
        <v>11504</v>
      </c>
      <c r="C2281" s="1" t="s">
        <v>11505</v>
      </c>
      <c r="D2281" s="1" t="s">
        <v>11506</v>
      </c>
      <c r="E2281" s="1" t="s">
        <v>11506</v>
      </c>
      <c r="F2281" s="1" t="s">
        <v>11507</v>
      </c>
      <c r="G2281" s="1" t="s">
        <v>11508</v>
      </c>
      <c r="H2281" s="1" t="str">
        <f>IFERROR(__xludf.DUMMYFUNCTION("GOOGLETRANSLATE(D2281,""EN"",""JA"")"),"HIV-2核酸")</f>
        <v>HIV-2核酸</v>
      </c>
      <c r="I2281" s="1" t="str">
        <f>IFERROR(__xludf.DUMMYFUNCTION("GOOGLETRANSLATE(E2281,""EN"",""JA"")"),"HIV-2核酸")</f>
        <v>HIV-2核酸</v>
      </c>
      <c r="J2281" s="1" t="str">
        <f>IFERROR(__xludf.DUMMYFUNCTION("GOOGLETRANSLATE(F2281,""EN"",""JA"")"),"生物学的標本中の HIV-2 核酸の測定。")</f>
        <v>生物学的標本中の HIV-2 核酸の測定。</v>
      </c>
      <c r="K2281" s="1" t="str">
        <f>IFERROR(__xludf.DUMMYFUNCTION("GOOGLETRANSLATE(G2281,""EN"",""JA"")"),"HIV-2核酸測定")</f>
        <v>HIV-2核酸測定</v>
      </c>
    </row>
    <row r="2282" ht="13.5" customHeight="1">
      <c r="A2282" s="1" t="s">
        <v>67</v>
      </c>
      <c r="B2282" s="1" t="s">
        <v>11509</v>
      </c>
      <c r="C2282" s="1" t="s">
        <v>11510</v>
      </c>
      <c r="D2282" s="1" t="s">
        <v>11511</v>
      </c>
      <c r="E2282" s="1" t="s">
        <v>11511</v>
      </c>
      <c r="F2282" s="1" t="s">
        <v>11512</v>
      </c>
      <c r="G2282" s="1" t="s">
        <v>11513</v>
      </c>
      <c r="H2282" s="1" t="str">
        <f>IFERROR(__xludf.DUMMYFUNCTION("GOOGLETRANSLATE(D2282,""EN"",""JA"")"),"HIV-2 RNA")</f>
        <v>HIV-2 RNA</v>
      </c>
      <c r="I2282" s="1" t="str">
        <f>IFERROR(__xludf.DUMMYFUNCTION("GOOGLETRANSLATE(E2282,""EN"",""JA"")"),"HIV-2 RNA")</f>
        <v>HIV-2 RNA</v>
      </c>
      <c r="J2282" s="1" t="str">
        <f>IFERROR(__xludf.DUMMYFUNCTION("GOOGLETRANSLATE(F2282,""EN"",""JA"")"),"生物学的標本中の HIV-2 RNA の測定。")</f>
        <v>生物学的標本中の HIV-2 RNA の測定。</v>
      </c>
      <c r="K2282" s="1" t="str">
        <f>IFERROR(__xludf.DUMMYFUNCTION("GOOGLETRANSLATE(G2282,""EN"",""JA"")"),"HIV-2 RNA測定")</f>
        <v>HIV-2 RNA測定</v>
      </c>
    </row>
    <row r="2283" ht="13.5" customHeight="1">
      <c r="A2283" s="1" t="s">
        <v>201</v>
      </c>
      <c r="B2283" s="1" t="s">
        <v>11514</v>
      </c>
      <c r="C2283" s="1" t="s">
        <v>11515</v>
      </c>
      <c r="D2283" s="1" t="s">
        <v>11516</v>
      </c>
      <c r="E2283" s="1" t="s">
        <v>11516</v>
      </c>
      <c r="F2283" s="1" t="s">
        <v>11517</v>
      </c>
      <c r="G2283" s="1" t="s">
        <v>11518</v>
      </c>
      <c r="H2283" s="1" t="str">
        <f>IFERROR(__xludf.DUMMYFUNCTION("GOOGLETRANSLATE(D2283,""EN"",""JA"")"),"HIV-2血清反応性")</f>
        <v>HIV-2血清反応性</v>
      </c>
      <c r="I2283" s="1" t="str">
        <f>IFERROR(__xludf.DUMMYFUNCTION("GOOGLETRANSLATE(E2283,""EN"",""JA"")"),"HIV-2血清反応性")</f>
        <v>HIV-2血清反応性</v>
      </c>
      <c r="J2283" s="1" t="str">
        <f>IFERROR(__xludf.DUMMYFUNCTION("GOOGLETRANSLATE(F2283,""EN"",""JA"")"),"生物学的標本における HIV-2 血清反応性の測定。")</f>
        <v>生物学的標本における HIV-2 血清反応性の測定。</v>
      </c>
      <c r="K2283" s="1" t="str">
        <f>IFERROR(__xludf.DUMMYFUNCTION("GOOGLETRANSLATE(G2283,""EN"",""JA"")"),"HIV-2血清反応性測定")</f>
        <v>HIV-2血清反応性測定</v>
      </c>
    </row>
    <row r="2284" ht="13.5" customHeight="1">
      <c r="A2284" s="1" t="s">
        <v>67</v>
      </c>
      <c r="B2284" s="1" t="s">
        <v>11519</v>
      </c>
      <c r="C2284" s="1" t="s">
        <v>11520</v>
      </c>
      <c r="D2284" s="1" t="s">
        <v>11521</v>
      </c>
      <c r="E2284" s="1" t="s">
        <v>11521</v>
      </c>
      <c r="F2284" s="1" t="s">
        <v>11522</v>
      </c>
      <c r="G2284" s="1" t="s">
        <v>11523</v>
      </c>
      <c r="H2284" s="1" t="str">
        <f>IFERROR(__xludf.DUMMYFUNCTION("GOOGLETRANSLATE(D2284,""EN"",""JA"")"),"HIV抗原/抗体")</f>
        <v>HIV抗原/抗体</v>
      </c>
      <c r="I2284" s="1" t="str">
        <f>IFERROR(__xludf.DUMMYFUNCTION("GOOGLETRANSLATE(E2284,""EN"",""JA"")"),"HIV抗原/抗体")</f>
        <v>HIV抗原/抗体</v>
      </c>
      <c r="J2284" s="1" t="str">
        <f>IFERROR(__xludf.DUMMYFUNCTION("GOOGLETRANSLATE(F2284,""EN"",""JA"")"),"生物学的標本中の HIV 抗原および/または HIV 抗体の測定。")</f>
        <v>生物学的標本中の HIV 抗原および/または HIV 抗体の測定。</v>
      </c>
      <c r="K2284" s="1" t="str">
        <f>IFERROR(__xludf.DUMMYFUNCTION("GOOGLETRANSLATE(G2284,""EN"",""JA"")"),"HIV抗原/抗体測定")</f>
        <v>HIV抗原/抗体測定</v>
      </c>
    </row>
    <row r="2285" ht="13.5" customHeight="1">
      <c r="A2285" s="1" t="s">
        <v>601</v>
      </c>
      <c r="B2285" s="1" t="s">
        <v>11524</v>
      </c>
      <c r="C2285" s="1" t="s">
        <v>11525</v>
      </c>
      <c r="D2285" s="1" t="s">
        <v>11526</v>
      </c>
      <c r="E2285" s="1" t="s">
        <v>11526</v>
      </c>
      <c r="F2285" s="1" t="s">
        <v>11527</v>
      </c>
      <c r="G2285" s="1" t="s">
        <v>11526</v>
      </c>
      <c r="H2285" s="1" t="str">
        <f>IFERROR(__xludf.DUMMYFUNCTION("GOOGLETRANSLATE(D2285,""EN"",""JA"")"),"CDC HIVハイリスクドナー指標")</f>
        <v>CDC HIVハイリスクドナー指標</v>
      </c>
      <c r="I2285" s="1" t="str">
        <f>IFERROR(__xludf.DUMMYFUNCTION("GOOGLETRANSLATE(E2285,""EN"",""JA"")"),"CDC HIVハイリスクドナー指標")</f>
        <v>CDC HIVハイリスクドナー指標</v>
      </c>
      <c r="J2285" s="1" t="str">
        <f>IFERROR(__xludf.DUMMYFUNCTION("GOOGLETRANSLATE(F2285,""EN"",""JA"")"),"臓器提供者が、1994年疾病管理予防センター（CDC）公衆衛生サービス基準で定義されたヒト免疫不全ウイルス（HIV）感染リスク増加に関連する1つ以上の行動カテゴリーに該当するかどうかを示す指標。")</f>
        <v>臓器提供者が、1994年疾病管理予防センター（CDC）公衆衛生サービス基準で定義されたヒト免疫不全ウイルス（HIV）感染リスク増加に関連する1つ以上の行動カテゴリーに該当するかどうかを示す指標。</v>
      </c>
      <c r="K2285" s="1" t="str">
        <f>IFERROR(__xludf.DUMMYFUNCTION("GOOGLETRANSLATE(G2285,""EN"",""JA"")"),"CDC HIVハイリスクドナー指標")</f>
        <v>CDC HIVハイリスクドナー指標</v>
      </c>
    </row>
    <row r="2286" ht="13.5" customHeight="1">
      <c r="A2286" s="1" t="s">
        <v>67</v>
      </c>
      <c r="B2286" s="1" t="s">
        <v>11528</v>
      </c>
      <c r="C2286" s="1" t="s">
        <v>11529</v>
      </c>
      <c r="D2286" s="1" t="s">
        <v>11530</v>
      </c>
      <c r="E2286" s="1" t="s">
        <v>11531</v>
      </c>
      <c r="F2286" s="1" t="s">
        <v>11532</v>
      </c>
      <c r="G2286" s="1" t="s">
        <v>11533</v>
      </c>
      <c r="H2286" s="1" t="str">
        <f>IFERROR(__xludf.DUMMYFUNCTION("GOOGLETRANSLATE(D2286,""EN"",""JA"")"),"HCoV-HKU1核酸")</f>
        <v>HCoV-HKU1核酸</v>
      </c>
      <c r="I2286" s="1" t="str">
        <f>IFERROR(__xludf.DUMMYFUNCTION("GOOGLETRANSLATE(E2286,""EN"",""JA"")"),"HCoV-HKU1核酸; HCoV-HKU1 RNA; ヒトコロナウイルスHKU1核酸")</f>
        <v>HCoV-HKU1核酸; HCoV-HKU1 RNA; ヒトコロナウイルスHKU1核酸</v>
      </c>
      <c r="J2286" s="1" t="str">
        <f>IFERROR(__xludf.DUMMYFUNCTION("GOOGLETRANSLATE(F2286,""EN"",""JA"")"),"生物標本中のヒトコロナウイルスHKU1核酸の測定。")</f>
        <v>生物標本中のヒトコロナウイルスHKU1核酸の測定。</v>
      </c>
      <c r="K2286" s="1" t="str">
        <f>IFERROR(__xludf.DUMMYFUNCTION("GOOGLETRANSLATE(G2286,""EN"",""JA"")"),"ヒトコロナウイルスHKU1の核酸測定")</f>
        <v>ヒトコロナウイルスHKU1の核酸測定</v>
      </c>
    </row>
    <row r="2287" ht="13.5" customHeight="1">
      <c r="A2287" s="1" t="s">
        <v>67</v>
      </c>
      <c r="B2287" s="1" t="s">
        <v>11534</v>
      </c>
      <c r="C2287" s="1" t="s">
        <v>11535</v>
      </c>
      <c r="D2287" s="1" t="s">
        <v>11536</v>
      </c>
      <c r="E2287" s="1" t="s">
        <v>11537</v>
      </c>
      <c r="F2287" s="1" t="s">
        <v>11538</v>
      </c>
      <c r="G2287" s="1" t="s">
        <v>11539</v>
      </c>
      <c r="H2287" s="1" t="str">
        <f>IFERROR(__xludf.DUMMYFUNCTION("GOOGLETRANSLATE(D2287,""EN"",""JA"")"),"HCoV-HKU1 RNA")</f>
        <v>HCoV-HKU1 RNA</v>
      </c>
      <c r="I2287" s="1" t="str">
        <f>IFERROR(__xludf.DUMMYFUNCTION("GOOGLETRANSLATE(E2287,""EN"",""JA"")"),"HCoV-HKU1 RNA;ヒトコロナウイルス HKU1 RNA")</f>
        <v>HCoV-HKU1 RNA;ヒトコロナウイルス HKU1 RNA</v>
      </c>
      <c r="J2287" s="1" t="str">
        <f>IFERROR(__xludf.DUMMYFUNCTION("GOOGLETRANSLATE(F2287,""EN"",""JA"")"),"生物標本中のヒトコロナウイルス HKU1 RNA の測定。")</f>
        <v>生物標本中のヒトコロナウイルス HKU1 RNA の測定。</v>
      </c>
      <c r="K2287" s="1" t="str">
        <f>IFERROR(__xludf.DUMMYFUNCTION("GOOGLETRANSLATE(G2287,""EN"",""JA"")"),"HCoV-HKU1 RNA測定")</f>
        <v>HCoV-HKU1 RNA測定</v>
      </c>
    </row>
    <row r="2288" ht="13.5" customHeight="1">
      <c r="A2288" s="1" t="s">
        <v>11</v>
      </c>
      <c r="B2288" s="1" t="s">
        <v>11540</v>
      </c>
      <c r="C2288" s="1" t="s">
        <v>11541</v>
      </c>
      <c r="D2288" s="1" t="s">
        <v>11542</v>
      </c>
      <c r="E2288" s="1" t="s">
        <v>11542</v>
      </c>
      <c r="F2288" s="1" t="s">
        <v>11543</v>
      </c>
      <c r="G2288" s="1" t="s">
        <v>11544</v>
      </c>
      <c r="H2288" s="1" t="str">
        <f>IFERROR(__xludf.DUMMYFUNCTION("GOOGLETRANSLATE(D2288,""EN"",""JA"")"),"HLAクラスIA抗原")</f>
        <v>HLAクラスIA抗原</v>
      </c>
      <c r="I2288" s="1" t="str">
        <f>IFERROR(__xludf.DUMMYFUNCTION("GOOGLETRANSLATE(E2288,""EN"",""JA"")"),"HLAクラスIA抗原")</f>
        <v>HLAクラスIA抗原</v>
      </c>
      <c r="J2288" s="1" t="str">
        <f>IFERROR(__xludf.DUMMYFUNCTION("GOOGLETRANSLATE(F2288,""EN"",""JA"")"),"生物学的標本中の HLA クラス IA 抗原の測定。")</f>
        <v>生物学的標本中の HLA クラス IA 抗原の測定。</v>
      </c>
      <c r="K2288" s="1" t="str">
        <f>IFERROR(__xludf.DUMMYFUNCTION("GOOGLETRANSLATE(G2288,""EN"",""JA"")"),"HLAクラスIA組織適合抗原測定")</f>
        <v>HLAクラスIA組織適合抗原測定</v>
      </c>
    </row>
    <row r="2289" ht="13.5" customHeight="1">
      <c r="A2289" s="1" t="s">
        <v>11</v>
      </c>
      <c r="B2289" s="1" t="s">
        <v>11545</v>
      </c>
      <c r="C2289" s="1" t="s">
        <v>11546</v>
      </c>
      <c r="D2289" s="1" t="s">
        <v>11547</v>
      </c>
      <c r="E2289" s="1" t="s">
        <v>11548</v>
      </c>
      <c r="F2289" s="1" t="s">
        <v>11549</v>
      </c>
      <c r="G2289" s="1" t="s">
        <v>11550</v>
      </c>
      <c r="H2289" s="1" t="str">
        <f>IFERROR(__xludf.DUMMYFUNCTION("GOOGLETRANSLATE(D2289,""EN"",""JA"")"),"HLA A03抗原")</f>
        <v>HLA A03抗原</v>
      </c>
      <c r="I2289" s="1" t="str">
        <f>IFERROR(__xludf.DUMMYFUNCTION("GOOGLETRANSLATE(E2289,""EN"",""JA"")"),"HLA A03抗原; HLA-A03抗原")</f>
        <v>HLA A03抗原; HLA-A03抗原</v>
      </c>
      <c r="J2289" s="1" t="str">
        <f>IFERROR(__xludf.DUMMYFUNCTION("GOOGLETRANSLATE(F2289,""EN"",""JA"")"),"生物学的標本中の HLA A03 抗原の測定。")</f>
        <v>生物学的標本中の HLA A03 抗原の測定。</v>
      </c>
      <c r="K2289" s="1" t="str">
        <f>IFERROR(__xludf.DUMMYFUNCTION("GOOGLETRANSLATE(G2289,""EN"",""JA"")"),"HLA A03組織適合抗原測定")</f>
        <v>HLA A03組織適合抗原測定</v>
      </c>
    </row>
    <row r="2290" ht="13.5" customHeight="1">
      <c r="A2290" s="1" t="s">
        <v>11</v>
      </c>
      <c r="B2290" s="1" t="s">
        <v>11551</v>
      </c>
      <c r="C2290" s="1" t="s">
        <v>11552</v>
      </c>
      <c r="D2290" s="1" t="s">
        <v>11553</v>
      </c>
      <c r="E2290" s="1" t="s">
        <v>11554</v>
      </c>
      <c r="F2290" s="1" t="s">
        <v>11555</v>
      </c>
      <c r="G2290" s="1" t="s">
        <v>11556</v>
      </c>
      <c r="H2290" s="1" t="str">
        <f>IFERROR(__xludf.DUMMYFUNCTION("GOOGLETRANSLATE(D2290,""EN"",""JA"")"),"HLA A2抗原")</f>
        <v>HLA A2抗原</v>
      </c>
      <c r="I2290" s="1" t="str">
        <f>IFERROR(__xludf.DUMMYFUNCTION("GOOGLETRANSLATE(E2290,""EN"",""JA"")"),"HLA A2 抗原; HLA-A2抗原")</f>
        <v>HLA A2 抗原; HLA-A2抗原</v>
      </c>
      <c r="J2290" s="1" t="str">
        <f>IFERROR(__xludf.DUMMYFUNCTION("GOOGLETRANSLATE(F2290,""EN"",""JA"")"),"生物学的標本中の HLA A2 抗原の測定。")</f>
        <v>生物学的標本中の HLA A2 抗原の測定。</v>
      </c>
      <c r="K2290" s="1" t="str">
        <f>IFERROR(__xludf.DUMMYFUNCTION("GOOGLETRANSLATE(G2290,""EN"",""JA"")"),"HLA A2組織適合抗原測定")</f>
        <v>HLA A2組織適合抗原測定</v>
      </c>
    </row>
    <row r="2291" ht="13.5" customHeight="1">
      <c r="A2291" s="1" t="s">
        <v>11</v>
      </c>
      <c r="B2291" s="1" t="s">
        <v>11557</v>
      </c>
      <c r="C2291" s="1" t="s">
        <v>11558</v>
      </c>
      <c r="D2291" s="1" t="s">
        <v>11559</v>
      </c>
      <c r="E2291" s="1" t="s">
        <v>11560</v>
      </c>
      <c r="F2291" s="1" t="s">
        <v>11561</v>
      </c>
      <c r="G2291" s="1" t="s">
        <v>11562</v>
      </c>
      <c r="H2291" s="1" t="str">
        <f>IFERROR(__xludf.DUMMYFUNCTION("GOOGLETRANSLATE(D2291,""EN"",""JA"")"),"HLA A24抗原")</f>
        <v>HLA A24抗原</v>
      </c>
      <c r="I2291" s="1" t="str">
        <f>IFERROR(__xludf.DUMMYFUNCTION("GOOGLETRANSLATE(E2291,""EN"",""JA"")"),"HLA A24抗原; HLA-A24抗原")</f>
        <v>HLA A24抗原; HLA-A24抗原</v>
      </c>
      <c r="J2291" s="1" t="str">
        <f>IFERROR(__xludf.DUMMYFUNCTION("GOOGLETRANSLATE(F2291,""EN"",""JA"")"),"生物学的標本中の HLA A24 抗原の測定。")</f>
        <v>生物学的標本中の HLA A24 抗原の測定。</v>
      </c>
      <c r="K2291" s="1" t="str">
        <f>IFERROR(__xludf.DUMMYFUNCTION("GOOGLETRANSLATE(G2291,""EN"",""JA"")"),"HLA A24組織適合抗原測定")</f>
        <v>HLA A24組織適合抗原測定</v>
      </c>
    </row>
    <row r="2292" ht="13.5" customHeight="1">
      <c r="A2292" s="1" t="s">
        <v>11</v>
      </c>
      <c r="B2292" s="1" t="s">
        <v>11563</v>
      </c>
      <c r="C2292" s="1" t="s">
        <v>11564</v>
      </c>
      <c r="D2292" s="1" t="s">
        <v>11565</v>
      </c>
      <c r="E2292" s="1" t="s">
        <v>11566</v>
      </c>
      <c r="F2292" s="1" t="s">
        <v>11567</v>
      </c>
      <c r="G2292" s="1" t="s">
        <v>11568</v>
      </c>
      <c r="H2292" s="1" t="str">
        <f>IFERROR(__xludf.DUMMYFUNCTION("GOOGLETRANSLATE(D2292,""EN"",""JA"")"),"HLA A3抗原")</f>
        <v>HLA A3抗原</v>
      </c>
      <c r="I2292" s="1" t="str">
        <f>IFERROR(__xludf.DUMMYFUNCTION("GOOGLETRANSLATE(E2292,""EN"",""JA"")"),"HLA A3 抗原; HLA-A3抗原")</f>
        <v>HLA A3 抗原; HLA-A3抗原</v>
      </c>
      <c r="J2292" s="1" t="str">
        <f>IFERROR(__xludf.DUMMYFUNCTION("GOOGLETRANSLATE(F2292,""EN"",""JA"")"),"生物学的標本中の HLA A3 抗原の測定。")</f>
        <v>生物学的標本中の HLA A3 抗原の測定。</v>
      </c>
      <c r="K2292" s="1" t="str">
        <f>IFERROR(__xludf.DUMMYFUNCTION("GOOGLETRANSLATE(G2292,""EN"",""JA"")"),"HLA A3組織適合抗原測定")</f>
        <v>HLA A3組織適合抗原測定</v>
      </c>
    </row>
    <row r="2293" ht="13.5" customHeight="1">
      <c r="A2293" s="1" t="s">
        <v>11</v>
      </c>
      <c r="B2293" s="1" t="s">
        <v>11569</v>
      </c>
      <c r="C2293" s="1" t="s">
        <v>11570</v>
      </c>
      <c r="D2293" s="1" t="s">
        <v>11571</v>
      </c>
      <c r="E2293" s="1" t="s">
        <v>11571</v>
      </c>
      <c r="F2293" s="1" t="s">
        <v>11572</v>
      </c>
      <c r="G2293" s="1" t="s">
        <v>11571</v>
      </c>
      <c r="H2293" s="1" t="str">
        <f>IFERROR(__xludf.DUMMYFUNCTION("GOOGLETRANSLATE(D2293,""EN"",""JA"")"),"HLA-A抗原型")</f>
        <v>HLA-A抗原型</v>
      </c>
      <c r="I2293" s="1" t="str">
        <f>IFERROR(__xludf.DUMMYFUNCTION("GOOGLETRANSLATE(E2293,""EN"",""JA"")"),"HLA-A抗原型")</f>
        <v>HLA-A抗原型</v>
      </c>
      <c r="J2293" s="1" t="str">
        <f>IFERROR(__xludf.DUMMYFUNCTION("GOOGLETRANSLATE(F2293,""EN"",""JA"")"),"生物学的標本中のヒト白血球抗原クラス I グループ A (HLA-A) のタイプの識別。")</f>
        <v>生物学的標本中のヒト白血球抗原クラス I グループ A (HLA-A) のタイプの識別。</v>
      </c>
      <c r="K2293" s="1" t="str">
        <f>IFERROR(__xludf.DUMMYFUNCTION("GOOGLETRANSLATE(G2293,""EN"",""JA"")"),"HLA-A抗原型")</f>
        <v>HLA-A抗原型</v>
      </c>
    </row>
    <row r="2294" ht="13.5" customHeight="1">
      <c r="A2294" s="1" t="s">
        <v>11</v>
      </c>
      <c r="B2294" s="1" t="s">
        <v>11573</v>
      </c>
      <c r="C2294" s="1" t="s">
        <v>11574</v>
      </c>
      <c r="D2294" s="1" t="s">
        <v>11575</v>
      </c>
      <c r="E2294" s="1" t="s">
        <v>11575</v>
      </c>
      <c r="F2294" s="1" t="s">
        <v>11576</v>
      </c>
      <c r="G2294" s="1" t="s">
        <v>11575</v>
      </c>
      <c r="H2294" s="1" t="str">
        <f>IFERROR(__xludf.DUMMYFUNCTION("GOOGLETRANSLATE(D2294,""EN"",""JA"")"),"HLA-A不一致数")</f>
        <v>HLA-A不一致数</v>
      </c>
      <c r="I2294" s="1" t="str">
        <f>IFERROR(__xludf.DUMMYFUNCTION("GOOGLETRANSLATE(E2294,""EN"",""JA"")"),"HLA-A不一致数")</f>
        <v>HLA-A不一致数</v>
      </c>
      <c r="J2294" s="1" t="str">
        <f>IFERROR(__xludf.DUMMYFUNCTION("GOOGLETRANSLATE(F2294,""EN"",""JA"")"),"ヒト白血球抗原クラス I グループ A (HLA-A) について、レシピエントとドナー間の不一致の数を決定する測定。")</f>
        <v>ヒト白血球抗原クラス I グループ A (HLA-A) について、レシピエントとドナー間の不一致の数を決定する測定。</v>
      </c>
      <c r="K2294" s="1" t="str">
        <f>IFERROR(__xludf.DUMMYFUNCTION("GOOGLETRANSLATE(G2294,""EN"",""JA"")"),"HLA-A不一致数")</f>
        <v>HLA-A不一致数</v>
      </c>
    </row>
    <row r="2295" ht="13.5" customHeight="1">
      <c r="A2295" s="1" t="s">
        <v>11</v>
      </c>
      <c r="B2295" s="1" t="s">
        <v>11577</v>
      </c>
      <c r="C2295" s="1" t="s">
        <v>11578</v>
      </c>
      <c r="D2295" s="1" t="s">
        <v>11579</v>
      </c>
      <c r="E2295" s="1" t="s">
        <v>11579</v>
      </c>
      <c r="F2295" s="1" t="s">
        <v>11580</v>
      </c>
      <c r="G2295" s="1" t="s">
        <v>11581</v>
      </c>
      <c r="H2295" s="1" t="str">
        <f>IFERROR(__xludf.DUMMYFUNCTION("GOOGLETRANSLATE(D2295,""EN"",""JA"")"),"HLAクラスIB抗原")</f>
        <v>HLAクラスIB抗原</v>
      </c>
      <c r="I2295" s="1" t="str">
        <f>IFERROR(__xludf.DUMMYFUNCTION("GOOGLETRANSLATE(E2295,""EN"",""JA"")"),"HLAクラスIB抗原")</f>
        <v>HLAクラスIB抗原</v>
      </c>
      <c r="J2295" s="1" t="str">
        <f>IFERROR(__xludf.DUMMYFUNCTION("GOOGLETRANSLATE(F2295,""EN"",""JA"")"),"生物学的標本中の HLA クラス IB 抗原の測定。")</f>
        <v>生物学的標本中の HLA クラス IB 抗原の測定。</v>
      </c>
      <c r="K2295" s="1" t="str">
        <f>IFERROR(__xludf.DUMMYFUNCTION("GOOGLETRANSLATE(G2295,""EN"",""JA"")"),"HLAクラスIB組織適合抗原測定")</f>
        <v>HLAクラスIB組織適合抗原測定</v>
      </c>
    </row>
    <row r="2296" ht="13.5" customHeight="1">
      <c r="A2296" s="1" t="s">
        <v>11</v>
      </c>
      <c r="B2296" s="1" t="s">
        <v>11582</v>
      </c>
      <c r="C2296" s="1" t="s">
        <v>11583</v>
      </c>
      <c r="D2296" s="1" t="s">
        <v>11584</v>
      </c>
      <c r="E2296" s="1" t="s">
        <v>11585</v>
      </c>
      <c r="F2296" s="1" t="s">
        <v>11586</v>
      </c>
      <c r="G2296" s="1" t="s">
        <v>11587</v>
      </c>
      <c r="H2296" s="1" t="str">
        <f>IFERROR(__xludf.DUMMYFUNCTION("GOOGLETRANSLATE(D2296,""EN"",""JA"")"),"HLA-B27抗原")</f>
        <v>HLA-B27抗原</v>
      </c>
      <c r="I2296" s="1" t="str">
        <f>IFERROR(__xludf.DUMMYFUNCTION("GOOGLETRANSLATE(E2296,""EN"",""JA"")"),"HLA-B27抗原; ヒト白血球抗原B27")</f>
        <v>HLA-B27抗原; ヒト白血球抗原B27</v>
      </c>
      <c r="J2296" s="1" t="str">
        <f>IFERROR(__xludf.DUMMYFUNCTION("GOOGLETRANSLATE(F2296,""EN"",""JA"")"),"生物学的標本中のヒト白血球抗原 B27 (HLA-B27) の測定。")</f>
        <v>生物学的標本中のヒト白血球抗原 B27 (HLA-B27) の測定。</v>
      </c>
      <c r="K2296" s="1" t="str">
        <f>IFERROR(__xludf.DUMMYFUNCTION("GOOGLETRANSLATE(G2296,""EN"",""JA"")"),"HLA-B27抗原測定")</f>
        <v>HLA-B27抗原測定</v>
      </c>
    </row>
    <row r="2297" ht="13.5" customHeight="1">
      <c r="A2297" s="1" t="s">
        <v>11</v>
      </c>
      <c r="B2297" s="1" t="s">
        <v>11588</v>
      </c>
      <c r="C2297" s="1" t="s">
        <v>11589</v>
      </c>
      <c r="D2297" s="1" t="s">
        <v>11590</v>
      </c>
      <c r="E2297" s="1" t="s">
        <v>11590</v>
      </c>
      <c r="F2297" s="1" t="s">
        <v>11591</v>
      </c>
      <c r="G2297" s="1" t="s">
        <v>11590</v>
      </c>
      <c r="H2297" s="1" t="str">
        <f>IFERROR(__xludf.DUMMYFUNCTION("GOOGLETRANSLATE(D2297,""EN"",""JA"")"),"HLA-B抗原型")</f>
        <v>HLA-B抗原型</v>
      </c>
      <c r="I2297" s="1" t="str">
        <f>IFERROR(__xludf.DUMMYFUNCTION("GOOGLETRANSLATE(E2297,""EN"",""JA"")"),"HLA-B抗原型")</f>
        <v>HLA-B抗原型</v>
      </c>
      <c r="J2297" s="1" t="str">
        <f>IFERROR(__xludf.DUMMYFUNCTION("GOOGLETRANSLATE(F2297,""EN"",""JA"")"),"生物学的標本中のヒト白血球抗原クラス I グループ B (HLA-B) のタイプの識別。")</f>
        <v>生物学的標本中のヒト白血球抗原クラス I グループ B (HLA-B) のタイプの識別。</v>
      </c>
      <c r="K2297" s="1" t="str">
        <f>IFERROR(__xludf.DUMMYFUNCTION("GOOGLETRANSLATE(G2297,""EN"",""JA"")"),"HLA-B抗原型")</f>
        <v>HLA-B抗原型</v>
      </c>
    </row>
    <row r="2298" ht="13.5" customHeight="1">
      <c r="A2298" s="1" t="s">
        <v>11</v>
      </c>
      <c r="B2298" s="1" t="s">
        <v>11592</v>
      </c>
      <c r="C2298" s="1" t="s">
        <v>11593</v>
      </c>
      <c r="D2298" s="1" t="s">
        <v>11594</v>
      </c>
      <c r="E2298" s="1" t="s">
        <v>11594</v>
      </c>
      <c r="F2298" s="1" t="s">
        <v>11595</v>
      </c>
      <c r="G2298" s="1" t="s">
        <v>11594</v>
      </c>
      <c r="H2298" s="1" t="str">
        <f>IFERROR(__xludf.DUMMYFUNCTION("GOOGLETRANSLATE(D2298,""EN"",""JA"")"),"HLA-Bミスマッチ数")</f>
        <v>HLA-Bミスマッチ数</v>
      </c>
      <c r="I2298" s="1" t="str">
        <f>IFERROR(__xludf.DUMMYFUNCTION("GOOGLETRANSLATE(E2298,""EN"",""JA"")"),"HLA-Bミスマッチ数")</f>
        <v>HLA-Bミスマッチ数</v>
      </c>
      <c r="J2298" s="1" t="str">
        <f>IFERROR(__xludf.DUMMYFUNCTION("GOOGLETRANSLATE(F2298,""EN"",""JA"")"),"ヒト白血球抗原クラス I グループ B (HLA-B) について、レシピエントとドナー間の不一致の数を決定する測定。")</f>
        <v>ヒト白血球抗原クラス I グループ B (HLA-B) について、レシピエントとドナー間の不一致の数を決定する測定。</v>
      </c>
      <c r="K2298" s="1" t="str">
        <f>IFERROR(__xludf.DUMMYFUNCTION("GOOGLETRANSLATE(G2298,""EN"",""JA"")"),"HLA-Bミスマッチ数")</f>
        <v>HLA-Bミスマッチ数</v>
      </c>
    </row>
    <row r="2299" ht="13.5" customHeight="1">
      <c r="A2299" s="1" t="s">
        <v>11</v>
      </c>
      <c r="B2299" s="1" t="s">
        <v>11596</v>
      </c>
      <c r="C2299" s="1" t="s">
        <v>11597</v>
      </c>
      <c r="D2299" s="1" t="s">
        <v>11598</v>
      </c>
      <c r="E2299" s="1" t="s">
        <v>11598</v>
      </c>
      <c r="F2299" s="1" t="s">
        <v>11599</v>
      </c>
      <c r="G2299" s="1" t="s">
        <v>11600</v>
      </c>
      <c r="H2299" s="1" t="str">
        <f>IFERROR(__xludf.DUMMYFUNCTION("GOOGLETRANSLATE(D2299,""EN"",""JA"")"),"HLAクラスIC抗原")</f>
        <v>HLAクラスIC抗原</v>
      </c>
      <c r="I2299" s="1" t="str">
        <f>IFERROR(__xludf.DUMMYFUNCTION("GOOGLETRANSLATE(E2299,""EN"",""JA"")"),"HLAクラスIC抗原")</f>
        <v>HLAクラスIC抗原</v>
      </c>
      <c r="J2299" s="1" t="str">
        <f>IFERROR(__xludf.DUMMYFUNCTION("GOOGLETRANSLATE(F2299,""EN"",""JA"")"),"生物学的標本中の HLA クラス IC 抗原の測定。")</f>
        <v>生物学的標本中の HLA クラス IC 抗原の測定。</v>
      </c>
      <c r="K2299" s="1" t="str">
        <f>IFERROR(__xludf.DUMMYFUNCTION("GOOGLETRANSLATE(G2299,""EN"",""JA"")"),"HLAクラスIC組織適合抗原測定")</f>
        <v>HLAクラスIC組織適合抗原測定</v>
      </c>
    </row>
    <row r="2300" ht="13.5" customHeight="1">
      <c r="A2300" s="1" t="s">
        <v>11</v>
      </c>
      <c r="B2300" s="1" t="s">
        <v>11601</v>
      </c>
      <c r="C2300" s="1" t="s">
        <v>11602</v>
      </c>
      <c r="D2300" s="1" t="s">
        <v>11603</v>
      </c>
      <c r="E2300" s="1" t="s">
        <v>11604</v>
      </c>
      <c r="F2300" s="1" t="s">
        <v>11605</v>
      </c>
      <c r="G2300" s="1" t="s">
        <v>11606</v>
      </c>
      <c r="H2300" s="1" t="str">
        <f>IFERROR(__xludf.DUMMYFUNCTION("GOOGLETRANSLATE(D2300,""EN"",""JA"")"),"HLA Cw抗原")</f>
        <v>HLA Cw抗原</v>
      </c>
      <c r="I2300" s="1" t="str">
        <f>IFERROR(__xludf.DUMMYFUNCTION("GOOGLETRANSLATE(E2300,""EN"",""JA"")"),"HLA Cw抗原; HLA-Cw抗原")</f>
        <v>HLA Cw抗原; HLA-Cw抗原</v>
      </c>
      <c r="J2300" s="1" t="str">
        <f>IFERROR(__xludf.DUMMYFUNCTION("GOOGLETRANSLATE(F2300,""EN"",""JA"")"),"生物学的標本中の HLA Cw 抗原の測定。")</f>
        <v>生物学的標本中の HLA Cw 抗原の測定。</v>
      </c>
      <c r="K2300" s="1" t="str">
        <f>IFERROR(__xludf.DUMMYFUNCTION("GOOGLETRANSLATE(G2300,""EN"",""JA"")"),"HLA Cw組織適合抗原測定")</f>
        <v>HLA Cw組織適合抗原測定</v>
      </c>
    </row>
    <row r="2301" ht="13.5" customHeight="1">
      <c r="A2301" s="1" t="s">
        <v>11</v>
      </c>
      <c r="B2301" s="1" t="s">
        <v>11607</v>
      </c>
      <c r="C2301" s="1" t="s">
        <v>11608</v>
      </c>
      <c r="D2301" s="1" t="s">
        <v>11609</v>
      </c>
      <c r="E2301" s="1" t="s">
        <v>11610</v>
      </c>
      <c r="F2301" s="1" t="s">
        <v>11611</v>
      </c>
      <c r="G2301" s="1" t="s">
        <v>11612</v>
      </c>
      <c r="H2301" s="1" t="str">
        <f>IFERROR(__xludf.DUMMYFUNCTION("GOOGLETRANSLATE(D2301,""EN"",""JA"")"),"HLA DPアルファ1抗原")</f>
        <v>HLA DPアルファ1抗原</v>
      </c>
      <c r="I2301" s="1" t="str">
        <f>IFERROR(__xludf.DUMMYFUNCTION("GOOGLETRANSLATE(E2301,""EN"",""JA"")"),"HLA DP Alpha1抗原; HLA-DP Alpha1抗原")</f>
        <v>HLA DP Alpha1抗原; HLA-DP Alpha1抗原</v>
      </c>
      <c r="J2301" s="1" t="str">
        <f>IFERROR(__xludf.DUMMYFUNCTION("GOOGLETRANSLATE(F2301,""EN"",""JA"")"),"生物学的標本中の HLA DP アルファ 1 抗原の測定。")</f>
        <v>生物学的標本中の HLA DP アルファ 1 抗原の測定。</v>
      </c>
      <c r="K2301" s="1" t="str">
        <f>IFERROR(__xludf.DUMMYFUNCTION("GOOGLETRANSLATE(G2301,""EN"",""JA"")"),"HLA DP Alpha1組織適合抗原測定")</f>
        <v>HLA DP Alpha1組織適合抗原測定</v>
      </c>
    </row>
    <row r="2302" ht="13.5" customHeight="1">
      <c r="A2302" s="1" t="s">
        <v>11</v>
      </c>
      <c r="B2302" s="1" t="s">
        <v>11613</v>
      </c>
      <c r="C2302" s="1" t="s">
        <v>11614</v>
      </c>
      <c r="D2302" s="1" t="s">
        <v>11615</v>
      </c>
      <c r="E2302" s="1" t="s">
        <v>11616</v>
      </c>
      <c r="F2302" s="1" t="s">
        <v>11617</v>
      </c>
      <c r="G2302" s="1" t="s">
        <v>11618</v>
      </c>
      <c r="H2302" s="1" t="str">
        <f>IFERROR(__xludf.DUMMYFUNCTION("GOOGLETRANSLATE(D2302,""EN"",""JA"")"),"HLA DPベータ抗原")</f>
        <v>HLA DPベータ抗原</v>
      </c>
      <c r="I2302" s="1" t="str">
        <f>IFERROR(__xludf.DUMMYFUNCTION("GOOGLETRANSLATE(E2302,""EN"",""JA"")"),"HLA DPベータ抗原; HLA-DPベータ抗原")</f>
        <v>HLA DPベータ抗原; HLA-DPベータ抗原</v>
      </c>
      <c r="J2302" s="1" t="str">
        <f>IFERROR(__xludf.DUMMYFUNCTION("GOOGLETRANSLATE(F2302,""EN"",""JA"")"),"生物学的標本中の総 HLA DP ベータ抗原の測定。")</f>
        <v>生物学的標本中の総 HLA DP ベータ抗原の測定。</v>
      </c>
      <c r="K2302" s="1" t="str">
        <f>IFERROR(__xludf.DUMMYFUNCTION("GOOGLETRANSLATE(G2302,""EN"",""JA"")"),"HLA DPベータ組織適合抗原測定")</f>
        <v>HLA DPベータ組織適合抗原測定</v>
      </c>
    </row>
    <row r="2303" ht="13.5" customHeight="1">
      <c r="A2303" s="1" t="s">
        <v>11</v>
      </c>
      <c r="B2303" s="1" t="s">
        <v>11619</v>
      </c>
      <c r="C2303" s="1" t="s">
        <v>11620</v>
      </c>
      <c r="D2303" s="1" t="s">
        <v>11621</v>
      </c>
      <c r="E2303" s="1" t="s">
        <v>11621</v>
      </c>
      <c r="F2303" s="1" t="s">
        <v>11622</v>
      </c>
      <c r="G2303" s="1" t="s">
        <v>11623</v>
      </c>
      <c r="H2303" s="1" t="str">
        <f>IFERROR(__xludf.DUMMYFUNCTION("GOOGLETRANSLATE(D2303,""EN"",""JA"")"),"HLA DPベータ1抗原")</f>
        <v>HLA DPベータ1抗原</v>
      </c>
      <c r="I2303" s="1" t="str">
        <f>IFERROR(__xludf.DUMMYFUNCTION("GOOGLETRANSLATE(E2303,""EN"",""JA"")"),"HLA DPベータ1抗原")</f>
        <v>HLA DPベータ1抗原</v>
      </c>
      <c r="J2303" s="1" t="str">
        <f>IFERROR(__xludf.DUMMYFUNCTION("GOOGLETRANSLATE(F2303,""EN"",""JA"")"),"生物学的標本中の HLA DP ベータ 1 抗原の測定。")</f>
        <v>生物学的標本中の HLA DP ベータ 1 抗原の測定。</v>
      </c>
      <c r="K2303" s="1" t="str">
        <f>IFERROR(__xludf.DUMMYFUNCTION("GOOGLETRANSLATE(G2303,""EN"",""JA"")"),"HLA DPベータ1組織適合抗原測定")</f>
        <v>HLA DPベータ1組織適合抗原測定</v>
      </c>
    </row>
    <row r="2304" ht="13.5" customHeight="1">
      <c r="A2304" s="1" t="s">
        <v>11</v>
      </c>
      <c r="B2304" s="1" t="s">
        <v>11624</v>
      </c>
      <c r="C2304" s="1" t="s">
        <v>11625</v>
      </c>
      <c r="D2304" s="1" t="s">
        <v>11626</v>
      </c>
      <c r="E2304" s="1" t="s">
        <v>11627</v>
      </c>
      <c r="F2304" s="1" t="s">
        <v>11628</v>
      </c>
      <c r="G2304" s="1" t="s">
        <v>11629</v>
      </c>
      <c r="H2304" s="1" t="str">
        <f>IFERROR(__xludf.DUMMYFUNCTION("GOOGLETRANSLATE(D2304,""EN"",""JA"")"),"HLA DQ2抗原")</f>
        <v>HLA DQ2抗原</v>
      </c>
      <c r="I2304" s="1" t="str">
        <f>IFERROR(__xludf.DUMMYFUNCTION("GOOGLETRANSLATE(E2304,""EN"",""JA"")"),"HLA DQ2抗原; HLA-DQ2抗原")</f>
        <v>HLA DQ2抗原; HLA-DQ2抗原</v>
      </c>
      <c r="J2304" s="1" t="str">
        <f>IFERROR(__xludf.DUMMYFUNCTION("GOOGLETRANSLATE(F2304,""EN"",""JA"")"),"生物学的標本中の HLA DQ2 抗原の測定。")</f>
        <v>生物学的標本中の HLA DQ2 抗原の測定。</v>
      </c>
      <c r="K2304" s="1" t="str">
        <f>IFERROR(__xludf.DUMMYFUNCTION("GOOGLETRANSLATE(G2304,""EN"",""JA"")"),"HLA DQ2抗原測定")</f>
        <v>HLA DQ2抗原測定</v>
      </c>
    </row>
    <row r="2305" ht="13.5" customHeight="1">
      <c r="A2305" s="1" t="s">
        <v>11</v>
      </c>
      <c r="B2305" s="1" t="s">
        <v>11630</v>
      </c>
      <c r="C2305" s="1" t="s">
        <v>11631</v>
      </c>
      <c r="D2305" s="1" t="s">
        <v>11632</v>
      </c>
      <c r="E2305" s="1" t="s">
        <v>11633</v>
      </c>
      <c r="F2305" s="1" t="s">
        <v>11634</v>
      </c>
      <c r="G2305" s="1" t="s">
        <v>11635</v>
      </c>
      <c r="H2305" s="1" t="str">
        <f>IFERROR(__xludf.DUMMYFUNCTION("GOOGLETRANSLATE(D2305,""EN"",""JA"")"),"HLA DQ8抗原")</f>
        <v>HLA DQ8抗原</v>
      </c>
      <c r="I2305" s="1" t="str">
        <f>IFERROR(__xludf.DUMMYFUNCTION("GOOGLETRANSLATE(E2305,""EN"",""JA"")"),"HLA DQ8 抗原; HLA-DQ8抗原")</f>
        <v>HLA DQ8 抗原; HLA-DQ8抗原</v>
      </c>
      <c r="J2305" s="1" t="str">
        <f>IFERROR(__xludf.DUMMYFUNCTION("GOOGLETRANSLATE(F2305,""EN"",""JA"")"),"生物学的標本中の HLA DQ8 抗原の測定。")</f>
        <v>生物学的標本中の HLA DQ8 抗原の測定。</v>
      </c>
      <c r="K2305" s="1" t="str">
        <f>IFERROR(__xludf.DUMMYFUNCTION("GOOGLETRANSLATE(G2305,""EN"",""JA"")"),"HLA DQ8抗原測定")</f>
        <v>HLA DQ8抗原測定</v>
      </c>
    </row>
    <row r="2306" ht="13.5" customHeight="1">
      <c r="A2306" s="1" t="s">
        <v>11</v>
      </c>
      <c r="B2306" s="1" t="s">
        <v>11636</v>
      </c>
      <c r="C2306" s="1" t="s">
        <v>11637</v>
      </c>
      <c r="D2306" s="1" t="s">
        <v>11638</v>
      </c>
      <c r="E2306" s="1" t="s">
        <v>11639</v>
      </c>
      <c r="F2306" s="1" t="s">
        <v>11640</v>
      </c>
      <c r="G2306" s="1" t="s">
        <v>11641</v>
      </c>
      <c r="H2306" s="1" t="str">
        <f>IFERROR(__xludf.DUMMYFUNCTION("GOOGLETRANSLATE(D2306,""EN"",""JA"")"),"HLA DQ Alpha1抗原")</f>
        <v>HLA DQ Alpha1抗原</v>
      </c>
      <c r="I2306" s="1" t="str">
        <f>IFERROR(__xludf.DUMMYFUNCTION("GOOGLETRANSLATE(E2306,""EN"",""JA"")"),"HLA DQ Alpha1抗原; HLA-DQ Alpha1抗原")</f>
        <v>HLA DQ Alpha1抗原; HLA-DQ Alpha1抗原</v>
      </c>
      <c r="J2306" s="1" t="str">
        <f>IFERROR(__xludf.DUMMYFUNCTION("GOOGLETRANSLATE(F2306,""EN"",""JA"")"),"生物学的標本中の HLA DQ alpha1 抗原の測定。")</f>
        <v>生物学的標本中の HLA DQ alpha1 抗原の測定。</v>
      </c>
      <c r="K2306" s="1" t="str">
        <f>IFERROR(__xludf.DUMMYFUNCTION("GOOGLETRANSLATE(G2306,""EN"",""JA"")"),"HLA DQ Alpha1組織適合抗原測定")</f>
        <v>HLA DQ Alpha1組織適合抗原測定</v>
      </c>
    </row>
    <row r="2307" ht="13.5" customHeight="1">
      <c r="A2307" s="1" t="s">
        <v>11</v>
      </c>
      <c r="B2307" s="1" t="s">
        <v>11642</v>
      </c>
      <c r="C2307" s="1" t="s">
        <v>11643</v>
      </c>
      <c r="D2307" s="1" t="s">
        <v>11644</v>
      </c>
      <c r="E2307" s="1" t="s">
        <v>11644</v>
      </c>
      <c r="F2307" s="1" t="s">
        <v>11645</v>
      </c>
      <c r="G2307" s="1" t="s">
        <v>11646</v>
      </c>
      <c r="H2307" s="1" t="str">
        <f>IFERROR(__xludf.DUMMYFUNCTION("GOOGLETRANSLATE(D2307,""EN"",""JA"")"),"HLA DQベータ1抗原")</f>
        <v>HLA DQベータ1抗原</v>
      </c>
      <c r="I2307" s="1" t="str">
        <f>IFERROR(__xludf.DUMMYFUNCTION("GOOGLETRANSLATE(E2307,""EN"",""JA"")"),"HLA DQベータ1抗原")</f>
        <v>HLA DQベータ1抗原</v>
      </c>
      <c r="J2307" s="1" t="str">
        <f>IFERROR(__xludf.DUMMYFUNCTION("GOOGLETRANSLATE(F2307,""EN"",""JA"")"),"生物学的標本中の HLA DQ beta1 抗原の測定。")</f>
        <v>生物学的標本中の HLA DQ beta1 抗原の測定。</v>
      </c>
      <c r="K2307" s="1" t="str">
        <f>IFERROR(__xludf.DUMMYFUNCTION("GOOGLETRANSLATE(G2307,""EN"",""JA"")"),"HLA DQベータ1組織適合抗原測定")</f>
        <v>HLA DQベータ1組織適合抗原測定</v>
      </c>
    </row>
    <row r="2308" ht="13.5" customHeight="1">
      <c r="A2308" s="1" t="s">
        <v>11</v>
      </c>
      <c r="B2308" s="1" t="s">
        <v>11647</v>
      </c>
      <c r="C2308" s="1" t="s">
        <v>11648</v>
      </c>
      <c r="D2308" s="1" t="s">
        <v>11649</v>
      </c>
      <c r="E2308" s="1" t="s">
        <v>11650</v>
      </c>
      <c r="F2308" s="1" t="s">
        <v>11651</v>
      </c>
      <c r="G2308" s="1" t="s">
        <v>11652</v>
      </c>
      <c r="H2308" s="1" t="str">
        <f>IFERROR(__xludf.DUMMYFUNCTION("GOOGLETRANSLATE(D2308,""EN"",""JA"")"),"HLA DR抗原")</f>
        <v>HLA DR抗原</v>
      </c>
      <c r="I2308" s="1" t="str">
        <f>IFERROR(__xludf.DUMMYFUNCTION("GOOGLETRANSLATE(E2308,""EN"",""JA"")"),"HLA DR抗原; HLA-DR抗原")</f>
        <v>HLA DR抗原; HLA-DR抗原</v>
      </c>
      <c r="J2308" s="1" t="str">
        <f>IFERROR(__xludf.DUMMYFUNCTION("GOOGLETRANSLATE(F2308,""EN"",""JA"")"),"生物学的標本中の総 HLA DR 抗原の測定。")</f>
        <v>生物学的標本中の総 HLA DR 抗原の測定。</v>
      </c>
      <c r="K2308" s="1" t="str">
        <f>IFERROR(__xludf.DUMMYFUNCTION("GOOGLETRANSLATE(G2308,""EN"",""JA"")"),"HLA DR組織適合抗原測定")</f>
        <v>HLA DR組織適合抗原測定</v>
      </c>
    </row>
    <row r="2309" ht="13.5" customHeight="1">
      <c r="A2309" s="1" t="s">
        <v>11</v>
      </c>
      <c r="B2309" s="1" t="s">
        <v>11653</v>
      </c>
      <c r="C2309" s="1" t="s">
        <v>11654</v>
      </c>
      <c r="D2309" s="1" t="s">
        <v>11655</v>
      </c>
      <c r="E2309" s="1" t="s">
        <v>11656</v>
      </c>
      <c r="F2309" s="1" t="s">
        <v>11657</v>
      </c>
      <c r="G2309" s="1" t="s">
        <v>11658</v>
      </c>
      <c r="H2309" s="1" t="str">
        <f>IFERROR(__xludf.DUMMYFUNCTION("GOOGLETRANSLATE(D2309,""EN"",""JA"")"),"HLA DRアルファ抗原")</f>
        <v>HLA DRアルファ抗原</v>
      </c>
      <c r="I2309" s="1" t="str">
        <f>IFERROR(__xludf.DUMMYFUNCTION("GOOGLETRANSLATE(E2309,""EN"",""JA"")"),"HLA DRアルファ抗原; HLA-DRアルファ抗原")</f>
        <v>HLA DRアルファ抗原; HLA-DRアルファ抗原</v>
      </c>
      <c r="J2309" s="1" t="str">
        <f>IFERROR(__xludf.DUMMYFUNCTION("GOOGLETRANSLATE(F2309,""EN"",""JA"")"),"生物学的標本中の総 HLA DR アルファ抗原の測定。")</f>
        <v>生物学的標本中の総 HLA DR アルファ抗原の測定。</v>
      </c>
      <c r="K2309" s="1" t="str">
        <f>IFERROR(__xludf.DUMMYFUNCTION("GOOGLETRANSLATE(G2309,""EN"",""JA"")"),"HLA-DRアルファ組織適合抗原測定")</f>
        <v>HLA-DRアルファ組織適合抗原測定</v>
      </c>
    </row>
    <row r="2310" ht="13.5" customHeight="1">
      <c r="A2310" s="1" t="s">
        <v>11</v>
      </c>
      <c r="B2310" s="1" t="s">
        <v>11659</v>
      </c>
      <c r="C2310" s="1" t="s">
        <v>11660</v>
      </c>
      <c r="D2310" s="1" t="s">
        <v>11661</v>
      </c>
      <c r="E2310" s="1" t="s">
        <v>11661</v>
      </c>
      <c r="F2310" s="1" t="s">
        <v>11662</v>
      </c>
      <c r="G2310" s="1" t="s">
        <v>11661</v>
      </c>
      <c r="H2310" s="1" t="str">
        <f>IFERROR(__xludf.DUMMYFUNCTION("GOOGLETRANSLATE(D2310,""EN"",""JA"")"),"HLA-DR抗原型")</f>
        <v>HLA-DR抗原型</v>
      </c>
      <c r="I2310" s="1" t="str">
        <f>IFERROR(__xludf.DUMMYFUNCTION("GOOGLETRANSLATE(E2310,""EN"",""JA"")"),"HLA-DR抗原型")</f>
        <v>HLA-DR抗原型</v>
      </c>
      <c r="J2310" s="1" t="str">
        <f>IFERROR(__xludf.DUMMYFUNCTION("GOOGLETRANSLATE(F2310,""EN"",""JA"")"),"生物学的標本中のヒト白血球抗原クラス II 抗原 D 関連 (HLA-DR) のタイプの識別。")</f>
        <v>生物学的標本中のヒト白血球抗原クラス II 抗原 D 関連 (HLA-DR) のタイプの識別。</v>
      </c>
      <c r="K2310" s="1" t="str">
        <f>IFERROR(__xludf.DUMMYFUNCTION("GOOGLETRANSLATE(G2310,""EN"",""JA"")"),"HLA-DR抗原型")</f>
        <v>HLA-DR抗原型</v>
      </c>
    </row>
    <row r="2311" ht="13.5" customHeight="1">
      <c r="A2311" s="1" t="s">
        <v>11</v>
      </c>
      <c r="B2311" s="1" t="s">
        <v>11663</v>
      </c>
      <c r="C2311" s="1" t="s">
        <v>11664</v>
      </c>
      <c r="D2311" s="1" t="s">
        <v>11665</v>
      </c>
      <c r="E2311" s="1" t="s">
        <v>11666</v>
      </c>
      <c r="F2311" s="1" t="s">
        <v>11667</v>
      </c>
      <c r="G2311" s="1" t="s">
        <v>11668</v>
      </c>
      <c r="H2311" s="1" t="str">
        <f>IFERROR(__xludf.DUMMYFUNCTION("GOOGLETRANSLATE(D2311,""EN"",""JA"")"),"HLA DRベータ抗原")</f>
        <v>HLA DRベータ抗原</v>
      </c>
      <c r="I2311" s="1" t="str">
        <f>IFERROR(__xludf.DUMMYFUNCTION("GOOGLETRANSLATE(E2311,""EN"",""JA"")"),"HLA DRベータ抗原; HLA-DRベータ抗原")</f>
        <v>HLA DRベータ抗原; HLA-DRベータ抗原</v>
      </c>
      <c r="J2311" s="1" t="str">
        <f>IFERROR(__xludf.DUMMYFUNCTION("GOOGLETRANSLATE(F2311,""EN"",""JA"")"),"生物学的標本中の総 HLA DR ベータ抗原の測定。")</f>
        <v>生物学的標本中の総 HLA DR ベータ抗原の測定。</v>
      </c>
      <c r="K2311" s="1" t="str">
        <f>IFERROR(__xludf.DUMMYFUNCTION("GOOGLETRANSLATE(G2311,""EN"",""JA"")"),"HLA DRベータ組織適合抗原測定")</f>
        <v>HLA DRベータ組織適合抗原測定</v>
      </c>
    </row>
    <row r="2312" ht="13.5" customHeight="1">
      <c r="A2312" s="1" t="s">
        <v>11</v>
      </c>
      <c r="B2312" s="1" t="s">
        <v>11669</v>
      </c>
      <c r="C2312" s="1" t="s">
        <v>11670</v>
      </c>
      <c r="D2312" s="1" t="s">
        <v>11671</v>
      </c>
      <c r="E2312" s="1" t="s">
        <v>11671</v>
      </c>
      <c r="F2312" s="1" t="s">
        <v>11672</v>
      </c>
      <c r="G2312" s="1" t="s">
        <v>11673</v>
      </c>
      <c r="H2312" s="1" t="str">
        <f>IFERROR(__xludf.DUMMYFUNCTION("GOOGLETRANSLATE(D2312,""EN"",""JA"")"),"HLA DRベータ1抗原")</f>
        <v>HLA DRベータ1抗原</v>
      </c>
      <c r="I2312" s="1" t="str">
        <f>IFERROR(__xludf.DUMMYFUNCTION("GOOGLETRANSLATE(E2312,""EN"",""JA"")"),"HLA DRベータ1抗原")</f>
        <v>HLA DRベータ1抗原</v>
      </c>
      <c r="J2312" s="1" t="str">
        <f>IFERROR(__xludf.DUMMYFUNCTION("GOOGLETRANSLATE(F2312,""EN"",""JA"")"),"生物学的標本中の HLA DR ベータ 1 抗原の測定。")</f>
        <v>生物学的標本中の HLA DR ベータ 1 抗原の測定。</v>
      </c>
      <c r="K2312" s="1" t="str">
        <f>IFERROR(__xludf.DUMMYFUNCTION("GOOGLETRANSLATE(G2312,""EN"",""JA"")"),"HLA DRベータ1組織適合抗原測定")</f>
        <v>HLA DRベータ1組織適合抗原測定</v>
      </c>
    </row>
    <row r="2313" ht="13.5" customHeight="1">
      <c r="A2313" s="1" t="s">
        <v>11</v>
      </c>
      <c r="B2313" s="1" t="s">
        <v>11674</v>
      </c>
      <c r="C2313" s="1" t="s">
        <v>11675</v>
      </c>
      <c r="D2313" s="1" t="s">
        <v>11676</v>
      </c>
      <c r="E2313" s="1" t="s">
        <v>11677</v>
      </c>
      <c r="F2313" s="1" t="s">
        <v>11678</v>
      </c>
      <c r="G2313" s="1" t="s">
        <v>11679</v>
      </c>
      <c r="H2313" s="1" t="str">
        <f>IFERROR(__xludf.DUMMYFUNCTION("GOOGLETRANSLATE(D2313,""EN"",""JA"")"),"HLA DRベータ2抗原")</f>
        <v>HLA DRベータ2抗原</v>
      </c>
      <c r="I2313" s="1" t="str">
        <f>IFERROR(__xludf.DUMMYFUNCTION("GOOGLETRANSLATE(E2313,""EN"",""JA"")"),"HLA DRベータ2抗原; HLA-DRベータ2抗原")</f>
        <v>HLA DRベータ2抗原; HLA-DRベータ2抗原</v>
      </c>
      <c r="J2313" s="1" t="str">
        <f>IFERROR(__xludf.DUMMYFUNCTION("GOOGLETRANSLATE(F2313,""EN"",""JA"")"),"生物学的標本中の HLA DR beta2 抗原の測定。")</f>
        <v>生物学的標本中の HLA DR beta2 抗原の測定。</v>
      </c>
      <c r="K2313" s="1" t="str">
        <f>IFERROR(__xludf.DUMMYFUNCTION("GOOGLETRANSLATE(G2313,""EN"",""JA"")"),"HLA DRベータ2組織適合抗原測定")</f>
        <v>HLA DRベータ2組織適合抗原測定</v>
      </c>
    </row>
    <row r="2314" ht="13.5" customHeight="1">
      <c r="A2314" s="1" t="s">
        <v>11</v>
      </c>
      <c r="B2314" s="1" t="s">
        <v>11680</v>
      </c>
      <c r="C2314" s="1" t="s">
        <v>11681</v>
      </c>
      <c r="D2314" s="1" t="s">
        <v>11682</v>
      </c>
      <c r="E2314" s="1" t="s">
        <v>11683</v>
      </c>
      <c r="F2314" s="1" t="s">
        <v>11684</v>
      </c>
      <c r="G2314" s="1" t="s">
        <v>11685</v>
      </c>
      <c r="H2314" s="1" t="str">
        <f>IFERROR(__xludf.DUMMYFUNCTION("GOOGLETRANSLATE(D2314,""EN"",""JA"")"),"HLA DRベータ3抗原")</f>
        <v>HLA DRベータ3抗原</v>
      </c>
      <c r="I2314" s="1" t="str">
        <f>IFERROR(__xludf.DUMMYFUNCTION("GOOGLETRANSLATE(E2314,""EN"",""JA"")"),"HLA DR ベータ 3 抗原; HLA-DR ベータ 3 抗原")</f>
        <v>HLA DR ベータ 3 抗原; HLA-DR ベータ 3 抗原</v>
      </c>
      <c r="J2314" s="1" t="str">
        <f>IFERROR(__xludf.DUMMYFUNCTION("GOOGLETRANSLATE(F2314,""EN"",""JA"")"),"生物学的標本中の HLA DR beta3 抗原の測定。")</f>
        <v>生物学的標本中の HLA DR beta3 抗原の測定。</v>
      </c>
      <c r="K2314" s="1" t="str">
        <f>IFERROR(__xludf.DUMMYFUNCTION("GOOGLETRANSLATE(G2314,""EN"",""JA"")"),"HLA DRベータ3組織適合抗原測定")</f>
        <v>HLA DRベータ3組織適合抗原測定</v>
      </c>
    </row>
    <row r="2315" ht="13.5" customHeight="1">
      <c r="A2315" s="1" t="s">
        <v>11</v>
      </c>
      <c r="B2315" s="1" t="s">
        <v>11686</v>
      </c>
      <c r="C2315" s="1" t="s">
        <v>11687</v>
      </c>
      <c r="D2315" s="1" t="s">
        <v>11688</v>
      </c>
      <c r="E2315" s="1" t="s">
        <v>11689</v>
      </c>
      <c r="F2315" s="1" t="s">
        <v>11690</v>
      </c>
      <c r="G2315" s="1" t="s">
        <v>11691</v>
      </c>
      <c r="H2315" s="1" t="str">
        <f>IFERROR(__xludf.DUMMYFUNCTION("GOOGLETRANSLATE(D2315,""EN"",""JA"")"),"HLA DRベータ4抗原")</f>
        <v>HLA DRベータ4抗原</v>
      </c>
      <c r="I2315" s="1" t="str">
        <f>IFERROR(__xludf.DUMMYFUNCTION("GOOGLETRANSLATE(E2315,""EN"",""JA"")"),"HLA DRベータ4抗原; HLA-DRベータ4抗原")</f>
        <v>HLA DRベータ4抗原; HLA-DRベータ4抗原</v>
      </c>
      <c r="J2315" s="1" t="str">
        <f>IFERROR(__xludf.DUMMYFUNCTION("GOOGLETRANSLATE(F2315,""EN"",""JA"")"),"生物学的標本中の HLA DR beta4 抗原の測定。")</f>
        <v>生物学的標本中の HLA DR beta4 抗原の測定。</v>
      </c>
      <c r="K2315" s="1" t="str">
        <f>IFERROR(__xludf.DUMMYFUNCTION("GOOGLETRANSLATE(G2315,""EN"",""JA"")"),"HLA DRベータ4組織適合抗原測定")</f>
        <v>HLA DRベータ4組織適合抗原測定</v>
      </c>
    </row>
    <row r="2316" ht="13.5" customHeight="1">
      <c r="A2316" s="1" t="s">
        <v>11</v>
      </c>
      <c r="B2316" s="1" t="s">
        <v>11692</v>
      </c>
      <c r="C2316" s="1" t="s">
        <v>11693</v>
      </c>
      <c r="D2316" s="1" t="s">
        <v>11694</v>
      </c>
      <c r="E2316" s="1" t="s">
        <v>11695</v>
      </c>
      <c r="F2316" s="1" t="s">
        <v>11696</v>
      </c>
      <c r="G2316" s="1" t="s">
        <v>11697</v>
      </c>
      <c r="H2316" s="1" t="str">
        <f>IFERROR(__xludf.DUMMYFUNCTION("GOOGLETRANSLATE(D2316,""EN"",""JA"")"),"HLA DRベータ5抗原")</f>
        <v>HLA DRベータ5抗原</v>
      </c>
      <c r="I2316" s="1" t="str">
        <f>IFERROR(__xludf.DUMMYFUNCTION("GOOGLETRANSLATE(E2316,""EN"",""JA"")"),"HLA DRベータ5抗原; HLA-DRベータ5抗原")</f>
        <v>HLA DRベータ5抗原; HLA-DRベータ5抗原</v>
      </c>
      <c r="J2316" s="1" t="str">
        <f>IFERROR(__xludf.DUMMYFUNCTION("GOOGLETRANSLATE(F2316,""EN"",""JA"")"),"生物学的標本中の HLA DR beta5 抗原の測定。")</f>
        <v>生物学的標本中の HLA DR beta5 抗原の測定。</v>
      </c>
      <c r="K2316" s="1" t="str">
        <f>IFERROR(__xludf.DUMMYFUNCTION("GOOGLETRANSLATE(G2316,""EN"",""JA"")"),"HLA DRベータ5組織適合抗原測定")</f>
        <v>HLA DRベータ5組織適合抗原測定</v>
      </c>
    </row>
    <row r="2317" ht="13.5" customHeight="1">
      <c r="A2317" s="1" t="s">
        <v>11</v>
      </c>
      <c r="B2317" s="1" t="s">
        <v>11698</v>
      </c>
      <c r="C2317" s="1" t="s">
        <v>11699</v>
      </c>
      <c r="D2317" s="1" t="s">
        <v>11700</v>
      </c>
      <c r="E2317" s="1" t="s">
        <v>11701</v>
      </c>
      <c r="F2317" s="1" t="s">
        <v>11702</v>
      </c>
      <c r="G2317" s="1" t="s">
        <v>11703</v>
      </c>
      <c r="H2317" s="1" t="str">
        <f>IFERROR(__xludf.DUMMYFUNCTION("GOOGLETRANSLATE(D2317,""EN"",""JA"")"),"HLA-DR抗原/総細胞数")</f>
        <v>HLA-DR抗原/総細胞数</v>
      </c>
      <c r="I2317" s="1" t="str">
        <f>IFERROR(__xludf.DUMMYFUNCTION("GOOGLETRANSLATE(E2317,""EN"",""JA"")"),"HLA DR抗原/総細胞数; HLA-DR抗原/総細胞数")</f>
        <v>HLA DR抗原/総細胞数; HLA-DR抗原/総細胞数</v>
      </c>
      <c r="J2317" s="1" t="str">
        <f>IFERROR(__xludf.DUMMYFUNCTION("GOOGLETRANSLATE(F2317,""EN"",""JA"")"),"生物学的標本中の総細胞に対するヒト白血球抗原 DR (HLA-DR) 抗原の相対的な測定値 (比率またはパーセンテージ)。")</f>
        <v>生物学的標本中の総細胞に対するヒト白血球抗原 DR (HLA-DR) 抗原の相対的な測定値 (比率またはパーセンテージ)。</v>
      </c>
      <c r="K2317" s="1" t="str">
        <f>IFERROR(__xludf.DUMMYFUNCTION("GOOGLETRANSLATE(G2317,""EN"",""JA"")"),"HLA-DR抗原対総細胞比測定")</f>
        <v>HLA-DR抗原対総細胞比測定</v>
      </c>
    </row>
    <row r="2318" ht="13.5" customHeight="1">
      <c r="A2318" s="1" t="s">
        <v>11</v>
      </c>
      <c r="B2318" s="1" t="s">
        <v>11704</v>
      </c>
      <c r="C2318" s="1" t="s">
        <v>11705</v>
      </c>
      <c r="D2318" s="1" t="s">
        <v>11706</v>
      </c>
      <c r="E2318" s="1" t="s">
        <v>11707</v>
      </c>
      <c r="F2318" s="1" t="s">
        <v>11708</v>
      </c>
      <c r="G2318" s="1" t="s">
        <v>11709</v>
      </c>
      <c r="H2318" s="1" t="str">
        <f>IFERROR(__xludf.DUMMYFUNCTION("GOOGLETRANSLATE(D2318,""EN"",""JA"")"),"HLA-DR抗原/白血球")</f>
        <v>HLA-DR抗原/白血球</v>
      </c>
      <c r="I2318" s="1" t="str">
        <f>IFERROR(__xludf.DUMMYFUNCTION("GOOGLETRANSLATE(E2318,""EN"",""JA"")"),"HLA DR抗原/白血球; HLA-DR抗原/白血球")</f>
        <v>HLA DR抗原/白血球; HLA-DR抗原/白血球</v>
      </c>
      <c r="J2318" s="1" t="str">
        <f>IFERROR(__xludf.DUMMYFUNCTION("GOOGLETRANSLATE(F2318,""EN"",""JA"")"),"生物学的標本中の白血球に対するヒト白血球抗原 DR (HLA-DR) 抗原の相対的な測定値 (比率またはパーセンテージ)。")</f>
        <v>生物学的標本中の白血球に対するヒト白血球抗原 DR (HLA-DR) 抗原の相対的な測定値 (比率またはパーセンテージ)。</v>
      </c>
      <c r="K2318" s="1" t="str">
        <f>IFERROR(__xludf.DUMMYFUNCTION("GOOGLETRANSLATE(G2318,""EN"",""JA"")"),"HLA-DR抗原対白血球比測定")</f>
        <v>HLA-DR抗原対白血球比測定</v>
      </c>
    </row>
    <row r="2319" ht="13.5" customHeight="1">
      <c r="A2319" s="1" t="s">
        <v>11</v>
      </c>
      <c r="B2319" s="1" t="s">
        <v>11710</v>
      </c>
      <c r="C2319" s="1" t="s">
        <v>11711</v>
      </c>
      <c r="D2319" s="1" t="s">
        <v>11712</v>
      </c>
      <c r="E2319" s="1" t="s">
        <v>11712</v>
      </c>
      <c r="F2319" s="1" t="s">
        <v>11713</v>
      </c>
      <c r="G2319" s="1" t="s">
        <v>11712</v>
      </c>
      <c r="H2319" s="1" t="str">
        <f>IFERROR(__xludf.DUMMYFUNCTION("GOOGLETRANSLATE(D2319,""EN"",""JA"")"),"HLA-DR不一致数")</f>
        <v>HLA-DR不一致数</v>
      </c>
      <c r="I2319" s="1" t="str">
        <f>IFERROR(__xludf.DUMMYFUNCTION("GOOGLETRANSLATE(E2319,""EN"",""JA"")"),"HLA-DR不一致数")</f>
        <v>HLA-DR不一致数</v>
      </c>
      <c r="J2319" s="1" t="str">
        <f>IFERROR(__xludf.DUMMYFUNCTION("GOOGLETRANSLATE(F2319,""EN"",""JA"")"),"ヒト白血球抗原クラス II 抗原 D 関連 (HLA-DR) について、レシピエントとドナー間の不一致の数を決定する測定。")</f>
        <v>ヒト白血球抗原クラス II 抗原 D 関連 (HLA-DR) について、レシピエントとドナー間の不一致の数を決定する測定。</v>
      </c>
      <c r="K2319" s="1" t="str">
        <f>IFERROR(__xludf.DUMMYFUNCTION("GOOGLETRANSLATE(G2319,""EN"",""JA"")"),"HLA-DR不一致数")</f>
        <v>HLA-DR不一致数</v>
      </c>
    </row>
    <row r="2320" ht="13.5" customHeight="1">
      <c r="A2320" s="1" t="s">
        <v>201</v>
      </c>
      <c r="B2320" s="1" t="s">
        <v>11714</v>
      </c>
      <c r="C2320" s="1" t="s">
        <v>11715</v>
      </c>
      <c r="D2320" s="1" t="s">
        <v>11716</v>
      </c>
      <c r="E2320" s="1" t="s">
        <v>11716</v>
      </c>
      <c r="F2320" s="1" t="s">
        <v>11717</v>
      </c>
      <c r="G2320" s="1" t="s">
        <v>11718</v>
      </c>
      <c r="H2320" s="1" t="str">
        <f>IFERROR(__xludf.DUMMYFUNCTION("GOOGLETRANSLATE(D2320,""EN"",""JA"")"),"HLAクラスIIパネル反応性抗体")</f>
        <v>HLAクラスIIパネル反応性抗体</v>
      </c>
      <c r="I2320" s="1" t="str">
        <f>IFERROR(__xludf.DUMMYFUNCTION("GOOGLETRANSLATE(E2320,""EN"",""JA"")"),"HLAクラスIIパネル反応性抗体")</f>
        <v>HLAクラスIIパネル反応性抗体</v>
      </c>
      <c r="J2320" s="1" t="str">
        <f>IFERROR(__xludf.DUMMYFUNCTION("GOOGLETRANSLATE(F2320,""EN"",""JA"")"),"生物標本中のパネル反応性抗体（宿主免疫細胞とドナー間の反応性）ヒト白血球抗原クラス II の測定。")</f>
        <v>生物標本中のパネル反応性抗体（宿主免疫細胞とドナー間の反応性）ヒト白血球抗原クラス II の測定。</v>
      </c>
      <c r="K2320" s="1" t="str">
        <f>IFERROR(__xludf.DUMMYFUNCTION("GOOGLETRANSLATE(G2320,""EN"",""JA"")"),"HLAクラスIIパネル反応性抗体測定")</f>
        <v>HLAクラスIIパネル反応性抗体測定</v>
      </c>
    </row>
    <row r="2321" ht="13.5" customHeight="1">
      <c r="A2321" s="1" t="s">
        <v>201</v>
      </c>
      <c r="B2321" s="1" t="s">
        <v>11719</v>
      </c>
      <c r="C2321" s="1" t="s">
        <v>11720</v>
      </c>
      <c r="D2321" s="1" t="s">
        <v>11721</v>
      </c>
      <c r="E2321" s="1" t="s">
        <v>11721</v>
      </c>
      <c r="F2321" s="1" t="s">
        <v>11722</v>
      </c>
      <c r="G2321" s="1" t="s">
        <v>11723</v>
      </c>
      <c r="H2321" s="1" t="str">
        <f>IFERROR(__xludf.DUMMYFUNCTION("GOOGLETRANSLATE(D2321,""EN"",""JA"")"),"HLAクラスIパネル反応性抗体")</f>
        <v>HLAクラスIパネル反応性抗体</v>
      </c>
      <c r="I2321" s="1" t="str">
        <f>IFERROR(__xludf.DUMMYFUNCTION("GOOGLETRANSLATE(E2321,""EN"",""JA"")"),"HLAクラスIパネル反応性抗体")</f>
        <v>HLAクラスIパネル反応性抗体</v>
      </c>
      <c r="J2321" s="1" t="str">
        <f>IFERROR(__xludf.DUMMYFUNCTION("GOOGLETRANSLATE(F2321,""EN"",""JA"")"),"生物標本中のパネル反応性抗体（宿主免疫細胞とドナー間の反応性）ヒト白血球抗原クラス I の測定。")</f>
        <v>生物標本中のパネル反応性抗体（宿主免疫細胞とドナー間の反応性）ヒト白血球抗原クラス I の測定。</v>
      </c>
      <c r="K2321" s="1" t="str">
        <f>IFERROR(__xludf.DUMMYFUNCTION("GOOGLETRANSLATE(G2321,""EN"",""JA"")"),"HLAクラスIパネル反応性抗体測定")</f>
        <v>HLAクラスIパネル反応性抗体測定</v>
      </c>
    </row>
    <row r="2322" ht="13.5" customHeight="1">
      <c r="A2322" s="1" t="s">
        <v>11</v>
      </c>
      <c r="B2322" s="1" t="s">
        <v>11724</v>
      </c>
      <c r="C2322" s="1" t="s">
        <v>11725</v>
      </c>
      <c r="D2322" s="1" t="s">
        <v>11726</v>
      </c>
      <c r="E2322" s="1" t="s">
        <v>11726</v>
      </c>
      <c r="F2322" s="1" t="s">
        <v>11727</v>
      </c>
      <c r="G2322" s="1" t="s">
        <v>11726</v>
      </c>
      <c r="H2322" s="1" t="str">
        <f>IFERROR(__xludf.DUMMYFUNCTION("GOOGLETRANSLATE(D2322,""EN"",""JA"")"),"HLA不一致数")</f>
        <v>HLA不一致数</v>
      </c>
      <c r="I2322" s="1" t="str">
        <f>IFERROR(__xludf.DUMMYFUNCTION("GOOGLETRANSLATE(E2322,""EN"",""JA"")"),"HLA不一致数")</f>
        <v>HLA不一致数</v>
      </c>
      <c r="J2322" s="1" t="str">
        <f>IFERROR(__xludf.DUMMYFUNCTION("GOOGLETRANSLATE(F2322,""EN"",""JA"")"),"レシピエントとドナー間のヒト白血球抗原 (HLA) の不一致の数を決定するための測定。")</f>
        <v>レシピエントとドナー間のヒト白血球抗原 (HLA) の不一致の数を決定するための測定。</v>
      </c>
      <c r="K2322" s="1" t="str">
        <f>IFERROR(__xludf.DUMMYFUNCTION("GOOGLETRANSLATE(G2322,""EN"",""JA"")"),"HLA不一致数")</f>
        <v>HLA不一致数</v>
      </c>
    </row>
    <row r="2323" ht="13.5" customHeight="1">
      <c r="A2323" s="1" t="s">
        <v>397</v>
      </c>
      <c r="B2323" s="1" t="s">
        <v>11728</v>
      </c>
      <c r="C2323" s="1" t="s">
        <v>11729</v>
      </c>
      <c r="D2323" s="1" t="s">
        <v>11730</v>
      </c>
      <c r="E2323" s="1" t="s">
        <v>11730</v>
      </c>
      <c r="F2323" s="1" t="s">
        <v>11731</v>
      </c>
      <c r="G2323" s="1" t="s">
        <v>11730</v>
      </c>
      <c r="H2323" s="1" t="str">
        <f>IFERROR(__xludf.DUMMYFUNCTION("GOOGLETRANSLATE(D2323,""EN"",""JA"")"),"健康な被験者指標")</f>
        <v>健康な被験者指標</v>
      </c>
      <c r="I2323" s="1" t="str">
        <f>IFERROR(__xludf.DUMMYFUNCTION("GOOGLETRANSLATE(E2323,""EN"",""JA"")"),"健康な被験者指標")</f>
        <v>健康な被験者指標</v>
      </c>
      <c r="J2323" s="1" t="str">
        <f>IFERROR(__xludf.DUMMYFUNCTION("GOOGLETRANSLATE(F2323,""EN"",""JA"")"),"適格性要件で指定されているように、研究対象となる病状または関連する病状や症状を患ったことがない人が研究に参加できるかどうかを示してください。")</f>
        <v>適格性要件で指定されているように、研究対象となる病状または関連する病状や症状を患ったことがない人が研究に参加できるかどうかを示してください。</v>
      </c>
      <c r="K2323" s="1" t="str">
        <f>IFERROR(__xludf.DUMMYFUNCTION("GOOGLETRANSLATE(G2323,""EN"",""JA"")"),"健康な被験者指標")</f>
        <v>健康な被験者指標</v>
      </c>
    </row>
    <row r="2324" ht="13.5" customHeight="1">
      <c r="A2324" s="1" t="s">
        <v>11</v>
      </c>
      <c r="B2324" s="1" t="s">
        <v>11732</v>
      </c>
      <c r="C2324" s="1" t="s">
        <v>11733</v>
      </c>
      <c r="D2324" s="1" t="s">
        <v>11734</v>
      </c>
      <c r="E2324" s="1" t="s">
        <v>11734</v>
      </c>
      <c r="F2324" s="1" t="s">
        <v>11735</v>
      </c>
      <c r="G2324" s="1" t="s">
        <v>11736</v>
      </c>
      <c r="H2324" s="1" t="str">
        <f>IFERROR(__xludf.DUMMYFUNCTION("GOOGLETRANSLATE(D2324,""EN"",""JA"")"),"ハラゼパム")</f>
        <v>ハラゼパム</v>
      </c>
      <c r="I2324" s="1" t="str">
        <f>IFERROR(__xludf.DUMMYFUNCTION("GOOGLETRANSLATE(E2324,""EN"",""JA"")"),"ハラゼパム")</f>
        <v>ハラゼパム</v>
      </c>
      <c r="J2324" s="1" t="str">
        <f>IFERROR(__xludf.DUMMYFUNCTION("GOOGLETRANSLATE(F2324,""EN"",""JA"")"),"生物標本中に存在するハラゼパムの測定。")</f>
        <v>生物標本中に存在するハラゼパムの測定。</v>
      </c>
      <c r="K2324" s="1" t="str">
        <f>IFERROR(__xludf.DUMMYFUNCTION("GOOGLETRANSLATE(G2324,""EN"",""JA"")"),"ハラゼパム測定")</f>
        <v>ハラゼパム測定</v>
      </c>
    </row>
    <row r="2325" ht="13.5" customHeight="1">
      <c r="A2325" s="1" t="s">
        <v>134</v>
      </c>
      <c r="B2325" s="1" t="s">
        <v>11737</v>
      </c>
      <c r="C2325" s="1" t="s">
        <v>11738</v>
      </c>
      <c r="D2325" s="1" t="s">
        <v>11739</v>
      </c>
      <c r="E2325" s="1" t="s">
        <v>11740</v>
      </c>
      <c r="F2325" s="1" t="s">
        <v>11741</v>
      </c>
      <c r="G2325" s="1" t="s">
        <v>11742</v>
      </c>
      <c r="H2325" s="1" t="str">
        <f>IFERROR(__xludf.DUMMYFUNCTION("GOOGLETRANSLATE(D2325,""EN"",""JA"")"),"造血細胞/脂肪細胞")</f>
        <v>造血細胞/脂肪細胞</v>
      </c>
      <c r="I2325" s="1" t="str">
        <f>IFERROR(__xludf.DUMMYFUNCTION("GOOGLETRANSLATE(E2325,""EN"",""JA"")"),"造血細胞/脂肪細胞; 造血細胞/脂肪細胞; 造血細胞/脂肪細胞")</f>
        <v>造血細胞/脂肪細胞; 造血細胞/脂肪細胞; 造血細胞/脂肪細胞</v>
      </c>
      <c r="J2325" s="1" t="str">
        <f>IFERROR(__xludf.DUMMYFUNCTION("GOOGLETRANSLATE(F2325,""EN"",""JA"")"),"生物標本中の造血細胞と脂肪細胞の相対的な測定値（比率）。")</f>
        <v>生物標本中の造血細胞と脂肪細胞の相対的な測定値（比率）。</v>
      </c>
      <c r="K2325" s="1" t="str">
        <f>IFERROR(__xludf.DUMMYFUNCTION("GOOGLETRANSLATE(G2325,""EN"",""JA"")"),"造血細胞と脂肪細胞の比率測定")</f>
        <v>造血細胞と脂肪細胞の比率測定</v>
      </c>
    </row>
    <row r="2326" ht="13.5" customHeight="1">
      <c r="A2326" s="1" t="s">
        <v>11</v>
      </c>
      <c r="B2326" s="1" t="s">
        <v>11743</v>
      </c>
      <c r="C2326" s="1" t="s">
        <v>11744</v>
      </c>
      <c r="D2326" s="1" t="s">
        <v>11745</v>
      </c>
      <c r="E2326" s="1" t="s">
        <v>11745</v>
      </c>
      <c r="F2326" s="1" t="s">
        <v>11746</v>
      </c>
      <c r="G2326" s="1" t="s">
        <v>11747</v>
      </c>
      <c r="H2326" s="1" t="str">
        <f>IFERROR(__xludf.DUMMYFUNCTION("GOOGLETRANSLATE(D2326,""EN"",""JA"")"),"ヘモシデリン")</f>
        <v>ヘモシデリン</v>
      </c>
      <c r="I2326" s="1" t="str">
        <f>IFERROR(__xludf.DUMMYFUNCTION("GOOGLETRANSLATE(E2326,""EN"",""JA"")"),"ヘモシデリン")</f>
        <v>ヘモシデリン</v>
      </c>
      <c r="J2326" s="1" t="str">
        <f>IFERROR(__xludf.DUMMYFUNCTION("GOOGLETRANSLATE(F2326,""EN"",""JA"")"),"生物標本中のヘモシデリン複合体の測定。")</f>
        <v>生物標本中のヘモシデリン複合体の測定。</v>
      </c>
      <c r="K2326" s="1" t="str">
        <f>IFERROR(__xludf.DUMMYFUNCTION("GOOGLETRANSLATE(G2326,""EN"",""JA"")"),"ヘモジデリン測定")</f>
        <v>ヘモジデリン測定</v>
      </c>
    </row>
    <row r="2327" ht="13.5" customHeight="1">
      <c r="A2327" s="1" t="s">
        <v>160</v>
      </c>
      <c r="B2327" s="1" t="s">
        <v>11748</v>
      </c>
      <c r="C2327" s="1" t="s">
        <v>11749</v>
      </c>
      <c r="D2327" s="1" t="s">
        <v>11750</v>
      </c>
      <c r="E2327" s="1" t="s">
        <v>11750</v>
      </c>
      <c r="F2327" s="1" t="s">
        <v>11751</v>
      </c>
      <c r="G2327" s="1" t="s">
        <v>11750</v>
      </c>
      <c r="H2327" s="1" t="str">
        <f>IFERROR(__xludf.DUMMYFUNCTION("GOOGLETRANSLATE(D2327,""EN"",""JA"")"),"月経周期インジケーター付き")</f>
        <v>月経周期インジケーター付き</v>
      </c>
      <c r="I2327" s="1" t="str">
        <f>IFERROR(__xludf.DUMMYFUNCTION("GOOGLETRANSLATE(E2327,""EN"",""JA"")"),"月経周期インジケーター付き")</f>
        <v>月経周期インジケーター付き</v>
      </c>
      <c r="J2327" s="1" t="str">
        <f>IFERROR(__xludf.DUMMYFUNCTION("GOOGLETRANSLATE(F2327,""EN"",""JA"")"),"対象者が月経周期を経験するかどうかを示す指標。")</f>
        <v>対象者が月経周期を経験するかどうかを示す指標。</v>
      </c>
      <c r="K2327" s="1" t="str">
        <f>IFERROR(__xludf.DUMMYFUNCTION("GOOGLETRANSLATE(G2327,""EN"",""JA"")"),"月経周期インジケーター付き")</f>
        <v>月経周期インジケーター付き</v>
      </c>
    </row>
    <row r="2328" ht="13.5" customHeight="1">
      <c r="A2328" s="1" t="s">
        <v>11</v>
      </c>
      <c r="B2328" s="1" t="s">
        <v>11752</v>
      </c>
      <c r="C2328" s="1" t="s">
        <v>11753</v>
      </c>
      <c r="D2328" s="1" t="s">
        <v>11754</v>
      </c>
      <c r="E2328" s="1" t="s">
        <v>11755</v>
      </c>
      <c r="F2328" s="1" t="s">
        <v>11756</v>
      </c>
      <c r="G2328" s="1" t="s">
        <v>11757</v>
      </c>
      <c r="H2328" s="1" t="str">
        <f>IFERROR(__xludf.DUMMYFUNCTION("GOOGLETRANSLATE(D2328,""EN"",""JA"")"),"3-ヒドロキシ-1-メチルプロピルメルカプツール酸")</f>
        <v>3-ヒドロキシ-1-メチルプロピルメルカプツール酸</v>
      </c>
      <c r="I2328" s="1" t="str">
        <f>IFERROR(__xludf.DUMMYFUNCTION("GOOGLETRANSLATE(E2328,""EN"",""JA"")"),"(2R)-2-アセトアミド-3-((4-ヒドロキシブタン-2-イル)チオ)プロパン酸; (2R)-HMPMA; 3-ヒドロキシ-1-メチルプロピルメルカプツール酸; 3-ヒドロキシ-1-メチルプロピルメルカプツール酸; 3-ヒドロキシ-1-メチルプロピルメルカプツール酸; HMPMA-1")</f>
        <v>(2R)-2-アセトアミド-3-((4-ヒドロキシブタン-2-イル)チオ)プロパン酸; (2R)-HMPMA; 3-ヒドロキシ-1-メチルプロピルメルカプツール酸; 3-ヒドロキシ-1-メチルプロピルメルカプツール酸; 3-ヒドロキシ-1-メチルプロピルメルカプツール酸; HMPMA-1</v>
      </c>
      <c r="J2328" s="1" t="str">
        <f>IFERROR(__xludf.DUMMYFUNCTION("GOOGLETRANSLATE(F2328,""EN"",""JA"")"),"検体中の 3-ヒドロキシ-1-メチルプロピルメルカプツール酸の測定。")</f>
        <v>検体中の 3-ヒドロキシ-1-メチルプロピルメルカプツール酸の測定。</v>
      </c>
      <c r="K2328" s="1" t="str">
        <f>IFERROR(__xludf.DUMMYFUNCTION("GOOGLETRANSLATE(G2328,""EN"",""JA"")"),"3-ヒドロキシ-1-メチルプロピルメルカプツール酸測定")</f>
        <v>3-ヒドロキシ-1-メチルプロピルメルカプツール酸測定</v>
      </c>
    </row>
    <row r="2329" ht="13.5" customHeight="1">
      <c r="A2329" s="1" t="s">
        <v>67</v>
      </c>
      <c r="B2329" s="1" t="s">
        <v>11758</v>
      </c>
      <c r="C2329" s="1" t="s">
        <v>11759</v>
      </c>
      <c r="D2329" s="1" t="s">
        <v>11760</v>
      </c>
      <c r="E2329" s="1" t="s">
        <v>11760</v>
      </c>
      <c r="F2329" s="1" t="s">
        <v>11761</v>
      </c>
      <c r="G2329" s="1" t="s">
        <v>11762</v>
      </c>
      <c r="H2329" s="1" t="str">
        <f>IFERROR(__xludf.DUMMYFUNCTION("GOOGLETRANSLATE(D2329,""EN"",""JA"")"),"ヒトメタニューモウイルス")</f>
        <v>ヒトメタニューモウイルス</v>
      </c>
      <c r="I2329" s="1" t="str">
        <f>IFERROR(__xludf.DUMMYFUNCTION("GOOGLETRANSLATE(E2329,""EN"",""JA"")"),"ヒトメタニューモウイルス")</f>
        <v>ヒトメタニューモウイルス</v>
      </c>
      <c r="J2329" s="1" t="str">
        <f>IFERROR(__xludf.DUMMYFUNCTION("GOOGLETRANSLATE(F2329,""EN"",""JA"")"),"生物標本中のヒトメタニューモウイルスの測定。")</f>
        <v>生物標本中のヒトメタニューモウイルスの測定。</v>
      </c>
      <c r="K2329" s="1" t="str">
        <f>IFERROR(__xludf.DUMMYFUNCTION("GOOGLETRANSLATE(G2329,""EN"",""JA"")"),"ヒトメタニューモウイルス測定")</f>
        <v>ヒトメタニューモウイルス測定</v>
      </c>
    </row>
    <row r="2330" ht="13.5" customHeight="1">
      <c r="A2330" s="1" t="s">
        <v>67</v>
      </c>
      <c r="B2330" s="1" t="s">
        <v>11763</v>
      </c>
      <c r="C2330" s="1" t="s">
        <v>11764</v>
      </c>
      <c r="D2330" s="1" t="s">
        <v>11765</v>
      </c>
      <c r="E2330" s="1" t="s">
        <v>11765</v>
      </c>
      <c r="F2330" s="1" t="s">
        <v>11766</v>
      </c>
      <c r="G2330" s="1" t="s">
        <v>11767</v>
      </c>
      <c r="H2330" s="1" t="str">
        <f>IFERROR(__xludf.DUMMYFUNCTION("GOOGLETRANSLATE(D2330,""EN"",""JA"")"),"ヒトメタニューモウイルス抗原")</f>
        <v>ヒトメタニューモウイルス抗原</v>
      </c>
      <c r="I2330" s="1" t="str">
        <f>IFERROR(__xludf.DUMMYFUNCTION("GOOGLETRANSLATE(E2330,""EN"",""JA"")"),"ヒトメタニューモウイルス抗原")</f>
        <v>ヒトメタニューモウイルス抗原</v>
      </c>
      <c r="J2330" s="1" t="str">
        <f>IFERROR(__xludf.DUMMYFUNCTION("GOOGLETRANSLATE(F2330,""EN"",""JA"")"),"生物学的標本中のヒトメタニューモウイルス抗原の測定。")</f>
        <v>生物学的標本中のヒトメタニューモウイルス抗原の測定。</v>
      </c>
      <c r="K2330" s="1" t="str">
        <f>IFERROR(__xludf.DUMMYFUNCTION("GOOGLETRANSLATE(G2330,""EN"",""JA"")"),"ヒトメタニューモウイルス抗原測定")</f>
        <v>ヒトメタニューモウイルス抗原測定</v>
      </c>
    </row>
    <row r="2331" ht="13.5" customHeight="1">
      <c r="A2331" s="1" t="s">
        <v>67</v>
      </c>
      <c r="B2331" s="1" t="s">
        <v>11768</v>
      </c>
      <c r="C2331" s="1" t="s">
        <v>11769</v>
      </c>
      <c r="D2331" s="1" t="s">
        <v>11770</v>
      </c>
      <c r="E2331" s="1" t="s">
        <v>11770</v>
      </c>
      <c r="F2331" s="1" t="s">
        <v>11771</v>
      </c>
      <c r="G2331" s="1" t="s">
        <v>11772</v>
      </c>
      <c r="H2331" s="1" t="str">
        <f>IFERROR(__xludf.DUMMYFUNCTION("GOOGLETRANSLATE(D2331,""EN"",""JA"")"),"ヒトメタニューモウイルス核酸")</f>
        <v>ヒトメタニューモウイルス核酸</v>
      </c>
      <c r="I2331" s="1" t="str">
        <f>IFERROR(__xludf.DUMMYFUNCTION("GOOGLETRANSLATE(E2331,""EN"",""JA"")"),"ヒトメタニューモウイルス核酸")</f>
        <v>ヒトメタニューモウイルス核酸</v>
      </c>
      <c r="J2331" s="1" t="str">
        <f>IFERROR(__xludf.DUMMYFUNCTION("GOOGLETRANSLATE(F2331,""EN"",""JA"")"),"生物標本中のヒトメタニューモウイルス核酸の測定。")</f>
        <v>生物標本中のヒトメタニューモウイルス核酸の測定。</v>
      </c>
      <c r="K2331" s="1" t="str">
        <f>IFERROR(__xludf.DUMMYFUNCTION("GOOGLETRANSLATE(G2331,""EN"",""JA"")"),"ヒトメタニューモウイルス核酸測定")</f>
        <v>ヒトメタニューモウイルス核酸測定</v>
      </c>
    </row>
    <row r="2332" ht="13.5" customHeight="1">
      <c r="A2332" s="1" t="s">
        <v>67</v>
      </c>
      <c r="B2332" s="1" t="s">
        <v>11773</v>
      </c>
      <c r="C2332" s="1" t="s">
        <v>11774</v>
      </c>
      <c r="D2332" s="1" t="s">
        <v>11775</v>
      </c>
      <c r="E2332" s="1" t="s">
        <v>11775</v>
      </c>
      <c r="F2332" s="1" t="s">
        <v>11776</v>
      </c>
      <c r="G2332" s="1" t="s">
        <v>11777</v>
      </c>
      <c r="H2332" s="1" t="str">
        <f>IFERROR(__xludf.DUMMYFUNCTION("GOOGLETRANSLATE(D2332,""EN"",""JA"")"),"ヒトメタニューモウイルスRNA")</f>
        <v>ヒトメタニューモウイルスRNA</v>
      </c>
      <c r="I2332" s="1" t="str">
        <f>IFERROR(__xludf.DUMMYFUNCTION("GOOGLETRANSLATE(E2332,""EN"",""JA"")"),"ヒトメタニューモウイルスRNA")</f>
        <v>ヒトメタニューモウイルスRNA</v>
      </c>
      <c r="J2332" s="1" t="str">
        <f>IFERROR(__xludf.DUMMYFUNCTION("GOOGLETRANSLATE(F2332,""EN"",""JA"")"),"生物標本中のヒトメタニューモウイルス RNA の測定。")</f>
        <v>生物標本中のヒトメタニューモウイルス RNA の測定。</v>
      </c>
      <c r="K2332" s="1" t="str">
        <f>IFERROR(__xludf.DUMMYFUNCTION("GOOGLETRANSLATE(G2332,""EN"",""JA"")"),"ヒトメタニューモウイルスRNA測定")</f>
        <v>ヒトメタニューモウイルスRNA測定</v>
      </c>
    </row>
    <row r="2333" ht="13.5" customHeight="1">
      <c r="A2333" s="1" t="s">
        <v>842</v>
      </c>
      <c r="B2333" s="1" t="s">
        <v>11778</v>
      </c>
      <c r="C2333" s="1" t="s">
        <v>11779</v>
      </c>
      <c r="D2333" s="1" t="s">
        <v>11780</v>
      </c>
      <c r="E2333" s="1" t="s">
        <v>11781</v>
      </c>
      <c r="F2333" s="1" t="s">
        <v>11782</v>
      </c>
      <c r="G2333" s="1" t="s">
        <v>11783</v>
      </c>
      <c r="H2333" s="1" t="str">
        <f>IFERROR(__xludf.DUMMYFUNCTION("GOOGLETRANSLATE(D2333,""EN"",""JA"")"),"病院の医療記録を取得")</f>
        <v>病院の医療記録を取得</v>
      </c>
      <c r="I2333" s="1" t="str">
        <f>IFERROR(__xludf.DUMMYFUNCTION("GOOGLETRANSLATE(E2333,""EN"",""JA"")"),"病院医療記録取得済み指標; 病院医療記録取得済み指標")</f>
        <v>病院医療記録取得済み指標; 病院医療記録取得済み指標</v>
      </c>
      <c r="J2333" s="1" t="str">
        <f>IFERROR(__xludf.DUMMYFUNCTION("GOOGLETRANSLATE(F2333,""EN"",""JA"")"),"病院の医療記録が取得されたかどうかを示します。")</f>
        <v>病院の医療記録が取得されたかどうかを示します。</v>
      </c>
      <c r="K2333" s="1" t="str">
        <f>IFERROR(__xludf.DUMMYFUNCTION("GOOGLETRANSLATE(G2333,""EN"",""JA"")"),"病院医療記録インジケーター")</f>
        <v>病院医療記録インジケーター</v>
      </c>
    </row>
    <row r="2334" ht="13.5" customHeight="1">
      <c r="A2334" s="1" t="s">
        <v>1997</v>
      </c>
      <c r="B2334" s="1" t="s">
        <v>11784</v>
      </c>
      <c r="C2334" s="1" t="s">
        <v>11785</v>
      </c>
      <c r="D2334" s="1" t="s">
        <v>11786</v>
      </c>
      <c r="E2334" s="1" t="s">
        <v>11787</v>
      </c>
      <c r="F2334" s="1" t="s">
        <v>11788</v>
      </c>
      <c r="G2334" s="1" t="s">
        <v>11789</v>
      </c>
      <c r="H2334" s="1" t="str">
        <f>IFERROR(__xludf.DUMMYFUNCTION("GOOGLETRANSLATE(D2334,""EN"",""JA"")"),"手の動きの距離")</f>
        <v>手の動きの距離</v>
      </c>
      <c r="I2334" s="1" t="str">
        <f>IFERROR(__xludf.DUMMYFUNCTION("GOOGLETRANSLATE(E2334,""EN"",""JA"")"),"手の動きの距離; 手の動きの距離")</f>
        <v>手の動きの距離; 手の動きの距離</v>
      </c>
      <c r="J2334" s="1" t="str">
        <f>IFERROR(__xludf.DUMMYFUNCTION("GOOGLETRANSLATE(F2334,""EN"",""JA"")"),"被験者が手の動きを知覚できる最長距離の評価。")</f>
        <v>被験者が手の動きを知覚できる最長距離の評価。</v>
      </c>
      <c r="K2334" s="1" t="str">
        <f>IFERROR(__xludf.DUMMYFUNCTION("GOOGLETRANSLATE(G2334,""EN"",""JA"")"),"手の動きのテスト")</f>
        <v>手の動きのテスト</v>
      </c>
    </row>
    <row r="2335" ht="13.5" customHeight="1">
      <c r="A2335" s="1" t="s">
        <v>1997</v>
      </c>
      <c r="B2335" s="1" t="s">
        <v>11790</v>
      </c>
      <c r="C2335" s="1" t="s">
        <v>11791</v>
      </c>
      <c r="D2335" s="1" t="s">
        <v>11792</v>
      </c>
      <c r="E2335" s="1" t="s">
        <v>11793</v>
      </c>
      <c r="F2335" s="1" t="s">
        <v>11794</v>
      </c>
      <c r="G2335" s="1" t="s">
        <v>11795</v>
      </c>
      <c r="H2335" s="1" t="str">
        <f>IFERROR(__xludf.DUMMYFUNCTION("GOOGLETRANSLATE(D2335,""EN"",""JA"")"),"手の動きインジケーター")</f>
        <v>手の動きインジケーター</v>
      </c>
      <c r="I2335" s="1" t="str">
        <f>IFERROR(__xludf.DUMMYFUNCTION("GOOGLETRANSLATE(E2335,""EN"",""JA"")"),"手の動きインジケーター; 手の動きインジケーター")</f>
        <v>手の動きインジケーター; 手の動きインジケーター</v>
      </c>
      <c r="J2335" s="1" t="str">
        <f>IFERROR(__xludf.DUMMYFUNCTION("GOOGLETRANSLATE(F2335,""EN"",""JA"")"),"被験者が事前に指定された距離にある手の動きを認識できるかどうかを示します。")</f>
        <v>被験者が事前に指定された距離にある手の動きを認識できるかどうかを示します。</v>
      </c>
      <c r="K2335" s="1" t="str">
        <f>IFERROR(__xludf.DUMMYFUNCTION("GOOGLETRANSLATE(G2335,""EN"",""JA"")"),"ハンドモーションインジケーター")</f>
        <v>ハンドモーションインジケーター</v>
      </c>
    </row>
    <row r="2336" ht="13.5" customHeight="1">
      <c r="A2336" s="1" t="s">
        <v>11</v>
      </c>
      <c r="B2336" s="1" t="s">
        <v>11796</v>
      </c>
      <c r="C2336" s="1" t="s">
        <v>11797</v>
      </c>
      <c r="D2336" s="1" t="s">
        <v>11798</v>
      </c>
      <c r="E2336" s="1" t="s">
        <v>11798</v>
      </c>
      <c r="F2336" s="1" t="s">
        <v>11799</v>
      </c>
      <c r="G2336" s="1" t="s">
        <v>11800</v>
      </c>
      <c r="H2336" s="1" t="str">
        <f>IFERROR(__xludf.DUMMYFUNCTION("GOOGLETRANSLATE(D2336,""EN"",""JA"")"),"ホモシトルリン")</f>
        <v>ホモシトルリン</v>
      </c>
      <c r="I2336" s="1" t="str">
        <f>IFERROR(__xludf.DUMMYFUNCTION("GOOGLETRANSLATE(E2336,""EN"",""JA"")"),"ホモシトルリン")</f>
        <v>ホモシトルリン</v>
      </c>
      <c r="J2336" s="1" t="str">
        <f>IFERROR(__xludf.DUMMYFUNCTION("GOOGLETRANSLATE(F2336,""EN"",""JA"")"),"生物標本中のホモシトルリンの測定。")</f>
        <v>生物標本中のホモシトルリンの測定。</v>
      </c>
      <c r="K2336" s="1" t="str">
        <f>IFERROR(__xludf.DUMMYFUNCTION("GOOGLETRANSLATE(G2336,""EN"",""JA"")"),"ホモシトルリン測定")</f>
        <v>ホモシトルリン測定</v>
      </c>
    </row>
    <row r="2337" ht="13.5" customHeight="1">
      <c r="A2337" s="1" t="s">
        <v>11</v>
      </c>
      <c r="B2337" s="1" t="s">
        <v>11801</v>
      </c>
      <c r="C2337" s="1" t="s">
        <v>11802</v>
      </c>
      <c r="D2337" s="1" t="s">
        <v>11803</v>
      </c>
      <c r="E2337" s="1" t="s">
        <v>11803</v>
      </c>
      <c r="F2337" s="1" t="s">
        <v>11804</v>
      </c>
      <c r="G2337" s="1" t="s">
        <v>11805</v>
      </c>
      <c r="H2337" s="1" t="str">
        <f>IFERROR(__xludf.DUMMYFUNCTION("GOOGLETRANSLATE(D2337,""EN"",""JA"")"),"ホモシステイン")</f>
        <v>ホモシステイン</v>
      </c>
      <c r="I2337" s="1" t="str">
        <f>IFERROR(__xludf.DUMMYFUNCTION("GOOGLETRANSLATE(E2337,""EN"",""JA"")"),"ホモシステイン")</f>
        <v>ホモシステイン</v>
      </c>
      <c r="J2337" s="1" t="str">
        <f>IFERROR(__xludf.DUMMYFUNCTION("GOOGLETRANSLATE(F2337,""EN"",""JA"")"),"生物標本中のホモシステインアミノ酸の測定。")</f>
        <v>生物標本中のホモシステインアミノ酸の測定。</v>
      </c>
      <c r="K2337" s="1" t="str">
        <f>IFERROR(__xludf.DUMMYFUNCTION("GOOGLETRANSLATE(G2337,""EN"",""JA"")"),"ホモシステイン酸測定")</f>
        <v>ホモシステイン酸測定</v>
      </c>
    </row>
    <row r="2338" ht="13.5" customHeight="1">
      <c r="A2338" s="1" t="s">
        <v>11</v>
      </c>
      <c r="B2338" s="1" t="s">
        <v>11806</v>
      </c>
      <c r="C2338" s="1" t="s">
        <v>11807</v>
      </c>
      <c r="D2338" s="1" t="s">
        <v>11808</v>
      </c>
      <c r="E2338" s="1" t="s">
        <v>11808</v>
      </c>
      <c r="F2338" s="1" t="s">
        <v>11809</v>
      </c>
      <c r="G2338" s="1" t="s">
        <v>11810</v>
      </c>
      <c r="H2338" s="1" t="str">
        <f>IFERROR(__xludf.DUMMYFUNCTION("GOOGLETRANSLATE(D2338,""EN"",""JA"")"),"低色素性赤血球/赤血球")</f>
        <v>低色素性赤血球/赤血球</v>
      </c>
      <c r="I2338" s="1" t="str">
        <f>IFERROR(__xludf.DUMMYFUNCTION("GOOGLETRANSLATE(E2338,""EN"",""JA"")"),"低色素性赤血球/赤血球")</f>
        <v>低色素性赤血球/赤血球</v>
      </c>
      <c r="J2338" s="1" t="str">
        <f>IFERROR(__xludf.DUMMYFUNCTION("GOOGLETRANSLATE(F2338,""EN"",""JA"")"),"生物標本中の全赤血球に対する低色素赤血球の相対的な測定値（比率またはパーセンテージ）。")</f>
        <v>生物標本中の全赤血球に対する低色素赤血球の相対的な測定値（比率またはパーセンテージ）。</v>
      </c>
      <c r="K2338" s="1" t="str">
        <f>IFERROR(__xludf.DUMMYFUNCTION("GOOGLETRANSLATE(G2338,""EN"",""JA"")"),"低色素性赤血球と赤血球の比率測定")</f>
        <v>低色素性赤血球と赤血球の比率測定</v>
      </c>
    </row>
    <row r="2339" ht="13.5" customHeight="1">
      <c r="A2339" s="1" t="s">
        <v>11</v>
      </c>
      <c r="B2339" s="1" t="s">
        <v>11811</v>
      </c>
      <c r="C2339" s="1" t="s">
        <v>11812</v>
      </c>
      <c r="D2339" s="1" t="s">
        <v>11813</v>
      </c>
      <c r="E2339" s="1" t="s">
        <v>11813</v>
      </c>
      <c r="F2339" s="1" t="s">
        <v>11814</v>
      </c>
      <c r="G2339" s="1" t="s">
        <v>11815</v>
      </c>
      <c r="H2339" s="1" t="str">
        <f>IFERROR(__xludf.DUMMYFUNCTION("GOOGLETRANSLATE(D2339,""EN"",""JA"")"),"ハウエル・ジョリー・ボディーズ")</f>
        <v>ハウエル・ジョリー・ボディーズ</v>
      </c>
      <c r="I2339" s="1" t="str">
        <f>IFERROR(__xludf.DUMMYFUNCTION("GOOGLETRANSLATE(E2339,""EN"",""JA"")"),"ハウエル・ジョリー・ボディーズ")</f>
        <v>ハウエル・ジョリー・ボディーズ</v>
      </c>
      <c r="J2339" s="1" t="str">
        <f>IFERROR(__xludf.DUMMYFUNCTION("GOOGLETRANSLATE(F2339,""EN"",""JA"")"),"生物標本中のハウエル・ジョリー小体（ライト染色で現れる、赤血球体内の球状の青黒色の凝縮した DNA 封入体）の測定。")</f>
        <v>生物標本中のハウエル・ジョリー小体（ライト染色で現れる、赤血球体内の球状の青黒色の凝縮した DNA 封入体）の測定。</v>
      </c>
      <c r="K2339" s="1" t="str">
        <f>IFERROR(__xludf.DUMMYFUNCTION("GOOGLETRANSLATE(G2339,""EN"",""JA"")"),"ハウエル・ジョリー身体測定")</f>
        <v>ハウエル・ジョリー身体測定</v>
      </c>
    </row>
    <row r="2340" ht="13.5" customHeight="1">
      <c r="A2340" s="1" t="s">
        <v>67</v>
      </c>
      <c r="B2340" s="1" t="s">
        <v>11816</v>
      </c>
      <c r="C2340" s="1" t="s">
        <v>11817</v>
      </c>
      <c r="D2340" s="1" t="s">
        <v>11818</v>
      </c>
      <c r="E2340" s="1" t="s">
        <v>11818</v>
      </c>
      <c r="F2340" s="1" t="s">
        <v>11819</v>
      </c>
      <c r="G2340" s="1" t="s">
        <v>11820</v>
      </c>
      <c r="H2340" s="1" t="str">
        <f>IFERROR(__xludf.DUMMYFUNCTION("GOOGLETRANSLATE(D2340,""EN"",""JA"")"),"ヒトパラインフルエンザウイルス 1/2/3/4 RNA")</f>
        <v>ヒトパラインフルエンザウイルス 1/2/3/4 RNA</v>
      </c>
      <c r="I2340" s="1" t="str">
        <f>IFERROR(__xludf.DUMMYFUNCTION("GOOGLETRANSLATE(E2340,""EN"",""JA"")"),"ヒトパラインフルエンザウイルス 1/2/3/4 RNA")</f>
        <v>ヒトパラインフルエンザウイルス 1/2/3/4 RNA</v>
      </c>
      <c r="J2340" s="1" t="str">
        <f>IFERROR(__xludf.DUMMYFUNCTION("GOOGLETRANSLATE(F2340,""EN"",""JA"")"),"生物学的標本中のヒトパラインフルエンザウイルス 1、2、3、および/または 4 の RNA の測定。")</f>
        <v>生物学的標本中のヒトパラインフルエンザウイルス 1、2、3、および/または 4 の RNA の測定。</v>
      </c>
      <c r="K2340" s="1" t="str">
        <f>IFERROR(__xludf.DUMMYFUNCTION("GOOGLETRANSLATE(G2340,""EN"",""JA"")"),"ヒトパラインフルエンザウイルス1、2、3、および/または4 RNA測定")</f>
        <v>ヒトパラインフルエンザウイルス1、2、3、および/または4 RNA測定</v>
      </c>
    </row>
    <row r="2341" ht="13.5" customHeight="1">
      <c r="A2341" s="1" t="s">
        <v>67</v>
      </c>
      <c r="B2341" s="1" t="s">
        <v>11821</v>
      </c>
      <c r="C2341" s="1" t="s">
        <v>11822</v>
      </c>
      <c r="D2341" s="1" t="s">
        <v>11823</v>
      </c>
      <c r="E2341" s="1" t="s">
        <v>11823</v>
      </c>
      <c r="F2341" s="1" t="s">
        <v>11824</v>
      </c>
      <c r="G2341" s="1" t="s">
        <v>11825</v>
      </c>
      <c r="H2341" s="1" t="str">
        <f>IFERROR(__xludf.DUMMYFUNCTION("GOOGLETRANSLATE(D2341,""EN"",""JA"")"),"ヒトパラインフルエンザウイルス1/2/3抗原")</f>
        <v>ヒトパラインフルエンザウイルス1/2/3抗原</v>
      </c>
      <c r="I2341" s="1" t="str">
        <f>IFERROR(__xludf.DUMMYFUNCTION("GOOGLETRANSLATE(E2341,""EN"",""JA"")"),"ヒトパラインフルエンザウイルス1/2/3抗原")</f>
        <v>ヒトパラインフルエンザウイルス1/2/3抗原</v>
      </c>
      <c r="J2341" s="1" t="str">
        <f>IFERROR(__xludf.DUMMYFUNCTION("GOOGLETRANSLATE(F2341,""EN"",""JA"")"),"生物学的標本中のヒトパラインフルエンザウイルス 1、2、および/または 3 抗原の測定。")</f>
        <v>生物学的標本中のヒトパラインフルエンザウイルス 1、2、および/または 3 抗原の測定。</v>
      </c>
      <c r="K2341" s="1" t="str">
        <f>IFERROR(__xludf.DUMMYFUNCTION("GOOGLETRANSLATE(G2341,""EN"",""JA"")"),"ヒトパラインフルエンザウイルス1型、2型、および/または3型抗原測定")</f>
        <v>ヒトパラインフルエンザウイルス1型、2型、および/または3型抗原測定</v>
      </c>
    </row>
    <row r="2342" ht="13.5" customHeight="1">
      <c r="A2342" s="1" t="s">
        <v>67</v>
      </c>
      <c r="B2342" s="1" t="s">
        <v>11826</v>
      </c>
      <c r="C2342" s="1" t="s">
        <v>11827</v>
      </c>
      <c r="D2342" s="1" t="s">
        <v>11828</v>
      </c>
      <c r="E2342" s="1" t="s">
        <v>11828</v>
      </c>
      <c r="F2342" s="1" t="s">
        <v>11829</v>
      </c>
      <c r="G2342" s="1" t="s">
        <v>11830</v>
      </c>
      <c r="H2342" s="1" t="str">
        <f>IFERROR(__xludf.DUMMYFUNCTION("GOOGLETRANSLATE(D2342,""EN"",""JA"")"),"ヒトパラインフルエンザウイルス 1/2/3 RNA")</f>
        <v>ヒトパラインフルエンザウイルス 1/2/3 RNA</v>
      </c>
      <c r="I2342" s="1" t="str">
        <f>IFERROR(__xludf.DUMMYFUNCTION("GOOGLETRANSLATE(E2342,""EN"",""JA"")"),"ヒトパラインフルエンザウイルス 1/2/3 RNA")</f>
        <v>ヒトパラインフルエンザウイルス 1/2/3 RNA</v>
      </c>
      <c r="J2342" s="1" t="str">
        <f>IFERROR(__xludf.DUMMYFUNCTION("GOOGLETRANSLATE(F2342,""EN"",""JA"")"),"生物学的標本中のヒトパラインフルエンザウイルス 1、2、および/または 3 の RNA の測定。")</f>
        <v>生物学的標本中のヒトパラインフルエンザウイルス 1、2、および/または 3 の RNA の測定。</v>
      </c>
      <c r="K2342" s="1" t="str">
        <f>IFERROR(__xludf.DUMMYFUNCTION("GOOGLETRANSLATE(G2342,""EN"",""JA"")"),"ヒトパラインフルエンザウイルス1、2、および/または3 RNA測定")</f>
        <v>ヒトパラインフルエンザウイルス1、2、および/または3 RNA測定</v>
      </c>
    </row>
    <row r="2343" ht="13.5" customHeight="1">
      <c r="A2343" s="1" t="s">
        <v>67</v>
      </c>
      <c r="B2343" s="1" t="s">
        <v>11831</v>
      </c>
      <c r="C2343" s="1" t="s">
        <v>11832</v>
      </c>
      <c r="D2343" s="1" t="s">
        <v>11833</v>
      </c>
      <c r="E2343" s="1" t="s">
        <v>11833</v>
      </c>
      <c r="F2343" s="1" t="s">
        <v>11834</v>
      </c>
      <c r="G2343" s="1" t="s">
        <v>11835</v>
      </c>
      <c r="H2343" s="1" t="str">
        <f>IFERROR(__xludf.DUMMYFUNCTION("GOOGLETRANSLATE(D2343,""EN"",""JA"")"),"腸炎菌DNA")</f>
        <v>腸炎菌DNA</v>
      </c>
      <c r="I2343" s="1" t="str">
        <f>IFERROR(__xludf.DUMMYFUNCTION("GOOGLETRANSLATE(E2343,""EN"",""JA"")"),"腸炎菌DNA")</f>
        <v>腸炎菌DNA</v>
      </c>
      <c r="J2343" s="1" t="str">
        <f>IFERROR(__xludf.DUMMYFUNCTION("GOOGLETRANSLATE(F2343,""EN"",""JA"")"),"生物標本中の腸炎菌 DNA の測定。")</f>
        <v>生物標本中の腸炎菌 DNA の測定。</v>
      </c>
      <c r="K2343" s="1" t="str">
        <f>IFERROR(__xludf.DUMMYFUNCTION("GOOGLETRANSLATE(G2343,""EN"",""JA"")"),"腸炎菌DNA測定")</f>
        <v>腸炎菌DNA測定</v>
      </c>
    </row>
    <row r="2344" ht="13.5" customHeight="1">
      <c r="A2344" s="1" t="s">
        <v>67</v>
      </c>
      <c r="B2344" s="1" t="s">
        <v>11836</v>
      </c>
      <c r="C2344" s="1" t="s">
        <v>11837</v>
      </c>
      <c r="D2344" s="1" t="s">
        <v>11838</v>
      </c>
      <c r="E2344" s="1" t="s">
        <v>11838</v>
      </c>
      <c r="F2344" s="1" t="s">
        <v>11839</v>
      </c>
      <c r="G2344" s="1" t="s">
        <v>11840</v>
      </c>
      <c r="H2344" s="1" t="str">
        <f>IFERROR(__xludf.DUMMYFUNCTION("GOOGLETRANSLATE(D2344,""EN"",""JA"")"),"ヒトパラインフルエンザウイルス1")</f>
        <v>ヒトパラインフルエンザウイルス1</v>
      </c>
      <c r="I2344" s="1" t="str">
        <f>IFERROR(__xludf.DUMMYFUNCTION("GOOGLETRANSLATE(E2344,""EN"",""JA"")"),"ヒトパラインフルエンザウイルス1")</f>
        <v>ヒトパラインフルエンザウイルス1</v>
      </c>
      <c r="J2344" s="1" t="str">
        <f>IFERROR(__xludf.DUMMYFUNCTION("GOOGLETRANSLATE(F2344,""EN"",""JA"")"),"生物標本中のヒトパラインフルエンザウイルス 1 の測定。")</f>
        <v>生物標本中のヒトパラインフルエンザウイルス 1 の測定。</v>
      </c>
      <c r="K2344" s="1" t="str">
        <f>IFERROR(__xludf.DUMMYFUNCTION("GOOGLETRANSLATE(G2344,""EN"",""JA"")"),"ヒトパラインフルエンザウイルス1の測定")</f>
        <v>ヒトパラインフルエンザウイルス1の測定</v>
      </c>
    </row>
    <row r="2345" ht="13.5" customHeight="1">
      <c r="A2345" s="1" t="s">
        <v>67</v>
      </c>
      <c r="B2345" s="1" t="s">
        <v>11841</v>
      </c>
      <c r="C2345" s="1" t="s">
        <v>11842</v>
      </c>
      <c r="D2345" s="1" t="s">
        <v>11843</v>
      </c>
      <c r="E2345" s="1" t="s">
        <v>11844</v>
      </c>
      <c r="F2345" s="1" t="s">
        <v>11845</v>
      </c>
      <c r="G2345" s="1" t="s">
        <v>11846</v>
      </c>
      <c r="H2345" s="1" t="str">
        <f>IFERROR(__xludf.DUMMYFUNCTION("GOOGLETRANSLATE(D2345,""EN"",""JA"")"),"ヒトパラインフルエンザウイルス1抗原")</f>
        <v>ヒトパラインフルエンザウイルス1抗原</v>
      </c>
      <c r="I2345" s="1" t="str">
        <f>IFERROR(__xludf.DUMMYFUNCTION("GOOGLETRANSLATE(E2345,""EN"",""JA"")"),"ヒトパラインフルエンザウイルス1抗原；ヒトレスピロウイルス1抗原")</f>
        <v>ヒトパラインフルエンザウイルス1抗原；ヒトレスピロウイルス1抗原</v>
      </c>
      <c r="J2345" s="1" t="str">
        <f>IFERROR(__xludf.DUMMYFUNCTION("GOOGLETRANSLATE(F2345,""EN"",""JA"")"),"生物標本中のヒトパラインフルエンザウイルス 1 抗原の測定。")</f>
        <v>生物標本中のヒトパラインフルエンザウイルス 1 抗原の測定。</v>
      </c>
      <c r="K2345" s="1" t="str">
        <f>IFERROR(__xludf.DUMMYFUNCTION("GOOGLETRANSLATE(G2345,""EN"",""JA"")"),"ヒトパラインフルエンザ1型抗原測定")</f>
        <v>ヒトパラインフルエンザ1型抗原測定</v>
      </c>
    </row>
    <row r="2346" ht="13.5" customHeight="1">
      <c r="A2346" s="1" t="s">
        <v>67</v>
      </c>
      <c r="B2346" s="1" t="s">
        <v>11847</v>
      </c>
      <c r="C2346" s="1" t="s">
        <v>11848</v>
      </c>
      <c r="D2346" s="1" t="s">
        <v>11849</v>
      </c>
      <c r="E2346" s="1" t="s">
        <v>11849</v>
      </c>
      <c r="F2346" s="1" t="s">
        <v>11850</v>
      </c>
      <c r="G2346" s="1" t="s">
        <v>11851</v>
      </c>
      <c r="H2346" s="1" t="str">
        <f>IFERROR(__xludf.DUMMYFUNCTION("GOOGLETRANSLATE(D2346,""EN"",""JA"")"),"ヒトパラインフルエンザウイルス1型核酸")</f>
        <v>ヒトパラインフルエンザウイルス1型核酸</v>
      </c>
      <c r="I2346" s="1" t="str">
        <f>IFERROR(__xludf.DUMMYFUNCTION("GOOGLETRANSLATE(E2346,""EN"",""JA"")"),"ヒトパラインフルエンザウイルス1型核酸")</f>
        <v>ヒトパラインフルエンザウイルス1型核酸</v>
      </c>
      <c r="J2346" s="1" t="str">
        <f>IFERROR(__xludf.DUMMYFUNCTION("GOOGLETRANSLATE(F2346,""EN"",""JA"")"),"生物標本中のヒトパラインフルエンザウイルス 1 型の核酸の測定。")</f>
        <v>生物標本中のヒトパラインフルエンザウイルス 1 型の核酸の測定。</v>
      </c>
      <c r="K2346" s="1" t="str">
        <f>IFERROR(__xludf.DUMMYFUNCTION("GOOGLETRANSLATE(G2346,""EN"",""JA"")"),"ヒトパラインフルエンザウイルス1の核酸測定")</f>
        <v>ヒトパラインフルエンザウイルス1の核酸測定</v>
      </c>
    </row>
    <row r="2347" ht="13.5" customHeight="1">
      <c r="A2347" s="1" t="s">
        <v>67</v>
      </c>
      <c r="B2347" s="1" t="s">
        <v>11852</v>
      </c>
      <c r="C2347" s="1" t="s">
        <v>11853</v>
      </c>
      <c r="D2347" s="1" t="s">
        <v>11854</v>
      </c>
      <c r="E2347" s="1" t="s">
        <v>11855</v>
      </c>
      <c r="F2347" s="1" t="s">
        <v>11856</v>
      </c>
      <c r="G2347" s="1" t="s">
        <v>11857</v>
      </c>
      <c r="H2347" s="1" t="str">
        <f>IFERROR(__xludf.DUMMYFUNCTION("GOOGLETRANSLATE(D2347,""EN"",""JA"")"),"ヒトパラインフルエンザウイルス 1 RNA")</f>
        <v>ヒトパラインフルエンザウイルス 1 RNA</v>
      </c>
      <c r="I2347" s="1" t="str">
        <f>IFERROR(__xludf.DUMMYFUNCTION("GOOGLETRANSLATE(E2347,""EN"",""JA"")"),"ヒトパラインフルエンザウイルス 1 RNA;ヒトレスピロウイルス 1 RNA")</f>
        <v>ヒトパラインフルエンザウイルス 1 RNA;ヒトレスピロウイルス 1 RNA</v>
      </c>
      <c r="J2347" s="1" t="str">
        <f>IFERROR(__xludf.DUMMYFUNCTION("GOOGLETRANSLATE(F2347,""EN"",""JA"")"),"生物標本中のヒトパラインフルエンザウイルス 1 RNA の測定。")</f>
        <v>生物標本中のヒトパラインフルエンザウイルス 1 RNA の測定。</v>
      </c>
      <c r="K2347" s="1" t="str">
        <f>IFERROR(__xludf.DUMMYFUNCTION("GOOGLETRANSLATE(G2347,""EN"",""JA"")"),"ヒトパラインフルエンザウイルス1型RNA測定")</f>
        <v>ヒトパラインフルエンザウイルス1型RNA測定</v>
      </c>
    </row>
    <row r="2348" ht="13.5" customHeight="1">
      <c r="A2348" s="1" t="s">
        <v>67</v>
      </c>
      <c r="B2348" s="1" t="s">
        <v>11858</v>
      </c>
      <c r="C2348" s="1" t="s">
        <v>11859</v>
      </c>
      <c r="D2348" s="1" t="s">
        <v>11860</v>
      </c>
      <c r="E2348" s="1" t="s">
        <v>11860</v>
      </c>
      <c r="F2348" s="1" t="s">
        <v>11861</v>
      </c>
      <c r="G2348" s="1" t="s">
        <v>11862</v>
      </c>
      <c r="H2348" s="1" t="str">
        <f>IFERROR(__xludf.DUMMYFUNCTION("GOOGLETRANSLATE(D2348,""EN"",""JA"")"),"ヒトパラインフルエンザウイルス2")</f>
        <v>ヒトパラインフルエンザウイルス2</v>
      </c>
      <c r="I2348" s="1" t="str">
        <f>IFERROR(__xludf.DUMMYFUNCTION("GOOGLETRANSLATE(E2348,""EN"",""JA"")"),"ヒトパラインフルエンザウイルス2")</f>
        <v>ヒトパラインフルエンザウイルス2</v>
      </c>
      <c r="J2348" s="1" t="str">
        <f>IFERROR(__xludf.DUMMYFUNCTION("GOOGLETRANSLATE(F2348,""EN"",""JA"")"),"生物標本中のヒトパラインフルエンザウイルス 2 の測定。")</f>
        <v>生物標本中のヒトパラインフルエンザウイルス 2 の測定。</v>
      </c>
      <c r="K2348" s="1" t="str">
        <f>IFERROR(__xludf.DUMMYFUNCTION("GOOGLETRANSLATE(G2348,""EN"",""JA"")"),"ヒトパラインフルエンザウイルス2の測定")</f>
        <v>ヒトパラインフルエンザウイルス2の測定</v>
      </c>
    </row>
    <row r="2349" ht="13.5" customHeight="1">
      <c r="A2349" s="1" t="s">
        <v>67</v>
      </c>
      <c r="B2349" s="1" t="s">
        <v>11863</v>
      </c>
      <c r="C2349" s="1" t="s">
        <v>11864</v>
      </c>
      <c r="D2349" s="1" t="s">
        <v>11865</v>
      </c>
      <c r="E2349" s="1" t="s">
        <v>11866</v>
      </c>
      <c r="F2349" s="1" t="s">
        <v>11867</v>
      </c>
      <c r="G2349" s="1" t="s">
        <v>11868</v>
      </c>
      <c r="H2349" s="1" t="str">
        <f>IFERROR(__xludf.DUMMYFUNCTION("GOOGLETRANSLATE(D2349,""EN"",""JA"")"),"ヒトパラインフルエンザウイルス2抗原")</f>
        <v>ヒトパラインフルエンザウイルス2抗原</v>
      </c>
      <c r="I2349" s="1" t="str">
        <f>IFERROR(__xludf.DUMMYFUNCTION("GOOGLETRANSLATE(E2349,""EN"",""JA"")"),"ヒトオルトルブラウイルス2抗原；ヒトパラインフルエンザウイルス2抗原")</f>
        <v>ヒトオルトルブラウイルス2抗原；ヒトパラインフルエンザウイルス2抗原</v>
      </c>
      <c r="J2349" s="1" t="str">
        <f>IFERROR(__xludf.DUMMYFUNCTION("GOOGLETRANSLATE(F2349,""EN"",""JA"")"),"生物標本中のヒトパラインフルエンザウイルス 2 抗原の測定。")</f>
        <v>生物標本中のヒトパラインフルエンザウイルス 2 抗原の測定。</v>
      </c>
      <c r="K2349" s="1" t="str">
        <f>IFERROR(__xludf.DUMMYFUNCTION("GOOGLETRANSLATE(G2349,""EN"",""JA"")"),"ヒトパラインフルエンザウイルス2抗原測定")</f>
        <v>ヒトパラインフルエンザウイルス2抗原測定</v>
      </c>
    </row>
    <row r="2350" ht="13.5" customHeight="1">
      <c r="A2350" s="1" t="s">
        <v>67</v>
      </c>
      <c r="B2350" s="1" t="s">
        <v>11869</v>
      </c>
      <c r="C2350" s="1" t="s">
        <v>11870</v>
      </c>
      <c r="D2350" s="1" t="s">
        <v>11871</v>
      </c>
      <c r="E2350" s="1" t="s">
        <v>11871</v>
      </c>
      <c r="F2350" s="1" t="s">
        <v>11872</v>
      </c>
      <c r="G2350" s="1" t="s">
        <v>11873</v>
      </c>
      <c r="H2350" s="1" t="str">
        <f>IFERROR(__xludf.DUMMYFUNCTION("GOOGLETRANSLATE(D2350,""EN"",""JA"")"),"ヒトパラインフルエンザウイルス2核酸")</f>
        <v>ヒトパラインフルエンザウイルス2核酸</v>
      </c>
      <c r="I2350" s="1" t="str">
        <f>IFERROR(__xludf.DUMMYFUNCTION("GOOGLETRANSLATE(E2350,""EN"",""JA"")"),"ヒトパラインフルエンザウイルス2核酸")</f>
        <v>ヒトパラインフルエンザウイルス2核酸</v>
      </c>
      <c r="J2350" s="1" t="str">
        <f>IFERROR(__xludf.DUMMYFUNCTION("GOOGLETRANSLATE(F2350,""EN"",""JA"")"),"生物標本中のヒトパラインフルエンザウイルス 2 の核酸の測定。")</f>
        <v>生物標本中のヒトパラインフルエンザウイルス 2 の核酸の測定。</v>
      </c>
      <c r="K2350" s="1" t="str">
        <f>IFERROR(__xludf.DUMMYFUNCTION("GOOGLETRANSLATE(G2350,""EN"",""JA"")"),"ヒトパラインフルエンザウイルス2の核酸測定")</f>
        <v>ヒトパラインフルエンザウイルス2の核酸測定</v>
      </c>
    </row>
    <row r="2351" ht="13.5" customHeight="1">
      <c r="A2351" s="1" t="s">
        <v>67</v>
      </c>
      <c r="B2351" s="1" t="s">
        <v>11874</v>
      </c>
      <c r="C2351" s="1" t="s">
        <v>11875</v>
      </c>
      <c r="D2351" s="1" t="s">
        <v>11876</v>
      </c>
      <c r="E2351" s="1" t="s">
        <v>11877</v>
      </c>
      <c r="F2351" s="1" t="s">
        <v>11878</v>
      </c>
      <c r="G2351" s="1" t="s">
        <v>11879</v>
      </c>
      <c r="H2351" s="1" t="str">
        <f>IFERROR(__xludf.DUMMYFUNCTION("GOOGLETRANSLATE(D2351,""EN"",""JA"")"),"ヒトパラインフルエンザウイルス 2 RNA")</f>
        <v>ヒトパラインフルエンザウイルス 2 RNA</v>
      </c>
      <c r="I2351" s="1" t="str">
        <f>IFERROR(__xludf.DUMMYFUNCTION("GOOGLETRANSLATE(E2351,""EN"",""JA"")"),"ヒトオルソルブラウイルス 2 RNA;ヒトパラインフルエンザウイルス 2 RNA")</f>
        <v>ヒトオルソルブラウイルス 2 RNA;ヒトパラインフルエンザウイルス 2 RNA</v>
      </c>
      <c r="J2351" s="1" t="str">
        <f>IFERROR(__xludf.DUMMYFUNCTION("GOOGLETRANSLATE(F2351,""EN"",""JA"")"),"生物標本中のヒトパラインフルエンザウイルス 2 RNA の測定。")</f>
        <v>生物標本中のヒトパラインフルエンザウイルス 2 RNA の測定。</v>
      </c>
      <c r="K2351" s="1" t="str">
        <f>IFERROR(__xludf.DUMMYFUNCTION("GOOGLETRANSLATE(G2351,""EN"",""JA"")"),"ヒトパラインフルエンザウイルス2型RNA測定")</f>
        <v>ヒトパラインフルエンザウイルス2型RNA測定</v>
      </c>
    </row>
    <row r="2352" ht="13.5" customHeight="1">
      <c r="A2352" s="1" t="s">
        <v>67</v>
      </c>
      <c r="B2352" s="1" t="s">
        <v>11880</v>
      </c>
      <c r="C2352" s="1" t="s">
        <v>11881</v>
      </c>
      <c r="D2352" s="1" t="s">
        <v>11882</v>
      </c>
      <c r="E2352" s="1" t="s">
        <v>11882</v>
      </c>
      <c r="F2352" s="1" t="s">
        <v>11883</v>
      </c>
      <c r="G2352" s="1" t="s">
        <v>11884</v>
      </c>
      <c r="H2352" s="1" t="str">
        <f>IFERROR(__xludf.DUMMYFUNCTION("GOOGLETRANSLATE(D2352,""EN"",""JA"")"),"ヒトパラインフルエンザウイルス3")</f>
        <v>ヒトパラインフルエンザウイルス3</v>
      </c>
      <c r="I2352" s="1" t="str">
        <f>IFERROR(__xludf.DUMMYFUNCTION("GOOGLETRANSLATE(E2352,""EN"",""JA"")"),"ヒトパラインフルエンザウイルス3")</f>
        <v>ヒトパラインフルエンザウイルス3</v>
      </c>
      <c r="J2352" s="1" t="str">
        <f>IFERROR(__xludf.DUMMYFUNCTION("GOOGLETRANSLATE(F2352,""EN"",""JA"")"),"生物標本中のヒトパラインフルエンザウイルス 3 の測定。")</f>
        <v>生物標本中のヒトパラインフルエンザウイルス 3 の測定。</v>
      </c>
      <c r="K2352" s="1" t="str">
        <f>IFERROR(__xludf.DUMMYFUNCTION("GOOGLETRANSLATE(G2352,""EN"",""JA"")"),"ヒトパラインフルエンザウイルス3の測定")</f>
        <v>ヒトパラインフルエンザウイルス3の測定</v>
      </c>
    </row>
    <row r="2353" ht="13.5" customHeight="1">
      <c r="A2353" s="1" t="s">
        <v>67</v>
      </c>
      <c r="B2353" s="1" t="s">
        <v>11885</v>
      </c>
      <c r="C2353" s="1" t="s">
        <v>11886</v>
      </c>
      <c r="D2353" s="1" t="s">
        <v>11887</v>
      </c>
      <c r="E2353" s="1" t="s">
        <v>11888</v>
      </c>
      <c r="F2353" s="1" t="s">
        <v>11889</v>
      </c>
      <c r="G2353" s="1" t="s">
        <v>11890</v>
      </c>
      <c r="H2353" s="1" t="str">
        <f>IFERROR(__xludf.DUMMYFUNCTION("GOOGLETRANSLATE(D2353,""EN"",""JA"")"),"ヒトパラインフルエンザウイルス3抗原")</f>
        <v>ヒトパラインフルエンザウイルス3抗原</v>
      </c>
      <c r="I2353" s="1" t="str">
        <f>IFERROR(__xludf.DUMMYFUNCTION("GOOGLETRANSLATE(E2353,""EN"",""JA"")"),"ヒトパラインフルエンザウイルス3抗原；ヒトレスピロウイルス3抗原")</f>
        <v>ヒトパラインフルエンザウイルス3抗原；ヒトレスピロウイルス3抗原</v>
      </c>
      <c r="J2353" s="1" t="str">
        <f>IFERROR(__xludf.DUMMYFUNCTION("GOOGLETRANSLATE(F2353,""EN"",""JA"")"),"生物学的標本中のヒトパラインフルエンザウイルス 3 抗原の測定。")</f>
        <v>生物学的標本中のヒトパラインフルエンザウイルス 3 抗原の測定。</v>
      </c>
      <c r="K2353" s="1" t="str">
        <f>IFERROR(__xludf.DUMMYFUNCTION("GOOGLETRANSLATE(G2353,""EN"",""JA"")"),"ヒトパラインフルエンザウイルス3抗原測定")</f>
        <v>ヒトパラインフルエンザウイルス3抗原測定</v>
      </c>
    </row>
    <row r="2354" ht="13.5" customHeight="1">
      <c r="A2354" s="1" t="s">
        <v>67</v>
      </c>
      <c r="B2354" s="1" t="s">
        <v>11891</v>
      </c>
      <c r="C2354" s="1" t="s">
        <v>11892</v>
      </c>
      <c r="D2354" s="1" t="s">
        <v>11893</v>
      </c>
      <c r="E2354" s="1" t="s">
        <v>11893</v>
      </c>
      <c r="F2354" s="1" t="s">
        <v>11894</v>
      </c>
      <c r="G2354" s="1" t="s">
        <v>11895</v>
      </c>
      <c r="H2354" s="1" t="str">
        <f>IFERROR(__xludf.DUMMYFUNCTION("GOOGLETRANSLATE(D2354,""EN"",""JA"")"),"ヒトパラインフルエンザウイルス3核酸")</f>
        <v>ヒトパラインフルエンザウイルス3核酸</v>
      </c>
      <c r="I2354" s="1" t="str">
        <f>IFERROR(__xludf.DUMMYFUNCTION("GOOGLETRANSLATE(E2354,""EN"",""JA"")"),"ヒトパラインフルエンザウイルス3核酸")</f>
        <v>ヒトパラインフルエンザウイルス3核酸</v>
      </c>
      <c r="J2354" s="1" t="str">
        <f>IFERROR(__xludf.DUMMYFUNCTION("GOOGLETRANSLATE(F2354,""EN"",""JA"")"),"生物標本中のヒトパラインフルエンザウイルス 3 核酸の測定。")</f>
        <v>生物標本中のヒトパラインフルエンザウイルス 3 核酸の測定。</v>
      </c>
      <c r="K2354" s="1" t="str">
        <f>IFERROR(__xludf.DUMMYFUNCTION("GOOGLETRANSLATE(G2354,""EN"",""JA"")"),"ヒトパラインフルエンザウイルス3の核酸測定")</f>
        <v>ヒトパラインフルエンザウイルス3の核酸測定</v>
      </c>
    </row>
    <row r="2355" ht="13.5" customHeight="1">
      <c r="A2355" s="1" t="s">
        <v>67</v>
      </c>
      <c r="B2355" s="1" t="s">
        <v>11896</v>
      </c>
      <c r="C2355" s="1" t="s">
        <v>11897</v>
      </c>
      <c r="D2355" s="1" t="s">
        <v>11898</v>
      </c>
      <c r="E2355" s="1" t="s">
        <v>11899</v>
      </c>
      <c r="F2355" s="1" t="s">
        <v>11900</v>
      </c>
      <c r="G2355" s="1" t="s">
        <v>11901</v>
      </c>
      <c r="H2355" s="1" t="str">
        <f>IFERROR(__xludf.DUMMYFUNCTION("GOOGLETRANSLATE(D2355,""EN"",""JA"")"),"ヒトパラインフルエンザウイルス 3 RNA")</f>
        <v>ヒトパラインフルエンザウイルス 3 RNA</v>
      </c>
      <c r="I2355" s="1" t="str">
        <f>IFERROR(__xludf.DUMMYFUNCTION("GOOGLETRANSLATE(E2355,""EN"",""JA"")"),"ヒトパラインフルエンザウイルス 3 RNA;ヒトレスピロウイルス 3 RNA")</f>
        <v>ヒトパラインフルエンザウイルス 3 RNA;ヒトレスピロウイルス 3 RNA</v>
      </c>
      <c r="J2355" s="1" t="str">
        <f>IFERROR(__xludf.DUMMYFUNCTION("GOOGLETRANSLATE(F2355,""EN"",""JA"")"),"生物標本中のヒトパラインフルエンザウイルス 3 RNA の測定。")</f>
        <v>生物標本中のヒトパラインフルエンザウイルス 3 RNA の測定。</v>
      </c>
      <c r="K2355" s="1" t="str">
        <f>IFERROR(__xludf.DUMMYFUNCTION("GOOGLETRANSLATE(G2355,""EN"",""JA"")"),"ヒトパラインフルエンザウイルス3 RNA測定")</f>
        <v>ヒトパラインフルエンザウイルス3 RNA測定</v>
      </c>
    </row>
    <row r="2356" ht="13.5" customHeight="1">
      <c r="A2356" s="1" t="s">
        <v>67</v>
      </c>
      <c r="B2356" s="1" t="s">
        <v>11902</v>
      </c>
      <c r="C2356" s="1" t="s">
        <v>11903</v>
      </c>
      <c r="D2356" s="1" t="s">
        <v>11904</v>
      </c>
      <c r="E2356" s="1" t="s">
        <v>11904</v>
      </c>
      <c r="F2356" s="1" t="s">
        <v>11905</v>
      </c>
      <c r="G2356" s="1" t="s">
        <v>11906</v>
      </c>
      <c r="H2356" s="1" t="str">
        <f>IFERROR(__xludf.DUMMYFUNCTION("GOOGLETRANSLATE(D2356,""EN"",""JA"")"),"ヒトパラインフルエンザウイルス4")</f>
        <v>ヒトパラインフルエンザウイルス4</v>
      </c>
      <c r="I2356" s="1" t="str">
        <f>IFERROR(__xludf.DUMMYFUNCTION("GOOGLETRANSLATE(E2356,""EN"",""JA"")"),"ヒトパラインフルエンザウイルス4")</f>
        <v>ヒトパラインフルエンザウイルス4</v>
      </c>
      <c r="J2356" s="1" t="str">
        <f>IFERROR(__xludf.DUMMYFUNCTION("GOOGLETRANSLATE(F2356,""EN"",""JA"")"),"生物標本中のヒトパラインフルエンザウイルス 4 の測定。")</f>
        <v>生物標本中のヒトパラインフルエンザウイルス 4 の測定。</v>
      </c>
      <c r="K2356" s="1" t="str">
        <f>IFERROR(__xludf.DUMMYFUNCTION("GOOGLETRANSLATE(G2356,""EN"",""JA"")"),"ヒトパラインフルエンザウイルス4の測定")</f>
        <v>ヒトパラインフルエンザウイルス4の測定</v>
      </c>
    </row>
    <row r="2357" ht="13.5" customHeight="1">
      <c r="A2357" s="1" t="s">
        <v>67</v>
      </c>
      <c r="B2357" s="1" t="s">
        <v>11907</v>
      </c>
      <c r="C2357" s="1" t="s">
        <v>11908</v>
      </c>
      <c r="D2357" s="1" t="s">
        <v>11909</v>
      </c>
      <c r="E2357" s="1" t="s">
        <v>11910</v>
      </c>
      <c r="F2357" s="1" t="s">
        <v>11911</v>
      </c>
      <c r="G2357" s="1" t="s">
        <v>11912</v>
      </c>
      <c r="H2357" s="1" t="str">
        <f>IFERROR(__xludf.DUMMYFUNCTION("GOOGLETRANSLATE(D2357,""EN"",""JA"")"),"ヒトパラインフルエンザウイルス4B NC")</f>
        <v>ヒトパラインフルエンザウイルス4B NC</v>
      </c>
      <c r="I2357" s="1" t="str">
        <f>IFERROR(__xludf.DUMMYFUNCTION("GOOGLETRANSLATE(E2357,""EN"",""JA"")"),"ヒトパラインフルエンザウイルス4B NC; ヒトパラインフルエンザウイルス4B核酸")</f>
        <v>ヒトパラインフルエンザウイルス4B NC; ヒトパラインフルエンザウイルス4B核酸</v>
      </c>
      <c r="J2357" s="1" t="str">
        <f>IFERROR(__xludf.DUMMYFUNCTION("GOOGLETRANSLATE(F2357,""EN"",""JA"")"),"生物標本中のヒトパラインフルエンザウイルス 4b 核酸の測定。")</f>
        <v>生物標本中のヒトパラインフルエンザウイルス 4b 核酸の測定。</v>
      </c>
      <c r="K2357" s="1" t="str">
        <f>IFERROR(__xludf.DUMMYFUNCTION("GOOGLETRANSLATE(G2357,""EN"",""JA"")"),"ヒトパラインフルエンザウイルス4Bの核酸測定")</f>
        <v>ヒトパラインフルエンザウイルス4Bの核酸測定</v>
      </c>
    </row>
    <row r="2358" ht="13.5" customHeight="1">
      <c r="A2358" s="1" t="s">
        <v>67</v>
      </c>
      <c r="B2358" s="1" t="s">
        <v>11913</v>
      </c>
      <c r="C2358" s="1" t="s">
        <v>11914</v>
      </c>
      <c r="D2358" s="1" t="s">
        <v>11915</v>
      </c>
      <c r="E2358" s="1" t="s">
        <v>11915</v>
      </c>
      <c r="F2358" s="1" t="s">
        <v>11916</v>
      </c>
      <c r="G2358" s="1" t="s">
        <v>11917</v>
      </c>
      <c r="H2358" s="1" t="str">
        <f>IFERROR(__xludf.DUMMYFUNCTION("GOOGLETRANSLATE(D2358,""EN"",""JA"")"),"ヒトパラインフルエンザウイルス4核酸")</f>
        <v>ヒトパラインフルエンザウイルス4核酸</v>
      </c>
      <c r="I2358" s="1" t="str">
        <f>IFERROR(__xludf.DUMMYFUNCTION("GOOGLETRANSLATE(E2358,""EN"",""JA"")"),"ヒトパラインフルエンザウイルス4核酸")</f>
        <v>ヒトパラインフルエンザウイルス4核酸</v>
      </c>
      <c r="J2358" s="1" t="str">
        <f>IFERROR(__xludf.DUMMYFUNCTION("GOOGLETRANSLATE(F2358,""EN"",""JA"")"),"生物標本中のヒトパラインフルエンザウイルス 4 の核酸の測定。")</f>
        <v>生物標本中のヒトパラインフルエンザウイルス 4 の核酸の測定。</v>
      </c>
      <c r="K2358" s="1" t="str">
        <f>IFERROR(__xludf.DUMMYFUNCTION("GOOGLETRANSLATE(G2358,""EN"",""JA"")"),"ヒトパラインフルエンザウイルス4の核酸測定")</f>
        <v>ヒトパラインフルエンザウイルス4の核酸測定</v>
      </c>
    </row>
    <row r="2359" ht="13.5" customHeight="1">
      <c r="A2359" s="1" t="s">
        <v>67</v>
      </c>
      <c r="B2359" s="1" t="s">
        <v>11918</v>
      </c>
      <c r="C2359" s="1" t="s">
        <v>11919</v>
      </c>
      <c r="D2359" s="1" t="s">
        <v>11920</v>
      </c>
      <c r="E2359" s="1" t="s">
        <v>11921</v>
      </c>
      <c r="F2359" s="1" t="s">
        <v>11922</v>
      </c>
      <c r="G2359" s="1" t="s">
        <v>11923</v>
      </c>
      <c r="H2359" s="1" t="str">
        <f>IFERROR(__xludf.DUMMYFUNCTION("GOOGLETRANSLATE(D2359,""EN"",""JA"")"),"ヒトパラインフルエンザウイルス 4 RNA")</f>
        <v>ヒトパラインフルエンザウイルス 4 RNA</v>
      </c>
      <c r="I2359" s="1" t="str">
        <f>IFERROR(__xludf.DUMMYFUNCTION("GOOGLETRANSLATE(E2359,""EN"",""JA"")"),"ヒトオルソルブラウイルス 4 RNA;ヒトパラインフルエンザウイルス 4 RNA")</f>
        <v>ヒトオルソルブラウイルス 4 RNA;ヒトパラインフルエンザウイルス 4 RNA</v>
      </c>
      <c r="J2359" s="1" t="str">
        <f>IFERROR(__xludf.DUMMYFUNCTION("GOOGLETRANSLATE(F2359,""EN"",""JA"")"),"生物標本中のヒトパラインフルエンザウイルス 4 RNA の測定。")</f>
        <v>生物標本中のヒトパラインフルエンザウイルス 4 RNA の測定。</v>
      </c>
      <c r="K2359" s="1" t="str">
        <f>IFERROR(__xludf.DUMMYFUNCTION("GOOGLETRANSLATE(G2359,""EN"",""JA"")"),"ヒトパラインフルエンザウイルス4 RNA測定")</f>
        <v>ヒトパラインフルエンザウイルス4 RNA測定</v>
      </c>
    </row>
    <row r="2360" ht="13.5" customHeight="1">
      <c r="A2360" s="1" t="s">
        <v>67</v>
      </c>
      <c r="B2360" s="1" t="s">
        <v>11924</v>
      </c>
      <c r="C2360" s="1" t="s">
        <v>11925</v>
      </c>
      <c r="D2360" s="1" t="s">
        <v>11926</v>
      </c>
      <c r="E2360" s="1" t="s">
        <v>11926</v>
      </c>
      <c r="F2360" s="1" t="s">
        <v>11927</v>
      </c>
      <c r="G2360" s="1" t="s">
        <v>11928</v>
      </c>
      <c r="H2360" s="1" t="str">
        <f>IFERROR(__xludf.DUMMYFUNCTION("GOOGLETRANSLATE(D2360,""EN"",""JA"")"),"ヒトパラインフルエンザ抗原")</f>
        <v>ヒトパラインフルエンザ抗原</v>
      </c>
      <c r="I2360" s="1" t="str">
        <f>IFERROR(__xludf.DUMMYFUNCTION("GOOGLETRANSLATE(E2360,""EN"",""JA"")"),"ヒトパラインフルエンザ抗原")</f>
        <v>ヒトパラインフルエンザ抗原</v>
      </c>
      <c r="J2360" s="1" t="str">
        <f>IFERROR(__xludf.DUMMYFUNCTION("GOOGLETRANSLATE(F2360,""EN"",""JA"")"),"生物学的標本中のヒトパラインフルエンザ抗原の測定。")</f>
        <v>生物学的標本中のヒトパラインフルエンザ抗原の測定。</v>
      </c>
      <c r="K2360" s="1" t="str">
        <f>IFERROR(__xludf.DUMMYFUNCTION("GOOGLETRANSLATE(G2360,""EN"",""JA"")"),"ヒトパラインフルエンザ抗原測定")</f>
        <v>ヒトパラインフルエンザ抗原測定</v>
      </c>
    </row>
    <row r="2361" ht="13.5" customHeight="1">
      <c r="A2361" s="1" t="s">
        <v>67</v>
      </c>
      <c r="B2361" s="1" t="s">
        <v>11929</v>
      </c>
      <c r="C2361" s="1" t="s">
        <v>11930</v>
      </c>
      <c r="D2361" s="1" t="s">
        <v>11931</v>
      </c>
      <c r="E2361" s="1" t="s">
        <v>11931</v>
      </c>
      <c r="F2361" s="1" t="s">
        <v>11932</v>
      </c>
      <c r="G2361" s="1" t="s">
        <v>11933</v>
      </c>
      <c r="H2361" s="1" t="str">
        <f>IFERROR(__xludf.DUMMYFUNCTION("GOOGLETRANSLATE(D2361,""EN"",""JA"")"),"ヒトパラインフルエンザウイルスRNA")</f>
        <v>ヒトパラインフルエンザウイルスRNA</v>
      </c>
      <c r="I2361" s="1" t="str">
        <f>IFERROR(__xludf.DUMMYFUNCTION("GOOGLETRANSLATE(E2361,""EN"",""JA"")"),"ヒトパラインフルエンザウイルスRNA")</f>
        <v>ヒトパラインフルエンザウイルスRNA</v>
      </c>
      <c r="J2361" s="1" t="str">
        <f>IFERROR(__xludf.DUMMYFUNCTION("GOOGLETRANSLATE(F2361,""EN"",""JA"")"),"生物標本中のヒトパラインフルエンザウイルスRNAの測定。")</f>
        <v>生物標本中のヒトパラインフルエンザウイルスRNAの測定。</v>
      </c>
      <c r="K2361" s="1" t="str">
        <f>IFERROR(__xludf.DUMMYFUNCTION("GOOGLETRANSLATE(G2361,""EN"",""JA"")"),"ヒトパラインフルエンザウイルスRNA測定")</f>
        <v>ヒトパラインフルエンザウイルスRNA測定</v>
      </c>
    </row>
    <row r="2362" ht="13.5" customHeight="1">
      <c r="A2362" s="1" t="s">
        <v>11</v>
      </c>
      <c r="B2362" s="1" t="s">
        <v>11934</v>
      </c>
      <c r="C2362" s="1" t="s">
        <v>11935</v>
      </c>
      <c r="D2362" s="1" t="s">
        <v>11936</v>
      </c>
      <c r="E2362" s="1" t="s">
        <v>11937</v>
      </c>
      <c r="F2362" s="1" t="s">
        <v>11938</v>
      </c>
      <c r="G2362" s="1" t="s">
        <v>11939</v>
      </c>
      <c r="H2362" s="1" t="str">
        <f>IFERROR(__xludf.DUMMYFUNCTION("GOOGLETRANSLATE(D2362,""EN"",""JA"")"),"3-ヒドロキシプロピルメルカプツール酸")</f>
        <v>3-ヒドロキシプロピルメルカプツール酸</v>
      </c>
      <c r="I2362" s="1" t="str">
        <f>IFERROR(__xludf.DUMMYFUNCTION("GOOGLETRANSLATE(E2362,""EN"",""JA"")"),"3-HPMA; 3-ヒドロキシプロピルメルカプツール酸; 3-ヒドロキシプロピルメルカプツール酸; N-アセチル-S-(3-ヒドロキシプロピル)システイン")</f>
        <v>3-HPMA; 3-ヒドロキシプロピルメルカプツール酸; 3-ヒドロキシプロピルメルカプツール酸; N-アセチル-S-(3-ヒドロキシプロピル)システイン</v>
      </c>
      <c r="J2362" s="1" t="str">
        <f>IFERROR(__xludf.DUMMYFUNCTION("GOOGLETRANSLATE(F2362,""EN"",""JA"")"),"検体中の3-ヒドロキシプロピルメルカプツール酸の測定。")</f>
        <v>検体中の3-ヒドロキシプロピルメルカプツール酸の測定。</v>
      </c>
      <c r="K2362" s="1" t="str">
        <f>IFERROR(__xludf.DUMMYFUNCTION("GOOGLETRANSLATE(G2362,""EN"",""JA"")"),"3-ヒドロキシプロピルメルカプツール酸測定")</f>
        <v>3-ヒドロキシプロピルメルカプツール酸測定</v>
      </c>
    </row>
    <row r="2363" ht="13.5" customHeight="1">
      <c r="A2363" s="1" t="s">
        <v>11</v>
      </c>
      <c r="B2363" s="1" t="s">
        <v>11940</v>
      </c>
      <c r="C2363" s="1" t="s">
        <v>11941</v>
      </c>
      <c r="D2363" s="1" t="s">
        <v>11942</v>
      </c>
      <c r="E2363" s="1" t="s">
        <v>11943</v>
      </c>
      <c r="F2363" s="1" t="s">
        <v>11944</v>
      </c>
      <c r="G2363" s="1" t="s">
        <v>11942</v>
      </c>
      <c r="H2363" s="1" t="str">
        <f>IFERROR(__xludf.DUMMYFUNCTION("GOOGLETRANSLATE(D2363,""EN"",""JA"")"),"低色素症")</f>
        <v>低色素症</v>
      </c>
      <c r="I2363" s="1" t="str">
        <f>IFERROR(__xludf.DUMMYFUNCTION("GOOGLETRANSLATE(E2363,""EN"",""JA"")"),"低色素症; 低色素性赤血球")</f>
        <v>低色素症; 低色素性赤血球</v>
      </c>
      <c r="J2363" s="1" t="str">
        <f>IFERROR(__xludf.DUMMYFUNCTION("GOOGLETRANSLATE(F2363,""EN"",""JA"")"),"赤血球標本中のヘモグロビン濃度が指定されたレベル以下に低下したことを示す観察。")</f>
        <v>赤血球標本中のヘモグロビン濃度が指定されたレベル以下に低下したことを示す観察。</v>
      </c>
      <c r="K2363" s="1" t="str">
        <f>IFERROR(__xludf.DUMMYFUNCTION("GOOGLETRANSLATE(G2363,""EN"",""JA"")"),"低色素症")</f>
        <v>低色素症</v>
      </c>
    </row>
    <row r="2364" ht="13.5" customHeight="1">
      <c r="A2364" s="1" t="s">
        <v>6439</v>
      </c>
      <c r="B2364" s="1" t="s">
        <v>11945</v>
      </c>
      <c r="C2364" s="1" t="s">
        <v>11946</v>
      </c>
      <c r="D2364" s="1" t="s">
        <v>11947</v>
      </c>
      <c r="E2364" s="1" t="s">
        <v>11947</v>
      </c>
      <c r="F2364" s="1" t="s">
        <v>11948</v>
      </c>
      <c r="G2364" s="1" t="s">
        <v>11947</v>
      </c>
      <c r="H2364" s="1" t="str">
        <f>IFERROR(__xludf.DUMMYFUNCTION("GOOGLETRANSLATE(D2364,""EN"",""JA"")"),"肝腫大指標")</f>
        <v>肝腫大指標</v>
      </c>
      <c r="I2364" s="1" t="str">
        <f>IFERROR(__xludf.DUMMYFUNCTION("GOOGLETRANSLATE(E2364,""EN"",""JA"")"),"肝腫大指標")</f>
        <v>肝腫大指標</v>
      </c>
      <c r="J2364" s="1" t="str">
        <f>IFERROR(__xludf.DUMMYFUNCTION("GOOGLETRANSLATE(F2364,""EN"",""JA"")"),"肝腫大（肝臓の肥大）の有無を示します。")</f>
        <v>肝腫大（肝臓の肥大）の有無を示します。</v>
      </c>
      <c r="K2364" s="1" t="str">
        <f>IFERROR(__xludf.DUMMYFUNCTION("GOOGLETRANSLATE(G2364,""EN"",""JA"")"),"肝腫大指標")</f>
        <v>肝腫大指標</v>
      </c>
    </row>
    <row r="2365" ht="13.5" customHeight="1">
      <c r="A2365" s="1" t="s">
        <v>67</v>
      </c>
      <c r="B2365" s="1" t="s">
        <v>11949</v>
      </c>
      <c r="C2365" s="1" t="s">
        <v>11950</v>
      </c>
      <c r="D2365" s="1" t="s">
        <v>11951</v>
      </c>
      <c r="E2365" s="1" t="s">
        <v>11951</v>
      </c>
      <c r="F2365" s="1" t="s">
        <v>11952</v>
      </c>
      <c r="G2365" s="1" t="s">
        <v>11953</v>
      </c>
      <c r="H2365" s="1" t="str">
        <f>IFERROR(__xludf.DUMMYFUNCTION("GOOGLETRANSLATE(D2365,""EN"",""JA"")"),"ヒトパピローマウイルス")</f>
        <v>ヒトパピローマウイルス</v>
      </c>
      <c r="I2365" s="1" t="str">
        <f>IFERROR(__xludf.DUMMYFUNCTION("GOOGLETRANSLATE(E2365,""EN"",""JA"")"),"ヒトパピローマウイルス")</f>
        <v>ヒトパピローマウイルス</v>
      </c>
      <c r="J2365" s="1" t="str">
        <f>IFERROR(__xludf.DUMMYFUNCTION("GOOGLETRANSLATE(F2365,""EN"",""JA"")"),"生物標本中のヒトパピローマウイルスの測定。")</f>
        <v>生物標本中のヒトパピローマウイルスの測定。</v>
      </c>
      <c r="K2365" s="1" t="str">
        <f>IFERROR(__xludf.DUMMYFUNCTION("GOOGLETRANSLATE(G2365,""EN"",""JA"")"),"ヒトパピローマウイルス測定")</f>
        <v>ヒトパピローマウイルス測定</v>
      </c>
    </row>
    <row r="2366" ht="13.5" customHeight="1">
      <c r="A2366" s="1" t="s">
        <v>67</v>
      </c>
      <c r="B2366" s="1" t="s">
        <v>11954</v>
      </c>
      <c r="C2366" s="1" t="s">
        <v>11955</v>
      </c>
      <c r="D2366" s="1" t="s">
        <v>11956</v>
      </c>
      <c r="E2366" s="1" t="s">
        <v>11956</v>
      </c>
      <c r="F2366" s="1" t="s">
        <v>11957</v>
      </c>
      <c r="G2366" s="1" t="s">
        <v>11958</v>
      </c>
      <c r="H2366" s="1" t="str">
        <f>IFERROR(__xludf.DUMMYFUNCTION("GOOGLETRANSLATE(D2366,""EN"",""JA"")"),"ヒトパピローマウイルス11型DNA")</f>
        <v>ヒトパピローマウイルス11型DNA</v>
      </c>
      <c r="I2366" s="1" t="str">
        <f>IFERROR(__xludf.DUMMYFUNCTION("GOOGLETRANSLATE(E2366,""EN"",""JA"")"),"ヒトパピローマウイルス11型DNA")</f>
        <v>ヒトパピローマウイルス11型DNA</v>
      </c>
      <c r="J2366" s="1" t="str">
        <f>IFERROR(__xludf.DUMMYFUNCTION("GOOGLETRANSLATE(F2366,""EN"",""JA"")"),"生物標本中のヒトパピローマウイルス 11 型の DNA の測定。")</f>
        <v>生物標本中のヒトパピローマウイルス 11 型の DNA の測定。</v>
      </c>
      <c r="K2366" s="1" t="str">
        <f>IFERROR(__xludf.DUMMYFUNCTION("GOOGLETRANSLATE(G2366,""EN"",""JA"")"),"ヒトパピローマウイルス11型のDNA測定")</f>
        <v>ヒトパピローマウイルス11型のDNA測定</v>
      </c>
    </row>
    <row r="2367" ht="13.5" customHeight="1">
      <c r="A2367" s="1" t="s">
        <v>67</v>
      </c>
      <c r="B2367" s="1" t="s">
        <v>11959</v>
      </c>
      <c r="C2367" s="1" t="s">
        <v>11960</v>
      </c>
      <c r="D2367" s="1" t="s">
        <v>11961</v>
      </c>
      <c r="E2367" s="1" t="s">
        <v>11961</v>
      </c>
      <c r="F2367" s="1" t="s">
        <v>11962</v>
      </c>
      <c r="G2367" s="1" t="s">
        <v>11963</v>
      </c>
      <c r="H2367" s="1" t="str">
        <f>IFERROR(__xludf.DUMMYFUNCTION("GOOGLETRANSLATE(D2367,""EN"",""JA"")"),"ヒトパピローマウイルス16型DNA")</f>
        <v>ヒトパピローマウイルス16型DNA</v>
      </c>
      <c r="I2367" s="1" t="str">
        <f>IFERROR(__xludf.DUMMYFUNCTION("GOOGLETRANSLATE(E2367,""EN"",""JA"")"),"ヒトパピローマウイルス16型DNA")</f>
        <v>ヒトパピローマウイルス16型DNA</v>
      </c>
      <c r="J2367" s="1" t="str">
        <f>IFERROR(__xludf.DUMMYFUNCTION("GOOGLETRANSLATE(F2367,""EN"",""JA"")"),"生物標本中のヒトパピローマウイルス 16 型の DNA の測定。")</f>
        <v>生物標本中のヒトパピローマウイルス 16 型の DNA の測定。</v>
      </c>
      <c r="K2367" s="1" t="str">
        <f>IFERROR(__xludf.DUMMYFUNCTION("GOOGLETRANSLATE(G2367,""EN"",""JA"")"),"ヒトパピローマウイルス16型のDNA測定")</f>
        <v>ヒトパピローマウイルス16型のDNA測定</v>
      </c>
    </row>
    <row r="2368" ht="13.5" customHeight="1">
      <c r="A2368" s="1" t="s">
        <v>67</v>
      </c>
      <c r="B2368" s="1" t="s">
        <v>11964</v>
      </c>
      <c r="C2368" s="1" t="s">
        <v>11965</v>
      </c>
      <c r="D2368" s="1" t="s">
        <v>11966</v>
      </c>
      <c r="E2368" s="1" t="s">
        <v>11966</v>
      </c>
      <c r="F2368" s="1" t="s">
        <v>11967</v>
      </c>
      <c r="G2368" s="1" t="s">
        <v>11968</v>
      </c>
      <c r="H2368" s="1" t="str">
        <f>IFERROR(__xludf.DUMMYFUNCTION("GOOGLETRANSLATE(D2368,""EN"",""JA"")"),"ヒトパピローマウイルス18型DNA")</f>
        <v>ヒトパピローマウイルス18型DNA</v>
      </c>
      <c r="I2368" s="1" t="str">
        <f>IFERROR(__xludf.DUMMYFUNCTION("GOOGLETRANSLATE(E2368,""EN"",""JA"")"),"ヒトパピローマウイルス18型DNA")</f>
        <v>ヒトパピローマウイルス18型DNA</v>
      </c>
      <c r="J2368" s="1" t="str">
        <f>IFERROR(__xludf.DUMMYFUNCTION("GOOGLETRANSLATE(F2368,""EN"",""JA"")"),"生物標本中のヒトパピローマウイルス 18 型の DNA の測定。")</f>
        <v>生物標本中のヒトパピローマウイルス 18 型の DNA の測定。</v>
      </c>
      <c r="K2368" s="1" t="str">
        <f>IFERROR(__xludf.DUMMYFUNCTION("GOOGLETRANSLATE(G2368,""EN"",""JA"")"),"ヒトパピローマウイルス18型のDNA測定")</f>
        <v>ヒトパピローマウイルス18型のDNA測定</v>
      </c>
    </row>
    <row r="2369" ht="13.5" customHeight="1">
      <c r="A2369" s="1" t="s">
        <v>67</v>
      </c>
      <c r="B2369" s="1" t="s">
        <v>11969</v>
      </c>
      <c r="C2369" s="1" t="s">
        <v>11970</v>
      </c>
      <c r="D2369" s="1" t="s">
        <v>11971</v>
      </c>
      <c r="E2369" s="1" t="s">
        <v>11971</v>
      </c>
      <c r="F2369" s="1" t="s">
        <v>11972</v>
      </c>
      <c r="G2369" s="1" t="s">
        <v>11973</v>
      </c>
      <c r="H2369" s="1" t="str">
        <f>IFERROR(__xludf.DUMMYFUNCTION("GOOGLETRANSLATE(D2369,""EN"",""JA"")"),"ヒトパピローマウイルス31型")</f>
        <v>ヒトパピローマウイルス31型</v>
      </c>
      <c r="I2369" s="1" t="str">
        <f>IFERROR(__xludf.DUMMYFUNCTION("GOOGLETRANSLATE(E2369,""EN"",""JA"")"),"ヒトパピローマウイルス31型")</f>
        <v>ヒトパピローマウイルス31型</v>
      </c>
      <c r="J2369" s="1" t="str">
        <f>IFERROR(__xludf.DUMMYFUNCTION("GOOGLETRANSLATE(F2369,""EN"",""JA"")"),"生物標本中のヒトパピローマウイルス 31 型の測定。")</f>
        <v>生物標本中のヒトパピローマウイルス 31 型の測定。</v>
      </c>
      <c r="K2369" s="1" t="str">
        <f>IFERROR(__xludf.DUMMYFUNCTION("GOOGLETRANSLATE(G2369,""EN"",""JA"")"),"ヒトパピローマウイルス31型の測定")</f>
        <v>ヒトパピローマウイルス31型の測定</v>
      </c>
    </row>
    <row r="2370" ht="13.5" customHeight="1">
      <c r="A2370" s="1" t="s">
        <v>67</v>
      </c>
      <c r="B2370" s="1" t="s">
        <v>11974</v>
      </c>
      <c r="C2370" s="1" t="s">
        <v>11975</v>
      </c>
      <c r="D2370" s="1" t="s">
        <v>11976</v>
      </c>
      <c r="E2370" s="1" t="s">
        <v>11976</v>
      </c>
      <c r="F2370" s="1" t="s">
        <v>11977</v>
      </c>
      <c r="G2370" s="1" t="s">
        <v>11978</v>
      </c>
      <c r="H2370" s="1" t="str">
        <f>IFERROR(__xludf.DUMMYFUNCTION("GOOGLETRANSLATE(D2370,""EN"",""JA"")"),"ヒトパピローマウイルス31型DNA")</f>
        <v>ヒトパピローマウイルス31型DNA</v>
      </c>
      <c r="I2370" s="1" t="str">
        <f>IFERROR(__xludf.DUMMYFUNCTION("GOOGLETRANSLATE(E2370,""EN"",""JA"")"),"ヒトパピローマウイルス31型DNA")</f>
        <v>ヒトパピローマウイルス31型DNA</v>
      </c>
      <c r="J2370" s="1" t="str">
        <f>IFERROR(__xludf.DUMMYFUNCTION("GOOGLETRANSLATE(F2370,""EN"",""JA"")"),"生物標本中のヒトパピローマウイルス 31 型の DNA の測定。")</f>
        <v>生物標本中のヒトパピローマウイルス 31 型の DNA の測定。</v>
      </c>
      <c r="K2370" s="1" t="str">
        <f>IFERROR(__xludf.DUMMYFUNCTION("GOOGLETRANSLATE(G2370,""EN"",""JA"")"),"ヒトパピローマウイルス31型のDNA測定")</f>
        <v>ヒトパピローマウイルス31型のDNA測定</v>
      </c>
    </row>
    <row r="2371" ht="13.5" customHeight="1">
      <c r="A2371" s="1" t="s">
        <v>67</v>
      </c>
      <c r="B2371" s="1" t="s">
        <v>11979</v>
      </c>
      <c r="C2371" s="1" t="s">
        <v>11980</v>
      </c>
      <c r="D2371" s="1" t="s">
        <v>11981</v>
      </c>
      <c r="E2371" s="1" t="s">
        <v>11981</v>
      </c>
      <c r="F2371" s="1" t="s">
        <v>11982</v>
      </c>
      <c r="G2371" s="1" t="s">
        <v>11983</v>
      </c>
      <c r="H2371" s="1" t="str">
        <f>IFERROR(__xludf.DUMMYFUNCTION("GOOGLETRANSLATE(D2371,""EN"",""JA"")"),"ヒトパピローマウイルス33型")</f>
        <v>ヒトパピローマウイルス33型</v>
      </c>
      <c r="I2371" s="1" t="str">
        <f>IFERROR(__xludf.DUMMYFUNCTION("GOOGLETRANSLATE(E2371,""EN"",""JA"")"),"ヒトパピローマウイルス33型")</f>
        <v>ヒトパピローマウイルス33型</v>
      </c>
      <c r="J2371" s="1" t="str">
        <f>IFERROR(__xludf.DUMMYFUNCTION("GOOGLETRANSLATE(F2371,""EN"",""JA"")"),"生物標本中のヒトパピローマウイルス 33 型の測定。")</f>
        <v>生物標本中のヒトパピローマウイルス 33 型の測定。</v>
      </c>
      <c r="K2371" s="1" t="str">
        <f>IFERROR(__xludf.DUMMYFUNCTION("GOOGLETRANSLATE(G2371,""EN"",""JA"")"),"ヒトパピローマウイルス33型の測定")</f>
        <v>ヒトパピローマウイルス33型の測定</v>
      </c>
    </row>
    <row r="2372" ht="13.5" customHeight="1">
      <c r="A2372" s="1" t="s">
        <v>67</v>
      </c>
      <c r="B2372" s="1" t="s">
        <v>11984</v>
      </c>
      <c r="C2372" s="1" t="s">
        <v>11985</v>
      </c>
      <c r="D2372" s="1" t="s">
        <v>11986</v>
      </c>
      <c r="E2372" s="1" t="s">
        <v>11986</v>
      </c>
      <c r="F2372" s="1" t="s">
        <v>11987</v>
      </c>
      <c r="G2372" s="1" t="s">
        <v>11988</v>
      </c>
      <c r="H2372" s="1" t="str">
        <f>IFERROR(__xludf.DUMMYFUNCTION("GOOGLETRANSLATE(D2372,""EN"",""JA"")"),"ヒトパピローマウイルス33型DNA")</f>
        <v>ヒトパピローマウイルス33型DNA</v>
      </c>
      <c r="I2372" s="1" t="str">
        <f>IFERROR(__xludf.DUMMYFUNCTION("GOOGLETRANSLATE(E2372,""EN"",""JA"")"),"ヒトパピローマウイルス33型DNA")</f>
        <v>ヒトパピローマウイルス33型DNA</v>
      </c>
      <c r="J2372" s="1" t="str">
        <f>IFERROR(__xludf.DUMMYFUNCTION("GOOGLETRANSLATE(F2372,""EN"",""JA"")"),"生物標本中のヒトパピローマウイルス 33 型の DNA の測定。")</f>
        <v>生物標本中のヒトパピローマウイルス 33 型の DNA の測定。</v>
      </c>
      <c r="K2372" s="1" t="str">
        <f>IFERROR(__xludf.DUMMYFUNCTION("GOOGLETRANSLATE(G2372,""EN"",""JA"")"),"ヒトパピローマウイルス33型のDNA測定")</f>
        <v>ヒトパピローマウイルス33型のDNA測定</v>
      </c>
    </row>
    <row r="2373" ht="13.5" customHeight="1">
      <c r="A2373" s="1" t="s">
        <v>67</v>
      </c>
      <c r="B2373" s="1" t="s">
        <v>11989</v>
      </c>
      <c r="C2373" s="1" t="s">
        <v>11990</v>
      </c>
      <c r="D2373" s="1" t="s">
        <v>11991</v>
      </c>
      <c r="E2373" s="1" t="s">
        <v>11991</v>
      </c>
      <c r="F2373" s="1" t="s">
        <v>11992</v>
      </c>
      <c r="G2373" s="1" t="s">
        <v>11993</v>
      </c>
      <c r="H2373" s="1" t="str">
        <f>IFERROR(__xludf.DUMMYFUNCTION("GOOGLETRANSLATE(D2373,""EN"",""JA"")"),"ヒトパピローマウイルス34型")</f>
        <v>ヒトパピローマウイルス34型</v>
      </c>
      <c r="I2373" s="1" t="str">
        <f>IFERROR(__xludf.DUMMYFUNCTION("GOOGLETRANSLATE(E2373,""EN"",""JA"")"),"ヒトパピローマウイルス34型")</f>
        <v>ヒトパピローマウイルス34型</v>
      </c>
      <c r="J2373" s="1" t="str">
        <f>IFERROR(__xludf.DUMMYFUNCTION("GOOGLETRANSLATE(F2373,""EN"",""JA"")"),"生物標本中のヒトパピローマウイルス 34 型の測定。")</f>
        <v>生物標本中のヒトパピローマウイルス 34 型の測定。</v>
      </c>
      <c r="K2373" s="1" t="str">
        <f>IFERROR(__xludf.DUMMYFUNCTION("GOOGLETRANSLATE(G2373,""EN"",""JA"")"),"ヒトパピローマウイルス34型の測定")</f>
        <v>ヒトパピローマウイルス34型の測定</v>
      </c>
    </row>
    <row r="2374" ht="13.5" customHeight="1">
      <c r="A2374" s="1" t="s">
        <v>67</v>
      </c>
      <c r="B2374" s="1" t="s">
        <v>11994</v>
      </c>
      <c r="C2374" s="1" t="s">
        <v>11995</v>
      </c>
      <c r="D2374" s="1" t="s">
        <v>11996</v>
      </c>
      <c r="E2374" s="1" t="s">
        <v>11996</v>
      </c>
      <c r="F2374" s="1" t="s">
        <v>11997</v>
      </c>
      <c r="G2374" s="1" t="s">
        <v>11998</v>
      </c>
      <c r="H2374" s="1" t="str">
        <f>IFERROR(__xludf.DUMMYFUNCTION("GOOGLETRANSLATE(D2374,""EN"",""JA"")"),"ヒトパピローマウイルス35型")</f>
        <v>ヒトパピローマウイルス35型</v>
      </c>
      <c r="I2374" s="1" t="str">
        <f>IFERROR(__xludf.DUMMYFUNCTION("GOOGLETRANSLATE(E2374,""EN"",""JA"")"),"ヒトパピローマウイルス35型")</f>
        <v>ヒトパピローマウイルス35型</v>
      </c>
      <c r="J2374" s="1" t="str">
        <f>IFERROR(__xludf.DUMMYFUNCTION("GOOGLETRANSLATE(F2374,""EN"",""JA"")"),"生物標本中のヒトパピローマウイルス 35 型の測定。")</f>
        <v>生物標本中のヒトパピローマウイルス 35 型の測定。</v>
      </c>
      <c r="K2374" s="1" t="str">
        <f>IFERROR(__xludf.DUMMYFUNCTION("GOOGLETRANSLATE(G2374,""EN"",""JA"")"),"ヒトパピローマウイルス35型の測定")</f>
        <v>ヒトパピローマウイルス35型の測定</v>
      </c>
    </row>
    <row r="2375" ht="13.5" customHeight="1">
      <c r="A2375" s="1" t="s">
        <v>67</v>
      </c>
      <c r="B2375" s="1" t="s">
        <v>11999</v>
      </c>
      <c r="C2375" s="1" t="s">
        <v>12000</v>
      </c>
      <c r="D2375" s="1" t="s">
        <v>12001</v>
      </c>
      <c r="E2375" s="1" t="s">
        <v>12001</v>
      </c>
      <c r="F2375" s="1" t="s">
        <v>12002</v>
      </c>
      <c r="G2375" s="1" t="s">
        <v>12003</v>
      </c>
      <c r="H2375" s="1" t="str">
        <f>IFERROR(__xludf.DUMMYFUNCTION("GOOGLETRANSLATE(D2375,""EN"",""JA"")"),"ヒトパピローマウイルス35型DNA")</f>
        <v>ヒトパピローマウイルス35型DNA</v>
      </c>
      <c r="I2375" s="1" t="str">
        <f>IFERROR(__xludf.DUMMYFUNCTION("GOOGLETRANSLATE(E2375,""EN"",""JA"")"),"ヒトパピローマウイルス35型DNA")</f>
        <v>ヒトパピローマウイルス35型DNA</v>
      </c>
      <c r="J2375" s="1" t="str">
        <f>IFERROR(__xludf.DUMMYFUNCTION("GOOGLETRANSLATE(F2375,""EN"",""JA"")"),"生物標本中のヒトパピローマウイルス 35 型の DNA の測定。")</f>
        <v>生物標本中のヒトパピローマウイルス 35 型の DNA の測定。</v>
      </c>
      <c r="K2375" s="1" t="str">
        <f>IFERROR(__xludf.DUMMYFUNCTION("GOOGLETRANSLATE(G2375,""EN"",""JA"")"),"ヒトパピローマウイルス35型のDNA測定")</f>
        <v>ヒトパピローマウイルス35型のDNA測定</v>
      </c>
    </row>
    <row r="2376" ht="13.5" customHeight="1">
      <c r="A2376" s="1" t="s">
        <v>67</v>
      </c>
      <c r="B2376" s="1" t="s">
        <v>12004</v>
      </c>
      <c r="C2376" s="1" t="s">
        <v>12005</v>
      </c>
      <c r="D2376" s="1" t="s">
        <v>12006</v>
      </c>
      <c r="E2376" s="1" t="s">
        <v>12006</v>
      </c>
      <c r="F2376" s="1" t="s">
        <v>12007</v>
      </c>
      <c r="G2376" s="1" t="s">
        <v>12008</v>
      </c>
      <c r="H2376" s="1" t="str">
        <f>IFERROR(__xludf.DUMMYFUNCTION("GOOGLETRANSLATE(D2376,""EN"",""JA"")"),"ヒトパピローマウイルス39型")</f>
        <v>ヒトパピローマウイルス39型</v>
      </c>
      <c r="I2376" s="1" t="str">
        <f>IFERROR(__xludf.DUMMYFUNCTION("GOOGLETRANSLATE(E2376,""EN"",""JA"")"),"ヒトパピローマウイルス39型")</f>
        <v>ヒトパピローマウイルス39型</v>
      </c>
      <c r="J2376" s="1" t="str">
        <f>IFERROR(__xludf.DUMMYFUNCTION("GOOGLETRANSLATE(F2376,""EN"",""JA"")"),"生物標本中のヒトパピローマウイルス 39 型の測定。")</f>
        <v>生物標本中のヒトパピローマウイルス 39 型の測定。</v>
      </c>
      <c r="K2376" s="1" t="str">
        <f>IFERROR(__xludf.DUMMYFUNCTION("GOOGLETRANSLATE(G2376,""EN"",""JA"")"),"ヒトパピローマウイルス39型の測定")</f>
        <v>ヒトパピローマウイルス39型の測定</v>
      </c>
    </row>
    <row r="2377" ht="13.5" customHeight="1">
      <c r="A2377" s="1" t="s">
        <v>67</v>
      </c>
      <c r="B2377" s="1" t="s">
        <v>12009</v>
      </c>
      <c r="C2377" s="1" t="s">
        <v>12010</v>
      </c>
      <c r="D2377" s="1" t="s">
        <v>12011</v>
      </c>
      <c r="E2377" s="1" t="s">
        <v>12011</v>
      </c>
      <c r="F2377" s="1" t="s">
        <v>12012</v>
      </c>
      <c r="G2377" s="1" t="s">
        <v>12013</v>
      </c>
      <c r="H2377" s="1" t="str">
        <f>IFERROR(__xludf.DUMMYFUNCTION("GOOGLETRANSLATE(D2377,""EN"",""JA"")"),"ヒトパピローマウイルス39型DNA")</f>
        <v>ヒトパピローマウイルス39型DNA</v>
      </c>
      <c r="I2377" s="1" t="str">
        <f>IFERROR(__xludf.DUMMYFUNCTION("GOOGLETRANSLATE(E2377,""EN"",""JA"")"),"ヒトパピローマウイルス39型DNA")</f>
        <v>ヒトパピローマウイルス39型DNA</v>
      </c>
      <c r="J2377" s="1" t="str">
        <f>IFERROR(__xludf.DUMMYFUNCTION("GOOGLETRANSLATE(F2377,""EN"",""JA"")"),"生物標本中のヒトパピローマウイルス 39 型の DNA の測定。")</f>
        <v>生物標本中のヒトパピローマウイルス 39 型の DNA の測定。</v>
      </c>
      <c r="K2377" s="1" t="str">
        <f>IFERROR(__xludf.DUMMYFUNCTION("GOOGLETRANSLATE(G2377,""EN"",""JA"")"),"ヒトパピローマウイルス39型のDNA測定")</f>
        <v>ヒトパピローマウイルス39型のDNA測定</v>
      </c>
    </row>
    <row r="2378" ht="13.5" customHeight="1">
      <c r="A2378" s="1" t="s">
        <v>67</v>
      </c>
      <c r="B2378" s="1" t="s">
        <v>12014</v>
      </c>
      <c r="C2378" s="1" t="s">
        <v>12015</v>
      </c>
      <c r="D2378" s="1" t="s">
        <v>12016</v>
      </c>
      <c r="E2378" s="1" t="s">
        <v>12016</v>
      </c>
      <c r="F2378" s="1" t="s">
        <v>12017</v>
      </c>
      <c r="G2378" s="1" t="s">
        <v>12018</v>
      </c>
      <c r="H2378" s="1" t="str">
        <f>IFERROR(__xludf.DUMMYFUNCTION("GOOGLETRANSLATE(D2378,""EN"",""JA"")"),"ヒトパピローマウイルス40型")</f>
        <v>ヒトパピローマウイルス40型</v>
      </c>
      <c r="I2378" s="1" t="str">
        <f>IFERROR(__xludf.DUMMYFUNCTION("GOOGLETRANSLATE(E2378,""EN"",""JA"")"),"ヒトパピローマウイルス40型")</f>
        <v>ヒトパピローマウイルス40型</v>
      </c>
      <c r="J2378" s="1" t="str">
        <f>IFERROR(__xludf.DUMMYFUNCTION("GOOGLETRANSLATE(F2378,""EN"",""JA"")"),"生物標本中のヒトパピローマウイルス 40 型の測定。")</f>
        <v>生物標本中のヒトパピローマウイルス 40 型の測定。</v>
      </c>
      <c r="K2378" s="1" t="str">
        <f>IFERROR(__xludf.DUMMYFUNCTION("GOOGLETRANSLATE(G2378,""EN"",""JA"")"),"ヒトパピローマウイルス40型の測定")</f>
        <v>ヒトパピローマウイルス40型の測定</v>
      </c>
    </row>
    <row r="2379" ht="13.5" customHeight="1">
      <c r="A2379" s="1" t="s">
        <v>67</v>
      </c>
      <c r="B2379" s="1" t="s">
        <v>12019</v>
      </c>
      <c r="C2379" s="1" t="s">
        <v>12020</v>
      </c>
      <c r="D2379" s="1" t="s">
        <v>12021</v>
      </c>
      <c r="E2379" s="1" t="s">
        <v>12021</v>
      </c>
      <c r="F2379" s="1" t="s">
        <v>12022</v>
      </c>
      <c r="G2379" s="1" t="s">
        <v>12023</v>
      </c>
      <c r="H2379" s="1" t="str">
        <f>IFERROR(__xludf.DUMMYFUNCTION("GOOGLETRANSLATE(D2379,""EN"",""JA"")"),"ヒトパピローマウイルス42型")</f>
        <v>ヒトパピローマウイルス42型</v>
      </c>
      <c r="I2379" s="1" t="str">
        <f>IFERROR(__xludf.DUMMYFUNCTION("GOOGLETRANSLATE(E2379,""EN"",""JA"")"),"ヒトパピローマウイルス42型")</f>
        <v>ヒトパピローマウイルス42型</v>
      </c>
      <c r="J2379" s="1" t="str">
        <f>IFERROR(__xludf.DUMMYFUNCTION("GOOGLETRANSLATE(F2379,""EN"",""JA"")"),"生物標本中のヒトパピローマウイルス 42 型の測定。")</f>
        <v>生物標本中のヒトパピローマウイルス 42 型の測定。</v>
      </c>
      <c r="K2379" s="1" t="str">
        <f>IFERROR(__xludf.DUMMYFUNCTION("GOOGLETRANSLATE(G2379,""EN"",""JA"")"),"ヒトパピローマウイルス42型の測定")</f>
        <v>ヒトパピローマウイルス42型の測定</v>
      </c>
    </row>
    <row r="2380" ht="13.5" customHeight="1">
      <c r="A2380" s="1" t="s">
        <v>67</v>
      </c>
      <c r="B2380" s="1" t="s">
        <v>12024</v>
      </c>
      <c r="C2380" s="1" t="s">
        <v>12025</v>
      </c>
      <c r="D2380" s="1" t="s">
        <v>12026</v>
      </c>
      <c r="E2380" s="1" t="s">
        <v>12026</v>
      </c>
      <c r="F2380" s="1" t="s">
        <v>12027</v>
      </c>
      <c r="G2380" s="1" t="s">
        <v>12028</v>
      </c>
      <c r="H2380" s="1" t="str">
        <f>IFERROR(__xludf.DUMMYFUNCTION("GOOGLETRANSLATE(D2380,""EN"",""JA"")"),"ヒトパピローマウイルス43型")</f>
        <v>ヒトパピローマウイルス43型</v>
      </c>
      <c r="I2380" s="1" t="str">
        <f>IFERROR(__xludf.DUMMYFUNCTION("GOOGLETRANSLATE(E2380,""EN"",""JA"")"),"ヒトパピローマウイルス43型")</f>
        <v>ヒトパピローマウイルス43型</v>
      </c>
      <c r="J2380" s="1" t="str">
        <f>IFERROR(__xludf.DUMMYFUNCTION("GOOGLETRANSLATE(F2380,""EN"",""JA"")"),"生物標本中のヒトパピローマウイルス 43 型の測定。")</f>
        <v>生物標本中のヒトパピローマウイルス 43 型の測定。</v>
      </c>
      <c r="K2380" s="1" t="str">
        <f>IFERROR(__xludf.DUMMYFUNCTION("GOOGLETRANSLATE(G2380,""EN"",""JA"")"),"ヒトパピローマウイルス43型の測定")</f>
        <v>ヒトパピローマウイルス43型の測定</v>
      </c>
    </row>
    <row r="2381" ht="13.5" customHeight="1">
      <c r="A2381" s="1" t="s">
        <v>67</v>
      </c>
      <c r="B2381" s="1" t="s">
        <v>12029</v>
      </c>
      <c r="C2381" s="1" t="s">
        <v>12030</v>
      </c>
      <c r="D2381" s="1" t="s">
        <v>12031</v>
      </c>
      <c r="E2381" s="1" t="s">
        <v>12031</v>
      </c>
      <c r="F2381" s="1" t="s">
        <v>12032</v>
      </c>
      <c r="G2381" s="1" t="s">
        <v>12033</v>
      </c>
      <c r="H2381" s="1" t="str">
        <f>IFERROR(__xludf.DUMMYFUNCTION("GOOGLETRANSLATE(D2381,""EN"",""JA"")"),"ヒトパピローマウイルス44型")</f>
        <v>ヒトパピローマウイルス44型</v>
      </c>
      <c r="I2381" s="1" t="str">
        <f>IFERROR(__xludf.DUMMYFUNCTION("GOOGLETRANSLATE(E2381,""EN"",""JA"")"),"ヒトパピローマウイルス44型")</f>
        <v>ヒトパピローマウイルス44型</v>
      </c>
      <c r="J2381" s="1" t="str">
        <f>IFERROR(__xludf.DUMMYFUNCTION("GOOGLETRANSLATE(F2381,""EN"",""JA"")"),"生物標本中のヒトパピローマウイルス 44 型の測定。")</f>
        <v>生物標本中のヒトパピローマウイルス 44 型の測定。</v>
      </c>
      <c r="K2381" s="1" t="str">
        <f>IFERROR(__xludf.DUMMYFUNCTION("GOOGLETRANSLATE(G2381,""EN"",""JA"")"),"ヒトパピローマウイルス44型の測定")</f>
        <v>ヒトパピローマウイルス44型の測定</v>
      </c>
    </row>
    <row r="2382" ht="13.5" customHeight="1">
      <c r="A2382" s="1" t="s">
        <v>67</v>
      </c>
      <c r="B2382" s="1" t="s">
        <v>12034</v>
      </c>
      <c r="C2382" s="1" t="s">
        <v>12035</v>
      </c>
      <c r="D2382" s="1" t="s">
        <v>12036</v>
      </c>
      <c r="E2382" s="1" t="s">
        <v>12036</v>
      </c>
      <c r="F2382" s="1" t="s">
        <v>12037</v>
      </c>
      <c r="G2382" s="1" t="s">
        <v>12038</v>
      </c>
      <c r="H2382" s="1" t="str">
        <f>IFERROR(__xludf.DUMMYFUNCTION("GOOGLETRANSLATE(D2382,""EN"",""JA"")"),"ヒトパピローマウイルス45型")</f>
        <v>ヒトパピローマウイルス45型</v>
      </c>
      <c r="I2382" s="1" t="str">
        <f>IFERROR(__xludf.DUMMYFUNCTION("GOOGLETRANSLATE(E2382,""EN"",""JA"")"),"ヒトパピローマウイルス45型")</f>
        <v>ヒトパピローマウイルス45型</v>
      </c>
      <c r="J2382" s="1" t="str">
        <f>IFERROR(__xludf.DUMMYFUNCTION("GOOGLETRANSLATE(F2382,""EN"",""JA"")"),"生物標本中のヒトパピローマウイルス 45 型の測定。")</f>
        <v>生物標本中のヒトパピローマウイルス 45 型の測定。</v>
      </c>
      <c r="K2382" s="1" t="str">
        <f>IFERROR(__xludf.DUMMYFUNCTION("GOOGLETRANSLATE(G2382,""EN"",""JA"")"),"ヒトパピローマウイルス45型の測定")</f>
        <v>ヒトパピローマウイルス45型の測定</v>
      </c>
    </row>
    <row r="2383" ht="13.5" customHeight="1">
      <c r="A2383" s="1" t="s">
        <v>67</v>
      </c>
      <c r="B2383" s="1" t="s">
        <v>12039</v>
      </c>
      <c r="C2383" s="1" t="s">
        <v>12040</v>
      </c>
      <c r="D2383" s="1" t="s">
        <v>12041</v>
      </c>
      <c r="E2383" s="1" t="s">
        <v>12041</v>
      </c>
      <c r="F2383" s="1" t="s">
        <v>12042</v>
      </c>
      <c r="G2383" s="1" t="s">
        <v>12043</v>
      </c>
      <c r="H2383" s="1" t="str">
        <f>IFERROR(__xludf.DUMMYFUNCTION("GOOGLETRANSLATE(D2383,""EN"",""JA"")"),"ヒトパピローマウイルス45型DNA")</f>
        <v>ヒトパピローマウイルス45型DNA</v>
      </c>
      <c r="I2383" s="1" t="str">
        <f>IFERROR(__xludf.DUMMYFUNCTION("GOOGLETRANSLATE(E2383,""EN"",""JA"")"),"ヒトパピローマウイルス45型DNA")</f>
        <v>ヒトパピローマウイルス45型DNA</v>
      </c>
      <c r="J2383" s="1" t="str">
        <f>IFERROR(__xludf.DUMMYFUNCTION("GOOGLETRANSLATE(F2383,""EN"",""JA"")"),"生物標本中のヒトパピローマウイルス 45 型の DNA の測定。")</f>
        <v>生物標本中のヒトパピローマウイルス 45 型の DNA の測定。</v>
      </c>
      <c r="K2383" s="1" t="str">
        <f>IFERROR(__xludf.DUMMYFUNCTION("GOOGLETRANSLATE(G2383,""EN"",""JA"")"),"ヒトパピローマウイルス45型のDNA測定")</f>
        <v>ヒトパピローマウイルス45型のDNA測定</v>
      </c>
    </row>
    <row r="2384" ht="13.5" customHeight="1">
      <c r="A2384" s="1" t="s">
        <v>67</v>
      </c>
      <c r="B2384" s="1" t="s">
        <v>12044</v>
      </c>
      <c r="C2384" s="1" t="s">
        <v>12045</v>
      </c>
      <c r="D2384" s="1" t="s">
        <v>12046</v>
      </c>
      <c r="E2384" s="1" t="s">
        <v>12046</v>
      </c>
      <c r="F2384" s="1" t="s">
        <v>12047</v>
      </c>
      <c r="G2384" s="1" t="s">
        <v>12048</v>
      </c>
      <c r="H2384" s="1" t="str">
        <f>IFERROR(__xludf.DUMMYFUNCTION("GOOGLETRANSLATE(D2384,""EN"",""JA"")"),"ヒトパピローマウイルス51型")</f>
        <v>ヒトパピローマウイルス51型</v>
      </c>
      <c r="I2384" s="1" t="str">
        <f>IFERROR(__xludf.DUMMYFUNCTION("GOOGLETRANSLATE(E2384,""EN"",""JA"")"),"ヒトパピローマウイルス51型")</f>
        <v>ヒトパピローマウイルス51型</v>
      </c>
      <c r="J2384" s="1" t="str">
        <f>IFERROR(__xludf.DUMMYFUNCTION("GOOGLETRANSLATE(F2384,""EN"",""JA"")"),"生物標本中のヒトパピローマウイルス 51 型の測定。")</f>
        <v>生物標本中のヒトパピローマウイルス 51 型の測定。</v>
      </c>
      <c r="K2384" s="1" t="str">
        <f>IFERROR(__xludf.DUMMYFUNCTION("GOOGLETRANSLATE(G2384,""EN"",""JA"")"),"ヒトパピローマウイルス51型の測定")</f>
        <v>ヒトパピローマウイルス51型の測定</v>
      </c>
    </row>
    <row r="2385" ht="13.5" customHeight="1">
      <c r="A2385" s="1" t="s">
        <v>67</v>
      </c>
      <c r="B2385" s="1" t="s">
        <v>12049</v>
      </c>
      <c r="C2385" s="1" t="s">
        <v>12050</v>
      </c>
      <c r="D2385" s="1" t="s">
        <v>12051</v>
      </c>
      <c r="E2385" s="1" t="s">
        <v>12051</v>
      </c>
      <c r="F2385" s="1" t="s">
        <v>12052</v>
      </c>
      <c r="G2385" s="1" t="s">
        <v>12053</v>
      </c>
      <c r="H2385" s="1" t="str">
        <f>IFERROR(__xludf.DUMMYFUNCTION("GOOGLETRANSLATE(D2385,""EN"",""JA"")"),"ヒトパピローマウイルス51型DNA")</f>
        <v>ヒトパピローマウイルス51型DNA</v>
      </c>
      <c r="I2385" s="1" t="str">
        <f>IFERROR(__xludf.DUMMYFUNCTION("GOOGLETRANSLATE(E2385,""EN"",""JA"")"),"ヒトパピローマウイルス51型DNA")</f>
        <v>ヒトパピローマウイルス51型DNA</v>
      </c>
      <c r="J2385" s="1" t="str">
        <f>IFERROR(__xludf.DUMMYFUNCTION("GOOGLETRANSLATE(F2385,""EN"",""JA"")"),"生物標本中のヒトパピローマウイルス 51 型の DNA の測定。")</f>
        <v>生物標本中のヒトパピローマウイルス 51 型の DNA の測定。</v>
      </c>
      <c r="K2385" s="1" t="str">
        <f>IFERROR(__xludf.DUMMYFUNCTION("GOOGLETRANSLATE(G2385,""EN"",""JA"")"),"ヒトパピローマウイルス51型のDNA測定")</f>
        <v>ヒトパピローマウイルス51型のDNA測定</v>
      </c>
    </row>
    <row r="2386" ht="13.5" customHeight="1">
      <c r="A2386" s="1" t="s">
        <v>67</v>
      </c>
      <c r="B2386" s="1" t="s">
        <v>12054</v>
      </c>
      <c r="C2386" s="1" t="s">
        <v>12055</v>
      </c>
      <c r="D2386" s="1" t="s">
        <v>12056</v>
      </c>
      <c r="E2386" s="1" t="s">
        <v>12056</v>
      </c>
      <c r="F2386" s="1" t="s">
        <v>12057</v>
      </c>
      <c r="G2386" s="1" t="s">
        <v>12058</v>
      </c>
      <c r="H2386" s="1" t="str">
        <f>IFERROR(__xludf.DUMMYFUNCTION("GOOGLETRANSLATE(D2386,""EN"",""JA"")"),"ヒトパピローマウイルス52型")</f>
        <v>ヒトパピローマウイルス52型</v>
      </c>
      <c r="I2386" s="1" t="str">
        <f>IFERROR(__xludf.DUMMYFUNCTION("GOOGLETRANSLATE(E2386,""EN"",""JA"")"),"ヒトパピローマウイルス52型")</f>
        <v>ヒトパピローマウイルス52型</v>
      </c>
      <c r="J2386" s="1" t="str">
        <f>IFERROR(__xludf.DUMMYFUNCTION("GOOGLETRANSLATE(F2386,""EN"",""JA"")"),"生物標本中のヒトパピローマウイルス 52 型の測定。")</f>
        <v>生物標本中のヒトパピローマウイルス 52 型の測定。</v>
      </c>
      <c r="K2386" s="1" t="str">
        <f>IFERROR(__xludf.DUMMYFUNCTION("GOOGLETRANSLATE(G2386,""EN"",""JA"")"),"ヒトパピローマウイルス52型の測定")</f>
        <v>ヒトパピローマウイルス52型の測定</v>
      </c>
    </row>
    <row r="2387" ht="13.5" customHeight="1">
      <c r="A2387" s="1" t="s">
        <v>67</v>
      </c>
      <c r="B2387" s="1" t="s">
        <v>12059</v>
      </c>
      <c r="C2387" s="1" t="s">
        <v>12060</v>
      </c>
      <c r="D2387" s="1" t="s">
        <v>12061</v>
      </c>
      <c r="E2387" s="1" t="s">
        <v>12061</v>
      </c>
      <c r="F2387" s="1" t="s">
        <v>12062</v>
      </c>
      <c r="G2387" s="1" t="s">
        <v>12063</v>
      </c>
      <c r="H2387" s="1" t="str">
        <f>IFERROR(__xludf.DUMMYFUNCTION("GOOGLETRANSLATE(D2387,""EN"",""JA"")"),"ヒトパピローマウイルス52型DNA")</f>
        <v>ヒトパピローマウイルス52型DNA</v>
      </c>
      <c r="I2387" s="1" t="str">
        <f>IFERROR(__xludf.DUMMYFUNCTION("GOOGLETRANSLATE(E2387,""EN"",""JA"")"),"ヒトパピローマウイルス52型DNA")</f>
        <v>ヒトパピローマウイルス52型DNA</v>
      </c>
      <c r="J2387" s="1" t="str">
        <f>IFERROR(__xludf.DUMMYFUNCTION("GOOGLETRANSLATE(F2387,""EN"",""JA"")"),"生物標本中のヒトパピローマウイルス 52 型の DNA の測定。")</f>
        <v>生物標本中のヒトパピローマウイルス 52 型の DNA の測定。</v>
      </c>
      <c r="K2387" s="1" t="str">
        <f>IFERROR(__xludf.DUMMYFUNCTION("GOOGLETRANSLATE(G2387,""EN"",""JA"")"),"ヒトパピローマウイルス52型のDNA測定")</f>
        <v>ヒトパピローマウイルス52型のDNA測定</v>
      </c>
    </row>
    <row r="2388" ht="13.5" customHeight="1">
      <c r="A2388" s="1" t="s">
        <v>67</v>
      </c>
      <c r="B2388" s="1" t="s">
        <v>12064</v>
      </c>
      <c r="C2388" s="1" t="s">
        <v>12065</v>
      </c>
      <c r="D2388" s="1" t="s">
        <v>12066</v>
      </c>
      <c r="E2388" s="1" t="s">
        <v>12066</v>
      </c>
      <c r="F2388" s="1" t="s">
        <v>12067</v>
      </c>
      <c r="G2388" s="1" t="s">
        <v>12068</v>
      </c>
      <c r="H2388" s="1" t="str">
        <f>IFERROR(__xludf.DUMMYFUNCTION("GOOGLETRANSLATE(D2388,""EN"",""JA"")"),"ヒトパピローマウイルス53型")</f>
        <v>ヒトパピローマウイルス53型</v>
      </c>
      <c r="I2388" s="1" t="str">
        <f>IFERROR(__xludf.DUMMYFUNCTION("GOOGLETRANSLATE(E2388,""EN"",""JA"")"),"ヒトパピローマウイルス53型")</f>
        <v>ヒトパピローマウイルス53型</v>
      </c>
      <c r="J2388" s="1" t="str">
        <f>IFERROR(__xludf.DUMMYFUNCTION("GOOGLETRANSLATE(F2388,""EN"",""JA"")"),"生物標本中のヒトパピローマウイルス 53 型の測定。")</f>
        <v>生物標本中のヒトパピローマウイルス 53 型の測定。</v>
      </c>
      <c r="K2388" s="1" t="str">
        <f>IFERROR(__xludf.DUMMYFUNCTION("GOOGLETRANSLATE(G2388,""EN"",""JA"")"),"ヒトパピローマウイルス53型の測定")</f>
        <v>ヒトパピローマウイルス53型の測定</v>
      </c>
    </row>
    <row r="2389" ht="13.5" customHeight="1">
      <c r="A2389" s="1" t="s">
        <v>67</v>
      </c>
      <c r="B2389" s="1" t="s">
        <v>12069</v>
      </c>
      <c r="C2389" s="1" t="s">
        <v>12070</v>
      </c>
      <c r="D2389" s="1" t="s">
        <v>12071</v>
      </c>
      <c r="E2389" s="1" t="s">
        <v>12071</v>
      </c>
      <c r="F2389" s="1" t="s">
        <v>12072</v>
      </c>
      <c r="G2389" s="1" t="s">
        <v>12073</v>
      </c>
      <c r="H2389" s="1" t="str">
        <f>IFERROR(__xludf.DUMMYFUNCTION("GOOGLETRANSLATE(D2389,""EN"",""JA"")"),"ヒトパピローマウイルス53型DNA")</f>
        <v>ヒトパピローマウイルス53型DNA</v>
      </c>
      <c r="I2389" s="1" t="str">
        <f>IFERROR(__xludf.DUMMYFUNCTION("GOOGLETRANSLATE(E2389,""EN"",""JA"")"),"ヒトパピローマウイルス53型DNA")</f>
        <v>ヒトパピローマウイルス53型DNA</v>
      </c>
      <c r="J2389" s="1" t="str">
        <f>IFERROR(__xludf.DUMMYFUNCTION("GOOGLETRANSLATE(F2389,""EN"",""JA"")"),"生物標本中のヒトパピローマウイルス 53 型の DNA の測定。")</f>
        <v>生物標本中のヒトパピローマウイルス 53 型の DNA の測定。</v>
      </c>
      <c r="K2389" s="1" t="str">
        <f>IFERROR(__xludf.DUMMYFUNCTION("GOOGLETRANSLATE(G2389,""EN"",""JA"")"),"ヒトパピローマウイルス53型のDNA測定")</f>
        <v>ヒトパピローマウイルス53型のDNA測定</v>
      </c>
    </row>
    <row r="2390" ht="13.5" customHeight="1">
      <c r="A2390" s="1" t="s">
        <v>67</v>
      </c>
      <c r="B2390" s="1" t="s">
        <v>12074</v>
      </c>
      <c r="C2390" s="1" t="s">
        <v>12075</v>
      </c>
      <c r="D2390" s="1" t="s">
        <v>12076</v>
      </c>
      <c r="E2390" s="1" t="s">
        <v>12076</v>
      </c>
      <c r="F2390" s="1" t="s">
        <v>12077</v>
      </c>
      <c r="G2390" s="1" t="s">
        <v>12078</v>
      </c>
      <c r="H2390" s="1" t="str">
        <f>IFERROR(__xludf.DUMMYFUNCTION("GOOGLETRANSLATE(D2390,""EN"",""JA"")"),"ヒトパピローマウイルス54型")</f>
        <v>ヒトパピローマウイルス54型</v>
      </c>
      <c r="I2390" s="1" t="str">
        <f>IFERROR(__xludf.DUMMYFUNCTION("GOOGLETRANSLATE(E2390,""EN"",""JA"")"),"ヒトパピローマウイルス54型")</f>
        <v>ヒトパピローマウイルス54型</v>
      </c>
      <c r="J2390" s="1" t="str">
        <f>IFERROR(__xludf.DUMMYFUNCTION("GOOGLETRANSLATE(F2390,""EN"",""JA"")"),"生物標本中のヒトパピローマウイルス 54 型の測定。")</f>
        <v>生物標本中のヒトパピローマウイルス 54 型の測定。</v>
      </c>
      <c r="K2390" s="1" t="str">
        <f>IFERROR(__xludf.DUMMYFUNCTION("GOOGLETRANSLATE(G2390,""EN"",""JA"")"),"ヒトパピローマウイルス54型の測定")</f>
        <v>ヒトパピローマウイルス54型の測定</v>
      </c>
    </row>
    <row r="2391" ht="13.5" customHeight="1">
      <c r="A2391" s="1" t="s">
        <v>67</v>
      </c>
      <c r="B2391" s="1" t="s">
        <v>12079</v>
      </c>
      <c r="C2391" s="1" t="s">
        <v>12080</v>
      </c>
      <c r="D2391" s="1" t="s">
        <v>12081</v>
      </c>
      <c r="E2391" s="1" t="s">
        <v>12081</v>
      </c>
      <c r="F2391" s="1" t="s">
        <v>12082</v>
      </c>
      <c r="G2391" s="1" t="s">
        <v>12083</v>
      </c>
      <c r="H2391" s="1" t="str">
        <f>IFERROR(__xludf.DUMMYFUNCTION("GOOGLETRANSLATE(D2391,""EN"",""JA"")"),"ヒトパピローマウイルス56型")</f>
        <v>ヒトパピローマウイルス56型</v>
      </c>
      <c r="I2391" s="1" t="str">
        <f>IFERROR(__xludf.DUMMYFUNCTION("GOOGLETRANSLATE(E2391,""EN"",""JA"")"),"ヒトパピローマウイルス56型")</f>
        <v>ヒトパピローマウイルス56型</v>
      </c>
      <c r="J2391" s="1" t="str">
        <f>IFERROR(__xludf.DUMMYFUNCTION("GOOGLETRANSLATE(F2391,""EN"",""JA"")"),"生物標本中のヒトパピローマウイルス 56 型の測定。")</f>
        <v>生物標本中のヒトパピローマウイルス 56 型の測定。</v>
      </c>
      <c r="K2391" s="1" t="str">
        <f>IFERROR(__xludf.DUMMYFUNCTION("GOOGLETRANSLATE(G2391,""EN"",""JA"")"),"ヒトパピローマウイルス56型の測定")</f>
        <v>ヒトパピローマウイルス56型の測定</v>
      </c>
    </row>
    <row r="2392" ht="13.5" customHeight="1">
      <c r="A2392" s="1" t="s">
        <v>67</v>
      </c>
      <c r="B2392" s="1" t="s">
        <v>12084</v>
      </c>
      <c r="C2392" s="1" t="s">
        <v>12085</v>
      </c>
      <c r="D2392" s="1" t="s">
        <v>12086</v>
      </c>
      <c r="E2392" s="1" t="s">
        <v>12086</v>
      </c>
      <c r="F2392" s="1" t="s">
        <v>12087</v>
      </c>
      <c r="G2392" s="1" t="s">
        <v>12088</v>
      </c>
      <c r="H2392" s="1" t="str">
        <f>IFERROR(__xludf.DUMMYFUNCTION("GOOGLETRANSLATE(D2392,""EN"",""JA"")"),"ヒトパピローマウイルス56型DNA")</f>
        <v>ヒトパピローマウイルス56型DNA</v>
      </c>
      <c r="I2392" s="1" t="str">
        <f>IFERROR(__xludf.DUMMYFUNCTION("GOOGLETRANSLATE(E2392,""EN"",""JA"")"),"ヒトパピローマウイルス56型DNA")</f>
        <v>ヒトパピローマウイルス56型DNA</v>
      </c>
      <c r="J2392" s="1" t="str">
        <f>IFERROR(__xludf.DUMMYFUNCTION("GOOGLETRANSLATE(F2392,""EN"",""JA"")"),"生物標本中のヒトパピローマウイルス 56 型の DNA の測定。")</f>
        <v>生物標本中のヒトパピローマウイルス 56 型の DNA の測定。</v>
      </c>
      <c r="K2392" s="1" t="str">
        <f>IFERROR(__xludf.DUMMYFUNCTION("GOOGLETRANSLATE(G2392,""EN"",""JA"")"),"ヒトパピローマウイルス56型のDNA測定")</f>
        <v>ヒトパピローマウイルス56型のDNA測定</v>
      </c>
    </row>
    <row r="2393" ht="13.5" customHeight="1">
      <c r="A2393" s="1" t="s">
        <v>67</v>
      </c>
      <c r="B2393" s="1" t="s">
        <v>12089</v>
      </c>
      <c r="C2393" s="1" t="s">
        <v>12090</v>
      </c>
      <c r="D2393" s="1" t="s">
        <v>12091</v>
      </c>
      <c r="E2393" s="1" t="s">
        <v>12091</v>
      </c>
      <c r="F2393" s="1" t="s">
        <v>12092</v>
      </c>
      <c r="G2393" s="1" t="s">
        <v>12093</v>
      </c>
      <c r="H2393" s="1" t="str">
        <f>IFERROR(__xludf.DUMMYFUNCTION("GOOGLETRANSLATE(D2393,""EN"",""JA"")"),"ヒトパピローマウイルス57型DNA")</f>
        <v>ヒトパピローマウイルス57型DNA</v>
      </c>
      <c r="I2393" s="1" t="str">
        <f>IFERROR(__xludf.DUMMYFUNCTION("GOOGLETRANSLATE(E2393,""EN"",""JA"")"),"ヒトパピローマウイルス57型DNA")</f>
        <v>ヒトパピローマウイルス57型DNA</v>
      </c>
      <c r="J2393" s="1" t="str">
        <f>IFERROR(__xludf.DUMMYFUNCTION("GOOGLETRANSLATE(F2393,""EN"",""JA"")"),"生物標本中のヒトパピローマウイルス 57 型の DNA の測定。")</f>
        <v>生物標本中のヒトパピローマウイルス 57 型の DNA の測定。</v>
      </c>
      <c r="K2393" s="1" t="str">
        <f>IFERROR(__xludf.DUMMYFUNCTION("GOOGLETRANSLATE(G2393,""EN"",""JA"")"),"ヒトパピローマウイルス57型のDNA測定")</f>
        <v>ヒトパピローマウイルス57型のDNA測定</v>
      </c>
    </row>
    <row r="2394" ht="13.5" customHeight="1">
      <c r="A2394" s="1" t="s">
        <v>67</v>
      </c>
      <c r="B2394" s="1" t="s">
        <v>12094</v>
      </c>
      <c r="C2394" s="1" t="s">
        <v>12095</v>
      </c>
      <c r="D2394" s="1" t="s">
        <v>12096</v>
      </c>
      <c r="E2394" s="1" t="s">
        <v>12096</v>
      </c>
      <c r="F2394" s="1" t="s">
        <v>12097</v>
      </c>
      <c r="G2394" s="1" t="s">
        <v>12098</v>
      </c>
      <c r="H2394" s="1" t="str">
        <f>IFERROR(__xludf.DUMMYFUNCTION("GOOGLETRANSLATE(D2394,""EN"",""JA"")"),"ヒトパピローマウイルス58型")</f>
        <v>ヒトパピローマウイルス58型</v>
      </c>
      <c r="I2394" s="1" t="str">
        <f>IFERROR(__xludf.DUMMYFUNCTION("GOOGLETRANSLATE(E2394,""EN"",""JA"")"),"ヒトパピローマウイルス58型")</f>
        <v>ヒトパピローマウイルス58型</v>
      </c>
      <c r="J2394" s="1" t="str">
        <f>IFERROR(__xludf.DUMMYFUNCTION("GOOGLETRANSLATE(F2394,""EN"",""JA"")"),"生物標本中のヒトパピローマウイルス 58 型の測定。")</f>
        <v>生物標本中のヒトパピローマウイルス 58 型の測定。</v>
      </c>
      <c r="K2394" s="1" t="str">
        <f>IFERROR(__xludf.DUMMYFUNCTION("GOOGLETRANSLATE(G2394,""EN"",""JA"")"),"ヒトパピローマウイルス58型の測定")</f>
        <v>ヒトパピローマウイルス58型の測定</v>
      </c>
    </row>
    <row r="2395" ht="13.5" customHeight="1">
      <c r="A2395" s="1" t="s">
        <v>67</v>
      </c>
      <c r="B2395" s="1" t="s">
        <v>12099</v>
      </c>
      <c r="C2395" s="1" t="s">
        <v>12100</v>
      </c>
      <c r="D2395" s="1" t="s">
        <v>12101</v>
      </c>
      <c r="E2395" s="1" t="s">
        <v>12101</v>
      </c>
      <c r="F2395" s="1" t="s">
        <v>12102</v>
      </c>
      <c r="G2395" s="1" t="s">
        <v>12103</v>
      </c>
      <c r="H2395" s="1" t="str">
        <f>IFERROR(__xludf.DUMMYFUNCTION("GOOGLETRANSLATE(D2395,""EN"",""JA"")"),"ヒトパピローマウイルス58型DNA")</f>
        <v>ヒトパピローマウイルス58型DNA</v>
      </c>
      <c r="I2395" s="1" t="str">
        <f>IFERROR(__xludf.DUMMYFUNCTION("GOOGLETRANSLATE(E2395,""EN"",""JA"")"),"ヒトパピローマウイルス58型DNA")</f>
        <v>ヒトパピローマウイルス58型DNA</v>
      </c>
      <c r="J2395" s="1" t="str">
        <f>IFERROR(__xludf.DUMMYFUNCTION("GOOGLETRANSLATE(F2395,""EN"",""JA"")"),"生物標本中のヒトパピローマウイルス 58 型の DNA の測定。")</f>
        <v>生物標本中のヒトパピローマウイルス 58 型の DNA の測定。</v>
      </c>
      <c r="K2395" s="1" t="str">
        <f>IFERROR(__xludf.DUMMYFUNCTION("GOOGLETRANSLATE(G2395,""EN"",""JA"")"),"ヒトパピローマウイルス58型のDNA測定")</f>
        <v>ヒトパピローマウイルス58型のDNA測定</v>
      </c>
    </row>
    <row r="2396" ht="13.5" customHeight="1">
      <c r="A2396" s="1" t="s">
        <v>67</v>
      </c>
      <c r="B2396" s="1" t="s">
        <v>12104</v>
      </c>
      <c r="C2396" s="1" t="s">
        <v>12105</v>
      </c>
      <c r="D2396" s="1" t="s">
        <v>12106</v>
      </c>
      <c r="E2396" s="1" t="s">
        <v>12106</v>
      </c>
      <c r="F2396" s="1" t="s">
        <v>12107</v>
      </c>
      <c r="G2396" s="1" t="s">
        <v>12108</v>
      </c>
      <c r="H2396" s="1" t="str">
        <f>IFERROR(__xludf.DUMMYFUNCTION("GOOGLETRANSLATE(D2396,""EN"",""JA"")"),"ヒトパピローマウイルス59型")</f>
        <v>ヒトパピローマウイルス59型</v>
      </c>
      <c r="I2396" s="1" t="str">
        <f>IFERROR(__xludf.DUMMYFUNCTION("GOOGLETRANSLATE(E2396,""EN"",""JA"")"),"ヒトパピローマウイルス59型")</f>
        <v>ヒトパピローマウイルス59型</v>
      </c>
      <c r="J2396" s="1" t="str">
        <f>IFERROR(__xludf.DUMMYFUNCTION("GOOGLETRANSLATE(F2396,""EN"",""JA"")"),"生物標本中のヒトパピローマウイルス 59 型の測定。")</f>
        <v>生物標本中のヒトパピローマウイルス 59 型の測定。</v>
      </c>
      <c r="K2396" s="1" t="str">
        <f>IFERROR(__xludf.DUMMYFUNCTION("GOOGLETRANSLATE(G2396,""EN"",""JA"")"),"ヒトパピローマウイルス59型の測定")</f>
        <v>ヒトパピローマウイルス59型の測定</v>
      </c>
    </row>
    <row r="2397" ht="13.5" customHeight="1">
      <c r="A2397" s="1" t="s">
        <v>67</v>
      </c>
      <c r="B2397" s="1" t="s">
        <v>12109</v>
      </c>
      <c r="C2397" s="1" t="s">
        <v>12110</v>
      </c>
      <c r="D2397" s="1" t="s">
        <v>12111</v>
      </c>
      <c r="E2397" s="1" t="s">
        <v>12111</v>
      </c>
      <c r="F2397" s="1" t="s">
        <v>12112</v>
      </c>
      <c r="G2397" s="1" t="s">
        <v>12113</v>
      </c>
      <c r="H2397" s="1" t="str">
        <f>IFERROR(__xludf.DUMMYFUNCTION("GOOGLETRANSLATE(D2397,""EN"",""JA"")"),"ヒトパピローマウイルス59型DNA")</f>
        <v>ヒトパピローマウイルス59型DNA</v>
      </c>
      <c r="I2397" s="1" t="str">
        <f>IFERROR(__xludf.DUMMYFUNCTION("GOOGLETRANSLATE(E2397,""EN"",""JA"")"),"ヒトパピローマウイルス59型DNA")</f>
        <v>ヒトパピローマウイルス59型DNA</v>
      </c>
      <c r="J2397" s="1" t="str">
        <f>IFERROR(__xludf.DUMMYFUNCTION("GOOGLETRANSLATE(F2397,""EN"",""JA"")"),"生物標本中のヒトパピローマウイルス 59 型の DNA の測定。")</f>
        <v>生物標本中のヒトパピローマウイルス 59 型の DNA の測定。</v>
      </c>
      <c r="K2397" s="1" t="str">
        <f>IFERROR(__xludf.DUMMYFUNCTION("GOOGLETRANSLATE(G2397,""EN"",""JA"")"),"ヒトパピローマウイルス59型のDNA測定")</f>
        <v>ヒトパピローマウイルス59型のDNA測定</v>
      </c>
    </row>
    <row r="2398" ht="13.5" customHeight="1">
      <c r="A2398" s="1" t="s">
        <v>67</v>
      </c>
      <c r="B2398" s="1" t="s">
        <v>12114</v>
      </c>
      <c r="C2398" s="1" t="s">
        <v>12115</v>
      </c>
      <c r="D2398" s="1" t="s">
        <v>12116</v>
      </c>
      <c r="E2398" s="1" t="s">
        <v>12116</v>
      </c>
      <c r="F2398" s="1" t="s">
        <v>12117</v>
      </c>
      <c r="G2398" s="1" t="s">
        <v>12118</v>
      </c>
      <c r="H2398" s="1" t="str">
        <f>IFERROR(__xludf.DUMMYFUNCTION("GOOGLETRANSLATE(D2398,""EN"",""JA"")"),"ヒトパピローマウイルス66型")</f>
        <v>ヒトパピローマウイルス66型</v>
      </c>
      <c r="I2398" s="1" t="str">
        <f>IFERROR(__xludf.DUMMYFUNCTION("GOOGLETRANSLATE(E2398,""EN"",""JA"")"),"ヒトパピローマウイルス66型")</f>
        <v>ヒトパピローマウイルス66型</v>
      </c>
      <c r="J2398" s="1" t="str">
        <f>IFERROR(__xludf.DUMMYFUNCTION("GOOGLETRANSLATE(F2398,""EN"",""JA"")"),"生物標本中のヒトパピローマウイルス66型の測定。")</f>
        <v>生物標本中のヒトパピローマウイルス66型の測定。</v>
      </c>
      <c r="K2398" s="1" t="str">
        <f>IFERROR(__xludf.DUMMYFUNCTION("GOOGLETRANSLATE(G2398,""EN"",""JA"")"),"ヒトパピローマウイルス66型の測定")</f>
        <v>ヒトパピローマウイルス66型の測定</v>
      </c>
    </row>
    <row r="2399" ht="13.5" customHeight="1">
      <c r="A2399" s="1" t="s">
        <v>67</v>
      </c>
      <c r="B2399" s="1" t="s">
        <v>12119</v>
      </c>
      <c r="C2399" s="1" t="s">
        <v>12120</v>
      </c>
      <c r="D2399" s="1" t="s">
        <v>12121</v>
      </c>
      <c r="E2399" s="1" t="s">
        <v>12121</v>
      </c>
      <c r="F2399" s="1" t="s">
        <v>12122</v>
      </c>
      <c r="G2399" s="1" t="s">
        <v>12123</v>
      </c>
      <c r="H2399" s="1" t="str">
        <f>IFERROR(__xludf.DUMMYFUNCTION("GOOGLETRANSLATE(D2399,""EN"",""JA"")"),"ヒトパピローマウイルス66型DNA")</f>
        <v>ヒトパピローマウイルス66型DNA</v>
      </c>
      <c r="I2399" s="1" t="str">
        <f>IFERROR(__xludf.DUMMYFUNCTION("GOOGLETRANSLATE(E2399,""EN"",""JA"")"),"ヒトパピローマウイルス66型DNA")</f>
        <v>ヒトパピローマウイルス66型DNA</v>
      </c>
      <c r="J2399" s="1" t="str">
        <f>IFERROR(__xludf.DUMMYFUNCTION("GOOGLETRANSLATE(F2399,""EN"",""JA"")"),"生物標本中のヒトパピローマウイルス 66 型の DNA の測定。")</f>
        <v>生物標本中のヒトパピローマウイルス 66 型の DNA の測定。</v>
      </c>
      <c r="K2399" s="1" t="str">
        <f>IFERROR(__xludf.DUMMYFUNCTION("GOOGLETRANSLATE(G2399,""EN"",""JA"")"),"ヒトパピローマウイルス66型のDNA測定")</f>
        <v>ヒトパピローマウイルス66型のDNA測定</v>
      </c>
    </row>
    <row r="2400" ht="13.5" customHeight="1">
      <c r="A2400" s="1" t="s">
        <v>67</v>
      </c>
      <c r="B2400" s="1" t="s">
        <v>12124</v>
      </c>
      <c r="C2400" s="1" t="s">
        <v>12125</v>
      </c>
      <c r="D2400" s="1" t="s">
        <v>12126</v>
      </c>
      <c r="E2400" s="1" t="s">
        <v>12126</v>
      </c>
      <c r="F2400" s="1" t="s">
        <v>12127</v>
      </c>
      <c r="G2400" s="1" t="s">
        <v>12128</v>
      </c>
      <c r="H2400" s="1" t="str">
        <f>IFERROR(__xludf.DUMMYFUNCTION("GOOGLETRANSLATE(D2400,""EN"",""JA"")"),"ヒトパピローマウイルス67型DNA")</f>
        <v>ヒトパピローマウイルス67型DNA</v>
      </c>
      <c r="I2400" s="1" t="str">
        <f>IFERROR(__xludf.DUMMYFUNCTION("GOOGLETRANSLATE(E2400,""EN"",""JA"")"),"ヒトパピローマウイルス67型DNA")</f>
        <v>ヒトパピローマウイルス67型DNA</v>
      </c>
      <c r="J2400" s="1" t="str">
        <f>IFERROR(__xludf.DUMMYFUNCTION("GOOGLETRANSLATE(F2400,""EN"",""JA"")"),"生物標本中のヒトパピローマウイルス 67 型の DNA の測定。")</f>
        <v>生物標本中のヒトパピローマウイルス 67 型の DNA の測定。</v>
      </c>
      <c r="K2400" s="1" t="str">
        <f>IFERROR(__xludf.DUMMYFUNCTION("GOOGLETRANSLATE(G2400,""EN"",""JA"")"),"ヒトパピローマウイルス67型のDNA測定")</f>
        <v>ヒトパピローマウイルス67型のDNA測定</v>
      </c>
    </row>
    <row r="2401" ht="13.5" customHeight="1">
      <c r="A2401" s="1" t="s">
        <v>67</v>
      </c>
      <c r="B2401" s="1" t="s">
        <v>12129</v>
      </c>
      <c r="C2401" s="1" t="s">
        <v>12130</v>
      </c>
      <c r="D2401" s="1" t="s">
        <v>12131</v>
      </c>
      <c r="E2401" s="1" t="s">
        <v>12131</v>
      </c>
      <c r="F2401" s="1" t="s">
        <v>12132</v>
      </c>
      <c r="G2401" s="1" t="s">
        <v>12133</v>
      </c>
      <c r="H2401" s="1" t="str">
        <f>IFERROR(__xludf.DUMMYFUNCTION("GOOGLETRANSLATE(D2401,""EN"",""JA"")"),"ヒトパピローマウイルス68型")</f>
        <v>ヒトパピローマウイルス68型</v>
      </c>
      <c r="I2401" s="1" t="str">
        <f>IFERROR(__xludf.DUMMYFUNCTION("GOOGLETRANSLATE(E2401,""EN"",""JA"")"),"ヒトパピローマウイルス68型")</f>
        <v>ヒトパピローマウイルス68型</v>
      </c>
      <c r="J2401" s="1" t="str">
        <f>IFERROR(__xludf.DUMMYFUNCTION("GOOGLETRANSLATE(F2401,""EN"",""JA"")"),"生物標本中のヒトパピローマウイルス 68 型の測定。")</f>
        <v>生物標本中のヒトパピローマウイルス 68 型の測定。</v>
      </c>
      <c r="K2401" s="1" t="str">
        <f>IFERROR(__xludf.DUMMYFUNCTION("GOOGLETRANSLATE(G2401,""EN"",""JA"")"),"ヒトパピローマウイルス68型の測定")</f>
        <v>ヒトパピローマウイルス68型の測定</v>
      </c>
    </row>
    <row r="2402" ht="13.5" customHeight="1">
      <c r="A2402" s="1" t="s">
        <v>67</v>
      </c>
      <c r="B2402" s="1" t="s">
        <v>12134</v>
      </c>
      <c r="C2402" s="1" t="s">
        <v>12135</v>
      </c>
      <c r="D2402" s="1" t="s">
        <v>12136</v>
      </c>
      <c r="E2402" s="1" t="s">
        <v>12136</v>
      </c>
      <c r="F2402" s="1" t="s">
        <v>12137</v>
      </c>
      <c r="G2402" s="1" t="s">
        <v>12138</v>
      </c>
      <c r="H2402" s="1" t="str">
        <f>IFERROR(__xludf.DUMMYFUNCTION("GOOGLETRANSLATE(D2402,""EN"",""JA"")"),"ヒトパピローマウイルス68型DNA")</f>
        <v>ヒトパピローマウイルス68型DNA</v>
      </c>
      <c r="I2402" s="1" t="str">
        <f>IFERROR(__xludf.DUMMYFUNCTION("GOOGLETRANSLATE(E2402,""EN"",""JA"")"),"ヒトパピローマウイルス68型DNA")</f>
        <v>ヒトパピローマウイルス68型DNA</v>
      </c>
      <c r="J2402" s="1" t="str">
        <f>IFERROR(__xludf.DUMMYFUNCTION("GOOGLETRANSLATE(F2402,""EN"",""JA"")"),"生物標本中のヒトパピローマウイルス 68 型の DNA の測定。")</f>
        <v>生物標本中のヒトパピローマウイルス 68 型の DNA の測定。</v>
      </c>
      <c r="K2402" s="1" t="str">
        <f>IFERROR(__xludf.DUMMYFUNCTION("GOOGLETRANSLATE(G2402,""EN"",""JA"")"),"ヒトパピローマウイルス68型のDNA測定")</f>
        <v>ヒトパピローマウイルス68型のDNA測定</v>
      </c>
    </row>
    <row r="2403" ht="13.5" customHeight="1">
      <c r="A2403" s="1" t="s">
        <v>67</v>
      </c>
      <c r="B2403" s="1" t="s">
        <v>12139</v>
      </c>
      <c r="C2403" s="1" t="s">
        <v>12140</v>
      </c>
      <c r="D2403" s="1" t="s">
        <v>12141</v>
      </c>
      <c r="E2403" s="1" t="s">
        <v>12141</v>
      </c>
      <c r="F2403" s="1" t="s">
        <v>12142</v>
      </c>
      <c r="G2403" s="1" t="s">
        <v>12143</v>
      </c>
      <c r="H2403" s="1" t="str">
        <f>IFERROR(__xludf.DUMMYFUNCTION("GOOGLETRANSLATE(D2403,""EN"",""JA"")"),"ヒトパピローマウイルス69型")</f>
        <v>ヒトパピローマウイルス69型</v>
      </c>
      <c r="I2403" s="1" t="str">
        <f>IFERROR(__xludf.DUMMYFUNCTION("GOOGLETRANSLATE(E2403,""EN"",""JA"")"),"ヒトパピローマウイルス69型")</f>
        <v>ヒトパピローマウイルス69型</v>
      </c>
      <c r="J2403" s="1" t="str">
        <f>IFERROR(__xludf.DUMMYFUNCTION("GOOGLETRANSLATE(F2403,""EN"",""JA"")"),"生物標本中のヒトパピローマウイルス69型の測定。")</f>
        <v>生物標本中のヒトパピローマウイルス69型の測定。</v>
      </c>
      <c r="K2403" s="1" t="str">
        <f>IFERROR(__xludf.DUMMYFUNCTION("GOOGLETRANSLATE(G2403,""EN"",""JA"")"),"ヒトパピローマウイルス69型の測定")</f>
        <v>ヒトパピローマウイルス69型の測定</v>
      </c>
    </row>
    <row r="2404" ht="13.5" customHeight="1">
      <c r="A2404" s="1" t="s">
        <v>67</v>
      </c>
      <c r="B2404" s="1" t="s">
        <v>12144</v>
      </c>
      <c r="C2404" s="1" t="s">
        <v>12145</v>
      </c>
      <c r="D2404" s="1" t="s">
        <v>12146</v>
      </c>
      <c r="E2404" s="1" t="s">
        <v>12146</v>
      </c>
      <c r="F2404" s="1" t="s">
        <v>12147</v>
      </c>
      <c r="G2404" s="1" t="s">
        <v>12148</v>
      </c>
      <c r="H2404" s="1" t="str">
        <f>IFERROR(__xludf.DUMMYFUNCTION("GOOGLETRANSLATE(D2404,""EN"",""JA"")"),"ヒトパピローマウイルス6型DNA")</f>
        <v>ヒトパピローマウイルス6型DNA</v>
      </c>
      <c r="I2404" s="1" t="str">
        <f>IFERROR(__xludf.DUMMYFUNCTION("GOOGLETRANSLATE(E2404,""EN"",""JA"")"),"ヒトパピローマウイルス6型DNA")</f>
        <v>ヒトパピローマウイルス6型DNA</v>
      </c>
      <c r="J2404" s="1" t="str">
        <f>IFERROR(__xludf.DUMMYFUNCTION("GOOGLETRANSLATE(F2404,""EN"",""JA"")"),"生物標本中のヒトパピローマウイルス 6 型の DNA の測定。")</f>
        <v>生物標本中のヒトパピローマウイルス 6 型の DNA の測定。</v>
      </c>
      <c r="K2404" s="1" t="str">
        <f>IFERROR(__xludf.DUMMYFUNCTION("GOOGLETRANSLATE(G2404,""EN"",""JA"")"),"ヒトパピローマウイルス6型のDNA測定")</f>
        <v>ヒトパピローマウイルス6型のDNA測定</v>
      </c>
    </row>
    <row r="2405" ht="13.5" customHeight="1">
      <c r="A2405" s="1" t="s">
        <v>67</v>
      </c>
      <c r="B2405" s="1" t="s">
        <v>12149</v>
      </c>
      <c r="C2405" s="1" t="s">
        <v>12150</v>
      </c>
      <c r="D2405" s="1" t="s">
        <v>12151</v>
      </c>
      <c r="E2405" s="1" t="s">
        <v>12151</v>
      </c>
      <c r="F2405" s="1" t="s">
        <v>12152</v>
      </c>
      <c r="G2405" s="1" t="s">
        <v>12153</v>
      </c>
      <c r="H2405" s="1" t="str">
        <f>IFERROR(__xludf.DUMMYFUNCTION("GOOGLETRANSLATE(D2405,""EN"",""JA"")"),"ヒトパピローマウイルス70型")</f>
        <v>ヒトパピローマウイルス70型</v>
      </c>
      <c r="I2405" s="1" t="str">
        <f>IFERROR(__xludf.DUMMYFUNCTION("GOOGLETRANSLATE(E2405,""EN"",""JA"")"),"ヒトパピローマウイルス70型")</f>
        <v>ヒトパピローマウイルス70型</v>
      </c>
      <c r="J2405" s="1" t="str">
        <f>IFERROR(__xludf.DUMMYFUNCTION("GOOGLETRANSLATE(F2405,""EN"",""JA"")"),"生物標本中のヒトパピローマウイルス 70 型の測定。")</f>
        <v>生物標本中のヒトパピローマウイルス 70 型の測定。</v>
      </c>
      <c r="K2405" s="1" t="str">
        <f>IFERROR(__xludf.DUMMYFUNCTION("GOOGLETRANSLATE(G2405,""EN"",""JA"")"),"ヒトパピローマウイルス70型の測定")</f>
        <v>ヒトパピローマウイルス70型の測定</v>
      </c>
    </row>
    <row r="2406" ht="13.5" customHeight="1">
      <c r="A2406" s="1" t="s">
        <v>67</v>
      </c>
      <c r="B2406" s="1" t="s">
        <v>12154</v>
      </c>
      <c r="C2406" s="1" t="s">
        <v>12155</v>
      </c>
      <c r="D2406" s="1" t="s">
        <v>12156</v>
      </c>
      <c r="E2406" s="1" t="s">
        <v>12156</v>
      </c>
      <c r="F2406" s="1" t="s">
        <v>12157</v>
      </c>
      <c r="G2406" s="1" t="s">
        <v>12158</v>
      </c>
      <c r="H2406" s="1" t="str">
        <f>IFERROR(__xludf.DUMMYFUNCTION("GOOGLETRANSLATE(D2406,""EN"",""JA"")"),"ヒトパピローマウイルス74型")</f>
        <v>ヒトパピローマウイルス74型</v>
      </c>
      <c r="I2406" s="1" t="str">
        <f>IFERROR(__xludf.DUMMYFUNCTION("GOOGLETRANSLATE(E2406,""EN"",""JA"")"),"ヒトパピローマウイルス74型")</f>
        <v>ヒトパピローマウイルス74型</v>
      </c>
      <c r="J2406" s="1" t="str">
        <f>IFERROR(__xludf.DUMMYFUNCTION("GOOGLETRANSLATE(F2406,""EN"",""JA"")"),"生物標本中のヒトパピローマウイルス 74 型の測定。")</f>
        <v>生物標本中のヒトパピローマウイルス 74 型の測定。</v>
      </c>
      <c r="K2406" s="1" t="str">
        <f>IFERROR(__xludf.DUMMYFUNCTION("GOOGLETRANSLATE(G2406,""EN"",""JA"")"),"ヒトパピローマウイルス74型の測定")</f>
        <v>ヒトパピローマウイルス74型の測定</v>
      </c>
    </row>
    <row r="2407" ht="13.5" customHeight="1">
      <c r="A2407" s="1" t="s">
        <v>67</v>
      </c>
      <c r="B2407" s="1" t="s">
        <v>12159</v>
      </c>
      <c r="C2407" s="1" t="s">
        <v>12160</v>
      </c>
      <c r="D2407" s="1" t="s">
        <v>12161</v>
      </c>
      <c r="E2407" s="1" t="s">
        <v>12161</v>
      </c>
      <c r="F2407" s="1" t="s">
        <v>12162</v>
      </c>
      <c r="G2407" s="1" t="s">
        <v>12163</v>
      </c>
      <c r="H2407" s="1" t="str">
        <f>IFERROR(__xludf.DUMMYFUNCTION("GOOGLETRANSLATE(D2407,""EN"",""JA"")"),"ヒトパピローマウイルスDNA")</f>
        <v>ヒトパピローマウイルスDNA</v>
      </c>
      <c r="I2407" s="1" t="str">
        <f>IFERROR(__xludf.DUMMYFUNCTION("GOOGLETRANSLATE(E2407,""EN"",""JA"")"),"ヒトパピローマウイルスDNA")</f>
        <v>ヒトパピローマウイルスDNA</v>
      </c>
      <c r="J2407" s="1" t="str">
        <f>IFERROR(__xludf.DUMMYFUNCTION("GOOGLETRANSLATE(F2407,""EN"",""JA"")"),"生物標本中のヒトパピローマウイルス DNA の測定。")</f>
        <v>生物標本中のヒトパピローマウイルス DNA の測定。</v>
      </c>
      <c r="K2407" s="1" t="str">
        <f>IFERROR(__xludf.DUMMYFUNCTION("GOOGLETRANSLATE(G2407,""EN"",""JA"")"),"ヒトパピローマウイルスDNA測定")</f>
        <v>ヒトパピローマウイルスDNA測定</v>
      </c>
    </row>
    <row r="2408" ht="13.5" customHeight="1">
      <c r="A2408" s="1" t="s">
        <v>67</v>
      </c>
      <c r="B2408" s="1" t="s">
        <v>12164</v>
      </c>
      <c r="C2408" s="1" t="s">
        <v>12165</v>
      </c>
      <c r="D2408" s="1" t="s">
        <v>12166</v>
      </c>
      <c r="E2408" s="1" t="s">
        <v>12167</v>
      </c>
      <c r="F2408" s="1" t="s">
        <v>12168</v>
      </c>
      <c r="G2408" s="1" t="s">
        <v>12169</v>
      </c>
      <c r="H2408" s="1" t="str">
        <f>IFERROR(__xludf.DUMMYFUNCTION("GOOGLETRANSLATE(D2408,""EN"",""JA"")"),"ヒトパピローマウイルスE6/E7 mRNA")</f>
        <v>ヒトパピローマウイルスE6/E7 mRNA</v>
      </c>
      <c r="I2408" s="1" t="str">
        <f>IFERROR(__xludf.DUMMYFUNCTION("GOOGLETRANSLATE(E2408,""EN"",""JA"")"),"ヒトパピローマウイルスE6/E7メッセンジャーRNA; ヒトパピローマウイルスE6/E7 mRNA")</f>
        <v>ヒトパピローマウイルスE6/E7メッセンジャーRNA; ヒトパピローマウイルスE6/E7 mRNA</v>
      </c>
      <c r="J2408" s="1" t="str">
        <f>IFERROR(__xludf.DUMMYFUNCTION("GOOGLETRANSLATE(F2408,""EN"",""JA"")"),"生物学的標本中のヒトパピローマウイルス E6 および/または E7 タンパク質生成 mRNA の測定。")</f>
        <v>生物学的標本中のヒトパピローマウイルス E6 および/または E7 タンパク質生成 mRNA の測定。</v>
      </c>
      <c r="K2408" s="1" t="str">
        <f>IFERROR(__xludf.DUMMYFUNCTION("GOOGLETRANSLATE(G2408,""EN"",""JA"")"),"ヒトパピローマウイルスE6/E7 mRNA測定")</f>
        <v>ヒトパピローマウイルスE6/E7 mRNA測定</v>
      </c>
    </row>
    <row r="2409" ht="13.5" customHeight="1">
      <c r="A2409" s="1" t="s">
        <v>67</v>
      </c>
      <c r="B2409" s="1" t="s">
        <v>12170</v>
      </c>
      <c r="C2409" s="1" t="s">
        <v>12171</v>
      </c>
      <c r="D2409" s="1" t="s">
        <v>12172</v>
      </c>
      <c r="E2409" s="1" t="s">
        <v>12172</v>
      </c>
      <c r="F2409" s="1" t="s">
        <v>12173</v>
      </c>
      <c r="G2409" s="1" t="s">
        <v>12174</v>
      </c>
      <c r="H2409" s="1" t="str">
        <f>IFERROR(__xludf.DUMMYFUNCTION("GOOGLETRANSLATE(D2409,""EN"",""JA"")"),"ヘリコバクター・ピロリ")</f>
        <v>ヘリコバクター・ピロリ</v>
      </c>
      <c r="I2409" s="1" t="str">
        <f>IFERROR(__xludf.DUMMYFUNCTION("GOOGLETRANSLATE(E2409,""EN"",""JA"")"),"ヘリコバクター・ピロリ")</f>
        <v>ヘリコバクター・ピロリ</v>
      </c>
      <c r="J2409" s="1" t="str">
        <f>IFERROR(__xludf.DUMMYFUNCTION("GOOGLETRANSLATE(F2409,""EN"",""JA"")"),"生物標本中のヘリコバクター・ピロリの測定。")</f>
        <v>生物標本中のヘリコバクター・ピロリの測定。</v>
      </c>
      <c r="K2409" s="1" t="str">
        <f>IFERROR(__xludf.DUMMYFUNCTION("GOOGLETRANSLATE(G2409,""EN"",""JA"")"),"ヘリコバクター・ピロリ測定")</f>
        <v>ヘリコバクター・ピロリ測定</v>
      </c>
    </row>
    <row r="2410" ht="13.5" customHeight="1">
      <c r="A2410" s="1" t="s">
        <v>67</v>
      </c>
      <c r="B2410" s="1" t="s">
        <v>12175</v>
      </c>
      <c r="C2410" s="1" t="s">
        <v>12176</v>
      </c>
      <c r="D2410" s="1" t="s">
        <v>12177</v>
      </c>
      <c r="E2410" s="1" t="s">
        <v>12177</v>
      </c>
      <c r="F2410" s="1" t="s">
        <v>12178</v>
      </c>
      <c r="G2410" s="1" t="s">
        <v>12179</v>
      </c>
      <c r="H2410" s="1" t="str">
        <f>IFERROR(__xludf.DUMMYFUNCTION("GOOGLETRANSLATE(D2410,""EN"",""JA"")"),"ヘリコバクター・ピロリ抗原")</f>
        <v>ヘリコバクター・ピロリ抗原</v>
      </c>
      <c r="I2410" s="1" t="str">
        <f>IFERROR(__xludf.DUMMYFUNCTION("GOOGLETRANSLATE(E2410,""EN"",""JA"")"),"ヘリコバクター・ピロリ抗原")</f>
        <v>ヘリコバクター・ピロリ抗原</v>
      </c>
      <c r="J2410" s="1" t="str">
        <f>IFERROR(__xludf.DUMMYFUNCTION("GOOGLETRANSLATE(F2410,""EN"",""JA"")"),"生物標本中のヘリコバクター・ピロリ抗原の測定。")</f>
        <v>生物標本中のヘリコバクター・ピロリ抗原の測定。</v>
      </c>
      <c r="K2410" s="1" t="str">
        <f>IFERROR(__xludf.DUMMYFUNCTION("GOOGLETRANSLATE(G2410,""EN"",""JA"")"),"ヘリコバクター・ピロリ抗原測定")</f>
        <v>ヘリコバクター・ピロリ抗原測定</v>
      </c>
    </row>
    <row r="2411" ht="13.5" customHeight="1">
      <c r="A2411" s="1" t="s">
        <v>67</v>
      </c>
      <c r="B2411" s="1" t="s">
        <v>12180</v>
      </c>
      <c r="C2411" s="1" t="s">
        <v>12181</v>
      </c>
      <c r="D2411" s="1" t="s">
        <v>12182</v>
      </c>
      <c r="E2411" s="1" t="s">
        <v>12182</v>
      </c>
      <c r="F2411" s="1" t="s">
        <v>12183</v>
      </c>
      <c r="G2411" s="1" t="s">
        <v>12184</v>
      </c>
      <c r="H2411" s="1" t="str">
        <f>IFERROR(__xludf.DUMMYFUNCTION("GOOGLETRANSLATE(D2411,""EN"",""JA"")"),"ヘリコバクター・ピロリDNA")</f>
        <v>ヘリコバクター・ピロリDNA</v>
      </c>
      <c r="I2411" s="1" t="str">
        <f>IFERROR(__xludf.DUMMYFUNCTION("GOOGLETRANSLATE(E2411,""EN"",""JA"")"),"ヘリコバクター・ピロリDNA")</f>
        <v>ヘリコバクター・ピロリDNA</v>
      </c>
      <c r="J2411" s="1" t="str">
        <f>IFERROR(__xludf.DUMMYFUNCTION("GOOGLETRANSLATE(F2411,""EN"",""JA"")"),"生物標本中のヘリコバクター・ピロリ DNA の測定。")</f>
        <v>生物標本中のヘリコバクター・ピロリ DNA の測定。</v>
      </c>
      <c r="K2411" s="1" t="str">
        <f>IFERROR(__xludf.DUMMYFUNCTION("GOOGLETRANSLATE(G2411,""EN"",""JA"")"),"ヘリコバクター・ピロリDNA測定")</f>
        <v>ヘリコバクター・ピロリDNA測定</v>
      </c>
    </row>
    <row r="2412" ht="13.5" customHeight="1">
      <c r="A2412" s="1" t="s">
        <v>129</v>
      </c>
      <c r="B2412" s="1" t="s">
        <v>12185</v>
      </c>
      <c r="C2412" s="1" t="s">
        <v>12186</v>
      </c>
      <c r="D2412" s="1" t="s">
        <v>12187</v>
      </c>
      <c r="E2412" s="1" t="s">
        <v>12187</v>
      </c>
      <c r="F2412" s="1" t="s">
        <v>12188</v>
      </c>
      <c r="G2412" s="1" t="s">
        <v>12187</v>
      </c>
      <c r="H2412" s="1" t="str">
        <f>IFERROR(__xludf.DUMMYFUNCTION("GOOGLETRANSLATE(D2412,""EN"",""JA"")"),"心拍")</f>
        <v>心拍</v>
      </c>
      <c r="I2412" s="1" t="str">
        <f>IFERROR(__xludf.DUMMYFUNCTION("GOOGLETRANSLATE(E2412,""EN"",""JA"")"),"心拍")</f>
        <v>心拍</v>
      </c>
      <c r="J2412" s="1" t="str">
        <f>IFERROR(__xludf.DUMMYFUNCTION("GOOGLETRANSLATE(F2412,""EN"",""JA"")"),"単位時間あたりの心拍数。通常は 1 分あたりの心拍数で表されます。(NCI)")</f>
        <v>単位時間あたりの心拍数。通常は 1 分あたりの心拍数で表されます。(NCI)</v>
      </c>
      <c r="K2412" s="1" t="str">
        <f>IFERROR(__xludf.DUMMYFUNCTION("GOOGLETRANSLATE(G2412,""EN"",""JA"")"),"心拍")</f>
        <v>心拍</v>
      </c>
    </row>
    <row r="2413" ht="13.5" customHeight="1">
      <c r="A2413" s="1" t="s">
        <v>67</v>
      </c>
      <c r="B2413" s="1" t="s">
        <v>12189</v>
      </c>
      <c r="C2413" s="1" t="s">
        <v>12190</v>
      </c>
      <c r="D2413" s="1" t="s">
        <v>12191</v>
      </c>
      <c r="E2413" s="1" t="s">
        <v>12192</v>
      </c>
      <c r="F2413" s="1" t="s">
        <v>12193</v>
      </c>
      <c r="G2413" s="1" t="s">
        <v>12194</v>
      </c>
      <c r="H2413" s="1" t="str">
        <f>IFERROR(__xludf.DUMMYFUNCTION("GOOGLETRANSLATE(D2413,""EN"",""JA"")"),"高リスクHPV型DNA、MLTTRG")</f>
        <v>高リスクHPV型DNA、MLTTRG</v>
      </c>
      <c r="I2413" s="1" t="str">
        <f>IFERROR(__xludf.DUMMYFUNCTION("GOOGLETRANSLATE(E2413,""EN"",""JA"")"),"高リスクヒトパピローマウイルス型DNA、マルチターゲット；高リスクHPV型DNA、MLTTRG；高リスクHPV型DNA、マルチターゲット")</f>
        <v>高リスクヒトパピローマウイルス型DNA、マルチターゲット；高リスクHPV型DNA、MLTTRG；高リスクHPV型DNA、マルチターゲット</v>
      </c>
      <c r="J2413" s="1" t="str">
        <f>IFERROR(__xludf.DUMMYFUNCTION("GOOGLETRANSLATE(F2413,""EN"",""JA"")"),"生物学的検体中の高リスクヒトパピローマウイルスDNAの測定。これは複数の標的を対象とする検査です。")</f>
        <v>生物学的検体中の高リスクヒトパピローマウイルスDNAの測定。これは複数の標的を対象とする検査です。</v>
      </c>
      <c r="K2413" s="1" t="str">
        <f>IFERROR(__xludf.DUMMYFUNCTION("GOOGLETRANSLATE(G2413,""EN"",""JA"")"),"マルチターゲット高リスクヒトパピローマウイルス型DNA測定")</f>
        <v>マルチターゲット高リスクヒトパピローマウイルス型DNA測定</v>
      </c>
    </row>
    <row r="2414" ht="13.5" customHeight="1">
      <c r="A2414" s="1" t="s">
        <v>67</v>
      </c>
      <c r="B2414" s="1" t="s">
        <v>12195</v>
      </c>
      <c r="C2414" s="1" t="s">
        <v>12196</v>
      </c>
      <c r="D2414" s="1" t="s">
        <v>12197</v>
      </c>
      <c r="E2414" s="1" t="s">
        <v>12198</v>
      </c>
      <c r="F2414" s="1" t="s">
        <v>12199</v>
      </c>
      <c r="G2414" s="1" t="s">
        <v>12200</v>
      </c>
      <c r="H2414" s="1" t="str">
        <f>IFERROR(__xludf.DUMMYFUNCTION("GOOGLETRANSLATE(D2414,""EN"",""JA"")"),"高リスクHPV型mRNA、MLTTRG")</f>
        <v>高リスクHPV型mRNA、MLTTRG</v>
      </c>
      <c r="I2414" s="1" t="str">
        <f>IFERROR(__xludf.DUMMYFUNCTION("GOOGLETRANSLATE(E2414,""EN"",""JA"")"),"高リスクヒトパピローマウイルス型mRNA、マルチターゲット；高リスクHPV型mRNA、MLTTRG；高リスクHPV型mRNA、マルチターゲット")</f>
        <v>高リスクヒトパピローマウイルス型mRNA、マルチターゲット；高リスクHPV型mRNA、MLTTRG；高リスクHPV型mRNA、マルチターゲット</v>
      </c>
      <c r="J2414" s="1" t="str">
        <f>IFERROR(__xludf.DUMMYFUNCTION("GOOGLETRANSLATE(F2414,""EN"",""JA"")"),"生物学的検体中の高リスクヒトパピローマウイルスmRNAの測定。これは複数標的の検査です。")</f>
        <v>生物学的検体中の高リスクヒトパピローマウイルスmRNAの測定。これは複数標的の検査です。</v>
      </c>
      <c r="K2414" s="1" t="str">
        <f>IFERROR(__xludf.DUMMYFUNCTION("GOOGLETRANSLATE(G2414,""EN"",""JA"")"),"マルチターゲット高リスクヒトパピローマウイルス型mRNA測定")</f>
        <v>マルチターゲット高リスクヒトパピローマウイルス型mRNA測定</v>
      </c>
    </row>
    <row r="2415" ht="13.5" customHeight="1">
      <c r="A2415" s="1" t="s">
        <v>11</v>
      </c>
      <c r="B2415" s="1" t="s">
        <v>12201</v>
      </c>
      <c r="C2415" s="1" t="s">
        <v>12202</v>
      </c>
      <c r="D2415" s="1" t="s">
        <v>12203</v>
      </c>
      <c r="E2415" s="1" t="s">
        <v>12203</v>
      </c>
      <c r="F2415" s="1" t="s">
        <v>12204</v>
      </c>
      <c r="G2415" s="1" t="s">
        <v>12205</v>
      </c>
      <c r="H2415" s="1" t="str">
        <f>IFERROR(__xludf.DUMMYFUNCTION("GOOGLETRANSLATE(D2415,""EN"",""JA"")"),"濃色素性赤血球/赤血球")</f>
        <v>濃色素性赤血球/赤血球</v>
      </c>
      <c r="I2415" s="1" t="str">
        <f>IFERROR(__xludf.DUMMYFUNCTION("GOOGLETRANSLATE(E2415,""EN"",""JA"")"),"濃色素性赤血球/赤血球")</f>
        <v>濃色素性赤血球/赤血球</v>
      </c>
      <c r="J2415" s="1" t="str">
        <f>IFERROR(__xludf.DUMMYFUNCTION("GOOGLETRANSLATE(F2415,""EN"",""JA"")"),"生物標本中の赤血球総数に対する濃色素赤血球数の相対的測定値（比率またはパーセンテージ）。")</f>
        <v>生物標本中の赤血球総数に対する濃色素赤血球数の相対的測定値（比率またはパーセンテージ）。</v>
      </c>
      <c r="K2415" s="1" t="str">
        <f>IFERROR(__xludf.DUMMYFUNCTION("GOOGLETRANSLATE(G2415,""EN"",""JA"")"),"濃色素赤血球対赤血球比測定")</f>
        <v>濃色素赤血球対赤血球比測定</v>
      </c>
    </row>
    <row r="2416" ht="13.5" customHeight="1">
      <c r="A2416" s="1" t="s">
        <v>67</v>
      </c>
      <c r="B2416" s="1" t="s">
        <v>12206</v>
      </c>
      <c r="C2416" s="1" t="s">
        <v>12207</v>
      </c>
      <c r="D2416" s="1" t="s">
        <v>12208</v>
      </c>
      <c r="E2416" s="1" t="s">
        <v>12208</v>
      </c>
      <c r="F2416" s="1" t="s">
        <v>12209</v>
      </c>
      <c r="G2416" s="1" t="s">
        <v>12210</v>
      </c>
      <c r="H2416" s="1" t="str">
        <f>IFERROR(__xludf.DUMMYFUNCTION("GOOGLETRANSLATE(D2416,""EN"",""JA"")"),"ヒトライノウイルス")</f>
        <v>ヒトライノウイルス</v>
      </c>
      <c r="I2416" s="1" t="str">
        <f>IFERROR(__xludf.DUMMYFUNCTION("GOOGLETRANSLATE(E2416,""EN"",""JA"")"),"ヒトライノウイルス")</f>
        <v>ヒトライノウイルス</v>
      </c>
      <c r="J2416" s="1" t="str">
        <f>IFERROR(__xludf.DUMMYFUNCTION("GOOGLETRANSLATE(F2416,""EN"",""JA"")"),"生物標本中のヒトライノウイルスの測定。")</f>
        <v>生物標本中のヒトライノウイルスの測定。</v>
      </c>
      <c r="K2416" s="1" t="str">
        <f>IFERROR(__xludf.DUMMYFUNCTION("GOOGLETRANSLATE(G2416,""EN"",""JA"")"),"ヒトライノウイルス測定")</f>
        <v>ヒトライノウイルス測定</v>
      </c>
    </row>
    <row r="2417" ht="13.5" customHeight="1">
      <c r="A2417" s="1" t="s">
        <v>67</v>
      </c>
      <c r="B2417" s="1" t="s">
        <v>12211</v>
      </c>
      <c r="C2417" s="1" t="s">
        <v>12212</v>
      </c>
      <c r="D2417" s="1" t="s">
        <v>12213</v>
      </c>
      <c r="E2417" s="1" t="s">
        <v>12214</v>
      </c>
      <c r="F2417" s="1" t="s">
        <v>12215</v>
      </c>
      <c r="G2417" s="1" t="s">
        <v>12216</v>
      </c>
      <c r="H2417" s="1" t="str">
        <f>IFERROR(__xludf.DUMMYFUNCTION("GOOGLETRANSLATE(D2417,""EN"",""JA"")"),"ヒトライノウイルスA/B/C")</f>
        <v>ヒトライノウイルスA/B/C</v>
      </c>
      <c r="I2417" s="1" t="str">
        <f>IFERROR(__xludf.DUMMYFUNCTION("GOOGLETRANSLATE(E2417,""EN"",""JA"")"),"HRV A/B/C; ヒトライノウイルス A/B/C")</f>
        <v>HRV A/B/C; ヒトライノウイルス A/B/C</v>
      </c>
      <c r="J2417" s="1" t="str">
        <f>IFERROR(__xludf.DUMMYFUNCTION("GOOGLETRANSLATE(F2417,""EN"",""JA"")"),"生物学的標本中のヒトライノウイルス A、B、および/または C の測定。")</f>
        <v>生物学的標本中のヒトライノウイルス A、B、および/または C の測定。</v>
      </c>
      <c r="K2417" s="1" t="str">
        <f>IFERROR(__xludf.DUMMYFUNCTION("GOOGLETRANSLATE(G2417,""EN"",""JA"")"),"ヒトライノウイルスA、B、および/またはCの測定")</f>
        <v>ヒトライノウイルスA、B、および/またはCの測定</v>
      </c>
    </row>
    <row r="2418" ht="13.5" customHeight="1">
      <c r="A2418" s="1" t="s">
        <v>67</v>
      </c>
      <c r="B2418" s="1" t="s">
        <v>12217</v>
      </c>
      <c r="C2418" s="1" t="s">
        <v>12218</v>
      </c>
      <c r="D2418" s="1" t="s">
        <v>12219</v>
      </c>
      <c r="E2418" s="1" t="s">
        <v>12220</v>
      </c>
      <c r="F2418" s="1" t="s">
        <v>12221</v>
      </c>
      <c r="G2418" s="1" t="s">
        <v>12222</v>
      </c>
      <c r="H2418" s="1" t="str">
        <f>IFERROR(__xludf.DUMMYFUNCTION("GOOGLETRANSLATE(D2418,""EN"",""JA"")"),"ヒトライノウイルスA/B/C抗原")</f>
        <v>ヒトライノウイルスA/B/C抗原</v>
      </c>
      <c r="I2418" s="1" t="str">
        <f>IFERROR(__xludf.DUMMYFUNCTION("GOOGLETRANSLATE(E2418,""EN"",""JA"")"),"HRV A/B/C抗原; ヒトライノウイルスA/B/C抗原")</f>
        <v>HRV A/B/C抗原; ヒトライノウイルスA/B/C抗原</v>
      </c>
      <c r="J2418" s="1" t="str">
        <f>IFERROR(__xludf.DUMMYFUNCTION("GOOGLETRANSLATE(F2418,""EN"",""JA"")"),"生物学的標本中のヒトライノウイルス A、B、および/または C 抗原の測定。")</f>
        <v>生物学的標本中のヒトライノウイルス A、B、および/または C 抗原の測定。</v>
      </c>
      <c r="K2418" s="1" t="str">
        <f>IFERROR(__xludf.DUMMYFUNCTION("GOOGLETRANSLATE(G2418,""EN"",""JA"")"),"ヒトライノウイルスA、B、および/またはC抗原測定")</f>
        <v>ヒトライノウイルスA、B、および/またはC抗原測定</v>
      </c>
    </row>
    <row r="2419" ht="13.5" customHeight="1">
      <c r="A2419" s="1" t="s">
        <v>129</v>
      </c>
      <c r="B2419" s="1" t="s">
        <v>12223</v>
      </c>
      <c r="C2419" s="1" t="s">
        <v>12224</v>
      </c>
      <c r="D2419" s="1" t="s">
        <v>12225</v>
      </c>
      <c r="E2419" s="1" t="s">
        <v>12226</v>
      </c>
      <c r="F2419" s="1" t="s">
        <v>12227</v>
      </c>
      <c r="G2419" s="1" t="s">
        <v>12228</v>
      </c>
      <c r="H2419" s="1" t="str">
        <f>IFERROR(__xludf.DUMMYFUNCTION("GOOGLETRANSLATE(D2419,""EN"",""JA"")"),"心拍変動、SDANN")</f>
        <v>心拍変動、SDANN</v>
      </c>
      <c r="I2419" s="1" t="str">
        <f>IFERROR(__xludf.DUMMYFUNCTION("GOOGLETRANSLATE(E2419,""EN"",""JA"")"),"心拍変動、平均標準偏差NN間隔; 心拍変動、SDANN")</f>
        <v>心拍変動、平均標準偏差NN間隔; 心拍変動、SDANN</v>
      </c>
      <c r="J2419" s="1" t="str">
        <f>IFERROR(__xludf.DUMMYFUNCTION("GOOGLETRANSLATE(F2419,""EN"",""JA"")"),"一定期間にわたる連続した 5 分間の NN 間隔の平均の平均標準偏差に基づいて、隣接する心拍間の時間間隔の変動を測定します。")</f>
        <v>一定期間にわたる連続した 5 分間の NN 間隔の平均の平均標準偏差に基づいて、隣接する心拍間の時間間隔の変動を測定します。</v>
      </c>
      <c r="K2419" s="1" t="str">
        <f>IFERROR(__xludf.DUMMYFUNCTION("GOOGLETRANSLATE(G2419,""EN"",""JA"")"),"心拍変動、平均標準偏差NN間隔測定")</f>
        <v>心拍変動、平均標準偏差NN間隔測定</v>
      </c>
    </row>
    <row r="2420" ht="13.5" customHeight="1">
      <c r="A2420" s="1" t="s">
        <v>129</v>
      </c>
      <c r="B2420" s="1" t="s">
        <v>12229</v>
      </c>
      <c r="C2420" s="1" t="s">
        <v>12230</v>
      </c>
      <c r="D2420" s="1" t="s">
        <v>12231</v>
      </c>
      <c r="E2420" s="1" t="s">
        <v>12232</v>
      </c>
      <c r="F2420" s="1" t="s">
        <v>12233</v>
      </c>
      <c r="G2420" s="1" t="s">
        <v>12234</v>
      </c>
      <c r="H2420" s="1" t="str">
        <f>IFERROR(__xludf.DUMMYFUNCTION("GOOGLETRANSLATE(D2420,""EN"",""JA"")"),"心拍変動、SDNN")</f>
        <v>心拍変動、SDNN</v>
      </c>
      <c r="I2420" s="1" t="str">
        <f>IFERROR(__xludf.DUMMYFUNCTION("GOOGLETRANSLATE(E2420,""EN"",""JA"")"),"心拍変動、SDNN; 心拍変動、標準偏差NN間隔")</f>
        <v>心拍変動、SDNN; 心拍変動、標準偏差NN間隔</v>
      </c>
      <c r="J2420" s="1" t="str">
        <f>IFERROR(__xludf.DUMMYFUNCTION("GOOGLETRANSLATE(F2420,""EN"",""JA"")"),"NN 間隔の標準偏差に基づいて、隣接する心拍間の時間間隔の変動を測定します。")</f>
        <v>NN 間隔の標準偏差に基づいて、隣接する心拍間の時間間隔の変動を測定します。</v>
      </c>
      <c r="K2420" s="1" t="str">
        <f>IFERROR(__xludf.DUMMYFUNCTION("GOOGLETRANSLATE(G2420,""EN"",""JA"")"),"心拍変動、標準偏差NN間隔測定")</f>
        <v>心拍変動、標準偏差NN間隔測定</v>
      </c>
    </row>
    <row r="2421" ht="13.5" customHeight="1">
      <c r="A2421" s="1" t="s">
        <v>11</v>
      </c>
      <c r="B2421" s="1" t="s">
        <v>12235</v>
      </c>
      <c r="C2421" s="1" t="s">
        <v>12236</v>
      </c>
      <c r="D2421" s="1" t="s">
        <v>12237</v>
      </c>
      <c r="E2421" s="1" t="s">
        <v>12237</v>
      </c>
      <c r="F2421" s="1" t="s">
        <v>12238</v>
      </c>
      <c r="G2421" s="1" t="s">
        <v>12239</v>
      </c>
      <c r="H2421" s="1" t="str">
        <f>IFERROR(__xludf.DUMMYFUNCTION("GOOGLETRANSLATE(D2421,""EN"",""JA"")"),"毛状細胞/総細胞数")</f>
        <v>毛状細胞/総細胞数</v>
      </c>
      <c r="I2421" s="1" t="str">
        <f>IFERROR(__xludf.DUMMYFUNCTION("GOOGLETRANSLATE(E2421,""EN"",""JA"")"),"毛状細胞/総細胞数")</f>
        <v>毛状細胞/総細胞数</v>
      </c>
      <c r="J2421" s="1" t="str">
        <f>IFERROR(__xludf.DUMMYFUNCTION("GOOGLETRANSLATE(F2421,""EN"",""JA"")"),"生物標本内の有毛細胞と総細胞の相対的な測定値（比率またはパーセンテージ）。")</f>
        <v>生物標本内の有毛細胞と総細胞の相対的な測定値（比率またはパーセンテージ）。</v>
      </c>
      <c r="K2421" s="1" t="str">
        <f>IFERROR(__xludf.DUMMYFUNCTION("GOOGLETRANSLATE(G2421,""EN"",""JA"")"),"毛状細胞と総細胞数の比率測定")</f>
        <v>毛状細胞と総細胞数の比率測定</v>
      </c>
    </row>
    <row r="2422" ht="13.5" customHeight="1">
      <c r="A2422" s="1" t="s">
        <v>11</v>
      </c>
      <c r="B2422" s="1" t="s">
        <v>12240</v>
      </c>
      <c r="C2422" s="1" t="s">
        <v>12241</v>
      </c>
      <c r="D2422" s="1" t="s">
        <v>12242</v>
      </c>
      <c r="E2422" s="1" t="s">
        <v>12242</v>
      </c>
      <c r="F2422" s="1" t="s">
        <v>12243</v>
      </c>
      <c r="G2422" s="1" t="s">
        <v>12244</v>
      </c>
      <c r="H2422" s="1" t="str">
        <f>IFERROR(__xludf.DUMMYFUNCTION("GOOGLETRANSLATE(D2422,""EN"",""JA"")"),"毛状細胞/白血球")</f>
        <v>毛状細胞/白血球</v>
      </c>
      <c r="I2422" s="1" t="str">
        <f>IFERROR(__xludf.DUMMYFUNCTION("GOOGLETRANSLATE(E2422,""EN"",""JA"")"),"毛状細胞/白血球")</f>
        <v>毛状細胞/白血球</v>
      </c>
      <c r="J2422" s="1" t="str">
        <f>IFERROR(__xludf.DUMMYFUNCTION("GOOGLETRANSLATE(F2422,""EN"",""JA"")"),"生物標本中の全白血球に対する有毛細胞（細胞質から毛状の突起を持つ B 細胞リンパ球）の相対的な測定値（比率またはパーセンテージ）。")</f>
        <v>生物標本中の全白血球に対する有毛細胞（細胞質から毛状の突起を持つ B 細胞リンパ球）の相対的な測定値（比率またはパーセンテージ）。</v>
      </c>
      <c r="K2422" s="1" t="str">
        <f>IFERROR(__xludf.DUMMYFUNCTION("GOOGLETRANSLATE(G2422,""EN"",""JA"")"),"毛状細胞と白血球の比率測定")</f>
        <v>毛状細胞と白血球の比率測定</v>
      </c>
    </row>
    <row r="2423" ht="13.5" customHeight="1">
      <c r="A2423" s="1" t="s">
        <v>11</v>
      </c>
      <c r="B2423" s="1" t="s">
        <v>12245</v>
      </c>
      <c r="C2423" s="1" t="s">
        <v>12246</v>
      </c>
      <c r="D2423" s="1" t="s">
        <v>12247</v>
      </c>
      <c r="E2423" s="1" t="s">
        <v>12247</v>
      </c>
      <c r="F2423" s="1" t="s">
        <v>12248</v>
      </c>
      <c r="G2423" s="1" t="s">
        <v>12249</v>
      </c>
      <c r="H2423" s="1" t="str">
        <f>IFERROR(__xludf.DUMMYFUNCTION("GOOGLETRANSLATE(D2423,""EN"",""JA"")"),"毛状細胞/リンパ球")</f>
        <v>毛状細胞/リンパ球</v>
      </c>
      <c r="I2423" s="1" t="str">
        <f>IFERROR(__xludf.DUMMYFUNCTION("GOOGLETRANSLATE(E2423,""EN"",""JA"")"),"毛状細胞/リンパ球")</f>
        <v>毛状細胞/リンパ球</v>
      </c>
      <c r="J2423" s="1" t="str">
        <f>IFERROR(__xludf.DUMMYFUNCTION("GOOGLETRANSLATE(F2423,""EN"",""JA"")"),"生物標本中のすべてのリンパ球に対する有毛細胞（細胞質から毛状の突起を持つ B 細胞リンパ球）の相対的な測定値（比率またはパーセンテージ）。")</f>
        <v>生物標本中のすべてのリンパ球に対する有毛細胞（細胞質から毛状の突起を持つ B 細胞リンパ球）の相対的な測定値（比率またはパーセンテージ）。</v>
      </c>
      <c r="K2423" s="1" t="str">
        <f>IFERROR(__xludf.DUMMYFUNCTION("GOOGLETRANSLATE(G2423,""EN"",""JA"")"),"毛状細胞とリンパ球の比率測定")</f>
        <v>毛状細胞とリンパ球の比率測定</v>
      </c>
    </row>
    <row r="2424" ht="13.5" customHeight="1">
      <c r="A2424" s="1" t="s">
        <v>67</v>
      </c>
      <c r="B2424" s="1" t="s">
        <v>12250</v>
      </c>
      <c r="C2424" s="1" t="s">
        <v>12251</v>
      </c>
      <c r="D2424" s="1" t="s">
        <v>12252</v>
      </c>
      <c r="E2424" s="1" t="s">
        <v>12252</v>
      </c>
      <c r="F2424" s="1" t="s">
        <v>12253</v>
      </c>
      <c r="G2424" s="1" t="s">
        <v>12254</v>
      </c>
      <c r="H2424" s="1" t="str">
        <f>IFERROR(__xludf.DUMMYFUNCTION("GOOGLETRANSLATE(D2424,""EN"",""JA"")"),"単純ヘルペスウイルス1型")</f>
        <v>単純ヘルペスウイルス1型</v>
      </c>
      <c r="I2424" s="1" t="str">
        <f>IFERROR(__xludf.DUMMYFUNCTION("GOOGLETRANSLATE(E2424,""EN"",""JA"")"),"単純ヘルペスウイルス1型")</f>
        <v>単純ヘルペスウイルス1型</v>
      </c>
      <c r="J2424" s="1" t="str">
        <f>IFERROR(__xludf.DUMMYFUNCTION("GOOGLETRANSLATE(F2424,""EN"",""JA"")"),"生物標本中の単純ヘルペスウイルス 1 の測定。")</f>
        <v>生物標本中の単純ヘルペスウイルス 1 の測定。</v>
      </c>
      <c r="K2424" s="1" t="str">
        <f>IFERROR(__xludf.DUMMYFUNCTION("GOOGLETRANSLATE(G2424,""EN"",""JA"")"),"単純ヘルペスウイルス1型の測定")</f>
        <v>単純ヘルペスウイルス1型の測定</v>
      </c>
    </row>
    <row r="2425" ht="13.5" customHeight="1">
      <c r="A2425" s="1" t="s">
        <v>67</v>
      </c>
      <c r="B2425" s="1" t="s">
        <v>12255</v>
      </c>
      <c r="C2425" s="1" t="s">
        <v>12256</v>
      </c>
      <c r="D2425" s="1" t="s">
        <v>12257</v>
      </c>
      <c r="E2425" s="1" t="s">
        <v>12257</v>
      </c>
      <c r="F2425" s="1" t="s">
        <v>12258</v>
      </c>
      <c r="G2425" s="1" t="s">
        <v>12259</v>
      </c>
      <c r="H2425" s="1" t="str">
        <f>IFERROR(__xludf.DUMMYFUNCTION("GOOGLETRANSLATE(D2425,""EN"",""JA"")"),"単純ヘルペスウイルス1/2")</f>
        <v>単純ヘルペスウイルス1/2</v>
      </c>
      <c r="I2425" s="1" t="str">
        <f>IFERROR(__xludf.DUMMYFUNCTION("GOOGLETRANSLATE(E2425,""EN"",""JA"")"),"単純ヘルペスウイルス1/2")</f>
        <v>単純ヘルペスウイルス1/2</v>
      </c>
      <c r="J2425" s="1" t="str">
        <f>IFERROR(__xludf.DUMMYFUNCTION("GOOGLETRANSLATE(F2425,""EN"",""JA"")"),"生物学的標本中の単純ヘルペスウイルス 1 型および/または 2 型の測定。")</f>
        <v>生物学的標本中の単純ヘルペスウイルス 1 型および/または 2 型の測定。</v>
      </c>
      <c r="K2425" s="1" t="str">
        <f>IFERROR(__xludf.DUMMYFUNCTION("GOOGLETRANSLATE(G2425,""EN"",""JA"")"),"単純ヘルペスウイルス1型および/または2型の測定")</f>
        <v>単純ヘルペスウイルス1型および/または2型の測定</v>
      </c>
    </row>
    <row r="2426" ht="13.5" customHeight="1">
      <c r="A2426" s="1" t="s">
        <v>67</v>
      </c>
      <c r="B2426" s="1" t="s">
        <v>12260</v>
      </c>
      <c r="C2426" s="1" t="s">
        <v>12261</v>
      </c>
      <c r="D2426" s="1" t="s">
        <v>12262</v>
      </c>
      <c r="E2426" s="1" t="s">
        <v>12263</v>
      </c>
      <c r="F2426" s="1" t="s">
        <v>12264</v>
      </c>
      <c r="G2426" s="1" t="s">
        <v>12265</v>
      </c>
      <c r="H2426" s="1" t="str">
        <f>IFERROR(__xludf.DUMMYFUNCTION("GOOGLETRANSLATE(D2426,""EN"",""JA"")"),"単純ヘルペスウイルス1/2抗原")</f>
        <v>単純ヘルペスウイルス1/2抗原</v>
      </c>
      <c r="I2426" s="1" t="str">
        <f>IFERROR(__xludf.DUMMYFUNCTION("GOOGLETRANSLATE(E2426,""EN"",""JA"")"),"単純ヘルペスウイルス1/2抗原; HSV 1/2抗原")</f>
        <v>単純ヘルペスウイルス1/2抗原; HSV 1/2抗原</v>
      </c>
      <c r="J2426" s="1" t="str">
        <f>IFERROR(__xludf.DUMMYFUNCTION("GOOGLETRANSLATE(F2426,""EN"",""JA"")"),"生物学的標本中の単純ヘルペスウイルス 1 型および/または 2 型抗原の測定。")</f>
        <v>生物学的標本中の単純ヘルペスウイルス 1 型および/または 2 型抗原の測定。</v>
      </c>
      <c r="K2426" s="1" t="str">
        <f>IFERROR(__xludf.DUMMYFUNCTION("GOOGLETRANSLATE(G2426,""EN"",""JA"")"),"単純ヘルペスウイルス1型および/または2型抗原測定")</f>
        <v>単純ヘルペスウイルス1型および/または2型抗原測定</v>
      </c>
    </row>
    <row r="2427" ht="13.5" customHeight="1">
      <c r="A2427" s="1" t="s">
        <v>67</v>
      </c>
      <c r="B2427" s="1" t="s">
        <v>12266</v>
      </c>
      <c r="C2427" s="1" t="s">
        <v>12267</v>
      </c>
      <c r="D2427" s="1" t="s">
        <v>12268</v>
      </c>
      <c r="E2427" s="1" t="s">
        <v>12269</v>
      </c>
      <c r="F2427" s="1" t="s">
        <v>12270</v>
      </c>
      <c r="G2427" s="1" t="s">
        <v>12271</v>
      </c>
      <c r="H2427" s="1" t="str">
        <f>IFERROR(__xludf.DUMMYFUNCTION("GOOGLETRANSLATE(D2427,""EN"",""JA"")"),"単純ヘルペスウイルス1/2 DNA")</f>
        <v>単純ヘルペスウイルス1/2 DNA</v>
      </c>
      <c r="I2427" s="1" t="str">
        <f>IFERROR(__xludf.DUMMYFUNCTION("GOOGLETRANSLATE(E2427,""EN"",""JA"")"),"単純ヘルペスウイルス1/2 DNA; HSV 1/2 DNA")</f>
        <v>単純ヘルペスウイルス1/2 DNA; HSV 1/2 DNA</v>
      </c>
      <c r="J2427" s="1" t="str">
        <f>IFERROR(__xludf.DUMMYFUNCTION("GOOGLETRANSLATE(F2427,""EN"",""JA"")"),"生物学的標本中の単純ヘルペスウイルス 1 型および/または 2 型の DNA の測定。")</f>
        <v>生物学的標本中の単純ヘルペスウイルス 1 型および/または 2 型の DNA の測定。</v>
      </c>
      <c r="K2427" s="1" t="str">
        <f>IFERROR(__xludf.DUMMYFUNCTION("GOOGLETRANSLATE(G2427,""EN"",""JA"")"),"単純ヘルペスウイルス1型および/または2型のDNA測定")</f>
        <v>単純ヘルペスウイルス1型および/または2型のDNA測定</v>
      </c>
    </row>
    <row r="2428" ht="13.5" customHeight="1">
      <c r="A2428" s="1" t="s">
        <v>67</v>
      </c>
      <c r="B2428" s="1" t="s">
        <v>12272</v>
      </c>
      <c r="C2428" s="1" t="s">
        <v>12273</v>
      </c>
      <c r="D2428" s="1" t="s">
        <v>12274</v>
      </c>
      <c r="E2428" s="1" t="s">
        <v>12274</v>
      </c>
      <c r="F2428" s="1" t="s">
        <v>12275</v>
      </c>
      <c r="G2428" s="1" t="s">
        <v>12276</v>
      </c>
      <c r="H2428" s="1" t="str">
        <f>IFERROR(__xludf.DUMMYFUNCTION("GOOGLETRANSLATE(D2428,""EN"",""JA"")"),"単純ヘルペスウイルス1型DNA")</f>
        <v>単純ヘルペスウイルス1型DNA</v>
      </c>
      <c r="I2428" s="1" t="str">
        <f>IFERROR(__xludf.DUMMYFUNCTION("GOOGLETRANSLATE(E2428,""EN"",""JA"")"),"単純ヘルペスウイルス1型DNA")</f>
        <v>単純ヘルペスウイルス1型DNA</v>
      </c>
      <c r="J2428" s="1" t="str">
        <f>IFERROR(__xludf.DUMMYFUNCTION("GOOGLETRANSLATE(F2428,""EN"",""JA"")"),"生物標本中の単純ヘルペスウイルス 1 型の DNA の測定。")</f>
        <v>生物標本中の単純ヘルペスウイルス 1 型の DNA の測定。</v>
      </c>
      <c r="K2428" s="1" t="str">
        <f>IFERROR(__xludf.DUMMYFUNCTION("GOOGLETRANSLATE(G2428,""EN"",""JA"")"),"単純ヘルペスウイルス1型DNA測定")</f>
        <v>単純ヘルペスウイルス1型DNA測定</v>
      </c>
    </row>
    <row r="2429" ht="13.5" customHeight="1">
      <c r="A2429" s="1" t="s">
        <v>67</v>
      </c>
      <c r="B2429" s="1" t="s">
        <v>12277</v>
      </c>
      <c r="C2429" s="1" t="s">
        <v>12278</v>
      </c>
      <c r="D2429" s="1" t="s">
        <v>12279</v>
      </c>
      <c r="E2429" s="1" t="s">
        <v>12279</v>
      </c>
      <c r="F2429" s="1" t="s">
        <v>12280</v>
      </c>
      <c r="G2429" s="1" t="s">
        <v>12281</v>
      </c>
      <c r="H2429" s="1" t="str">
        <f>IFERROR(__xludf.DUMMYFUNCTION("GOOGLETRANSLATE(D2429,""EN"",""JA"")"),"単純ヘルペスウイルス2型")</f>
        <v>単純ヘルペスウイルス2型</v>
      </c>
      <c r="I2429" s="1" t="str">
        <f>IFERROR(__xludf.DUMMYFUNCTION("GOOGLETRANSLATE(E2429,""EN"",""JA"")"),"単純ヘルペスウイルス2型")</f>
        <v>単純ヘルペスウイルス2型</v>
      </c>
      <c r="J2429" s="1" t="str">
        <f>IFERROR(__xludf.DUMMYFUNCTION("GOOGLETRANSLATE(F2429,""EN"",""JA"")"),"生物標本中の単純ヘルペスウイルス 2 の測定。")</f>
        <v>生物標本中の単純ヘルペスウイルス 2 の測定。</v>
      </c>
      <c r="K2429" s="1" t="str">
        <f>IFERROR(__xludf.DUMMYFUNCTION("GOOGLETRANSLATE(G2429,""EN"",""JA"")"),"単純ヘルペスウイルス2型測定")</f>
        <v>単純ヘルペスウイルス2型測定</v>
      </c>
    </row>
    <row r="2430" ht="13.5" customHeight="1">
      <c r="A2430" s="1" t="s">
        <v>67</v>
      </c>
      <c r="B2430" s="1" t="s">
        <v>12282</v>
      </c>
      <c r="C2430" s="1" t="s">
        <v>12283</v>
      </c>
      <c r="D2430" s="1" t="s">
        <v>12284</v>
      </c>
      <c r="E2430" s="1" t="s">
        <v>12284</v>
      </c>
      <c r="F2430" s="1" t="s">
        <v>12285</v>
      </c>
      <c r="G2430" s="1" t="s">
        <v>12286</v>
      </c>
      <c r="H2430" s="1" t="str">
        <f>IFERROR(__xludf.DUMMYFUNCTION("GOOGLETRANSLATE(D2430,""EN"",""JA"")"),"単純ヘルペスウイルス2型DNA")</f>
        <v>単純ヘルペスウイルス2型DNA</v>
      </c>
      <c r="I2430" s="1" t="str">
        <f>IFERROR(__xludf.DUMMYFUNCTION("GOOGLETRANSLATE(E2430,""EN"",""JA"")"),"単純ヘルペスウイルス2型DNA")</f>
        <v>単純ヘルペスウイルス2型DNA</v>
      </c>
      <c r="J2430" s="1" t="str">
        <f>IFERROR(__xludf.DUMMYFUNCTION("GOOGLETRANSLATE(F2430,""EN"",""JA"")"),"生物標本中の単純ヘルペスウイルス 2 型の DNA の測定。")</f>
        <v>生物標本中の単純ヘルペスウイルス 2 型の DNA の測定。</v>
      </c>
      <c r="K2430" s="1" t="str">
        <f>IFERROR(__xludf.DUMMYFUNCTION("GOOGLETRANSLATE(G2430,""EN"",""JA"")"),"単純ヘルペスウイルス2型DNA測定")</f>
        <v>単純ヘルペスウイルス2型DNA測定</v>
      </c>
    </row>
    <row r="2431" ht="13.5" customHeight="1">
      <c r="A2431" s="1" t="s">
        <v>842</v>
      </c>
      <c r="B2431" s="1" t="s">
        <v>12287</v>
      </c>
      <c r="C2431" s="1" t="s">
        <v>12288</v>
      </c>
      <c r="D2431" s="1" t="s">
        <v>12289</v>
      </c>
      <c r="E2431" s="1" t="s">
        <v>12289</v>
      </c>
      <c r="F2431" s="1" t="s">
        <v>12290</v>
      </c>
      <c r="G2431" s="1" t="s">
        <v>12289</v>
      </c>
      <c r="H2431" s="1" t="str">
        <f>IFERROR(__xludf.DUMMYFUNCTION("GOOGLETRANSLATE(D2431,""EN"",""JA"")"),"死亡時の入院指標")</f>
        <v>死亡時の入院指標</v>
      </c>
      <c r="I2431" s="1" t="str">
        <f>IFERROR(__xludf.DUMMYFUNCTION("GOOGLETRANSLATE(E2431,""EN"",""JA"")"),"死亡時の入院指標")</f>
        <v>死亡時の入院指標</v>
      </c>
      <c r="J2431" s="1" t="str">
        <f>IFERROR(__xludf.DUMMYFUNCTION("GOOGLETRANSLATE(F2431,""EN"",""JA"")"),"死亡時に対象者が入院していたかどうかを示します。")</f>
        <v>死亡時に対象者が入院していたかどうかを示します。</v>
      </c>
      <c r="K2431" s="1" t="str">
        <f>IFERROR(__xludf.DUMMYFUNCTION("GOOGLETRANSLATE(G2431,""EN"",""JA"")"),"死亡時の入院指標")</f>
        <v>死亡時の入院指標</v>
      </c>
    </row>
    <row r="2432" ht="13.5" customHeight="1">
      <c r="A2432" s="1" t="s">
        <v>11</v>
      </c>
      <c r="B2432" s="1" t="s">
        <v>12291</v>
      </c>
      <c r="C2432" s="1" t="s">
        <v>12292</v>
      </c>
      <c r="D2432" s="1" t="s">
        <v>12293</v>
      </c>
      <c r="E2432" s="1" t="s">
        <v>12293</v>
      </c>
      <c r="F2432" s="1" t="s">
        <v>12294</v>
      </c>
      <c r="G2432" s="1" t="s">
        <v>12295</v>
      </c>
      <c r="H2432" s="1" t="str">
        <f>IFERROR(__xludf.DUMMYFUNCTION("GOOGLETRANSLATE(D2432,""EN"",""JA"")"),"ヒートショックプロテイン70")</f>
        <v>ヒートショックプロテイン70</v>
      </c>
      <c r="I2432" s="1" t="str">
        <f>IFERROR(__xludf.DUMMYFUNCTION("GOOGLETRANSLATE(E2432,""EN"",""JA"")"),"ヒートショックプロテイン70")</f>
        <v>ヒートショックプロテイン70</v>
      </c>
      <c r="J2432" s="1" t="str">
        <f>IFERROR(__xludf.DUMMYFUNCTION("GOOGLETRANSLATE(F2432,""EN"",""JA"")"),"生物標本中の熱ショックタンパク質 70 の測定。")</f>
        <v>生物標本中の熱ショックタンパク質 70 の測定。</v>
      </c>
      <c r="K2432" s="1" t="str">
        <f>IFERROR(__xludf.DUMMYFUNCTION("GOOGLETRANSLATE(G2432,""EN"",""JA"")"),"ヒートショックプロテイン70測定")</f>
        <v>ヒートショックプロテイン70測定</v>
      </c>
    </row>
    <row r="2433" ht="13.5" customHeight="1">
      <c r="A2433" s="1" t="s">
        <v>11</v>
      </c>
      <c r="B2433" s="1" t="s">
        <v>12296</v>
      </c>
      <c r="C2433" s="1" t="s">
        <v>12297</v>
      </c>
      <c r="D2433" s="1" t="s">
        <v>12298</v>
      </c>
      <c r="E2433" s="1" t="s">
        <v>12298</v>
      </c>
      <c r="F2433" s="1" t="s">
        <v>12299</v>
      </c>
      <c r="G2433" s="1" t="s">
        <v>12300</v>
      </c>
      <c r="H2433" s="1" t="str">
        <f>IFERROR(__xludf.DUMMYFUNCTION("GOOGLETRANSLATE(D2433,""EN"",""JA"")"),"ヒートショックプロテイン90アルファ")</f>
        <v>ヒートショックプロテイン90アルファ</v>
      </c>
      <c r="I2433" s="1" t="str">
        <f>IFERROR(__xludf.DUMMYFUNCTION("GOOGLETRANSLATE(E2433,""EN"",""JA"")"),"ヒートショックプロテイン90アルファ")</f>
        <v>ヒートショックプロテイン90アルファ</v>
      </c>
      <c r="J2433" s="1" t="str">
        <f>IFERROR(__xludf.DUMMYFUNCTION("GOOGLETRANSLATE(F2433,""EN"",""JA"")"),"生物標本中の熱ショックタンパク質 90 アルファの測定。")</f>
        <v>生物標本中の熱ショックタンパク質 90 アルファの測定。</v>
      </c>
      <c r="K2433" s="1" t="str">
        <f>IFERROR(__xludf.DUMMYFUNCTION("GOOGLETRANSLATE(G2433,""EN"",""JA"")"),"ヒートショックプロテイン90アルファ測定")</f>
        <v>ヒートショックプロテイン90アルファ測定</v>
      </c>
    </row>
    <row r="2434" ht="13.5" customHeight="1">
      <c r="A2434" s="1" t="s">
        <v>160</v>
      </c>
      <c r="B2434" s="1" t="s">
        <v>12301</v>
      </c>
      <c r="C2434" s="1" t="s">
        <v>12302</v>
      </c>
      <c r="D2434" s="1" t="s">
        <v>12303</v>
      </c>
      <c r="E2434" s="1" t="s">
        <v>12304</v>
      </c>
      <c r="F2434" s="1" t="s">
        <v>12305</v>
      </c>
      <c r="G2434" s="1" t="s">
        <v>12306</v>
      </c>
      <c r="H2434" s="1" t="str">
        <f>IFERROR(__xludf.DUMMYFUNCTION("GOOGLETRANSLATE(D2434,""EN"",""JA"")"),"妊娠合併症のため入院")</f>
        <v>妊娠合併症のため入院</v>
      </c>
      <c r="I2434" s="1" t="str">
        <f>IFERROR(__xludf.DUMMYFUNCTION("GOOGLETRANSLATE(E2434,""EN"",""JA"")"),"妊娠合併症指標による入院; 妊娠合併症指標による入院")</f>
        <v>妊娠合併症指標による入院; 妊娠合併症指標による入院</v>
      </c>
      <c r="J2434" s="1" t="str">
        <f>IFERROR(__xludf.DUMMYFUNCTION("GOOGLETRANSLATE(F2434,""EN"",""JA"")"),"妊娠合併症により入院したかどうかを示します。")</f>
        <v>妊娠合併症により入院したかどうかを示します。</v>
      </c>
      <c r="K2434" s="1" t="str">
        <f>IFERROR(__xludf.DUMMYFUNCTION("GOOGLETRANSLATE(G2434,""EN"",""JA"")"),"妊娠合併症の指標による入院")</f>
        <v>妊娠合併症の指標による入院</v>
      </c>
    </row>
    <row r="2435" ht="13.5" customHeight="1">
      <c r="A2435" s="1" t="s">
        <v>129</v>
      </c>
      <c r="B2435" s="1" t="s">
        <v>12307</v>
      </c>
      <c r="C2435" s="1" t="s">
        <v>12308</v>
      </c>
      <c r="D2435" s="1" t="s">
        <v>12309</v>
      </c>
      <c r="E2435" s="1" t="s">
        <v>12309</v>
      </c>
      <c r="F2435" s="1" t="s">
        <v>12310</v>
      </c>
      <c r="G2435" s="1" t="s">
        <v>12309</v>
      </c>
      <c r="H2435" s="1" t="str">
        <f>IFERROR(__xludf.DUMMYFUNCTION("GOOGLETRANSLATE(D2435,""EN"",""JA"")"),"年齢別身長パーセンタイル")</f>
        <v>年齢別身長パーセンタイル</v>
      </c>
      <c r="I2435" s="1" t="str">
        <f>IFERROR(__xludf.DUMMYFUNCTION("GOOGLETRANSLATE(E2435,""EN"",""JA"")"),"年齢別身長パーセンタイル")</f>
        <v>年齢別身長パーセンタイル</v>
      </c>
      <c r="J2435" s="1" t="str">
        <f>IFERROR(__xludf.DUMMYFUNCTION("GOOGLETRANSLATE(F2435,""EN"",""JA"")"),"個人の身長と年齢と参照母集団の身長と年齢との関係を評価し、パーセンタイルで表します。")</f>
        <v>個人の身長と年齢と参照母集団の身長と年齢との関係を評価し、パーセンタイルで表します。</v>
      </c>
      <c r="K2435" s="1" t="str">
        <f>IFERROR(__xludf.DUMMYFUNCTION("GOOGLETRANSLATE(G2435,""EN"",""JA"")"),"年齢別身長パーセンタイル")</f>
        <v>年齢別身長パーセンタイル</v>
      </c>
    </row>
    <row r="2436" ht="13.5" customHeight="1">
      <c r="A2436" s="1" t="s">
        <v>67</v>
      </c>
      <c r="B2436" s="1" t="s">
        <v>12311</v>
      </c>
      <c r="C2436" s="1" t="s">
        <v>12312</v>
      </c>
      <c r="D2436" s="1" t="s">
        <v>12313</v>
      </c>
      <c r="E2436" s="1" t="s">
        <v>12313</v>
      </c>
      <c r="F2436" s="1" t="s">
        <v>12314</v>
      </c>
      <c r="G2436" s="1" t="s">
        <v>12315</v>
      </c>
      <c r="H2436" s="1" t="str">
        <f>IFERROR(__xludf.DUMMYFUNCTION("GOOGLETRANSLATE(D2436,""EN"",""JA"")"),"ヒトTリンパ球向性ウイルスRNA")</f>
        <v>ヒトTリンパ球向性ウイルスRNA</v>
      </c>
      <c r="I2436" s="1" t="str">
        <f>IFERROR(__xludf.DUMMYFUNCTION("GOOGLETRANSLATE(E2436,""EN"",""JA"")"),"ヒトTリンパ球向性ウイルスRNA")</f>
        <v>ヒトTリンパ球向性ウイルスRNA</v>
      </c>
      <c r="J2436" s="1" t="str">
        <f>IFERROR(__xludf.DUMMYFUNCTION("GOOGLETRANSLATE(F2436,""EN"",""JA"")"),"生物学的標本中のヒトTリンパ球向性ウイルスRNAの測定。")</f>
        <v>生物学的標本中のヒトTリンパ球向性ウイルスRNAの測定。</v>
      </c>
      <c r="K2436" s="1" t="str">
        <f>IFERROR(__xludf.DUMMYFUNCTION("GOOGLETRANSLATE(G2436,""EN"",""JA"")"),"ヒトTリンパ球向性ウイルスRNA測定")</f>
        <v>ヒトTリンパ球向性ウイルスRNA測定</v>
      </c>
    </row>
    <row r="2437" ht="13.5" customHeight="1">
      <c r="A2437" s="1" t="s">
        <v>870</v>
      </c>
      <c r="B2437" s="1" t="s">
        <v>12316</v>
      </c>
      <c r="C2437" s="1" t="s">
        <v>12317</v>
      </c>
      <c r="D2437" s="1" t="s">
        <v>12318</v>
      </c>
      <c r="E2437" s="1" t="s">
        <v>12318</v>
      </c>
      <c r="F2437" s="1" t="s">
        <v>12319</v>
      </c>
      <c r="G2437" s="1" t="s">
        <v>12318</v>
      </c>
      <c r="H2437" s="1" t="str">
        <f>IFERROR(__xludf.DUMMYFUNCTION("GOOGLETRANSLATE(D2437,""EN"",""JA"")"),"半分の最高気温")</f>
        <v>半分の最高気温</v>
      </c>
      <c r="I2437" s="1" t="str">
        <f>IFERROR(__xludf.DUMMYFUNCTION("GOOGLETRANSLATE(E2437,""EN"",""JA"")"),"半分の最高気温")</f>
        <v>半分の最高気温</v>
      </c>
      <c r="J2437" s="1" t="str">
        <f>IFERROR(__xludf.DUMMYFUNCTION("GOOGLETRANSLATE(F2437,""EN"",""JA"")"),"投与時間と Tmax の間の中間点の時間。")</f>
        <v>投与時間と Tmax の間の中間点の時間。</v>
      </c>
      <c r="K2437" s="1" t="str">
        <f>IFERROR(__xludf.DUMMYFUNCTION("GOOGLETRANSLATE(G2437,""EN"",""JA"")"),"半分の最高気温")</f>
        <v>半分の最高気温</v>
      </c>
    </row>
    <row r="2438" ht="13.5" customHeight="1">
      <c r="A2438" s="1" t="s">
        <v>201</v>
      </c>
      <c r="B2438" s="1" t="s">
        <v>12320</v>
      </c>
      <c r="C2438" s="1" t="s">
        <v>12321</v>
      </c>
      <c r="D2438" s="1" t="s">
        <v>12322</v>
      </c>
      <c r="E2438" s="1" t="s">
        <v>12322</v>
      </c>
      <c r="F2438" s="1" t="s">
        <v>12323</v>
      </c>
      <c r="G2438" s="1" t="s">
        <v>12324</v>
      </c>
      <c r="H2438" s="1" t="str">
        <f>IFERROR(__xludf.DUMMYFUNCTION("GOOGLETRANSLATE(D2438,""EN"",""JA"")"),"異好性抗体")</f>
        <v>異好性抗体</v>
      </c>
      <c r="I2438" s="1" t="str">
        <f>IFERROR(__xludf.DUMMYFUNCTION("GOOGLETRANSLATE(E2438,""EN"",""JA"")"),"異好性抗体")</f>
        <v>異好性抗体</v>
      </c>
      <c r="J2438" s="1" t="str">
        <f>IFERROR(__xludf.DUMMYFUNCTION("GOOGLETRANSLATE(F2438,""EN"",""JA"")"),"生物学的標本中の異好性抗体の測定。")</f>
        <v>生物学的標本中の異好性抗体の測定。</v>
      </c>
      <c r="K2438" s="1" t="str">
        <f>IFERROR(__xludf.DUMMYFUNCTION("GOOGLETRANSLATE(G2438,""EN"",""JA"")"),"異好性抗体測定")</f>
        <v>異好性抗体測定</v>
      </c>
    </row>
    <row r="2439" ht="13.5" customHeight="1">
      <c r="A2439" s="1" t="s">
        <v>11</v>
      </c>
      <c r="B2439" s="1" t="s">
        <v>12325</v>
      </c>
      <c r="C2439" s="1" t="s">
        <v>12326</v>
      </c>
      <c r="D2439" s="1" t="s">
        <v>12327</v>
      </c>
      <c r="E2439" s="1" t="s">
        <v>12328</v>
      </c>
      <c r="F2439" s="1" t="s">
        <v>12329</v>
      </c>
      <c r="G2439" s="1" t="s">
        <v>12330</v>
      </c>
      <c r="H2439" s="1" t="str">
        <f>IFERROR(__xludf.DUMMYFUNCTION("GOOGLETRANSLATE(D2439,""EN"",""JA"")"),"ハンチンチンタンパク質")</f>
        <v>ハンチンチンタンパク質</v>
      </c>
      <c r="I2439" s="1" t="str">
        <f>IFERROR(__xludf.DUMMYFUNCTION("GOOGLETRANSLATE(E2439,""EN"",""JA"")"),"ハンチンチンタンパク質; 総ハンチンチンタンパク質")</f>
        <v>ハンチンチンタンパク質; 総ハンチンチンタンパク質</v>
      </c>
      <c r="J2439" s="1" t="str">
        <f>IFERROR(__xludf.DUMMYFUNCTION("GOOGLETRANSLATE(F2439,""EN"",""JA"")"),"生物標本中のハンチンチンタンパク質の総量の測定。")</f>
        <v>生物標本中のハンチンチンタンパク質の総量の測定。</v>
      </c>
      <c r="K2439" s="1" t="str">
        <f>IFERROR(__xludf.DUMMYFUNCTION("GOOGLETRANSLATE(G2439,""EN"",""JA"")"),"ハンチンチンタンパク質測定")</f>
        <v>ハンチンチンタンパク質測定</v>
      </c>
    </row>
    <row r="2440" ht="13.5" customHeight="1">
      <c r="A2440" s="1" t="s">
        <v>11</v>
      </c>
      <c r="B2440" s="1" t="s">
        <v>12331</v>
      </c>
      <c r="C2440" s="1" t="s">
        <v>12332</v>
      </c>
      <c r="D2440" s="1" t="s">
        <v>12333</v>
      </c>
      <c r="E2440" s="1" t="s">
        <v>12333</v>
      </c>
      <c r="F2440" s="1" t="s">
        <v>12334</v>
      </c>
      <c r="G2440" s="1" t="s">
        <v>12335</v>
      </c>
      <c r="H2440" s="1" t="str">
        <f>IFERROR(__xludf.DUMMYFUNCTION("GOOGLETRANSLATE(D2440,""EN"",""JA"")"),"ハンチンチンタンパク質変異体")</f>
        <v>ハンチンチンタンパク質変異体</v>
      </c>
      <c r="I2440" s="1" t="str">
        <f>IFERROR(__xludf.DUMMYFUNCTION("GOOGLETRANSLATE(E2440,""EN"",""JA"")"),"ハンチンチンタンパク質変異体")</f>
        <v>ハンチンチンタンパク質変異体</v>
      </c>
      <c r="J2440" s="1" t="str">
        <f>IFERROR(__xludf.DUMMYFUNCTION("GOOGLETRANSLATE(F2440,""EN"",""JA"")"),"生物標本中の変異ハンチンチンタンパク質の測定。")</f>
        <v>生物標本中の変異ハンチンチンタンパク質の測定。</v>
      </c>
      <c r="K2440" s="1" t="str">
        <f>IFERROR(__xludf.DUMMYFUNCTION("GOOGLETRANSLATE(G2440,""EN"",""JA"")"),"変異ハンチンチンタンパク質測定")</f>
        <v>変異ハンチンチンタンパク質測定</v>
      </c>
    </row>
    <row r="2441" ht="13.5" customHeight="1">
      <c r="A2441" s="1" t="s">
        <v>11</v>
      </c>
      <c r="B2441" s="1" t="s">
        <v>12336</v>
      </c>
      <c r="C2441" s="1" t="s">
        <v>12337</v>
      </c>
      <c r="D2441" s="1" t="s">
        <v>12338</v>
      </c>
      <c r="E2441" s="1" t="s">
        <v>12338</v>
      </c>
      <c r="F2441" s="1" t="s">
        <v>12339</v>
      </c>
      <c r="G2441" s="1" t="s">
        <v>12340</v>
      </c>
      <c r="H2441" s="1" t="str">
        <f>IFERROR(__xludf.DUMMYFUNCTION("GOOGLETRANSLATE(D2441,""EN"",""JA"")"),"ハンチンチンタンパク質、野生型")</f>
        <v>ハンチンチンタンパク質、野生型</v>
      </c>
      <c r="I2441" s="1" t="str">
        <f>IFERROR(__xludf.DUMMYFUNCTION("GOOGLETRANSLATE(E2441,""EN"",""JA"")"),"ハンチンチンタンパク質、野生型")</f>
        <v>ハンチンチンタンパク質、野生型</v>
      </c>
      <c r="J2441" s="1" t="str">
        <f>IFERROR(__xludf.DUMMYFUNCTION("GOOGLETRANSLATE(F2441,""EN"",""JA"")"),"生物標本中の野生型ハンチンチンタンパク質の測定。")</f>
        <v>生物標本中の野生型ハンチンチンタンパク質の測定。</v>
      </c>
      <c r="K2441" s="1" t="str">
        <f>IFERROR(__xludf.DUMMYFUNCTION("GOOGLETRANSLATE(G2441,""EN"",""JA"")"),"野生型ハンチンチンタンパク質測定")</f>
        <v>野生型ハンチンチンタンパク質測定</v>
      </c>
    </row>
    <row r="2442" ht="13.5" customHeight="1">
      <c r="A2442" s="1" t="s">
        <v>11</v>
      </c>
      <c r="B2442" s="1" t="s">
        <v>12341</v>
      </c>
      <c r="C2442" s="1" t="s">
        <v>12342</v>
      </c>
      <c r="D2442" s="1" t="s">
        <v>12343</v>
      </c>
      <c r="E2442" s="1" t="s">
        <v>12343</v>
      </c>
      <c r="F2442" s="1" t="s">
        <v>12344</v>
      </c>
      <c r="G2442" s="1" t="s">
        <v>12345</v>
      </c>
      <c r="H2442" s="1" t="str">
        <f>IFERROR(__xludf.DUMMYFUNCTION("GOOGLETRANSLATE(D2442,""EN"",""JA"")"),"ホモバニリン酸")</f>
        <v>ホモバニリン酸</v>
      </c>
      <c r="I2442" s="1" t="str">
        <f>IFERROR(__xludf.DUMMYFUNCTION("GOOGLETRANSLATE(E2442,""EN"",""JA"")"),"ホモバニリン酸")</f>
        <v>ホモバニリン酸</v>
      </c>
      <c r="J2442" s="1" t="str">
        <f>IFERROR(__xludf.DUMMYFUNCTION("GOOGLETRANSLATE(F2442,""EN"",""JA"")"),"生物標本中のホモバニリン酸代謝物の測定。")</f>
        <v>生物標本中のホモバニリン酸代謝物の測定。</v>
      </c>
      <c r="K2442" s="1" t="str">
        <f>IFERROR(__xludf.DUMMYFUNCTION("GOOGLETRANSLATE(G2442,""EN"",""JA"")"),"ホモバニリン酸測定")</f>
        <v>ホモバニリン酸測定</v>
      </c>
    </row>
    <row r="2443" ht="13.5" customHeight="1">
      <c r="A2443" s="1" t="s">
        <v>11</v>
      </c>
      <c r="B2443" s="1" t="s">
        <v>12346</v>
      </c>
      <c r="C2443" s="1" t="s">
        <v>12347</v>
      </c>
      <c r="D2443" s="1" t="s">
        <v>12348</v>
      </c>
      <c r="E2443" s="1" t="s">
        <v>12348</v>
      </c>
      <c r="F2443" s="1" t="s">
        <v>12349</v>
      </c>
      <c r="G2443" s="1" t="s">
        <v>12350</v>
      </c>
      <c r="H2443" s="1" t="str">
        <f>IFERROR(__xludf.DUMMYFUNCTION("GOOGLETRANSLATE(D2443,""EN"",""JA"")"),"11-ヒドロキシアンドロステンジオン")</f>
        <v>11-ヒドロキシアンドロステンジオン</v>
      </c>
      <c r="I2443" s="1" t="str">
        <f>IFERROR(__xludf.DUMMYFUNCTION("GOOGLETRANSLATE(E2443,""EN"",""JA"")"),"11-ヒドロキシアンドロステンジオン")</f>
        <v>11-ヒドロキシアンドロステンジオン</v>
      </c>
      <c r="J2443" s="1" t="str">
        <f>IFERROR(__xludf.DUMMYFUNCTION("GOOGLETRANSLATE(F2443,""EN"",""JA"")"),"生物標本中の 11-ヒドロキシアンドロステンジオンの測定。")</f>
        <v>生物標本中の 11-ヒドロキシアンドロステンジオンの測定。</v>
      </c>
      <c r="K2443" s="1" t="str">
        <f>IFERROR(__xludf.DUMMYFUNCTION("GOOGLETRANSLATE(G2443,""EN"",""JA"")"),"11-ヒドロキシアンドロステンジオンの測定")</f>
        <v>11-ヒドロキシアンドロステンジオンの測定</v>
      </c>
    </row>
    <row r="2444" ht="13.5" customHeight="1">
      <c r="A2444" s="1" t="s">
        <v>11</v>
      </c>
      <c r="B2444" s="1" t="s">
        <v>12351</v>
      </c>
      <c r="C2444" s="1" t="s">
        <v>12352</v>
      </c>
      <c r="D2444" s="1" t="s">
        <v>12353</v>
      </c>
      <c r="E2444" s="1" t="s">
        <v>12353</v>
      </c>
      <c r="F2444" s="1" t="s">
        <v>12354</v>
      </c>
      <c r="G2444" s="1" t="s">
        <v>12355</v>
      </c>
      <c r="H2444" s="1" t="str">
        <f>IFERROR(__xludf.DUMMYFUNCTION("GOOGLETRANSLATE(D2444,""EN"",""JA"")"),"11-ヒドロキシアンドロステロン")</f>
        <v>11-ヒドロキシアンドロステロン</v>
      </c>
      <c r="I2444" s="1" t="str">
        <f>IFERROR(__xludf.DUMMYFUNCTION("GOOGLETRANSLATE(E2444,""EN"",""JA"")"),"11-ヒドロキシアンドロステロン")</f>
        <v>11-ヒドロキシアンドロステロン</v>
      </c>
      <c r="J2444" s="1" t="str">
        <f>IFERROR(__xludf.DUMMYFUNCTION("GOOGLETRANSLATE(F2444,""EN"",""JA"")"),"生物標本中の 11-ヒドロキシアンドロステロンの測定。")</f>
        <v>生物標本中の 11-ヒドロキシアンドロステロンの測定。</v>
      </c>
      <c r="K2444" s="1" t="str">
        <f>IFERROR(__xludf.DUMMYFUNCTION("GOOGLETRANSLATE(G2444,""EN"",""JA"")"),"11-ヒドロキシアンドロステロン測定")</f>
        <v>11-ヒドロキシアンドロステロン測定</v>
      </c>
    </row>
    <row r="2445" ht="13.5" customHeight="1">
      <c r="A2445" s="1" t="s">
        <v>11</v>
      </c>
      <c r="B2445" s="1" t="s">
        <v>12356</v>
      </c>
      <c r="C2445" s="1" t="s">
        <v>12357</v>
      </c>
      <c r="D2445" s="1" t="s">
        <v>12358</v>
      </c>
      <c r="E2445" s="1" t="s">
        <v>12359</v>
      </c>
      <c r="F2445" s="1" t="s">
        <v>12360</v>
      </c>
      <c r="G2445" s="1" t="s">
        <v>12361</v>
      </c>
      <c r="H2445" s="1" t="str">
        <f>IFERROR(__xludf.DUMMYFUNCTION("GOOGLETRANSLATE(D2445,""EN"",""JA"")"),"ヒドロキシブプロピオン")</f>
        <v>ヒドロキシブプロピオン</v>
      </c>
      <c r="I2445" s="1" t="str">
        <f>IFERROR(__xludf.DUMMYFUNCTION("GOOGLETRANSLATE(E2445,""EN"",""JA"")"),"6-ヒドロキシブプロピオン; BW 306U; ヒドロキシブプロピオン")</f>
        <v>6-ヒドロキシブプロピオン; BW 306U; ヒドロキシブプロピオン</v>
      </c>
      <c r="J2445" s="1" t="str">
        <f>IFERROR(__xludf.DUMMYFUNCTION("GOOGLETRANSLATE(F2445,""EN"",""JA"")"),"生物標本中のヒドロキシブプロピオンの測定。")</f>
        <v>生物標本中のヒドロキシブプロピオンの測定。</v>
      </c>
      <c r="K2445" s="1" t="str">
        <f>IFERROR(__xludf.DUMMYFUNCTION("GOOGLETRANSLATE(G2445,""EN"",""JA"")"),"ヒドロキシブプロピオン測定")</f>
        <v>ヒドロキシブプロピオン測定</v>
      </c>
    </row>
    <row r="2446" ht="13.5" customHeight="1">
      <c r="A2446" s="1" t="s">
        <v>11</v>
      </c>
      <c r="B2446" s="1" t="s">
        <v>12362</v>
      </c>
      <c r="C2446" s="1" t="s">
        <v>12363</v>
      </c>
      <c r="D2446" s="1" t="s">
        <v>12364</v>
      </c>
      <c r="E2446" s="1" t="s">
        <v>12365</v>
      </c>
      <c r="F2446" s="1" t="s">
        <v>12366</v>
      </c>
      <c r="G2446" s="1" t="s">
        <v>12367</v>
      </c>
      <c r="H2446" s="1" t="str">
        <f>IFERROR(__xludf.DUMMYFUNCTION("GOOGLETRANSLATE(D2446,""EN"",""JA"")"),"17-ヒドロキシコルチコステロイド")</f>
        <v>17-ヒドロキシコルチコステロイド</v>
      </c>
      <c r="I2446" s="1" t="str">
        <f>IFERROR(__xludf.DUMMYFUNCTION("GOOGLETRANSLATE(E2446,""EN"",""JA"")"),"17-ヒドロキシコルチコイド; 17-ヒドロキシコルチコステロイド; 17-ヒドロキシコルチコステロイド")</f>
        <v>17-ヒドロキシコルチコイド; 17-ヒドロキシコルチコステロイド; 17-ヒドロキシコルチコステロイド</v>
      </c>
      <c r="J2446" s="1" t="str">
        <f>IFERROR(__xludf.DUMMYFUNCTION("GOOGLETRANSLATE(F2446,""EN"",""JA"")"),"生物標本中の 17-ヒドロキシコルチコステロイドの測定。")</f>
        <v>生物標本中の 17-ヒドロキシコルチコステロイドの測定。</v>
      </c>
      <c r="K2446" s="1" t="str">
        <f>IFERROR(__xludf.DUMMYFUNCTION("GOOGLETRANSLATE(G2446,""EN"",""JA"")"),"17-ヒドロキシコルチコステロイド測定")</f>
        <v>17-ヒドロキシコルチコステロイド測定</v>
      </c>
    </row>
    <row r="2447" ht="13.5" customHeight="1">
      <c r="A2447" s="1" t="s">
        <v>11</v>
      </c>
      <c r="B2447" s="1" t="s">
        <v>12368</v>
      </c>
      <c r="C2447" s="1" t="s">
        <v>12369</v>
      </c>
      <c r="D2447" s="1" t="s">
        <v>12370</v>
      </c>
      <c r="E2447" s="1" t="s">
        <v>12370</v>
      </c>
      <c r="F2447" s="1" t="s">
        <v>12371</v>
      </c>
      <c r="G2447" s="1" t="s">
        <v>12372</v>
      </c>
      <c r="H2447" s="1" t="str">
        <f>IFERROR(__xludf.DUMMYFUNCTION("GOOGLETRANSLATE(D2447,""EN"",""JA"")"),"18-ヒドロキシコルチゾール")</f>
        <v>18-ヒドロキシコルチゾール</v>
      </c>
      <c r="I2447" s="1" t="str">
        <f>IFERROR(__xludf.DUMMYFUNCTION("GOOGLETRANSLATE(E2447,""EN"",""JA"")"),"18-ヒドロキシコルチゾール")</f>
        <v>18-ヒドロキシコルチゾール</v>
      </c>
      <c r="J2447" s="1" t="str">
        <f>IFERROR(__xludf.DUMMYFUNCTION("GOOGLETRANSLATE(F2447,""EN"",""JA"")"),"生物標本中の 18-ヒドロキシコルチゾールの測定。")</f>
        <v>生物標本中の 18-ヒドロキシコルチゾールの測定。</v>
      </c>
      <c r="K2447" s="1" t="str">
        <f>IFERROR(__xludf.DUMMYFUNCTION("GOOGLETRANSLATE(G2447,""EN"",""JA"")"),"18-ヒドロキシコルチゾール測定")</f>
        <v>18-ヒドロキシコルチゾール測定</v>
      </c>
    </row>
    <row r="2448" ht="13.5" customHeight="1">
      <c r="A2448" s="1" t="s">
        <v>11</v>
      </c>
      <c r="B2448" s="1" t="s">
        <v>12373</v>
      </c>
      <c r="C2448" s="1" t="s">
        <v>12374</v>
      </c>
      <c r="D2448" s="1" t="s">
        <v>12375</v>
      </c>
      <c r="E2448" s="1" t="s">
        <v>12375</v>
      </c>
      <c r="F2448" s="1" t="s">
        <v>12376</v>
      </c>
      <c r="G2448" s="1" t="s">
        <v>12377</v>
      </c>
      <c r="H2448" s="1" t="str">
        <f>IFERROR(__xludf.DUMMYFUNCTION("GOOGLETRANSLATE(D2448,""EN"",""JA"")"),"18-ヒドロキシコルチコステロン")</f>
        <v>18-ヒドロキシコルチコステロン</v>
      </c>
      <c r="I2448" s="1" t="str">
        <f>IFERROR(__xludf.DUMMYFUNCTION("GOOGLETRANSLATE(E2448,""EN"",""JA"")"),"18-ヒドロキシコルチコステロン")</f>
        <v>18-ヒドロキシコルチコステロン</v>
      </c>
      <c r="J2448" s="1" t="str">
        <f>IFERROR(__xludf.DUMMYFUNCTION("GOOGLETRANSLATE(F2448,""EN"",""JA"")"),"生物標本中の 18-ヒドロキシコルチコステロンの測定。")</f>
        <v>生物標本中の 18-ヒドロキシコルチコステロンの測定。</v>
      </c>
      <c r="K2448" s="1" t="str">
        <f>IFERROR(__xludf.DUMMYFUNCTION("GOOGLETRANSLATE(G2448,""EN"",""JA"")"),"18-ヒドロキシコルチコステロン測定")</f>
        <v>18-ヒドロキシコルチコステロン測定</v>
      </c>
    </row>
    <row r="2449" ht="13.5" customHeight="1">
      <c r="A2449" s="1" t="s">
        <v>11</v>
      </c>
      <c r="B2449" s="1" t="s">
        <v>12378</v>
      </c>
      <c r="C2449" s="1" t="s">
        <v>12379</v>
      </c>
      <c r="D2449" s="1" t="s">
        <v>12380</v>
      </c>
      <c r="E2449" s="1" t="s">
        <v>12381</v>
      </c>
      <c r="F2449" s="1" t="s">
        <v>12382</v>
      </c>
      <c r="G2449" s="1" t="s">
        <v>12383</v>
      </c>
      <c r="H2449" s="1" t="str">
        <f>IFERROR(__xludf.DUMMYFUNCTION("GOOGLETRANSLATE(D2449,""EN"",""JA"")"),"ヘキサデセノエートCis")</f>
        <v>ヘキサデセノエートCis</v>
      </c>
      <c r="I2449" s="1" t="str">
        <f>IFERROR(__xludf.DUMMYFUNCTION("GOOGLETRANSLATE(E2449,""EN"",""JA"")"),"cis-ヘキサデセン酸; ヘキサデセノアート Cis; ヘキサデセン酸 Cis; サピエン酸")</f>
        <v>cis-ヘキサデセン酸; ヘキサデセノアート Cis; ヘキサデセン酸 Cis; サピエン酸</v>
      </c>
      <c r="J2449" s="1" t="str">
        <f>IFERROR(__xludf.DUMMYFUNCTION("GOOGLETRANSLATE(F2449,""EN"",""JA"")"),"生物標本中のヘキサデセノエート シスの測定。")</f>
        <v>生物標本中のヘキサデセノエート シスの測定。</v>
      </c>
      <c r="K2449" s="1" t="str">
        <f>IFERROR(__xludf.DUMMYFUNCTION("GOOGLETRANSLATE(G2449,""EN"",""JA"")"),"ヘキサデセノエートシス測定")</f>
        <v>ヘキサデセノエートシス測定</v>
      </c>
    </row>
    <row r="2450" ht="13.5" customHeight="1">
      <c r="A2450" s="1" t="s">
        <v>11</v>
      </c>
      <c r="B2450" s="1" t="s">
        <v>12384</v>
      </c>
      <c r="C2450" s="1" t="s">
        <v>12385</v>
      </c>
      <c r="D2450" s="1" t="s">
        <v>12386</v>
      </c>
      <c r="E2450" s="1" t="s">
        <v>12386</v>
      </c>
      <c r="F2450" s="1" t="s">
        <v>12387</v>
      </c>
      <c r="G2450" s="1" t="s">
        <v>12388</v>
      </c>
      <c r="H2450" s="1" t="str">
        <f>IFERROR(__xludf.DUMMYFUNCTION("GOOGLETRANSLATE(D2450,""EN"",""JA"")"),"18-ヒドロキシデオキシコルチコステロン")</f>
        <v>18-ヒドロキシデオキシコルチコステロン</v>
      </c>
      <c r="I2450" s="1" t="str">
        <f>IFERROR(__xludf.DUMMYFUNCTION("GOOGLETRANSLATE(E2450,""EN"",""JA"")"),"18-ヒドロキシデオキシコルチコステロン")</f>
        <v>18-ヒドロキシデオキシコルチコステロン</v>
      </c>
      <c r="J2450" s="1" t="str">
        <f>IFERROR(__xludf.DUMMYFUNCTION("GOOGLETRANSLATE(F2450,""EN"",""JA"")"),"生物標本中の 18-ヒドロキシデオキシコルチコステロンの測定。")</f>
        <v>生物標本中の 18-ヒドロキシデオキシコルチコステロンの測定。</v>
      </c>
      <c r="K2450" s="1" t="str">
        <f>IFERROR(__xludf.DUMMYFUNCTION("GOOGLETRANSLATE(G2450,""EN"",""JA"")"),"18-ヒドロキシデオキシコルチコステロン測定")</f>
        <v>18-ヒドロキシデオキシコルチコステロン測定</v>
      </c>
    </row>
    <row r="2451" ht="13.5" customHeight="1">
      <c r="A2451" s="1" t="s">
        <v>11</v>
      </c>
      <c r="B2451" s="1" t="s">
        <v>12389</v>
      </c>
      <c r="C2451" s="1" t="s">
        <v>12390</v>
      </c>
      <c r="D2451" s="1" t="s">
        <v>12391</v>
      </c>
      <c r="E2451" s="1" t="s">
        <v>12392</v>
      </c>
      <c r="F2451" s="1" t="s">
        <v>12393</v>
      </c>
      <c r="G2451" s="1" t="s">
        <v>12394</v>
      </c>
      <c r="H2451" s="1" t="str">
        <f>IFERROR(__xludf.DUMMYFUNCTION("GOOGLETRANSLATE(D2451,""EN"",""JA"")"),"2-ヒドロキシエチルメルカプツール酸")</f>
        <v>2-ヒドロキシエチルメルカプツール酸</v>
      </c>
      <c r="I2451" s="1" t="str">
        <f>IFERROR(__xludf.DUMMYFUNCTION("GOOGLETRANSLATE(E2451,""EN"",""JA"")"),"2-ヒドロキシエチルメルカプツール酸; 2-ヒドロキシエチルメルカプツール酸; HEMA; N-アセチル-S-(2-ヒドロキシエチル)システイン")</f>
        <v>2-ヒドロキシエチルメルカプツール酸; 2-ヒドロキシエチルメルカプツール酸; HEMA; N-アセチル-S-(2-ヒドロキシエチル)システイン</v>
      </c>
      <c r="J2451" s="1" t="str">
        <f>IFERROR(__xludf.DUMMYFUNCTION("GOOGLETRANSLATE(F2451,""EN"",""JA"")"),"検体中の2-ヒドロキシエチルメルカプツール酸の測定。")</f>
        <v>検体中の2-ヒドロキシエチルメルカプツール酸の測定。</v>
      </c>
      <c r="K2451" s="1" t="str">
        <f>IFERROR(__xludf.DUMMYFUNCTION("GOOGLETRANSLATE(G2451,""EN"",""JA"")"),"2-ヒドロキシエチルメルカプツール酸測定")</f>
        <v>2-ヒドロキシエチルメルカプツール酸測定</v>
      </c>
    </row>
    <row r="2452" ht="13.5" customHeight="1">
      <c r="A2452" s="1" t="s">
        <v>11</v>
      </c>
      <c r="B2452" s="1" t="s">
        <v>12395</v>
      </c>
      <c r="C2452" s="1" t="s">
        <v>12396</v>
      </c>
      <c r="D2452" s="1" t="s">
        <v>12397</v>
      </c>
      <c r="E2452" s="1" t="s">
        <v>12397</v>
      </c>
      <c r="F2452" s="1" t="s">
        <v>12398</v>
      </c>
      <c r="G2452" s="1" t="s">
        <v>12399</v>
      </c>
      <c r="H2452" s="1" t="str">
        <f>IFERROR(__xludf.DUMMYFUNCTION("GOOGLETRANSLATE(D2452,""EN"",""JA"")"),"11-ヒドロキシエチオコラノロン")</f>
        <v>11-ヒドロキシエチオコラノロン</v>
      </c>
      <c r="I2452" s="1" t="str">
        <f>IFERROR(__xludf.DUMMYFUNCTION("GOOGLETRANSLATE(E2452,""EN"",""JA"")"),"11-ヒドロキシエチオコラノロン")</f>
        <v>11-ヒドロキシエチオコラノロン</v>
      </c>
      <c r="J2452" s="1" t="str">
        <f>IFERROR(__xludf.DUMMYFUNCTION("GOOGLETRANSLATE(F2452,""EN"",""JA"")"),"生物標本中の 11-ヒドロキシエチオコラノロンの測定。")</f>
        <v>生物標本中の 11-ヒドロキシエチオコラノロンの測定。</v>
      </c>
      <c r="K2452" s="1" t="str">
        <f>IFERROR(__xludf.DUMMYFUNCTION("GOOGLETRANSLATE(G2452,""EN"",""JA"")"),"11-ヒドロキシエチオコラノロン測定")</f>
        <v>11-ヒドロキシエチオコラノロン測定</v>
      </c>
    </row>
    <row r="2453" ht="13.5" customHeight="1">
      <c r="A2453" s="1" t="s">
        <v>11</v>
      </c>
      <c r="B2453" s="1" t="s">
        <v>12400</v>
      </c>
      <c r="C2453" s="1" t="s">
        <v>12401</v>
      </c>
      <c r="D2453" s="1" t="s">
        <v>12402</v>
      </c>
      <c r="E2453" s="1" t="s">
        <v>12403</v>
      </c>
      <c r="F2453" s="1" t="s">
        <v>12404</v>
      </c>
      <c r="G2453" s="1" t="s">
        <v>12405</v>
      </c>
      <c r="H2453" s="1" t="str">
        <f>IFERROR(__xludf.DUMMYFUNCTION("GOOGLETRANSLATE(D2453,""EN"",""JA"")"),"2-ヒドロキシグルタル酸")</f>
        <v>2-ヒドロキシグルタル酸</v>
      </c>
      <c r="I2453" s="1" t="str">
        <f>IFERROR(__xludf.DUMMYFUNCTION("GOOGLETRANSLATE(E2453,""EN"",""JA"")"),"2-ヒドロキシグルタル酸; 2-ヒドロキシグルタル酸; α-ヒドロキシグルタル酸")</f>
        <v>2-ヒドロキシグルタル酸; 2-ヒドロキシグルタル酸; α-ヒドロキシグルタル酸</v>
      </c>
      <c r="J2453" s="1" t="str">
        <f>IFERROR(__xludf.DUMMYFUNCTION("GOOGLETRANSLATE(F2453,""EN"",""JA"")"),"生物標本中の 2-ヒドロキシグルタル酸の測定。")</f>
        <v>生物標本中の 2-ヒドロキシグルタル酸の測定。</v>
      </c>
      <c r="K2453" s="1" t="str">
        <f>IFERROR(__xludf.DUMMYFUNCTION("GOOGLETRANSLATE(G2453,""EN"",""JA"")"),"2-ヒドロキシグルタル酸測定")</f>
        <v>2-ヒドロキシグルタル酸測定</v>
      </c>
    </row>
    <row r="2454" ht="13.5" customHeight="1">
      <c r="A2454" s="1" t="s">
        <v>11</v>
      </c>
      <c r="B2454" s="1" t="s">
        <v>12406</v>
      </c>
      <c r="C2454" s="1" t="s">
        <v>12407</v>
      </c>
      <c r="D2454" s="1" t="s">
        <v>12408</v>
      </c>
      <c r="E2454" s="1" t="s">
        <v>12409</v>
      </c>
      <c r="F2454" s="1" t="s">
        <v>12410</v>
      </c>
      <c r="G2454" s="1" t="s">
        <v>12411</v>
      </c>
      <c r="H2454" s="1" t="str">
        <f>IFERROR(__xludf.DUMMYFUNCTION("GOOGLETRANSLATE(D2454,""EN"",""JA"")"),"4-ヒドロキシノネナール")</f>
        <v>4-ヒドロキシノネナール</v>
      </c>
      <c r="I2454" s="1" t="str">
        <f>IFERROR(__xludf.DUMMYFUNCTION("GOOGLETRANSLATE(E2454,""EN"",""JA"")"),"4-HNE; 4-ヒドロキシ-2-ノネナール; 4-ヒドロキシノネナール; HNE")</f>
        <v>4-HNE; 4-ヒドロキシ-2-ノネナール; 4-ヒドロキシノネナール; HNE</v>
      </c>
      <c r="J2454" s="1" t="str">
        <f>IFERROR(__xludf.DUMMYFUNCTION("GOOGLETRANSLATE(F2454,""EN"",""JA"")"),"生物標本中の 4-ヒドロキシノネナールの測定。")</f>
        <v>生物標本中の 4-ヒドロキシノネナールの測定。</v>
      </c>
      <c r="K2454" s="1" t="str">
        <f>IFERROR(__xludf.DUMMYFUNCTION("GOOGLETRANSLATE(G2454,""EN"",""JA"")"),"4-ヒドロキシノネナール測定")</f>
        <v>4-ヒドロキシノネナール測定</v>
      </c>
    </row>
    <row r="2455" ht="13.5" customHeight="1">
      <c r="A2455" s="1" t="s">
        <v>11</v>
      </c>
      <c r="B2455" s="1" t="s">
        <v>12412</v>
      </c>
      <c r="C2455" s="1" t="s">
        <v>12413</v>
      </c>
      <c r="D2455" s="1" t="s">
        <v>12414</v>
      </c>
      <c r="E2455" s="1" t="s">
        <v>12414</v>
      </c>
      <c r="F2455" s="1" t="s">
        <v>12415</v>
      </c>
      <c r="G2455" s="1" t="s">
        <v>12416</v>
      </c>
      <c r="H2455" s="1" t="str">
        <f>IFERROR(__xludf.DUMMYFUNCTION("GOOGLETRANSLATE(D2455,""EN"",""JA"")"),"17-ヒドロキシプレグネノロン")</f>
        <v>17-ヒドロキシプレグネノロン</v>
      </c>
      <c r="I2455" s="1" t="str">
        <f>IFERROR(__xludf.DUMMYFUNCTION("GOOGLETRANSLATE(E2455,""EN"",""JA"")"),"17-ヒドロキシプレグネノロン")</f>
        <v>17-ヒドロキシプレグネノロン</v>
      </c>
      <c r="J2455" s="1" t="str">
        <f>IFERROR(__xludf.DUMMYFUNCTION("GOOGLETRANSLATE(F2455,""EN"",""JA"")"),"生物標本中の 17-ヒドロキシプレグネノロンの測定。")</f>
        <v>生物標本中の 17-ヒドロキシプレグネノロンの測定。</v>
      </c>
      <c r="K2455" s="1" t="str">
        <f>IFERROR(__xludf.DUMMYFUNCTION("GOOGLETRANSLATE(G2455,""EN"",""JA"")"),"17-ヒドロキシプレグネノロン測定")</f>
        <v>17-ヒドロキシプレグネノロン測定</v>
      </c>
    </row>
    <row r="2456" ht="13.5" customHeight="1">
      <c r="A2456" s="1" t="s">
        <v>11</v>
      </c>
      <c r="B2456" s="1" t="s">
        <v>12417</v>
      </c>
      <c r="C2456" s="1" t="s">
        <v>12418</v>
      </c>
      <c r="D2456" s="1" t="s">
        <v>12419</v>
      </c>
      <c r="E2456" s="1" t="s">
        <v>12419</v>
      </c>
      <c r="F2456" s="1" t="s">
        <v>12420</v>
      </c>
      <c r="G2456" s="1" t="s">
        <v>12421</v>
      </c>
      <c r="H2456" s="1" t="str">
        <f>IFERROR(__xludf.DUMMYFUNCTION("GOOGLETRANSLATE(D2456,""EN"",""JA"")"),"ヒアルロン酸")</f>
        <v>ヒアルロン酸</v>
      </c>
      <c r="I2456" s="1" t="str">
        <f>IFERROR(__xludf.DUMMYFUNCTION("GOOGLETRANSLATE(E2456,""EN"",""JA"")"),"ヒアルロン酸")</f>
        <v>ヒアルロン酸</v>
      </c>
      <c r="J2456" s="1" t="str">
        <f>IFERROR(__xludf.DUMMYFUNCTION("GOOGLETRANSLATE(F2456,""EN"",""JA"")"),"生物標本中のヒアルロン酸の測定。")</f>
        <v>生物標本中のヒアルロン酸の測定。</v>
      </c>
      <c r="K2456" s="1" t="str">
        <f>IFERROR(__xludf.DUMMYFUNCTION("GOOGLETRANSLATE(G2456,""EN"",""JA"")"),"ヒアルロン酸測定")</f>
        <v>ヒアルロン酸測定</v>
      </c>
    </row>
    <row r="2457" ht="13.5" customHeight="1">
      <c r="A2457" s="1" t="s">
        <v>11</v>
      </c>
      <c r="B2457" s="1" t="s">
        <v>12422</v>
      </c>
      <c r="C2457" s="1" t="s">
        <v>12423</v>
      </c>
      <c r="D2457" s="1" t="s">
        <v>12424</v>
      </c>
      <c r="E2457" s="1" t="s">
        <v>12424</v>
      </c>
      <c r="F2457" s="1" t="s">
        <v>12425</v>
      </c>
      <c r="G2457" s="1" t="s">
        <v>12426</v>
      </c>
      <c r="H2457" s="1" t="str">
        <f>IFERROR(__xludf.DUMMYFUNCTION("GOOGLETRANSLATE(D2457,""EN"",""JA"")"),"ヒドロコドン")</f>
        <v>ヒドロコドン</v>
      </c>
      <c r="I2457" s="1" t="str">
        <f>IFERROR(__xludf.DUMMYFUNCTION("GOOGLETRANSLATE(E2457,""EN"",""JA"")"),"ヒドロコドン")</f>
        <v>ヒドロコドン</v>
      </c>
      <c r="J2457" s="1" t="str">
        <f>IFERROR(__xludf.DUMMYFUNCTION("GOOGLETRANSLATE(F2457,""EN"",""JA"")"),"生物学的標本中に存在するヒドロコドンの測定。")</f>
        <v>生物学的標本中に存在するヒドロコドンの測定。</v>
      </c>
      <c r="K2457" s="1" t="str">
        <f>IFERROR(__xludf.DUMMYFUNCTION("GOOGLETRANSLATE(G2457,""EN"",""JA"")"),"ヒドロコドン測定")</f>
        <v>ヒドロコドン測定</v>
      </c>
    </row>
    <row r="2458" ht="13.5" customHeight="1">
      <c r="A2458" s="1" t="s">
        <v>11</v>
      </c>
      <c r="B2458" s="1" t="s">
        <v>12427</v>
      </c>
      <c r="C2458" s="1" t="s">
        <v>12428</v>
      </c>
      <c r="D2458" s="1" t="s">
        <v>12429</v>
      </c>
      <c r="E2458" s="1" t="s">
        <v>12430</v>
      </c>
      <c r="F2458" s="1" t="s">
        <v>12431</v>
      </c>
      <c r="G2458" s="1" t="s">
        <v>12432</v>
      </c>
      <c r="H2458" s="1" t="str">
        <f>IFERROR(__xludf.DUMMYFUNCTION("GOOGLETRANSLATE(D2458,""EN"",""JA"")"),"1-ヒドロキシミダゾラム")</f>
        <v>1-ヒドロキシミダゾラム</v>
      </c>
      <c r="I2458" s="1" t="str">
        <f>IFERROR(__xludf.DUMMYFUNCTION("GOOGLETRANSLATE(E2458,""EN"",""JA"")"),"1'-ヒドロキシミダゾラム; 1-ヒドロキシミダゾラム; アルファ-ヒドロキシミダゾラム")</f>
        <v>1'-ヒドロキシミダゾラム; 1-ヒドロキシミダゾラム; アルファ-ヒドロキシミダゾラム</v>
      </c>
      <c r="J2458" s="1" t="str">
        <f>IFERROR(__xludf.DUMMYFUNCTION("GOOGLETRANSLATE(F2458,""EN"",""JA"")"),"生物標本中に存在する 1-ヒドロキシミダゾラムの測定。")</f>
        <v>生物標本中に存在する 1-ヒドロキシミダゾラムの測定。</v>
      </c>
      <c r="K2458" s="1" t="str">
        <f>IFERROR(__xludf.DUMMYFUNCTION("GOOGLETRANSLATE(G2458,""EN"",""JA"")"),"1-ヒドロキシミダゾラム測定")</f>
        <v>1-ヒドロキシミダゾラム測定</v>
      </c>
    </row>
    <row r="2459" ht="13.5" customHeight="1">
      <c r="A2459" s="1" t="s">
        <v>11</v>
      </c>
      <c r="B2459" s="1" t="s">
        <v>12433</v>
      </c>
      <c r="C2459" s="1" t="s">
        <v>12434</v>
      </c>
      <c r="D2459" s="1" t="s">
        <v>12435</v>
      </c>
      <c r="E2459" s="1" t="s">
        <v>12435</v>
      </c>
      <c r="F2459" s="1" t="s">
        <v>12436</v>
      </c>
      <c r="G2459" s="1" t="s">
        <v>12437</v>
      </c>
      <c r="H2459" s="1" t="str">
        <f>IFERROR(__xludf.DUMMYFUNCTION("GOOGLETRANSLATE(D2459,""EN"",""JA"")"),"4-ヒドロキシミダゾラム")</f>
        <v>4-ヒドロキシミダゾラム</v>
      </c>
      <c r="I2459" s="1" t="str">
        <f>IFERROR(__xludf.DUMMYFUNCTION("GOOGLETRANSLATE(E2459,""EN"",""JA"")"),"4-ヒドロキシミダゾラム")</f>
        <v>4-ヒドロキシミダゾラム</v>
      </c>
      <c r="J2459" s="1" t="str">
        <f>IFERROR(__xludf.DUMMYFUNCTION("GOOGLETRANSLATE(F2459,""EN"",""JA"")"),"生物標本中に存在する 4-ヒドロキシミダゾラムの測定。")</f>
        <v>生物標本中に存在する 4-ヒドロキシミダゾラムの測定。</v>
      </c>
      <c r="K2459" s="1" t="str">
        <f>IFERROR(__xludf.DUMMYFUNCTION("GOOGLETRANSLATE(G2459,""EN"",""JA"")"),"4-ヒドロキシミダゾラム測定")</f>
        <v>4-ヒドロキシミダゾラム測定</v>
      </c>
    </row>
    <row r="2460" ht="13.5" customHeight="1">
      <c r="A2460" s="1" t="s">
        <v>11</v>
      </c>
      <c r="B2460" s="1" t="s">
        <v>12438</v>
      </c>
      <c r="C2460" s="1" t="s">
        <v>12439</v>
      </c>
      <c r="D2460" s="1" t="s">
        <v>12440</v>
      </c>
      <c r="E2460" s="1" t="s">
        <v>12440</v>
      </c>
      <c r="F2460" s="1" t="s">
        <v>12441</v>
      </c>
      <c r="G2460" s="1" t="s">
        <v>12442</v>
      </c>
      <c r="H2460" s="1" t="str">
        <f>IFERROR(__xludf.DUMMYFUNCTION("GOOGLETRANSLATE(D2460,""EN"",""JA"")"),"ヒドロモルフォン")</f>
        <v>ヒドロモルフォン</v>
      </c>
      <c r="I2460" s="1" t="str">
        <f>IFERROR(__xludf.DUMMYFUNCTION("GOOGLETRANSLATE(E2460,""EN"",""JA"")"),"ヒドロモルフォン")</f>
        <v>ヒドロモルフォン</v>
      </c>
      <c r="J2460" s="1" t="str">
        <f>IFERROR(__xludf.DUMMYFUNCTION("GOOGLETRANSLATE(F2460,""EN"",""JA"")"),"生物学的標本中に存在するヒドロモルフォンの測定。")</f>
        <v>生物学的標本中に存在するヒドロモルフォンの測定。</v>
      </c>
      <c r="K2460" s="1" t="str">
        <f>IFERROR(__xludf.DUMMYFUNCTION("GOOGLETRANSLATE(G2460,""EN"",""JA"")"),"ヒドロモルフォン測定")</f>
        <v>ヒドロモルフォン測定</v>
      </c>
    </row>
    <row r="2461" ht="13.5" customHeight="1">
      <c r="A2461" s="1" t="s">
        <v>11</v>
      </c>
      <c r="B2461" s="1" t="s">
        <v>12443</v>
      </c>
      <c r="C2461" s="1" t="s">
        <v>12444</v>
      </c>
      <c r="D2461" s="1" t="s">
        <v>12445</v>
      </c>
      <c r="E2461" s="1" t="s">
        <v>12445</v>
      </c>
      <c r="F2461" s="1" t="s">
        <v>12446</v>
      </c>
      <c r="G2461" s="1" t="s">
        <v>12447</v>
      </c>
      <c r="H2461" s="1" t="str">
        <f>IFERROR(__xludf.DUMMYFUNCTION("GOOGLETRANSLATE(D2461,""EN"",""JA"")"),"水素")</f>
        <v>水素</v>
      </c>
      <c r="I2461" s="1" t="str">
        <f>IFERROR(__xludf.DUMMYFUNCTION("GOOGLETRANSLATE(E2461,""EN"",""JA"")"),"水素")</f>
        <v>水素</v>
      </c>
      <c r="J2461" s="1" t="str">
        <f>IFERROR(__xludf.DUMMYFUNCTION("GOOGLETRANSLATE(F2461,""EN"",""JA"")"),"生物標本中の水素の測定。")</f>
        <v>生物標本中の水素の測定。</v>
      </c>
      <c r="K2461" s="1" t="str">
        <f>IFERROR(__xludf.DUMMYFUNCTION("GOOGLETRANSLATE(G2461,""EN"",""JA"")"),"水素測定")</f>
        <v>水素測定</v>
      </c>
    </row>
    <row r="2462" ht="13.5" customHeight="1">
      <c r="A2462" s="1" t="s">
        <v>11</v>
      </c>
      <c r="B2462" s="1" t="s">
        <v>12448</v>
      </c>
      <c r="C2462" s="1" t="s">
        <v>12449</v>
      </c>
      <c r="D2462" s="1" t="s">
        <v>12450</v>
      </c>
      <c r="E2462" s="1" t="s">
        <v>12451</v>
      </c>
      <c r="F2462" s="1" t="s">
        <v>12452</v>
      </c>
      <c r="G2462" s="1" t="s">
        <v>12453</v>
      </c>
      <c r="H2462" s="1" t="str">
        <f>IFERROR(__xludf.DUMMYFUNCTION("GOOGLETRANSLATE(D2462,""EN"",""JA"")"),"色素過剰")</f>
        <v>色素過剰</v>
      </c>
      <c r="I2462" s="1" t="str">
        <f>IFERROR(__xludf.DUMMYFUNCTION("GOOGLETRANSLATE(E2462,""EN"",""JA"")"),"高色素性赤血球")</f>
        <v>高色素性赤血球</v>
      </c>
      <c r="J2462" s="1" t="str">
        <f>IFERROR(__xludf.DUMMYFUNCTION("GOOGLETRANSLATE(F2462,""EN"",""JA"")"),"ヘモグロビン濃度が上昇した赤血球の存在率の測定値。")</f>
        <v>ヘモグロビン濃度が上昇した赤血球の存在率の測定値。</v>
      </c>
      <c r="K2462" s="1" t="str">
        <f>IFERROR(__xludf.DUMMYFUNCTION("GOOGLETRANSLATE(G2462,""EN"",""JA"")"),"濃色測定")</f>
        <v>濃色測定</v>
      </c>
    </row>
    <row r="2463" ht="13.5" customHeight="1">
      <c r="A2463" s="1" t="s">
        <v>1997</v>
      </c>
      <c r="B2463" s="1" t="s">
        <v>12454</v>
      </c>
      <c r="C2463" s="1" t="s">
        <v>12455</v>
      </c>
      <c r="D2463" s="1" t="s">
        <v>12456</v>
      </c>
      <c r="E2463" s="1" t="s">
        <v>12456</v>
      </c>
      <c r="F2463" s="1" t="s">
        <v>12457</v>
      </c>
      <c r="G2463" s="1" t="s">
        <v>12456</v>
      </c>
      <c r="H2463" s="1" t="str">
        <f>IFERROR(__xludf.DUMMYFUNCTION("GOOGLETRANSLATE(D2463,""EN"",""JA"")"),"充血グレード")</f>
        <v>充血グレード</v>
      </c>
      <c r="I2463" s="1" t="str">
        <f>IFERROR(__xludf.DUMMYFUNCTION("GOOGLETRANSLATE(E2463,""EN"",""JA"")"),"充血グレード")</f>
        <v>充血グレード</v>
      </c>
      <c r="J2463" s="1" t="str">
        <f>IFERROR(__xludf.DUMMYFUNCTION("GOOGLETRANSLATE(F2463,""EN"",""JA"")"),"充血を評価するスケール上の位置。")</f>
        <v>充血を評価するスケール上の位置。</v>
      </c>
      <c r="K2463" s="1" t="str">
        <f>IFERROR(__xludf.DUMMYFUNCTION("GOOGLETRANSLATE(G2463,""EN"",""JA"")"),"充血グレード")</f>
        <v>充血グレード</v>
      </c>
    </row>
    <row r="2464" ht="13.5" customHeight="1">
      <c r="A2464" s="1" t="s">
        <v>1997</v>
      </c>
      <c r="B2464" s="1" t="s">
        <v>12458</v>
      </c>
      <c r="C2464" s="1" t="s">
        <v>12459</v>
      </c>
      <c r="D2464" s="1" t="s">
        <v>12460</v>
      </c>
      <c r="E2464" s="1" t="s">
        <v>12460</v>
      </c>
      <c r="F2464" s="1" t="s">
        <v>12461</v>
      </c>
      <c r="G2464" s="1" t="s">
        <v>12462</v>
      </c>
      <c r="H2464" s="1" t="str">
        <f>IFERROR(__xludf.DUMMYFUNCTION("GOOGLETRANSLATE(D2464,""EN"",""JA"")"),"充血")</f>
        <v>充血</v>
      </c>
      <c r="I2464" s="1" t="str">
        <f>IFERROR(__xludf.DUMMYFUNCTION("GOOGLETRANSLATE(E2464,""EN"",""JA"")"),"充血")</f>
        <v>充血</v>
      </c>
      <c r="J2464" s="1" t="str">
        <f>IFERROR(__xludf.DUMMYFUNCTION("GOOGLETRANSLATE(F2464,""EN"",""JA"")"),"生物学的標本または部位における充血（血液量の増加）の評価。")</f>
        <v>生物学的標本または部位における充血（血液量の増加）の評価。</v>
      </c>
      <c r="K2464" s="1" t="str">
        <f>IFERROR(__xludf.DUMMYFUNCTION("GOOGLETRANSLATE(G2464,""EN"",""JA"")"),"充血評価")</f>
        <v>充血評価</v>
      </c>
    </row>
    <row r="2465" ht="13.5" customHeight="1">
      <c r="A2465" s="1" t="s">
        <v>11</v>
      </c>
      <c r="B2465" s="1" t="s">
        <v>12463</v>
      </c>
      <c r="C2465" s="1" t="s">
        <v>12464</v>
      </c>
      <c r="D2465" s="1" t="s">
        <v>12465</v>
      </c>
      <c r="E2465" s="1" t="s">
        <v>12466</v>
      </c>
      <c r="F2465" s="1" t="s">
        <v>12467</v>
      </c>
      <c r="G2465" s="1" t="s">
        <v>12468</v>
      </c>
      <c r="H2465" s="1" t="str">
        <f>IFERROR(__xludf.DUMMYFUNCTION("GOOGLETRANSLATE(D2465,""EN"",""JA"")"),"17-ヒドロキシプロゲステロン")</f>
        <v>17-ヒドロキシプロゲステロン</v>
      </c>
      <c r="I2465" s="1" t="str">
        <f>IFERROR(__xludf.DUMMYFUNCTION("GOOGLETRANSLATE(E2465,""EN"",""JA"")"),"17-ヒドロキシプロゲステロン; 17-OHP")</f>
        <v>17-ヒドロキシプロゲステロン; 17-OHP</v>
      </c>
      <c r="J2465" s="1" t="str">
        <f>IFERROR(__xludf.DUMMYFUNCTION("GOOGLETRANSLATE(F2465,""EN"",""JA"")"),"生物学的標本中の 17-ヒドロキシプロゲステロンの測定。")</f>
        <v>生物学的標本中の 17-ヒドロキシプロゲステロンの測定。</v>
      </c>
      <c r="K2465" s="1" t="str">
        <f>IFERROR(__xludf.DUMMYFUNCTION("GOOGLETRANSLATE(G2465,""EN"",""JA"")"),"17-ヒドロキシプロゲステロン測定")</f>
        <v>17-ヒドロキシプロゲステロン測定</v>
      </c>
    </row>
    <row r="2466" ht="13.5" customHeight="1">
      <c r="A2466" s="1" t="s">
        <v>11</v>
      </c>
      <c r="B2466" s="1" t="s">
        <v>12469</v>
      </c>
      <c r="C2466" s="1" t="s">
        <v>12470</v>
      </c>
      <c r="D2466" s="1" t="s">
        <v>12471</v>
      </c>
      <c r="E2466" s="1" t="s">
        <v>12471</v>
      </c>
      <c r="F2466" s="1" t="s">
        <v>12472</v>
      </c>
      <c r="G2466" s="1" t="s">
        <v>12473</v>
      </c>
      <c r="H2466" s="1" t="str">
        <f>IFERROR(__xludf.DUMMYFUNCTION("GOOGLETRANSLATE(D2466,""EN"",""JA"")"),"ヒドロキシプロリン")</f>
        <v>ヒドロキシプロリン</v>
      </c>
      <c r="I2466" s="1" t="str">
        <f>IFERROR(__xludf.DUMMYFUNCTION("GOOGLETRANSLATE(E2466,""EN"",""JA"")"),"ヒドロキシプロリン")</f>
        <v>ヒドロキシプロリン</v>
      </c>
      <c r="J2466" s="1" t="str">
        <f>IFERROR(__xludf.DUMMYFUNCTION("GOOGLETRANSLATE(F2466,""EN"",""JA"")"),"生物標本中の総ヒドロキシプロリンの測定。")</f>
        <v>生物標本中の総ヒドロキシプロリンの測定。</v>
      </c>
      <c r="K2466" s="1" t="str">
        <f>IFERROR(__xludf.DUMMYFUNCTION("GOOGLETRANSLATE(G2466,""EN"",""JA"")"),"ヒドロキシプロリン測定")</f>
        <v>ヒドロキシプロリン測定</v>
      </c>
    </row>
    <row r="2467" ht="13.5" customHeight="1">
      <c r="A2467" s="1" t="s">
        <v>11</v>
      </c>
      <c r="B2467" s="1" t="s">
        <v>12474</v>
      </c>
      <c r="C2467" s="1" t="s">
        <v>12475</v>
      </c>
      <c r="D2467" s="1" t="s">
        <v>12476</v>
      </c>
      <c r="E2467" s="1" t="s">
        <v>12476</v>
      </c>
      <c r="F2467" s="1" t="s">
        <v>12477</v>
      </c>
      <c r="G2467" s="1" t="s">
        <v>12478</v>
      </c>
      <c r="H2467" s="1" t="str">
        <f>IFERROR(__xludf.DUMMYFUNCTION("GOOGLETRANSLATE(D2467,""EN"",""JA"")"),"超分節細胞")</f>
        <v>超分節細胞</v>
      </c>
      <c r="I2467" s="1" t="str">
        <f>IFERROR(__xludf.DUMMYFUNCTION("GOOGLETRANSLATE(E2467,""EN"",""JA"")"),"超分節細胞")</f>
        <v>超分節細胞</v>
      </c>
      <c r="J2467" s="1" t="str">
        <f>IFERROR(__xludf.DUMMYFUNCTION("GOOGLETRANSLATE(F2467,""EN"",""JA"")"),"生物標本中の過分節化（5 つ以上の葉）好中球の測定。")</f>
        <v>生物標本中の過分節化（5 つ以上の葉）好中球の測定。</v>
      </c>
      <c r="K2467" s="1" t="str">
        <f>IFERROR(__xludf.DUMMYFUNCTION("GOOGLETRANSLATE(G2467,""EN"",""JA"")"),"超分節好中球測定")</f>
        <v>超分節好中球測定</v>
      </c>
    </row>
    <row r="2468" ht="13.5" customHeight="1">
      <c r="A2468" s="1" t="s">
        <v>11</v>
      </c>
      <c r="B2468" s="1" t="s">
        <v>12479</v>
      </c>
      <c r="C2468" s="1" t="s">
        <v>12480</v>
      </c>
      <c r="D2468" s="1" t="s">
        <v>12481</v>
      </c>
      <c r="E2468" s="1" t="s">
        <v>12481</v>
      </c>
      <c r="F2468" s="1" t="s">
        <v>12482</v>
      </c>
      <c r="G2468" s="1" t="s">
        <v>12483</v>
      </c>
      <c r="H2468" s="1" t="str">
        <f>IFERROR(__xludf.DUMMYFUNCTION("GOOGLETRANSLATE(D2468,""EN"",""JA"")"),"ヒドロキシリジン")</f>
        <v>ヒドロキシリジン</v>
      </c>
      <c r="I2468" s="1" t="str">
        <f>IFERROR(__xludf.DUMMYFUNCTION("GOOGLETRANSLATE(E2468,""EN"",""JA"")"),"ヒドロキシリジン")</f>
        <v>ヒドロキシリジン</v>
      </c>
      <c r="J2468" s="1" t="str">
        <f>IFERROR(__xludf.DUMMYFUNCTION("GOOGLETRANSLATE(F2468,""EN"",""JA"")"),"生物標本中のヒドロキシリジンの測定。")</f>
        <v>生物標本中のヒドロキシリジンの測定。</v>
      </c>
      <c r="K2468" s="1" t="str">
        <f>IFERROR(__xludf.DUMMYFUNCTION("GOOGLETRANSLATE(G2468,""EN"",""JA"")"),"ヒドロキシリジン測定")</f>
        <v>ヒドロキシリジン測定</v>
      </c>
    </row>
    <row r="2469" ht="13.5" customHeight="1">
      <c r="A2469" s="1" t="s">
        <v>11</v>
      </c>
      <c r="B2469" s="1" t="s">
        <v>12484</v>
      </c>
      <c r="C2469" s="1" t="s">
        <v>12485</v>
      </c>
      <c r="D2469" s="1" t="s">
        <v>12486</v>
      </c>
      <c r="E2469" s="1" t="s">
        <v>12487</v>
      </c>
      <c r="F2469" s="1" t="s">
        <v>12488</v>
      </c>
      <c r="G2469" s="1" t="s">
        <v>12489</v>
      </c>
      <c r="H2469" s="1" t="str">
        <f>IFERROR(__xludf.DUMMYFUNCTION("GOOGLETRANSLATE(D2469,""EN"",""JA"")"),"5-ヒドロキシインドール酢酸排泄率")</f>
        <v>5-ヒドロキシインドール酢酸排泄率</v>
      </c>
      <c r="I2469" s="1" t="str">
        <f>IFERROR(__xludf.DUMMYFUNCTION("GOOGLETRANSLATE(E2469,""EN"",""JA"")"),"5-ヒドロキシインドール酢酸排泄率; 5-ヒドロキシインドール酢酸排泄率")</f>
        <v>5-ヒドロキシインドール酢酸排泄率; 5-ヒドロキシインドール酢酸排泄率</v>
      </c>
      <c r="J2469" s="1" t="str">
        <f>IFERROR(__xludf.DUMMYFUNCTION("GOOGLETRANSLATE(F2469,""EN"",""JA"")"),"定義された時間（例：1 時間）にわたって生物学的標本中に排出される 5-ヒドロキシインドール酢酸の量を測定します。")</f>
        <v>定義された時間（例：1 時間）にわたって生物学的標本中に排出される 5-ヒドロキシインドール酢酸の量を測定します。</v>
      </c>
      <c r="K2469" s="1" t="str">
        <f>IFERROR(__xludf.DUMMYFUNCTION("GOOGLETRANSLATE(G2469,""EN"",""JA"")"),"5-ヒドロキシインドール酢酸排泄率")</f>
        <v>5-ヒドロキシインドール酢酸排泄率</v>
      </c>
    </row>
    <row r="2470" ht="13.5" customHeight="1">
      <c r="A2470" s="1" t="s">
        <v>11</v>
      </c>
      <c r="B2470" s="1" t="s">
        <v>12490</v>
      </c>
      <c r="C2470" s="1" t="s">
        <v>12491</v>
      </c>
      <c r="D2470" s="1" t="s">
        <v>12492</v>
      </c>
      <c r="E2470" s="1" t="s">
        <v>12493</v>
      </c>
      <c r="F2470" s="1" t="s">
        <v>12494</v>
      </c>
      <c r="G2470" s="1" t="s">
        <v>12495</v>
      </c>
      <c r="H2470" s="1" t="str">
        <f>IFERROR(__xludf.DUMMYFUNCTION("GOOGLETRANSLATE(D2470,""EN"",""JA"")"),"5-ヒドロキシインドール酢酸")</f>
        <v>5-ヒドロキシインドール酢酸</v>
      </c>
      <c r="I2470" s="1" t="str">
        <f>IFERROR(__xludf.DUMMYFUNCTION("GOOGLETRANSLATE(E2470,""EN"",""JA"")"),"5-ヒドロキシインドール酢酸; 5-ヒドロキシインドール酢酸")</f>
        <v>5-ヒドロキシインドール酢酸; 5-ヒドロキシインドール酢酸</v>
      </c>
      <c r="J2470" s="1" t="str">
        <f>IFERROR(__xludf.DUMMYFUNCTION("GOOGLETRANSLATE(F2470,""EN"",""JA"")"),"生物標本中の 5-ヒドロキシインドール酢酸の測定。")</f>
        <v>生物標本中の 5-ヒドロキシインドール酢酸の測定。</v>
      </c>
      <c r="K2470" s="1" t="str">
        <f>IFERROR(__xludf.DUMMYFUNCTION("GOOGLETRANSLATE(G2470,""EN"",""JA"")"),"5-ヒドロキシインドール酢酸測定")</f>
        <v>5-ヒドロキシインドール酢酸測定</v>
      </c>
    </row>
    <row r="2471" ht="13.5" customHeight="1">
      <c r="A2471" s="1" t="s">
        <v>11</v>
      </c>
      <c r="B2471" s="1" t="s">
        <v>12496</v>
      </c>
      <c r="C2471" s="1" t="s">
        <v>12497</v>
      </c>
      <c r="D2471" s="1" t="s">
        <v>12498</v>
      </c>
      <c r="E2471" s="1" t="s">
        <v>12498</v>
      </c>
      <c r="F2471" s="1" t="s">
        <v>12499</v>
      </c>
      <c r="G2471" s="1" t="s">
        <v>12500</v>
      </c>
      <c r="H2471" s="1" t="str">
        <f>IFERROR(__xludf.DUMMYFUNCTION("GOOGLETRANSLATE(D2471,""EN"",""JA"")"),"5-ヒドロキシインドール酢酸/クレアチニン")</f>
        <v>5-ヒドロキシインドール酢酸/クレアチニン</v>
      </c>
      <c r="I2471" s="1" t="str">
        <f>IFERROR(__xludf.DUMMYFUNCTION("GOOGLETRANSLATE(E2471,""EN"",""JA"")"),"5-ヒドロキシインドール酢酸/クレアチニン")</f>
        <v>5-ヒドロキシインドール酢酸/クレアチニン</v>
      </c>
      <c r="J2471" s="1" t="str">
        <f>IFERROR(__xludf.DUMMYFUNCTION("GOOGLETRANSLATE(F2471,""EN"",""JA"")"),"生物標本中の 5-ヒドロキシインドール酢酸とクレアチニンの相対測定値 (比率またはパーセンテージ)。")</f>
        <v>生物標本中の 5-ヒドロキシインドール酢酸とクレアチニンの相対測定値 (比率またはパーセンテージ)。</v>
      </c>
      <c r="K2471" s="1" t="str">
        <f>IFERROR(__xludf.DUMMYFUNCTION("GOOGLETRANSLATE(G2471,""EN"",""JA"")"),"5-ヒドロキシインドール酢酸とクレアチニンの比測定")</f>
        <v>5-ヒドロキシインドール酢酸とクレアチニンの比測定</v>
      </c>
    </row>
    <row r="2472" ht="13.5" customHeight="1">
      <c r="A2472" s="1" t="s">
        <v>11</v>
      </c>
      <c r="B2472" s="1" t="s">
        <v>12501</v>
      </c>
      <c r="C2472" s="1" t="s">
        <v>12502</v>
      </c>
      <c r="D2472" s="1" t="s">
        <v>12503</v>
      </c>
      <c r="E2472" s="1" t="s">
        <v>12503</v>
      </c>
      <c r="F2472" s="1" t="s">
        <v>12504</v>
      </c>
      <c r="G2472" s="1" t="s">
        <v>12505</v>
      </c>
      <c r="H2472" s="1" t="str">
        <f>IFERROR(__xludf.DUMMYFUNCTION("GOOGLETRANSLATE(D2472,""EN"",""JA"")"),"IDLアポリポタンパク質B")</f>
        <v>IDLアポリポタンパク質B</v>
      </c>
      <c r="I2472" s="1" t="str">
        <f>IFERROR(__xludf.DUMMYFUNCTION("GOOGLETRANSLATE(E2472,""EN"",""JA"")"),"IDLアポリポタンパク質B")</f>
        <v>IDLアポリポタンパク質B</v>
      </c>
      <c r="J2472" s="1" t="str">
        <f>IFERROR(__xludf.DUMMYFUNCTION("GOOGLETRANSLATE(F2472,""EN"",""JA"")"),"生物標本の中間密度リポタンパク質分画中のアポリポタンパク質 B の測定。")</f>
        <v>生物標本の中間密度リポタンパク質分画中のアポリポタンパク質 B の測定。</v>
      </c>
      <c r="K2472" s="1" t="str">
        <f>IFERROR(__xludf.DUMMYFUNCTION("GOOGLETRANSLATE(G2472,""EN"",""JA"")"),"IDLアポリポタンパク質B測定")</f>
        <v>IDLアポリポタンパク質B測定</v>
      </c>
    </row>
    <row r="2473" ht="13.5" customHeight="1">
      <c r="A2473" s="1" t="s">
        <v>11</v>
      </c>
      <c r="B2473" s="1" t="s">
        <v>12506</v>
      </c>
      <c r="C2473" s="1" t="s">
        <v>12507</v>
      </c>
      <c r="D2473" s="1" t="s">
        <v>12508</v>
      </c>
      <c r="E2473" s="1" t="s">
        <v>12509</v>
      </c>
      <c r="F2473" s="1" t="s">
        <v>12510</v>
      </c>
      <c r="G2473" s="1" t="s">
        <v>12511</v>
      </c>
      <c r="H2473" s="1" t="str">
        <f>IFERROR(__xludf.DUMMYFUNCTION("GOOGLETRANSLATE(D2473,""EN"",""JA"")"),"膵島アミロイドポリペプチド")</f>
        <v>膵島アミロイドポリペプチド</v>
      </c>
      <c r="I2473" s="1" t="str">
        <f>IFERROR(__xludf.DUMMYFUNCTION("GOOGLETRANSLATE(E2473,""EN"",""JA"")"),"アミリン; 膵島アミロイドポリペプチド")</f>
        <v>アミリン; 膵島アミロイドポリペプチド</v>
      </c>
      <c r="J2473" s="1" t="str">
        <f>IFERROR(__xludf.DUMMYFUNCTION("GOOGLETRANSLATE(F2473,""EN"",""JA"")"),"生物標本中の膵島アミロイドポリペプチドの測定。")</f>
        <v>生物標本中の膵島アミロイドポリペプチドの測定。</v>
      </c>
      <c r="K2473" s="1" t="str">
        <f>IFERROR(__xludf.DUMMYFUNCTION("GOOGLETRANSLATE(G2473,""EN"",""JA"")"),"膵島アミロイドポリペプチド測定")</f>
        <v>膵島アミロイドポリペプチド測定</v>
      </c>
    </row>
    <row r="2474" ht="13.5" customHeight="1">
      <c r="A2474" s="1" t="s">
        <v>11</v>
      </c>
      <c r="B2474" s="1" t="s">
        <v>12512</v>
      </c>
      <c r="C2474" s="1" t="s">
        <v>12513</v>
      </c>
      <c r="D2474" s="1" t="s">
        <v>12514</v>
      </c>
      <c r="E2474" s="1" t="s">
        <v>12514</v>
      </c>
      <c r="F2474" s="1" t="s">
        <v>12515</v>
      </c>
      <c r="G2474" s="1" t="s">
        <v>12514</v>
      </c>
      <c r="H2474" s="1" t="str">
        <f>IFERROR(__xludf.DUMMYFUNCTION("GOOGLETRANSLATE(D2474,""EN"",""JA"")"),"総鉄結合能")</f>
        <v>総鉄結合能</v>
      </c>
      <c r="I2474" s="1" t="str">
        <f>IFERROR(__xludf.DUMMYFUNCTION("GOOGLETRANSLATE(E2474,""EN"",""JA"")"),"総鉄結合能")</f>
        <v>総鉄結合能</v>
      </c>
      <c r="J2474" s="1" t="str">
        <f>IFERROR(__xludf.DUMMYFUNCTION("GOOGLETRANSLATE(F2474,""EN"",""JA"")"),"生物標本内のトランスフェリンを完全に飽和させるために必要な鉄の量の測定値。")</f>
        <v>生物標本内のトランスフェリンを完全に飽和させるために必要な鉄の量の測定値。</v>
      </c>
      <c r="K2474" s="1" t="str">
        <f>IFERROR(__xludf.DUMMYFUNCTION("GOOGLETRANSLATE(G2474,""EN"",""JA"")"),"総鉄結合能")</f>
        <v>総鉄結合能</v>
      </c>
    </row>
    <row r="2475" ht="13.5" customHeight="1">
      <c r="A2475" s="1" t="s">
        <v>11</v>
      </c>
      <c r="B2475" s="1" t="s">
        <v>12516</v>
      </c>
      <c r="C2475" s="1" t="s">
        <v>12517</v>
      </c>
      <c r="D2475" s="1" t="s">
        <v>12518</v>
      </c>
      <c r="E2475" s="1" t="s">
        <v>12518</v>
      </c>
      <c r="F2475" s="1" t="s">
        <v>12519</v>
      </c>
      <c r="G2475" s="1" t="s">
        <v>12520</v>
      </c>
      <c r="H2475" s="1" t="str">
        <f>IFERROR(__xludf.DUMMYFUNCTION("GOOGLETRANSLATE(D2475,""EN"",""JA"")"),"不飽和鉄結合能")</f>
        <v>不飽和鉄結合能</v>
      </c>
      <c r="I2475" s="1" t="str">
        <f>IFERROR(__xludf.DUMMYFUNCTION("GOOGLETRANSLATE(E2475,""EN"",""JA"")"),"不飽和鉄結合能")</f>
        <v>不飽和鉄結合能</v>
      </c>
      <c r="J2475" s="1" t="str">
        <f>IFERROR(__xludf.DUMMYFUNCTION("GOOGLETRANSLATE(F2475,""EN"",""JA"")"),"生物標本中の不飽和鉄の結合能力の測定。")</f>
        <v>生物標本中の不飽和鉄の結合能力の測定。</v>
      </c>
      <c r="K2475" s="1" t="str">
        <f>IFERROR(__xludf.DUMMYFUNCTION("GOOGLETRANSLATE(G2475,""EN"",""JA"")"),"不飽和鉄結合能測定")</f>
        <v>不飽和鉄結合能測定</v>
      </c>
    </row>
    <row r="2476" ht="13.5" customHeight="1">
      <c r="A2476" s="1" t="s">
        <v>580</v>
      </c>
      <c r="B2476" s="1" t="s">
        <v>12521</v>
      </c>
      <c r="C2476" s="1" t="s">
        <v>12522</v>
      </c>
      <c r="D2476" s="1" t="s">
        <v>12523</v>
      </c>
      <c r="E2476" s="1" t="s">
        <v>12523</v>
      </c>
      <c r="F2476" s="1" t="s">
        <v>12524</v>
      </c>
      <c r="G2476" s="1" t="s">
        <v>12523</v>
      </c>
      <c r="H2476" s="1" t="str">
        <f>IFERROR(__xludf.DUMMYFUNCTION("GOOGLETRANSLATE(D2476,""EN"",""JA"")"),"吸気容量")</f>
        <v>吸気容量</v>
      </c>
      <c r="I2476" s="1" t="str">
        <f>IFERROR(__xludf.DUMMYFUNCTION("GOOGLETRANSLATE(E2476,""EN"",""JA"")"),"吸気容量")</f>
        <v>吸気容量</v>
      </c>
      <c r="J2476" s="1" t="str">
        <f>IFERROR(__xludf.DUMMYFUNCTION("GOOGLETRANSLATE(F2476,""EN"",""JA"")"),"被験者が呼気後に肺に吸い込むことができる空気の最大量（IRV と TV の合計）。")</f>
        <v>被験者が呼気後に肺に吸い込むことができる空気の最大量（IRV と TV の合計）。</v>
      </c>
      <c r="K2476" s="1" t="str">
        <f>IFERROR(__xludf.DUMMYFUNCTION("GOOGLETRANSLATE(G2476,""EN"",""JA"")"),"吸気容量")</f>
        <v>吸気容量</v>
      </c>
    </row>
    <row r="2477" ht="13.5" customHeight="1">
      <c r="A2477" s="1" t="s">
        <v>11</v>
      </c>
      <c r="B2477" s="1" t="s">
        <v>12525</v>
      </c>
      <c r="C2477" s="1" t="s">
        <v>12526</v>
      </c>
      <c r="D2477" s="1" t="s">
        <v>12527</v>
      </c>
      <c r="E2477" s="1" t="s">
        <v>12527</v>
      </c>
      <c r="F2477" s="1" t="s">
        <v>12528</v>
      </c>
      <c r="G2477" s="1" t="s">
        <v>12529</v>
      </c>
      <c r="H2477" s="1" t="str">
        <f>IFERROR(__xludf.DUMMYFUNCTION("GOOGLETRANSLATE(D2477,""EN"",""JA"")"),"膵島細胞512抗原")</f>
        <v>膵島細胞512抗原</v>
      </c>
      <c r="I2477" s="1" t="str">
        <f>IFERROR(__xludf.DUMMYFUNCTION("GOOGLETRANSLATE(E2477,""EN"",""JA"")"),"膵島細胞512抗原")</f>
        <v>膵島細胞512抗原</v>
      </c>
      <c r="J2477" s="1" t="str">
        <f>IFERROR(__xludf.DUMMYFUNCTION("GOOGLETRANSLATE(F2477,""EN"",""JA"")"),"生物標本中の膵島細胞 512 抗原の測定。")</f>
        <v>生物標本中の膵島細胞 512 抗原の測定。</v>
      </c>
      <c r="K2477" s="1" t="str">
        <f>IFERROR(__xludf.DUMMYFUNCTION("GOOGLETRANSLATE(G2477,""EN"",""JA"")"),"膵島細胞512抗原測定")</f>
        <v>膵島細胞512抗原測定</v>
      </c>
    </row>
    <row r="2478" ht="13.5" customHeight="1">
      <c r="A2478" s="1" t="s">
        <v>11</v>
      </c>
      <c r="B2478" s="1" t="s">
        <v>12530</v>
      </c>
      <c r="C2478" s="1" t="s">
        <v>12531</v>
      </c>
      <c r="D2478" s="1" t="s">
        <v>12532</v>
      </c>
      <c r="E2478" s="1" t="s">
        <v>12532</v>
      </c>
      <c r="F2478" s="1" t="s">
        <v>12533</v>
      </c>
      <c r="G2478" s="1" t="s">
        <v>12534</v>
      </c>
      <c r="H2478" s="1" t="str">
        <f>IFERROR(__xludf.DUMMYFUNCTION("GOOGLETRANSLATE(D2478,""EN"",""JA"")"),"細胞間接着分子")</f>
        <v>細胞間接着分子</v>
      </c>
      <c r="I2478" s="1" t="str">
        <f>IFERROR(__xludf.DUMMYFUNCTION("GOOGLETRANSLATE(E2478,""EN"",""JA"")"),"細胞間接着分子")</f>
        <v>細胞間接着分子</v>
      </c>
      <c r="J2478" s="1" t="str">
        <f>IFERROR(__xludf.DUMMYFUNCTION("GOOGLETRANSLATE(F2478,""EN"",""JA"")"),"生物標本中の細胞間接着分子の総量の測定。")</f>
        <v>生物標本中の細胞間接着分子の総量の測定。</v>
      </c>
      <c r="K2478" s="1" t="str">
        <f>IFERROR(__xludf.DUMMYFUNCTION("GOOGLETRANSLATE(G2478,""EN"",""JA"")"),"細胞間接着分子測定")</f>
        <v>細胞間接着分子測定</v>
      </c>
    </row>
    <row r="2479" ht="13.5" customHeight="1">
      <c r="A2479" s="1" t="s">
        <v>134</v>
      </c>
      <c r="B2479" s="1" t="s">
        <v>12535</v>
      </c>
      <c r="C2479" s="1" t="s">
        <v>12536</v>
      </c>
      <c r="D2479" s="1" t="s">
        <v>12537</v>
      </c>
      <c r="E2479" s="1" t="s">
        <v>12538</v>
      </c>
      <c r="F2479" s="1" t="s">
        <v>12539</v>
      </c>
      <c r="G2479" s="1" t="s">
        <v>12540</v>
      </c>
      <c r="H2479" s="1" t="str">
        <f>IFERROR(__xludf.DUMMYFUNCTION("GOOGLETRANSLATE(D2479,""EN"",""JA"")"),"細胞間接着分子1")</f>
        <v>細胞間接着分子1</v>
      </c>
      <c r="I2479" s="1" t="str">
        <f>IFERROR(__xludf.DUMMYFUNCTION("GOOGLETRANSLATE(E2479,""EN"",""JA"")"),"細胞間接着分子1; 可溶性CD54")</f>
        <v>細胞間接着分子1; 可溶性CD54</v>
      </c>
      <c r="J2479" s="1" t="str">
        <f>IFERROR(__xludf.DUMMYFUNCTION("GOOGLETRANSLATE(F2479,""EN"",""JA"")"),"生物標本中の細胞間接着分子 1 の測定。")</f>
        <v>生物標本中の細胞間接着分子 1 の測定。</v>
      </c>
      <c r="K2479" s="1" t="str">
        <f>IFERROR(__xludf.DUMMYFUNCTION("GOOGLETRANSLATE(G2479,""EN"",""JA"")"),"細胞間接着分子1の測定")</f>
        <v>細胞間接着分子1の測定</v>
      </c>
    </row>
    <row r="2480" ht="13.5" customHeight="1">
      <c r="A2480" s="1" t="s">
        <v>11</v>
      </c>
      <c r="B2480" s="1" t="s">
        <v>12535</v>
      </c>
      <c r="C2480" s="1" t="s">
        <v>12536</v>
      </c>
      <c r="D2480" s="1" t="s">
        <v>12537</v>
      </c>
      <c r="E2480" s="1" t="s">
        <v>12538</v>
      </c>
      <c r="F2480" s="1" t="s">
        <v>12539</v>
      </c>
      <c r="G2480" s="1" t="s">
        <v>12540</v>
      </c>
      <c r="H2480" s="1" t="str">
        <f>IFERROR(__xludf.DUMMYFUNCTION("GOOGLETRANSLATE(D2480,""EN"",""JA"")"),"細胞間接着分子1")</f>
        <v>細胞間接着分子1</v>
      </c>
      <c r="I2480" s="1" t="str">
        <f>IFERROR(__xludf.DUMMYFUNCTION("GOOGLETRANSLATE(E2480,""EN"",""JA"")"),"細胞間接着分子1; 可溶性CD54")</f>
        <v>細胞間接着分子1; 可溶性CD54</v>
      </c>
      <c r="J2480" s="1" t="str">
        <f>IFERROR(__xludf.DUMMYFUNCTION("GOOGLETRANSLATE(F2480,""EN"",""JA"")"),"生物標本中の細胞間接着分子 1 の測定。")</f>
        <v>生物標本中の細胞間接着分子 1 の測定。</v>
      </c>
      <c r="K2480" s="1" t="str">
        <f>IFERROR(__xludf.DUMMYFUNCTION("GOOGLETRANSLATE(G2480,""EN"",""JA"")"),"細胞間接着分子1の測定")</f>
        <v>細胞間接着分子1の測定</v>
      </c>
    </row>
    <row r="2481" ht="13.5" customHeight="1">
      <c r="A2481" s="1" t="s">
        <v>11</v>
      </c>
      <c r="B2481" s="1" t="s">
        <v>12541</v>
      </c>
      <c r="C2481" s="1" t="s">
        <v>12542</v>
      </c>
      <c r="D2481" s="1" t="s">
        <v>12543</v>
      </c>
      <c r="E2481" s="1" t="s">
        <v>12543</v>
      </c>
      <c r="F2481" s="1" t="s">
        <v>12544</v>
      </c>
      <c r="G2481" s="1" t="s">
        <v>12545</v>
      </c>
      <c r="H2481" s="1" t="str">
        <f>IFERROR(__xludf.DUMMYFUNCTION("GOOGLETRANSLATE(D2481,""EN"",""JA"")"),"細胞間接着分子3")</f>
        <v>細胞間接着分子3</v>
      </c>
      <c r="I2481" s="1" t="str">
        <f>IFERROR(__xludf.DUMMYFUNCTION("GOOGLETRANSLATE(E2481,""EN"",""JA"")"),"細胞間接着分子3")</f>
        <v>細胞間接着分子3</v>
      </c>
      <c r="J2481" s="1" t="str">
        <f>IFERROR(__xludf.DUMMYFUNCTION("GOOGLETRANSLATE(F2481,""EN"",""JA"")"),"生物標本中の細胞間接着分子3の測定。")</f>
        <v>生物標本中の細胞間接着分子3の測定。</v>
      </c>
      <c r="K2481" s="1" t="str">
        <f>IFERROR(__xludf.DUMMYFUNCTION("GOOGLETRANSLATE(G2481,""EN"",""JA"")"),"細胞間接着分子3の測定")</f>
        <v>細胞間接着分子3の測定</v>
      </c>
    </row>
    <row r="2482" ht="13.5" customHeight="1">
      <c r="A2482" s="1" t="s">
        <v>11</v>
      </c>
      <c r="B2482" s="1" t="s">
        <v>12546</v>
      </c>
      <c r="C2482" s="1" t="s">
        <v>12547</v>
      </c>
      <c r="D2482" s="1" t="s">
        <v>12548</v>
      </c>
      <c r="E2482" s="1" t="s">
        <v>12548</v>
      </c>
      <c r="F2482" s="1" t="s">
        <v>12549</v>
      </c>
      <c r="G2482" s="1" t="s">
        <v>12550</v>
      </c>
      <c r="H2482" s="1" t="str">
        <f>IFERROR(__xludf.DUMMYFUNCTION("GOOGLETRANSLATE(D2482,""EN"",""JA"")"),"インドシアニングリーン")</f>
        <v>インドシアニングリーン</v>
      </c>
      <c r="I2482" s="1" t="str">
        <f>IFERROR(__xludf.DUMMYFUNCTION("GOOGLETRANSLATE(E2482,""EN"",""JA"")"),"インドシアニングリーン")</f>
        <v>インドシアニングリーン</v>
      </c>
      <c r="J2482" s="1" t="str">
        <f>IFERROR(__xludf.DUMMYFUNCTION("GOOGLETRANSLATE(F2482,""EN"",""JA"")"),"生物標本中のインドシアニングリーンの測定。")</f>
        <v>生物標本中のインドシアニングリーンの測定。</v>
      </c>
      <c r="K2482" s="1" t="str">
        <f>IFERROR(__xludf.DUMMYFUNCTION("GOOGLETRANSLATE(G2482,""EN"",""JA"")"),"インドシアニングリーン測定")</f>
        <v>インドシアニングリーン測定</v>
      </c>
    </row>
    <row r="2483" ht="13.5" customHeight="1">
      <c r="A2483" s="1" t="s">
        <v>11</v>
      </c>
      <c r="B2483" s="1" t="s">
        <v>12551</v>
      </c>
      <c r="C2483" s="1" t="s">
        <v>12552</v>
      </c>
      <c r="D2483" s="1" t="s">
        <v>12553</v>
      </c>
      <c r="E2483" s="1" t="s">
        <v>12553</v>
      </c>
      <c r="F2483" s="1" t="s">
        <v>12554</v>
      </c>
      <c r="G2483" s="1" t="s">
        <v>12555</v>
      </c>
      <c r="H2483" s="1" t="str">
        <f>IFERROR(__xludf.DUMMYFUNCTION("GOOGLETRANSLATE(D2483,""EN"",""JA"")"),"インドシアニングリーンクリアランス")</f>
        <v>インドシアニングリーンクリアランス</v>
      </c>
      <c r="I2483" s="1" t="str">
        <f>IFERROR(__xludf.DUMMYFUNCTION("GOOGLETRANSLATE(E2483,""EN"",""JA"")"),"インドシアニングリーンクリアランス")</f>
        <v>インドシアニングリーンクリアランス</v>
      </c>
      <c r="J2483" s="1" t="str">
        <f>IFERROR(__xludf.DUMMYFUNCTION("GOOGLETRANSLATE(F2483,""EN"",""JA"")"),"指定された時間単位（例：1 分）に排泄によってインドシアニングリーンが除去される血清または血漿の量の測定値。")</f>
        <v>指定された時間単位（例：1 分）に排泄によってインドシアニングリーンが除去される血清または血漿の量の測定値。</v>
      </c>
      <c r="K2483" s="1" t="str">
        <f>IFERROR(__xludf.DUMMYFUNCTION("GOOGLETRANSLATE(G2483,""EN"",""JA"")"),"インドシアニングリーンクリアランス測定")</f>
        <v>インドシアニングリーンクリアランス測定</v>
      </c>
    </row>
    <row r="2484" ht="13.5" customHeight="1">
      <c r="A2484" s="1" t="s">
        <v>7009</v>
      </c>
      <c r="B2484" s="1" t="s">
        <v>12556</v>
      </c>
      <c r="C2484" s="1" t="s">
        <v>12557</v>
      </c>
      <c r="D2484" s="1" t="s">
        <v>12558</v>
      </c>
      <c r="E2484" s="1" t="s">
        <v>12558</v>
      </c>
      <c r="F2484" s="1" t="s">
        <v>12559</v>
      </c>
      <c r="G2484" s="1" t="s">
        <v>12560</v>
      </c>
      <c r="H2484" s="1" t="str">
        <f>IFERROR(__xludf.DUMMYFUNCTION("GOOGLETRANSLATE(D2484,""EN"",""JA"")"),"阻害濃度ネット評価")</f>
        <v>阻害濃度ネット評価</v>
      </c>
      <c r="I2484" s="1" t="str">
        <f>IFERROR(__xludf.DUMMYFUNCTION("GOOGLETRANSLATE(E2484,""EN"",""JA"")"),"阻害濃度ネット評価")</f>
        <v>阻害濃度ネット評価</v>
      </c>
      <c r="J2484" s="1" t="str">
        <f>IFERROR(__xludf.DUMMYFUNCTION("GOOGLETRANSLATE(F2484,""EN"",""JA"")"),"特定の薬剤の阻害濃度 (IC50 および/または IC95) に対する微生物の感受性の低下または増加、あるいは生物学的/生化学的反応の活性の兆候。")</f>
        <v>特定の薬剤の阻害濃度 (IC50 および/または IC95) に対する微生物の感受性の低下または増加、あるいは生物学的/生化学的反応の活性の兆候。</v>
      </c>
      <c r="K2484" s="1" t="str">
        <f>IFERROR(__xludf.DUMMYFUNCTION("GOOGLETRANSLATE(G2484,""EN"",""JA"")"),"阻害濃度ネット評価測定")</f>
        <v>阻害濃度ネット評価測定</v>
      </c>
    </row>
    <row r="2485" ht="13.5" customHeight="1">
      <c r="A2485" s="1" t="s">
        <v>580</v>
      </c>
      <c r="B2485" s="1" t="s">
        <v>12561</v>
      </c>
      <c r="C2485" s="1" t="s">
        <v>12562</v>
      </c>
      <c r="D2485" s="1" t="s">
        <v>12563</v>
      </c>
      <c r="E2485" s="1" t="s">
        <v>12563</v>
      </c>
      <c r="F2485" s="1" t="s">
        <v>12564</v>
      </c>
      <c r="G2485" s="1" t="s">
        <v>12563</v>
      </c>
      <c r="H2485" s="1" t="str">
        <f>IFERROR(__xludf.DUMMYFUNCTION("GOOGLETRANSLATE(D2485,""EN"",""JA"")"),"予測吸気量の割合")</f>
        <v>予測吸気量の割合</v>
      </c>
      <c r="I2485" s="1" t="str">
        <f>IFERROR(__xludf.DUMMYFUNCTION("GOOGLETRANSLATE(E2485,""EN"",""JA"")"),"予測吸気量の割合")</f>
        <v>予測吸気量の割合</v>
      </c>
      <c r="J2485" s="1" t="str">
        <f>IFERROR(__xludf.DUMMYFUNCTION("GOOGLETRANSLATE(F2485,""EN"",""JA"")"),"被験者が呼気後に肺に吸い込むことができる空気の最大量（IRV と TV の合計）を、予測される正常値の割合として表します。")</f>
        <v>被験者が呼気後に肺に吸い込むことができる空気の最大量（IRV と TV の合計）を、予測される正常値の割合として表します。</v>
      </c>
      <c r="K2485" s="1" t="str">
        <f>IFERROR(__xludf.DUMMYFUNCTION("GOOGLETRANSLATE(G2485,""EN"",""JA"")"),"予測吸気量の割合")</f>
        <v>予測吸気量の割合</v>
      </c>
    </row>
    <row r="2486" ht="13.5" customHeight="1">
      <c r="A2486" s="1" t="s">
        <v>580</v>
      </c>
      <c r="B2486" s="1" t="s">
        <v>12565</v>
      </c>
      <c r="C2486" s="1" t="s">
        <v>12566</v>
      </c>
      <c r="D2486" s="1" t="s">
        <v>12567</v>
      </c>
      <c r="E2486" s="1" t="s">
        <v>12567</v>
      </c>
      <c r="F2486" s="1" t="s">
        <v>12568</v>
      </c>
      <c r="G2486" s="1" t="s">
        <v>12569</v>
      </c>
      <c r="H2486" s="1" t="str">
        <f>IFERROR(__xludf.DUMMYFUNCTION("GOOGLETRANSLATE(D2486,""EN"",""JA"")"),"ICの可逆性")</f>
        <v>ICの可逆性</v>
      </c>
      <c r="I2486" s="1" t="str">
        <f>IFERROR(__xludf.DUMMYFUNCTION("GOOGLETRANSLATE(E2486,""EN"",""JA"")"),"ICの可逆性")</f>
        <v>ICの可逆性</v>
      </c>
      <c r="J2486" s="1" t="str">
        <f>IFERROR(__xludf.DUMMYFUNCTION("GOOGLETRANSLATE(F2486,""EN"",""JA"")"),"気管支拡張薬投与後の IC の変化を治療前の IC 値と比較したもの。")</f>
        <v>気管支拡張薬投与後の IC の変化を治療前の IC 値と比較したもの。</v>
      </c>
      <c r="K2486" s="1" t="str">
        <f>IFERROR(__xludf.DUMMYFUNCTION("GOOGLETRANSLATE(G2486,""EN"",""JA"")"),"吸気量の可逆性")</f>
        <v>吸気量の可逆性</v>
      </c>
    </row>
    <row r="2487" ht="13.5" customHeight="1">
      <c r="A2487" s="1" t="s">
        <v>11</v>
      </c>
      <c r="B2487" s="1" t="s">
        <v>12570</v>
      </c>
      <c r="C2487" s="1" t="s">
        <v>12571</v>
      </c>
      <c r="D2487" s="1" t="s">
        <v>12572</v>
      </c>
      <c r="E2487" s="1" t="s">
        <v>12573</v>
      </c>
      <c r="F2487" s="1" t="s">
        <v>12574</v>
      </c>
      <c r="G2487" s="1" t="s">
        <v>12572</v>
      </c>
      <c r="H2487" s="1" t="str">
        <f>IFERROR(__xludf.DUMMYFUNCTION("GOOGLETRANSLATE(D2487,""EN"",""JA"")"),"黄疸指数")</f>
        <v>黄疸指数</v>
      </c>
      <c r="I2487" s="1" t="str">
        <f>IFERROR(__xludf.DUMMYFUNCTION("GOOGLETRANSLATE(E2487,""EN"",""JA"")"),"黄疸指数; 黄疸")</f>
        <v>黄疸指数; 黄疸</v>
      </c>
      <c r="J2487" s="1" t="str">
        <f>IFERROR(__xludf.DUMMYFUNCTION("GOOGLETRANSLATE(F2487,""EN"",""JA"")"),"胆汁色素の存在による生物標本の黄色の測定値。")</f>
        <v>胆汁色素の存在による生物標本の黄色の測定値。</v>
      </c>
      <c r="K2487" s="1" t="str">
        <f>IFERROR(__xludf.DUMMYFUNCTION("GOOGLETRANSLATE(G2487,""EN"",""JA"")"),"黄疸指数")</f>
        <v>黄疸指数</v>
      </c>
    </row>
    <row r="2488" ht="13.5" customHeight="1">
      <c r="A2488" s="1" t="s">
        <v>129</v>
      </c>
      <c r="B2488" s="1" t="s">
        <v>12575</v>
      </c>
      <c r="C2488" s="1" t="s">
        <v>12576</v>
      </c>
      <c r="D2488" s="1" t="s">
        <v>12577</v>
      </c>
      <c r="E2488" s="1" t="s">
        <v>12577</v>
      </c>
      <c r="F2488" s="1" t="s">
        <v>12578</v>
      </c>
      <c r="G2488" s="1" t="s">
        <v>12577</v>
      </c>
      <c r="H2488" s="1" t="str">
        <f>IFERROR(__xludf.DUMMYFUNCTION("GOOGLETRANSLATE(D2488,""EN"",""JA"")"),"理想体重")</f>
        <v>理想体重</v>
      </c>
      <c r="I2488" s="1" t="str">
        <f>IFERROR(__xludf.DUMMYFUNCTION("GOOGLETRANSLATE(E2488,""EN"",""JA"")"),"理想体重")</f>
        <v>理想体重</v>
      </c>
      <c r="J2488" s="1" t="str">
        <f>IFERROR(__xludf.DUMMYFUNCTION("GOOGLETRANSLATE(F2488,""EN"",""JA"")"),"標準的な方法論によって計算された人の最適体重。")</f>
        <v>標準的な方法論によって計算された人の最適体重。</v>
      </c>
      <c r="K2488" s="1" t="str">
        <f>IFERROR(__xludf.DUMMYFUNCTION("GOOGLETRANSLATE(G2488,""EN"",""JA"")"),"理想体重")</f>
        <v>理想体重</v>
      </c>
    </row>
    <row r="2489" ht="13.5" customHeight="1">
      <c r="A2489" s="1" t="s">
        <v>11</v>
      </c>
      <c r="B2489" s="1" t="s">
        <v>12579</v>
      </c>
      <c r="C2489" s="1" t="s">
        <v>12580</v>
      </c>
      <c r="D2489" s="1" t="s">
        <v>12581</v>
      </c>
      <c r="E2489" s="1" t="s">
        <v>12582</v>
      </c>
      <c r="F2489" s="1" t="s">
        <v>12583</v>
      </c>
      <c r="G2489" s="1" t="s">
        <v>12584</v>
      </c>
      <c r="H2489" s="1" t="str">
        <f>IFERROR(__xludf.DUMMYFUNCTION("GOOGLETRANSLATE(D2489,""EN"",""JA"")"),"IDLコレステロール")</f>
        <v>IDLコレステロール</v>
      </c>
      <c r="I2489" s="1" t="str">
        <f>IFERROR(__xludf.DUMMYFUNCTION("GOOGLETRANSLATE(E2489,""EN"",""JA"")"),"IDLコレステロール; 中間密度リポタンパク質")</f>
        <v>IDLコレステロール; 中間密度リポタンパク質</v>
      </c>
      <c r="J2489" s="1" t="str">
        <f>IFERROR(__xludf.DUMMYFUNCTION("GOOGLETRANSLATE(F2489,""EN"",""JA"")"),"生物標本中の中間密度リポタンパク質の測定。")</f>
        <v>生物標本中の中間密度リポタンパク質の測定。</v>
      </c>
      <c r="K2489" s="1" t="str">
        <f>IFERROR(__xludf.DUMMYFUNCTION("GOOGLETRANSLATE(G2489,""EN"",""JA"")"),"中間密度リポタンパク質コレステロール測定")</f>
        <v>中間密度リポタンパク質コレステロール測定</v>
      </c>
    </row>
    <row r="2490" ht="13.5" customHeight="1">
      <c r="A2490" s="1" t="s">
        <v>11</v>
      </c>
      <c r="B2490" s="1" t="s">
        <v>12585</v>
      </c>
      <c r="C2490" s="1" t="s">
        <v>12586</v>
      </c>
      <c r="D2490" s="1" t="s">
        <v>12587</v>
      </c>
      <c r="E2490" s="1" t="s">
        <v>12587</v>
      </c>
      <c r="F2490" s="1" t="s">
        <v>12588</v>
      </c>
      <c r="G2490" s="1" t="s">
        <v>12589</v>
      </c>
      <c r="H2490" s="1" t="str">
        <f>IFERROR(__xludf.DUMMYFUNCTION("GOOGLETRANSLATE(D2490,""EN"",""JA"")"),"IDLコレステロール/LDLコレステロール")</f>
        <v>IDLコレステロール/LDLコレステロール</v>
      </c>
      <c r="I2490" s="1" t="str">
        <f>IFERROR(__xludf.DUMMYFUNCTION("GOOGLETRANSLATE(E2490,""EN"",""JA"")"),"IDLコレステロール/LDLコレステロール")</f>
        <v>IDLコレステロール/LDLコレステロール</v>
      </c>
      <c r="J2490" s="1" t="str">
        <f>IFERROR(__xludf.DUMMYFUNCTION("GOOGLETRANSLATE(F2490,""EN"",""JA"")"),"生物標本中の低密度リポタンパク質コレステロールと比較した中密度リポタンパク質コレステロールの量の相対的な測定値（比率）。")</f>
        <v>生物標本中の低密度リポタンパク質コレステロールと比較した中密度リポタンパク質コレステロールの量の相対的な測定値（比率）。</v>
      </c>
      <c r="K2490" s="1" t="str">
        <f>IFERROR(__xludf.DUMMYFUNCTION("GOOGLETRANSLATE(G2490,""EN"",""JA"")"),"IDLコレステロールとLDLコレステロールの比測定")</f>
        <v>IDLコレステロールとLDLコレステロールの比測定</v>
      </c>
    </row>
    <row r="2491" ht="13.5" customHeight="1">
      <c r="A2491" s="1" t="s">
        <v>11</v>
      </c>
      <c r="B2491" s="1" t="s">
        <v>12590</v>
      </c>
      <c r="C2491" s="1" t="s">
        <v>12591</v>
      </c>
      <c r="D2491" s="1" t="s">
        <v>12592</v>
      </c>
      <c r="E2491" s="1" t="s">
        <v>12593</v>
      </c>
      <c r="F2491" s="1" t="s">
        <v>12594</v>
      </c>
      <c r="G2491" s="1" t="s">
        <v>12595</v>
      </c>
      <c r="H2491" s="1" t="str">
        <f>IFERROR(__xludf.DUMMYFUNCTION("GOOGLETRANSLATE(D2491,""EN"",""JA"")"),"IDL粒子")</f>
        <v>IDL粒子</v>
      </c>
      <c r="I2491" s="1" t="str">
        <f>IFERROR(__xludf.DUMMYFUNCTION("GOOGLETRANSLATE(E2491,""EN"",""JA"")"),"IDL粒子; 中間密度リポタンパク質粒子")</f>
        <v>IDL粒子; 中間密度リポタンパク質粒子</v>
      </c>
      <c r="J2491" s="1" t="str">
        <f>IFERROR(__xludf.DUMMYFUNCTION("GOOGLETRANSLATE(F2491,""EN"",""JA"")"),"生物標本中の IDL 粒子の濃度の測定。")</f>
        <v>生物標本中の IDL 粒子の濃度の測定。</v>
      </c>
      <c r="K2491" s="1" t="str">
        <f>IFERROR(__xludf.DUMMYFUNCTION("GOOGLETRANSLATE(G2491,""EN"",""JA"")"),"IDL粒子測定")</f>
        <v>IDL粒子測定</v>
      </c>
    </row>
    <row r="2492" ht="13.5" customHeight="1">
      <c r="A2492" s="1" t="s">
        <v>11</v>
      </c>
      <c r="B2492" s="1" t="s">
        <v>12596</v>
      </c>
      <c r="C2492" s="1" t="s">
        <v>12597</v>
      </c>
      <c r="D2492" s="1" t="s">
        <v>12598</v>
      </c>
      <c r="E2492" s="1" t="s">
        <v>12598</v>
      </c>
      <c r="F2492" s="1" t="s">
        <v>12599</v>
      </c>
      <c r="G2492" s="1" t="s">
        <v>12600</v>
      </c>
      <c r="H2492" s="1" t="str">
        <f>IFERROR(__xludf.DUMMYFUNCTION("GOOGLETRANSLATE(D2492,""EN"",""JA"")"),"IDLトリグリセリド")</f>
        <v>IDLトリグリセリド</v>
      </c>
      <c r="I2492" s="1" t="str">
        <f>IFERROR(__xludf.DUMMYFUNCTION("GOOGLETRANSLATE(E2492,""EN"",""JA"")"),"IDLトリグリセリド")</f>
        <v>IDLトリグリセリド</v>
      </c>
      <c r="J2492" s="1" t="str">
        <f>IFERROR(__xludf.DUMMYFUNCTION("GOOGLETRANSLATE(F2492,""EN"",""JA"")"),"生物標本中の中間密度リポタンパク質トリグリセリドの測定。")</f>
        <v>生物標本中の中間密度リポタンパク質トリグリセリドの測定。</v>
      </c>
      <c r="K2492" s="1" t="str">
        <f>IFERROR(__xludf.DUMMYFUNCTION("GOOGLETRANSLATE(G2492,""EN"",""JA"")"),"IDLトリグリセリド測定")</f>
        <v>IDLトリグリセリド測定</v>
      </c>
    </row>
    <row r="2493" ht="13.5" customHeight="1">
      <c r="A2493" s="1" t="s">
        <v>11</v>
      </c>
      <c r="B2493" s="1" t="s">
        <v>12601</v>
      </c>
      <c r="C2493" s="1" t="s">
        <v>12602</v>
      </c>
      <c r="D2493" s="1" t="s">
        <v>12603</v>
      </c>
      <c r="E2493" s="1" t="s">
        <v>12604</v>
      </c>
      <c r="F2493" s="1" t="s">
        <v>12605</v>
      </c>
      <c r="G2493" s="1" t="s">
        <v>12606</v>
      </c>
      <c r="H2493" s="1" t="str">
        <f>IFERROR(__xludf.DUMMYFUNCTION("GOOGLETRANSLATE(D2493,""EN"",""JA"")"),"IDL+VLDLコレステロールサブタイプ3")</f>
        <v>IDL+VLDLコレステロールサブタイプ3</v>
      </c>
      <c r="I2493" s="1" t="str">
        <f>IFERROR(__xludf.DUMMYFUNCTION("GOOGLETRANSLATE(E2493,""EN"",""JA"")"),"IDLコレステロールとVLDLコレステロールサブタイプ3; IDL+VLDLコレステロールサブタイプ3")</f>
        <v>IDLコレステロールとVLDLコレステロールサブタイプ3; IDL+VLDLコレステロールサブタイプ3</v>
      </c>
      <c r="J2493" s="1" t="str">
        <f>IFERROR(__xludf.DUMMYFUNCTION("GOOGLETRANSLATE(F2493,""EN"",""JA"")"),"生物学的標本中の中密度リポタンパク質コレステロールと超低密度リポタンパク質コレステロール サブタイプ 3 の測定。")</f>
        <v>生物学的標本中の中密度リポタンパク質コレステロールと超低密度リポタンパク質コレステロール サブタイプ 3 の測定。</v>
      </c>
      <c r="K2493" s="1" t="str">
        <f>IFERROR(__xludf.DUMMYFUNCTION("GOOGLETRANSLATE(G2493,""EN"",""JA"")"),"IDLコレステロールとVLDLコレステロールサブタイプ3の測定")</f>
        <v>IDLコレステロールとVLDLコレステロールサブタイプ3の測定</v>
      </c>
    </row>
    <row r="2494" ht="13.5" customHeight="1">
      <c r="A2494" s="1" t="s">
        <v>1970</v>
      </c>
      <c r="B2494" s="1" t="s">
        <v>12607</v>
      </c>
      <c r="C2494" s="1" t="s">
        <v>12608</v>
      </c>
      <c r="D2494" s="1" t="s">
        <v>12609</v>
      </c>
      <c r="E2494" s="1" t="s">
        <v>12609</v>
      </c>
      <c r="F2494" s="1" t="s">
        <v>12610</v>
      </c>
      <c r="G2494" s="1" t="s">
        <v>12609</v>
      </c>
      <c r="H2494" s="1" t="str">
        <f>IFERROR(__xludf.DUMMYFUNCTION("GOOGLETRANSLATE(D2494,""EN"",""JA"")"),"硬結最長直径")</f>
        <v>硬結最長直径</v>
      </c>
      <c r="I2494" s="1" t="str">
        <f>IFERROR(__xludf.DUMMYFUNCTION("GOOGLETRANSLATE(E2494,""EN"",""JA"")"),"硬結最長直径")</f>
        <v>硬結最長直径</v>
      </c>
      <c r="J2494" s="1" t="str">
        <f>IFERROR(__xludf.DUMMYFUNCTION("GOOGLETRANSLATE(F2494,""EN"",""JA"")"),"皮膚の硬くなった部分の最長直径。(NCI)")</f>
        <v>皮膚の硬くなった部分の最長直径。(NCI)</v>
      </c>
      <c r="K2494" s="1" t="str">
        <f>IFERROR(__xludf.DUMMYFUNCTION("GOOGLETRANSLATE(G2494,""EN"",""JA"")"),"硬結最長直径")</f>
        <v>硬結最長直径</v>
      </c>
    </row>
    <row r="2495" ht="13.5" customHeight="1">
      <c r="A2495" s="1" t="s">
        <v>134</v>
      </c>
      <c r="B2495" s="1" t="s">
        <v>12611</v>
      </c>
      <c r="C2495" s="1" t="s">
        <v>12612</v>
      </c>
      <c r="D2495" s="1" t="s">
        <v>12613</v>
      </c>
      <c r="E2495" s="1" t="s">
        <v>12613</v>
      </c>
      <c r="F2495" s="1" t="s">
        <v>12614</v>
      </c>
      <c r="G2495" s="1" t="s">
        <v>12613</v>
      </c>
      <c r="H2495" s="1" t="str">
        <f>IFERROR(__xludf.DUMMYFUNCTION("GOOGLETRANSLATE(D2495,""EN"",""JA"")"),"表皮内神経線維密度")</f>
        <v>表皮内神経線維密度</v>
      </c>
      <c r="I2495" s="1" t="str">
        <f>IFERROR(__xludf.DUMMYFUNCTION("GOOGLETRANSLATE(E2495,""EN"",""JA"")"),"表皮内神経線維密度")</f>
        <v>表皮内神経線維密度</v>
      </c>
      <c r="J2495" s="1" t="str">
        <f>IFERROR(__xludf.DUMMYFUNCTION("GOOGLETRANSLATE(F2495,""EN"",""JA"")"),"生物標本における表皮内神経線維密度の測定。")</f>
        <v>生物標本における表皮内神経線維密度の測定。</v>
      </c>
      <c r="K2495" s="1" t="str">
        <f>IFERROR(__xludf.DUMMYFUNCTION("GOOGLETRANSLATE(G2495,""EN"",""JA"")"),"表皮内神経線維密度")</f>
        <v>表皮内神経線維密度</v>
      </c>
    </row>
    <row r="2496" ht="13.5" customHeight="1">
      <c r="A2496" s="1" t="s">
        <v>134</v>
      </c>
      <c r="B2496" s="1" t="s">
        <v>12615</v>
      </c>
      <c r="C2496" s="1" t="s">
        <v>12616</v>
      </c>
      <c r="D2496" s="1" t="s">
        <v>12617</v>
      </c>
      <c r="E2496" s="1" t="s">
        <v>12618</v>
      </c>
      <c r="F2496" s="1" t="s">
        <v>12619</v>
      </c>
      <c r="G2496" s="1" t="s">
        <v>12620</v>
      </c>
      <c r="H2496" s="1" t="str">
        <f>IFERROR(__xludf.DUMMYFUNCTION("GOOGLETRANSLATE(D2496,""EN"",""JA"")"),"上皮内腫瘍")</f>
        <v>上皮内腫瘍</v>
      </c>
      <c r="I2496" s="1" t="str">
        <f>IFERROR(__xludf.DUMMYFUNCTION("GOOGLETRANSLATE(E2496,""EN"",""JA"")"),"上皮性腫瘍; 上皮内腫瘍")</f>
        <v>上皮性腫瘍; 上皮内腫瘍</v>
      </c>
      <c r="J2496" s="1" t="str">
        <f>IFERROR(__xludf.DUMMYFUNCTION("GOOGLETRANSLATE(F2496,""EN"",""JA"")"),"生物標本における上皮内腫瘍の評価。")</f>
        <v>生物標本における上皮内腫瘍の評価。</v>
      </c>
      <c r="K2496" s="1" t="str">
        <f>IFERROR(__xludf.DUMMYFUNCTION("GOOGLETRANSLATE(G2496,""EN"",""JA"")"),"上皮内腫瘍の評価")</f>
        <v>上皮内腫瘍の評価</v>
      </c>
    </row>
    <row r="2497" ht="13.5" customHeight="1">
      <c r="A2497" s="1" t="s">
        <v>11</v>
      </c>
      <c r="B2497" s="1" t="s">
        <v>12621</v>
      </c>
      <c r="C2497" s="1" t="s">
        <v>12622</v>
      </c>
      <c r="D2497" s="1" t="s">
        <v>12623</v>
      </c>
      <c r="E2497" s="1" t="s">
        <v>12624</v>
      </c>
      <c r="F2497" s="1" t="s">
        <v>12625</v>
      </c>
      <c r="G2497" s="1" t="s">
        <v>12626</v>
      </c>
      <c r="H2497" s="1" t="str">
        <f>IFERROR(__xludf.DUMMYFUNCTION("GOOGLETRANSLATE(D2497,""EN"",""JA"")"),"インターフェロンα誘導性タンパク質27")</f>
        <v>インターフェロンα誘導性タンパク質27</v>
      </c>
      <c r="I2497" s="1" t="str">
        <f>IFERROR(__xludf.DUMMYFUNCTION("GOOGLETRANSLATE(E2497,""EN"",""JA"")"),"インターフェロンα誘導タンパク質27; インターフェロンα誘導性タンパク質27")</f>
        <v>インターフェロンα誘導タンパク質27; インターフェロンα誘導性タンパク質27</v>
      </c>
      <c r="J2497" s="1" t="str">
        <f>IFERROR(__xludf.DUMMYFUNCTION("GOOGLETRANSLATE(F2497,""EN"",""JA"")"),"生物標本中のインターフェロンα誘導性タンパク質27の測定。")</f>
        <v>生物標本中のインターフェロンα誘導性タンパク質27の測定。</v>
      </c>
      <c r="K2497" s="1" t="str">
        <f>IFERROR(__xludf.DUMMYFUNCTION("GOOGLETRANSLATE(G2497,""EN"",""JA"")"),"インターフェロンα誘導性タンパク質27の測定")</f>
        <v>インターフェロンα誘導性タンパク質27の測定</v>
      </c>
    </row>
    <row r="2498" ht="13.5" customHeight="1">
      <c r="A2498" s="1" t="s">
        <v>11</v>
      </c>
      <c r="B2498" s="1" t="s">
        <v>12627</v>
      </c>
      <c r="C2498" s="1" t="s">
        <v>12628</v>
      </c>
      <c r="D2498" s="1" t="s">
        <v>12629</v>
      </c>
      <c r="E2498" s="1" t="s">
        <v>12629</v>
      </c>
      <c r="F2498" s="1" t="s">
        <v>12630</v>
      </c>
      <c r="G2498" s="1" t="s">
        <v>12631</v>
      </c>
      <c r="H2498" s="1" t="str">
        <f>IFERROR(__xludf.DUMMYFUNCTION("GOOGLETRANSLATE(D2498,""EN"",""JA"")"),"インターフェロン誘導タンパク質44")</f>
        <v>インターフェロン誘導タンパク質44</v>
      </c>
      <c r="I2498" s="1" t="str">
        <f>IFERROR(__xludf.DUMMYFUNCTION("GOOGLETRANSLATE(E2498,""EN"",""JA"")"),"インターフェロン誘導タンパク質44")</f>
        <v>インターフェロン誘導タンパク質44</v>
      </c>
      <c r="J2498" s="1" t="str">
        <f>IFERROR(__xludf.DUMMYFUNCTION("GOOGLETRANSLATE(F2498,""EN"",""JA"")"),"生物標本中のインターフェロン誘導タンパク質 44 の測定。")</f>
        <v>生物標本中のインターフェロン誘導タンパク質 44 の測定。</v>
      </c>
      <c r="K2498" s="1" t="str">
        <f>IFERROR(__xludf.DUMMYFUNCTION("GOOGLETRANSLATE(G2498,""EN"",""JA"")"),"インターフェロン誘導タンパク質44測定")</f>
        <v>インターフェロン誘導タンパク質44測定</v>
      </c>
    </row>
    <row r="2499" ht="13.5" customHeight="1">
      <c r="A2499" s="1" t="s">
        <v>11</v>
      </c>
      <c r="B2499" s="1" t="s">
        <v>12632</v>
      </c>
      <c r="C2499" s="1" t="s">
        <v>12633</v>
      </c>
      <c r="D2499" s="1" t="s">
        <v>12634</v>
      </c>
      <c r="E2499" s="1" t="s">
        <v>12634</v>
      </c>
      <c r="F2499" s="1" t="s">
        <v>12635</v>
      </c>
      <c r="G2499" s="1" t="s">
        <v>12636</v>
      </c>
      <c r="H2499" s="1" t="str">
        <f>IFERROR(__xludf.DUMMYFUNCTION("GOOGLETRANSLATE(D2499,""EN"",""JA"")"),"インターフェロン誘導タンパク質44様")</f>
        <v>インターフェロン誘導タンパク質44様</v>
      </c>
      <c r="I2499" s="1" t="str">
        <f>IFERROR(__xludf.DUMMYFUNCTION("GOOGLETRANSLATE(E2499,""EN"",""JA"")"),"インターフェロン誘導タンパク質44様")</f>
        <v>インターフェロン誘導タンパク質44様</v>
      </c>
      <c r="J2499" s="1" t="str">
        <f>IFERROR(__xludf.DUMMYFUNCTION("GOOGLETRANSLATE(F2499,""EN"",""JA"")"),"生物標本中のインターフェロン誘導性タンパク質 44 様物質の測定。")</f>
        <v>生物標本中のインターフェロン誘導性タンパク質 44 様物質の測定。</v>
      </c>
      <c r="K2499" s="1" t="str">
        <f>IFERROR(__xludf.DUMMYFUNCTION("GOOGLETRANSLATE(G2499,""EN"",""JA"")"),"インターフェロン誘導タンパク質44様測定")</f>
        <v>インターフェロン誘導タンパク質44様測定</v>
      </c>
    </row>
    <row r="2500" ht="13.5" customHeight="1">
      <c r="A2500" s="1" t="s">
        <v>11</v>
      </c>
      <c r="B2500" s="1" t="s">
        <v>12637</v>
      </c>
      <c r="C2500" s="1" t="s">
        <v>12638</v>
      </c>
      <c r="D2500" s="1" t="s">
        <v>12639</v>
      </c>
      <c r="E2500" s="1" t="s">
        <v>12639</v>
      </c>
      <c r="F2500" s="1" t="s">
        <v>12640</v>
      </c>
      <c r="G2500" s="1" t="s">
        <v>12641</v>
      </c>
      <c r="H2500" s="1" t="str">
        <f>IFERROR(__xludf.DUMMYFUNCTION("GOOGLETRANSLATE(D2500,""EN"",""JA"")"),"インターフェロンα誘導性タンパク質6")</f>
        <v>インターフェロンα誘導性タンパク質6</v>
      </c>
      <c r="I2500" s="1" t="str">
        <f>IFERROR(__xludf.DUMMYFUNCTION("GOOGLETRANSLATE(E2500,""EN"",""JA"")"),"インターフェロンα誘導性タンパク質6")</f>
        <v>インターフェロンα誘導性タンパク質6</v>
      </c>
      <c r="J2500" s="1" t="str">
        <f>IFERROR(__xludf.DUMMYFUNCTION("GOOGLETRANSLATE(F2500,""EN"",""JA"")"),"生物標本中のインターフェロンα誘導性タンパク質6の測定。")</f>
        <v>生物標本中のインターフェロンα誘導性タンパク質6の測定。</v>
      </c>
      <c r="K2500" s="1" t="str">
        <f>IFERROR(__xludf.DUMMYFUNCTION("GOOGLETRANSLATE(G2500,""EN"",""JA"")"),"インターフェロンα誘導性タンパク質6の測定")</f>
        <v>インターフェロンα誘導性タンパク質6の測定</v>
      </c>
    </row>
    <row r="2501" ht="13.5" customHeight="1">
      <c r="A2501" s="1" t="s">
        <v>11</v>
      </c>
      <c r="B2501" s="1" t="s">
        <v>12642</v>
      </c>
      <c r="C2501" s="1" t="s">
        <v>12643</v>
      </c>
      <c r="D2501" s="1" t="s">
        <v>12644</v>
      </c>
      <c r="E2501" s="1" t="s">
        <v>12645</v>
      </c>
      <c r="F2501" s="1" t="s">
        <v>12646</v>
      </c>
      <c r="G2501" s="1" t="s">
        <v>12647</v>
      </c>
      <c r="H2501" s="1" t="str">
        <f>IFERROR(__xludf.DUMMYFUNCTION("GOOGLETRANSLATE(D2501,""EN"",""JA"")"),"インターフェロン誘導56 kDaタンパク質")</f>
        <v>インターフェロン誘導56 kDaタンパク質</v>
      </c>
      <c r="I2501" s="1" t="str">
        <f>IFERROR(__xludf.DUMMYFUNCTION("GOOGLETRANSLATE(E2501,""EN"",""JA"")"),"インターフェロン誘導性56 kDaタンパク質；テトラトリコペプチド反復配列1を有するインターフェロン誘導性タンパク質")</f>
        <v>インターフェロン誘導性56 kDaタンパク質；テトラトリコペプチド反復配列1を有するインターフェロン誘導性タンパク質</v>
      </c>
      <c r="J2501" s="1" t="str">
        <f>IFERROR(__xludf.DUMMYFUNCTION("GOOGLETRANSLATE(F2501,""EN"",""JA"")"),"生物標本中のインターフェロン誘導性 56 KDa タンパク質の測定。")</f>
        <v>生物標本中のインターフェロン誘導性 56 KDa タンパク質の測定。</v>
      </c>
      <c r="K2501" s="1" t="str">
        <f>IFERROR(__xludf.DUMMYFUNCTION("GOOGLETRANSLATE(G2501,""EN"",""JA"")"),"インターフェロン誘導56 kDaタンパク質測定")</f>
        <v>インターフェロン誘導56 kDaタンパク質測定</v>
      </c>
    </row>
    <row r="2502" ht="13.5" customHeight="1">
      <c r="A2502" s="1" t="s">
        <v>11</v>
      </c>
      <c r="B2502" s="1" t="s">
        <v>12648</v>
      </c>
      <c r="C2502" s="1" t="s">
        <v>12649</v>
      </c>
      <c r="D2502" s="1" t="s">
        <v>12650</v>
      </c>
      <c r="E2502" s="1" t="s">
        <v>12651</v>
      </c>
      <c r="F2502" s="1" t="s">
        <v>12652</v>
      </c>
      <c r="G2502" s="1" t="s">
        <v>12653</v>
      </c>
      <c r="H2502" s="1" t="str">
        <f>IFERROR(__xludf.DUMMYFUNCTION("GOOGLETRANSLATE(D2502,""EN"",""JA"")"),"インターフェロン誘導60 kDaタンパク質")</f>
        <v>インターフェロン誘導60 kDaタンパク質</v>
      </c>
      <c r="I2502" s="1" t="str">
        <f>IFERROR(__xludf.DUMMYFUNCTION("GOOGLETRANSLATE(E2502,""EN"",""JA"")"),"インターフェロン誘導性60 kDaタンパク質；テトラトリコペプチド反復配列3を有するインターフェロン誘導性タンパク質")</f>
        <v>インターフェロン誘導性60 kDaタンパク質；テトラトリコペプチド反復配列3を有するインターフェロン誘導性タンパク質</v>
      </c>
      <c r="J2502" s="1" t="str">
        <f>IFERROR(__xludf.DUMMYFUNCTION("GOOGLETRANSLATE(F2502,""EN"",""JA"")"),"生物標本中のインターフェロン誘導性 60 KDa タンパク質の測定。")</f>
        <v>生物標本中のインターフェロン誘導性 60 KDa タンパク質の測定。</v>
      </c>
      <c r="K2502" s="1" t="str">
        <f>IFERROR(__xludf.DUMMYFUNCTION("GOOGLETRANSLATE(G2502,""EN"",""JA"")"),"インターフェロン誘導60 kDaタンパク質測定")</f>
        <v>インターフェロン誘導60 kDaタンパク質測定</v>
      </c>
    </row>
    <row r="2503" ht="13.5" customHeight="1">
      <c r="A2503" s="1" t="s">
        <v>11</v>
      </c>
      <c r="B2503" s="1" t="s">
        <v>12654</v>
      </c>
      <c r="C2503" s="1" t="s">
        <v>12655</v>
      </c>
      <c r="D2503" s="1" t="s">
        <v>12656</v>
      </c>
      <c r="E2503" s="1" t="s">
        <v>12656</v>
      </c>
      <c r="F2503" s="1" t="s">
        <v>12657</v>
      </c>
      <c r="G2503" s="1" t="s">
        <v>12658</v>
      </c>
      <c r="H2503" s="1" t="str">
        <f>IFERROR(__xludf.DUMMYFUNCTION("GOOGLETRANSLATE(D2503,""EN"",""JA"")"),"インターフェロンアルファ")</f>
        <v>インターフェロンアルファ</v>
      </c>
      <c r="I2503" s="1" t="str">
        <f>IFERROR(__xludf.DUMMYFUNCTION("GOOGLETRANSLATE(E2503,""EN"",""JA"")"),"インターフェロンアルファ")</f>
        <v>インターフェロンアルファ</v>
      </c>
      <c r="J2503" s="1" t="str">
        <f>IFERROR(__xludf.DUMMYFUNCTION("GOOGLETRANSLATE(F2503,""EN"",""JA"")"),"生物標本中の総インターフェロンアルファの測定。")</f>
        <v>生物標本中の総インターフェロンアルファの測定。</v>
      </c>
      <c r="K2503" s="1" t="str">
        <f>IFERROR(__xludf.DUMMYFUNCTION("GOOGLETRANSLATE(G2503,""EN"",""JA"")"),"インターフェロンアルファ測定")</f>
        <v>インターフェロンアルファ測定</v>
      </c>
    </row>
    <row r="2504" ht="13.5" customHeight="1">
      <c r="A2504" s="1" t="s">
        <v>11</v>
      </c>
      <c r="B2504" s="1" t="s">
        <v>12659</v>
      </c>
      <c r="C2504" s="1" t="s">
        <v>12660</v>
      </c>
      <c r="D2504" s="1" t="s">
        <v>12661</v>
      </c>
      <c r="E2504" s="1" t="s">
        <v>12661</v>
      </c>
      <c r="F2504" s="1" t="s">
        <v>12662</v>
      </c>
      <c r="G2504" s="1" t="s">
        <v>12663</v>
      </c>
      <c r="H2504" s="1" t="str">
        <f>IFERROR(__xludf.DUMMYFUNCTION("GOOGLETRANSLATE(D2504,""EN"",""JA"")"),"インターフェロンアルファ2型")</f>
        <v>インターフェロンアルファ2型</v>
      </c>
      <c r="I2504" s="1" t="str">
        <f>IFERROR(__xludf.DUMMYFUNCTION("GOOGLETRANSLATE(E2504,""EN"",""JA"")"),"インターフェロンアルファ2型")</f>
        <v>インターフェロンアルファ2型</v>
      </c>
      <c r="J2504" s="1" t="str">
        <f>IFERROR(__xludf.DUMMYFUNCTION("GOOGLETRANSLATE(F2504,""EN"",""JA"")"),"生物標本中のインターフェロンアルファ2型の測定。")</f>
        <v>生物標本中のインターフェロンアルファ2型の測定。</v>
      </c>
      <c r="K2504" s="1" t="str">
        <f>IFERROR(__xludf.DUMMYFUNCTION("GOOGLETRANSLATE(G2504,""EN"",""JA"")"),"インターフェロンα2型測定")</f>
        <v>インターフェロンα2型測定</v>
      </c>
    </row>
    <row r="2505" ht="13.5" customHeight="1">
      <c r="A2505" s="1" t="s">
        <v>11</v>
      </c>
      <c r="B2505" s="1" t="s">
        <v>12664</v>
      </c>
      <c r="C2505" s="1" t="s">
        <v>12665</v>
      </c>
      <c r="D2505" s="1" t="s">
        <v>12666</v>
      </c>
      <c r="E2505" s="1" t="s">
        <v>12666</v>
      </c>
      <c r="F2505" s="1" t="s">
        <v>12667</v>
      </c>
      <c r="G2505" s="1" t="s">
        <v>12668</v>
      </c>
      <c r="H2505" s="1" t="str">
        <f>IFERROR(__xludf.DUMMYFUNCTION("GOOGLETRANSLATE(D2505,""EN"",""JA"")"),"インターフェロンベータ")</f>
        <v>インターフェロンベータ</v>
      </c>
      <c r="I2505" s="1" t="str">
        <f>IFERROR(__xludf.DUMMYFUNCTION("GOOGLETRANSLATE(E2505,""EN"",""JA"")"),"インターフェロンベータ")</f>
        <v>インターフェロンベータ</v>
      </c>
      <c r="J2505" s="1" t="str">
        <f>IFERROR(__xludf.DUMMYFUNCTION("GOOGLETRANSLATE(F2505,""EN"",""JA"")"),"生物標本中のインターフェロンベータの測定。")</f>
        <v>生物標本中のインターフェロンベータの測定。</v>
      </c>
      <c r="K2505" s="1" t="str">
        <f>IFERROR(__xludf.DUMMYFUNCTION("GOOGLETRANSLATE(G2505,""EN"",""JA"")"),"インターフェロンベータ測定")</f>
        <v>インターフェロンベータ測定</v>
      </c>
    </row>
    <row r="2506" ht="13.5" customHeight="1">
      <c r="A2506" s="1" t="s">
        <v>11</v>
      </c>
      <c r="B2506" s="1" t="s">
        <v>12669</v>
      </c>
      <c r="C2506" s="1" t="s">
        <v>12670</v>
      </c>
      <c r="D2506" s="1" t="s">
        <v>12671</v>
      </c>
      <c r="E2506" s="1" t="s">
        <v>12671</v>
      </c>
      <c r="F2506" s="1" t="s">
        <v>12672</v>
      </c>
      <c r="G2506" s="1" t="s">
        <v>12673</v>
      </c>
      <c r="H2506" s="1" t="str">
        <f>IFERROR(__xludf.DUMMYFUNCTION("GOOGLETRANSLATE(D2506,""EN"",""JA"")"),"インターフェロンガンマ")</f>
        <v>インターフェロンガンマ</v>
      </c>
      <c r="I2506" s="1" t="str">
        <f>IFERROR(__xludf.DUMMYFUNCTION("GOOGLETRANSLATE(E2506,""EN"",""JA"")"),"インターフェロンガンマ")</f>
        <v>インターフェロンガンマ</v>
      </c>
      <c r="J2506" s="1" t="str">
        <f>IFERROR(__xludf.DUMMYFUNCTION("GOOGLETRANSLATE(F2506,""EN"",""JA"")"),"生物標本中のインターフェロンガンマの測定。")</f>
        <v>生物標本中のインターフェロンガンマの測定。</v>
      </c>
      <c r="K2506" s="1" t="str">
        <f>IFERROR(__xludf.DUMMYFUNCTION("GOOGLETRANSLATE(G2506,""EN"",""JA"")"),"インターフェロンガンマ測定")</f>
        <v>インターフェロンガンマ測定</v>
      </c>
    </row>
    <row r="2507" ht="13.5" customHeight="1">
      <c r="A2507" s="1" t="s">
        <v>11</v>
      </c>
      <c r="B2507" s="1" t="s">
        <v>12674</v>
      </c>
      <c r="C2507" s="1" t="s">
        <v>12675</v>
      </c>
      <c r="D2507" s="1" t="s">
        <v>12676</v>
      </c>
      <c r="E2507" s="1" t="s">
        <v>12676</v>
      </c>
      <c r="F2507" s="1" t="s">
        <v>12677</v>
      </c>
      <c r="G2507" s="1" t="s">
        <v>12678</v>
      </c>
      <c r="H2507" s="1" t="str">
        <f>IFERROR(__xludf.DUMMYFUNCTION("GOOGLETRANSLATE(D2507,""EN"",""JA"")"),"免疫グロブリンA")</f>
        <v>免疫グロブリンA</v>
      </c>
      <c r="I2507" s="1" t="str">
        <f>IFERROR(__xludf.DUMMYFUNCTION("GOOGLETRANSLATE(E2507,""EN"",""JA"")"),"免疫グロブリンA")</f>
        <v>免疫グロブリンA</v>
      </c>
      <c r="J2507" s="1" t="str">
        <f>IFERROR(__xludf.DUMMYFUNCTION("GOOGLETRANSLATE(F2507,""EN"",""JA"")"),"生物標本中の総免疫グロブリン A の測定。")</f>
        <v>生物標本中の総免疫グロブリン A の測定。</v>
      </c>
      <c r="K2507" s="1" t="str">
        <f>IFERROR(__xludf.DUMMYFUNCTION("GOOGLETRANSLATE(G2507,""EN"",""JA"")"),"免疫グロブリンA測定")</f>
        <v>免疫グロブリンA測定</v>
      </c>
    </row>
    <row r="2508" ht="13.5" customHeight="1">
      <c r="A2508" s="1" t="s">
        <v>11</v>
      </c>
      <c r="B2508" s="1" t="s">
        <v>12679</v>
      </c>
      <c r="C2508" s="1" t="s">
        <v>12680</v>
      </c>
      <c r="D2508" s="1" t="s">
        <v>12681</v>
      </c>
      <c r="E2508" s="1" t="s">
        <v>12682</v>
      </c>
      <c r="F2508" s="1" t="s">
        <v>12683</v>
      </c>
      <c r="G2508" s="1" t="s">
        <v>12684</v>
      </c>
      <c r="H2508" s="1" t="str">
        <f>IFERROR(__xludf.DUMMYFUNCTION("GOOGLETRANSLATE(D2508,""EN"",""JA"")"),"免疫グロブリンA/補体C3")</f>
        <v>免疫グロブリンA/補体C3</v>
      </c>
      <c r="I2508" s="1" t="str">
        <f>IFERROR(__xludf.DUMMYFUNCTION("GOOGLETRANSLATE(E2508,""EN"",""JA"")"),"IgA/C3; IgA/補体C3; 免疫グロブリンA/補体C3")</f>
        <v>IgA/C3; IgA/補体C3; 免疫グロブリンA/補体C3</v>
      </c>
      <c r="J2508" s="1" t="str">
        <f>IFERROR(__xludf.DUMMYFUNCTION("GOOGLETRANSLATE(F2508,""EN"",""JA"")"),"生物学的標本中の補体 C3 に対する免疫グロブリン A の相対的な測定値 (比率)。")</f>
        <v>生物学的標本中の補体 C3 に対する免疫グロブリン A の相対的な測定値 (比率)。</v>
      </c>
      <c r="K2508" s="1" t="str">
        <f>IFERROR(__xludf.DUMMYFUNCTION("GOOGLETRANSLATE(G2508,""EN"",""JA"")"),"C3測定を補う免疫グロブリンA")</f>
        <v>C3測定を補う免疫グロブリンA</v>
      </c>
    </row>
    <row r="2509" ht="13.5" customHeight="1">
      <c r="A2509" s="1" t="s">
        <v>11</v>
      </c>
      <c r="B2509" s="1" t="s">
        <v>12685</v>
      </c>
      <c r="C2509" s="1" t="s">
        <v>12686</v>
      </c>
      <c r="D2509" s="1" t="s">
        <v>12687</v>
      </c>
      <c r="E2509" s="1" t="s">
        <v>12687</v>
      </c>
      <c r="F2509" s="1" t="s">
        <v>12688</v>
      </c>
      <c r="G2509" s="1" t="s">
        <v>12689</v>
      </c>
      <c r="H2509" s="1" t="str">
        <f>IFERROR(__xludf.DUMMYFUNCTION("GOOGLETRANSLATE(D2509,""EN"",""JA"")"),"IgG IgM IgA 合計")</f>
        <v>IgG IgM IgA 合計</v>
      </c>
      <c r="I2509" s="1" t="str">
        <f>IFERROR(__xludf.DUMMYFUNCTION("GOOGLETRANSLATE(E2509,""EN"",""JA"")"),"IgG IgM IgA 合計")</f>
        <v>IgG IgM IgA 合計</v>
      </c>
      <c r="J2509" s="1" t="str">
        <f>IFERROR(__xludf.DUMMYFUNCTION("GOOGLETRANSLATE(F2509,""EN"",""JA"")"),"生物学的標本中の IgG、IgM、および IgA の合計の測定。")</f>
        <v>生物学的標本中の IgG、IgM、および IgA の合計の測定。</v>
      </c>
      <c r="K2509" s="1" t="str">
        <f>IFERROR(__xludf.DUMMYFUNCTION("GOOGLETRANSLATE(G2509,""EN"",""JA"")"),"IgG IgM IgA総測定")</f>
        <v>IgG IgM IgA総測定</v>
      </c>
    </row>
    <row r="2510" ht="13.5" customHeight="1">
      <c r="A2510" s="1" t="s">
        <v>11</v>
      </c>
      <c r="B2510" s="1" t="s">
        <v>12690</v>
      </c>
      <c r="C2510" s="1" t="s">
        <v>12691</v>
      </c>
      <c r="D2510" s="1" t="s">
        <v>12692</v>
      </c>
      <c r="E2510" s="1" t="s">
        <v>12692</v>
      </c>
      <c r="F2510" s="1" t="s">
        <v>12693</v>
      </c>
      <c r="G2510" s="1" t="s">
        <v>12694</v>
      </c>
      <c r="H2510" s="1" t="str">
        <f>IFERROR(__xludf.DUMMYFUNCTION("GOOGLETRANSLATE(D2510,""EN"",""JA"")"),"免疫グロブリンD")</f>
        <v>免疫グロブリンD</v>
      </c>
      <c r="I2510" s="1" t="str">
        <f>IFERROR(__xludf.DUMMYFUNCTION("GOOGLETRANSLATE(E2510,""EN"",""JA"")"),"免疫グロブリンD")</f>
        <v>免疫グロブリンD</v>
      </c>
      <c r="J2510" s="1" t="str">
        <f>IFERROR(__xludf.DUMMYFUNCTION("GOOGLETRANSLATE(F2510,""EN"",""JA"")"),"生物標本中の免疫グロブリン D の測定。")</f>
        <v>生物標本中の免疫グロブリン D の測定。</v>
      </c>
      <c r="K2510" s="1" t="str">
        <f>IFERROR(__xludf.DUMMYFUNCTION("GOOGLETRANSLATE(G2510,""EN"",""JA"")"),"免疫グロブリンD測定")</f>
        <v>免疫グロブリンD測定</v>
      </c>
    </row>
    <row r="2511" ht="13.5" customHeight="1">
      <c r="A2511" s="1" t="s">
        <v>11</v>
      </c>
      <c r="B2511" s="1" t="s">
        <v>12695</v>
      </c>
      <c r="C2511" s="1" t="s">
        <v>12696</v>
      </c>
      <c r="D2511" s="1" t="s">
        <v>12697</v>
      </c>
      <c r="E2511" s="1" t="s">
        <v>12697</v>
      </c>
      <c r="F2511" s="1" t="s">
        <v>12698</v>
      </c>
      <c r="G2511" s="1" t="s">
        <v>12699</v>
      </c>
      <c r="H2511" s="1" t="str">
        <f>IFERROR(__xludf.DUMMYFUNCTION("GOOGLETRANSLATE(D2511,""EN"",""JA"")"),"免疫グロブリンE")</f>
        <v>免疫グロブリンE</v>
      </c>
      <c r="I2511" s="1" t="str">
        <f>IFERROR(__xludf.DUMMYFUNCTION("GOOGLETRANSLATE(E2511,""EN"",""JA"")"),"免疫グロブリンE")</f>
        <v>免疫グロブリンE</v>
      </c>
      <c r="J2511" s="1" t="str">
        <f>IFERROR(__xludf.DUMMYFUNCTION("GOOGLETRANSLATE(F2511,""EN"",""JA"")"),"生物学的標本中の総免疫グロブリン E の測定。")</f>
        <v>生物学的標本中の総免疫グロブリン E の測定。</v>
      </c>
      <c r="K2511" s="1" t="str">
        <f>IFERROR(__xludf.DUMMYFUNCTION("GOOGLETRANSLATE(G2511,""EN"",""JA"")"),"免疫グロブリンE測定")</f>
        <v>免疫グロブリンE測定</v>
      </c>
    </row>
    <row r="2512" ht="13.5" customHeight="1">
      <c r="A2512" s="1" t="s">
        <v>11</v>
      </c>
      <c r="B2512" s="1" t="s">
        <v>12700</v>
      </c>
      <c r="C2512" s="1" t="s">
        <v>12701</v>
      </c>
      <c r="D2512" s="1" t="s">
        <v>12702</v>
      </c>
      <c r="E2512" s="1" t="s">
        <v>12702</v>
      </c>
      <c r="F2512" s="1" t="s">
        <v>12703</v>
      </c>
      <c r="G2512" s="1" t="s">
        <v>12704</v>
      </c>
      <c r="H2512" s="1" t="str">
        <f>IFERROR(__xludf.DUMMYFUNCTION("GOOGLETRANSLATE(D2512,""EN"",""JA"")"),"免疫グロブリンE、遊離")</f>
        <v>免疫グロブリンE、遊離</v>
      </c>
      <c r="I2512" s="1" t="str">
        <f>IFERROR(__xludf.DUMMYFUNCTION("GOOGLETRANSLATE(E2512,""EN"",""JA"")"),"免疫グロブリンE、遊離")</f>
        <v>免疫グロブリンE、遊離</v>
      </c>
      <c r="J2512" s="1" t="str">
        <f>IFERROR(__xludf.DUMMYFUNCTION("GOOGLETRANSLATE(F2512,""EN"",""JA"")"),"生物学的標本中の遊離免疫グロブリン E の測定。")</f>
        <v>生物学的標本中の遊離免疫グロブリン E の測定。</v>
      </c>
      <c r="K2512" s="1" t="str">
        <f>IFERROR(__xludf.DUMMYFUNCTION("GOOGLETRANSLATE(G2512,""EN"",""JA"")"),"遊離免疫グロブリンE測定")</f>
        <v>遊離免疫グロブリンE測定</v>
      </c>
    </row>
    <row r="2513" ht="13.5" customHeight="1">
      <c r="A2513" s="1" t="s">
        <v>11</v>
      </c>
      <c r="B2513" s="1" t="s">
        <v>12705</v>
      </c>
      <c r="C2513" s="1" t="s">
        <v>12706</v>
      </c>
      <c r="D2513" s="1" t="s">
        <v>12707</v>
      </c>
      <c r="E2513" s="1" t="s">
        <v>12707</v>
      </c>
      <c r="F2513" s="1" t="s">
        <v>12708</v>
      </c>
      <c r="G2513" s="1" t="s">
        <v>12709</v>
      </c>
      <c r="H2513" s="1" t="str">
        <f>IFERROR(__xludf.DUMMYFUNCTION("GOOGLETRANSLATE(D2513,""EN"",""JA"")"),"インスリン様成長因子-1")</f>
        <v>インスリン様成長因子-1</v>
      </c>
      <c r="I2513" s="1" t="str">
        <f>IFERROR(__xludf.DUMMYFUNCTION("GOOGLETRANSLATE(E2513,""EN"",""JA"")"),"インスリン様成長因子-1")</f>
        <v>インスリン様成長因子-1</v>
      </c>
      <c r="J2513" s="1" t="str">
        <f>IFERROR(__xludf.DUMMYFUNCTION("GOOGLETRANSLATE(F2513,""EN"",""JA"")"),"生物標本中のインスリン様成長因子-1の測定。")</f>
        <v>生物標本中のインスリン様成長因子-1の測定。</v>
      </c>
      <c r="K2513" s="1" t="str">
        <f>IFERROR(__xludf.DUMMYFUNCTION("GOOGLETRANSLATE(G2513,""EN"",""JA"")"),"インスリン様成長因子-1測定")</f>
        <v>インスリン様成長因子-1測定</v>
      </c>
    </row>
    <row r="2514" ht="13.5" customHeight="1">
      <c r="A2514" s="1" t="s">
        <v>11</v>
      </c>
      <c r="B2514" s="1" t="s">
        <v>12710</v>
      </c>
      <c r="C2514" s="1" t="s">
        <v>12711</v>
      </c>
      <c r="D2514" s="1" t="s">
        <v>12712</v>
      </c>
      <c r="E2514" s="1" t="s">
        <v>12712</v>
      </c>
      <c r="F2514" s="1" t="s">
        <v>12713</v>
      </c>
      <c r="G2514" s="1" t="s">
        <v>12714</v>
      </c>
      <c r="H2514" s="1" t="str">
        <f>IFERROR(__xludf.DUMMYFUNCTION("GOOGLETRANSLATE(D2514,""EN"",""JA"")"),"インスリン様成長因子-2")</f>
        <v>インスリン様成長因子-2</v>
      </c>
      <c r="I2514" s="1" t="str">
        <f>IFERROR(__xludf.DUMMYFUNCTION("GOOGLETRANSLATE(E2514,""EN"",""JA"")"),"インスリン様成長因子-2")</f>
        <v>インスリン様成長因子-2</v>
      </c>
      <c r="J2514" s="1" t="str">
        <f>IFERROR(__xludf.DUMMYFUNCTION("GOOGLETRANSLATE(F2514,""EN"",""JA"")"),"生物標本中のインスリン様成長因子-2の測定。")</f>
        <v>生物標本中のインスリン様成長因子-2の測定。</v>
      </c>
      <c r="K2514" s="1" t="str">
        <f>IFERROR(__xludf.DUMMYFUNCTION("GOOGLETRANSLATE(G2514,""EN"",""JA"")"),"インスリン様成長因子-2測定")</f>
        <v>インスリン様成長因子-2測定</v>
      </c>
    </row>
    <row r="2515" ht="13.5" customHeight="1">
      <c r="A2515" s="1" t="s">
        <v>11</v>
      </c>
      <c r="B2515" s="1" t="s">
        <v>12715</v>
      </c>
      <c r="C2515" s="1" t="s">
        <v>12716</v>
      </c>
      <c r="D2515" s="1" t="s">
        <v>12717</v>
      </c>
      <c r="E2515" s="1" t="s">
        <v>12718</v>
      </c>
      <c r="F2515" s="1" t="s">
        <v>12719</v>
      </c>
      <c r="G2515" s="1" t="s">
        <v>12720</v>
      </c>
      <c r="H2515" s="1" t="str">
        <f>IFERROR(__xludf.DUMMYFUNCTION("GOOGLETRANSLATE(D2515,""EN"",""JA"")"),"インスリン様成長因子結合タンパク質1")</f>
        <v>インスリン様成長因子結合タンパク質1</v>
      </c>
      <c r="I2515" s="1" t="str">
        <f>IFERROR(__xludf.DUMMYFUNCTION("GOOGLETRANSLATE(E2515,""EN"",""JA"")"),"インスリン様成長因子結合タンパク質1; インスリン様成長因子結合タンパク質1")</f>
        <v>インスリン様成長因子結合タンパク質1; インスリン様成長因子結合タンパク質1</v>
      </c>
      <c r="J2515" s="1" t="str">
        <f>IFERROR(__xludf.DUMMYFUNCTION("GOOGLETRANSLATE(F2515,""EN"",""JA"")"),"生物標本中のインスリン様成長因子結合タンパク質 1 の総量の測定。")</f>
        <v>生物標本中のインスリン様成長因子結合タンパク質 1 の総量の測定。</v>
      </c>
      <c r="K2515" s="1" t="str">
        <f>IFERROR(__xludf.DUMMYFUNCTION("GOOGLETRANSLATE(G2515,""EN"",""JA"")"),"インスリン様成長因子結合タンパク質1の測定")</f>
        <v>インスリン様成長因子結合タンパク質1の測定</v>
      </c>
    </row>
    <row r="2516" ht="13.5" customHeight="1">
      <c r="A2516" s="1" t="s">
        <v>11</v>
      </c>
      <c r="B2516" s="1" t="s">
        <v>12721</v>
      </c>
      <c r="C2516" s="1" t="s">
        <v>12722</v>
      </c>
      <c r="D2516" s="1" t="s">
        <v>12723</v>
      </c>
      <c r="E2516" s="1" t="s">
        <v>12724</v>
      </c>
      <c r="F2516" s="1" t="s">
        <v>12725</v>
      </c>
      <c r="G2516" s="1" t="s">
        <v>12726</v>
      </c>
      <c r="H2516" s="1" t="str">
        <f>IFERROR(__xludf.DUMMYFUNCTION("GOOGLETRANSLATE(D2516,""EN"",""JA"")"),"インスリン様成長因子結合タンパク質2")</f>
        <v>インスリン様成長因子結合タンパク質2</v>
      </c>
      <c r="I2516" s="1" t="str">
        <f>IFERROR(__xludf.DUMMYFUNCTION("GOOGLETRANSLATE(E2516,""EN"",""JA"")"),"インスリン様成長因子結合タンパク質2; インスリン様成長因子結合タンパク質2")</f>
        <v>インスリン様成長因子結合タンパク質2; インスリン様成長因子結合タンパク質2</v>
      </c>
      <c r="J2516" s="1" t="str">
        <f>IFERROR(__xludf.DUMMYFUNCTION("GOOGLETRANSLATE(F2516,""EN"",""JA"")"),"生物標本中のインスリン様成長因子結合タンパク質 2 の測定。")</f>
        <v>生物標本中のインスリン様成長因子結合タンパク質 2 の測定。</v>
      </c>
      <c r="K2516" s="1" t="str">
        <f>IFERROR(__xludf.DUMMYFUNCTION("GOOGLETRANSLATE(G2516,""EN"",""JA"")"),"インスリン様成長因子結合タンパク質2の測定")</f>
        <v>インスリン様成長因子結合タンパク質2の測定</v>
      </c>
    </row>
    <row r="2517" ht="13.5" customHeight="1">
      <c r="A2517" s="1" t="s">
        <v>11</v>
      </c>
      <c r="B2517" s="1" t="s">
        <v>12727</v>
      </c>
      <c r="C2517" s="1" t="s">
        <v>12728</v>
      </c>
      <c r="D2517" s="1" t="s">
        <v>12729</v>
      </c>
      <c r="E2517" s="1" t="s">
        <v>12730</v>
      </c>
      <c r="F2517" s="1" t="s">
        <v>12731</v>
      </c>
      <c r="G2517" s="1" t="s">
        <v>12732</v>
      </c>
      <c r="H2517" s="1" t="str">
        <f>IFERROR(__xludf.DUMMYFUNCTION("GOOGLETRANSLATE(D2517,""EN"",""JA"")"),"インスリン様成長因子結合タンパク質3")</f>
        <v>インスリン様成長因子結合タンパク質3</v>
      </c>
      <c r="I2517" s="1" t="str">
        <f>IFERROR(__xludf.DUMMYFUNCTION("GOOGLETRANSLATE(E2517,""EN"",""JA"")"),"インスリン様成長因子結合タンパク質3; インスリン様成長因子結合タンパク質3")</f>
        <v>インスリン様成長因子結合タンパク質3; インスリン様成長因子結合タンパク質3</v>
      </c>
      <c r="J2517" s="1" t="str">
        <f>IFERROR(__xludf.DUMMYFUNCTION("GOOGLETRANSLATE(F2517,""EN"",""JA"")"),"生物標本中のインスリン様成長因子結合タンパク質 3 の測定。")</f>
        <v>生物標本中のインスリン様成長因子結合タンパク質 3 の測定。</v>
      </c>
      <c r="K2517" s="1" t="str">
        <f>IFERROR(__xludf.DUMMYFUNCTION("GOOGLETRANSLATE(G2517,""EN"",""JA"")"),"インスリン様成長因子結合タンパク質3の測定")</f>
        <v>インスリン様成長因子結合タンパク質3の測定</v>
      </c>
    </row>
    <row r="2518" ht="13.5" customHeight="1">
      <c r="A2518" s="1" t="s">
        <v>11</v>
      </c>
      <c r="B2518" s="1" t="s">
        <v>12733</v>
      </c>
      <c r="C2518" s="1" t="s">
        <v>12734</v>
      </c>
      <c r="D2518" s="1" t="s">
        <v>12735</v>
      </c>
      <c r="E2518" s="1" t="s">
        <v>12736</v>
      </c>
      <c r="F2518" s="1" t="s">
        <v>12737</v>
      </c>
      <c r="G2518" s="1" t="s">
        <v>12738</v>
      </c>
      <c r="H2518" s="1" t="str">
        <f>IFERROR(__xludf.DUMMYFUNCTION("GOOGLETRANSLATE(D2518,""EN"",""JA"")"),"インスリン様成長因子結合タンパク質7")</f>
        <v>インスリン様成長因子結合タンパク質7</v>
      </c>
      <c r="I2518" s="1" t="str">
        <f>IFERROR(__xludf.DUMMYFUNCTION("GOOGLETRANSLATE(E2518,""EN"",""JA"")"),"AGM; FSTL2; IBP-7; IGFBP-7; IGFBP-7v; IGFBPRP1; インスリン様成長因子結合タンパク質7; インスリン様成長因子結合タンパク質7; MAC25; PSF; RAMSVPS; TAF")</f>
        <v>AGM; FSTL2; IBP-7; IGFBP-7; IGFBP-7v; IGFBPRP1; インスリン様成長因子結合タンパク質7; インスリン様成長因子結合タンパク質7; MAC25; PSF; RAMSVPS; TAF</v>
      </c>
      <c r="J2518" s="1" t="str">
        <f>IFERROR(__xludf.DUMMYFUNCTION("GOOGLETRANSLATE(F2518,""EN"",""JA"")"),"生物標本中のインスリン様成長因子結合タンパク質 7 の測定。")</f>
        <v>生物標本中のインスリン様成長因子結合タンパク質 7 の測定。</v>
      </c>
      <c r="K2518" s="1" t="str">
        <f>IFERROR(__xludf.DUMMYFUNCTION("GOOGLETRANSLATE(G2518,""EN"",""JA"")"),"インスリン様成長因子結合タンパク質7の測定")</f>
        <v>インスリン様成長因子結合タンパク質7の測定</v>
      </c>
    </row>
    <row r="2519" ht="13.5" customHeight="1">
      <c r="A2519" s="1" t="s">
        <v>11</v>
      </c>
      <c r="B2519" s="1" t="s">
        <v>12739</v>
      </c>
      <c r="C2519" s="1" t="s">
        <v>12740</v>
      </c>
      <c r="D2519" s="1" t="s">
        <v>12741</v>
      </c>
      <c r="E2519" s="1" t="s">
        <v>12741</v>
      </c>
      <c r="F2519" s="1" t="s">
        <v>12742</v>
      </c>
      <c r="G2519" s="1" t="s">
        <v>12743</v>
      </c>
      <c r="H2519" s="1" t="str">
        <f>IFERROR(__xludf.DUMMYFUNCTION("GOOGLETRANSLATE(D2519,""EN"",""JA"")"),"免疫グロブリンG")</f>
        <v>免疫グロブリンG</v>
      </c>
      <c r="I2519" s="1" t="str">
        <f>IFERROR(__xludf.DUMMYFUNCTION("GOOGLETRANSLATE(E2519,""EN"",""JA"")"),"免疫グロブリンG")</f>
        <v>免疫グロブリンG</v>
      </c>
      <c r="J2519" s="1" t="str">
        <f>IFERROR(__xludf.DUMMYFUNCTION("GOOGLETRANSLATE(F2519,""EN"",""JA"")"),"生物標本中の総免疫グロブリン G の測定。")</f>
        <v>生物標本中の総免疫グロブリン G の測定。</v>
      </c>
      <c r="K2519" s="1" t="str">
        <f>IFERROR(__xludf.DUMMYFUNCTION("GOOGLETRANSLATE(G2519,""EN"",""JA"")"),"免疫グロブリンG測定")</f>
        <v>免疫グロブリンG測定</v>
      </c>
    </row>
    <row r="2520" ht="13.5" customHeight="1">
      <c r="A2520" s="1" t="s">
        <v>11</v>
      </c>
      <c r="B2520" s="1" t="s">
        <v>12744</v>
      </c>
      <c r="C2520" s="1" t="s">
        <v>12745</v>
      </c>
      <c r="D2520" s="1" t="s">
        <v>12746</v>
      </c>
      <c r="E2520" s="1" t="s">
        <v>12746</v>
      </c>
      <c r="F2520" s="1" t="s">
        <v>12747</v>
      </c>
      <c r="G2520" s="1" t="s">
        <v>12748</v>
      </c>
      <c r="H2520" s="1" t="str">
        <f>IFERROR(__xludf.DUMMYFUNCTION("GOOGLETRANSLATE(D2520,""EN"",""JA"")"),"免疫グロブリンGサブクラス1")</f>
        <v>免疫グロブリンGサブクラス1</v>
      </c>
      <c r="I2520" s="1" t="str">
        <f>IFERROR(__xludf.DUMMYFUNCTION("GOOGLETRANSLATE(E2520,""EN"",""JA"")"),"免疫グロブリンGサブクラス1")</f>
        <v>免疫グロブリンGサブクラス1</v>
      </c>
      <c r="J2520" s="1" t="str">
        <f>IFERROR(__xludf.DUMMYFUNCTION("GOOGLETRANSLATE(F2520,""EN"",""JA"")"),"生物標本中の免疫グロブリン G サブクラス 1 の測定。")</f>
        <v>生物標本中の免疫グロブリン G サブクラス 1 の測定。</v>
      </c>
      <c r="K2520" s="1" t="str">
        <f>IFERROR(__xludf.DUMMYFUNCTION("GOOGLETRANSLATE(G2520,""EN"",""JA"")"),"免疫グロブリンGサブクラス1測定")</f>
        <v>免疫グロブリンGサブクラス1測定</v>
      </c>
    </row>
    <row r="2521" ht="13.5" customHeight="1">
      <c r="A2521" s="1" t="s">
        <v>11</v>
      </c>
      <c r="B2521" s="1" t="s">
        <v>12749</v>
      </c>
      <c r="C2521" s="1" t="s">
        <v>12750</v>
      </c>
      <c r="D2521" s="1" t="s">
        <v>12751</v>
      </c>
      <c r="E2521" s="1" t="s">
        <v>12751</v>
      </c>
      <c r="F2521" s="1" t="s">
        <v>12752</v>
      </c>
      <c r="G2521" s="1" t="s">
        <v>12753</v>
      </c>
      <c r="H2521" s="1" t="str">
        <f>IFERROR(__xludf.DUMMYFUNCTION("GOOGLETRANSLATE(D2521,""EN"",""JA"")"),"免疫グロブリンGサブクラス2")</f>
        <v>免疫グロブリンGサブクラス2</v>
      </c>
      <c r="I2521" s="1" t="str">
        <f>IFERROR(__xludf.DUMMYFUNCTION("GOOGLETRANSLATE(E2521,""EN"",""JA"")"),"免疫グロブリンGサブクラス2")</f>
        <v>免疫グロブリンGサブクラス2</v>
      </c>
      <c r="J2521" s="1" t="str">
        <f>IFERROR(__xludf.DUMMYFUNCTION("GOOGLETRANSLATE(F2521,""EN"",""JA"")"),"生物標本中の免疫グロブリン G サブクラス 2 の測定。")</f>
        <v>生物標本中の免疫グロブリン G サブクラス 2 の測定。</v>
      </c>
      <c r="K2521" s="1" t="str">
        <f>IFERROR(__xludf.DUMMYFUNCTION("GOOGLETRANSLATE(G2521,""EN"",""JA"")"),"免疫グロブリンGサブクラス2測定")</f>
        <v>免疫グロブリンGサブクラス2測定</v>
      </c>
    </row>
    <row r="2522" ht="13.5" customHeight="1">
      <c r="A2522" s="1" t="s">
        <v>11</v>
      </c>
      <c r="B2522" s="1" t="s">
        <v>12754</v>
      </c>
      <c r="C2522" s="1" t="s">
        <v>12755</v>
      </c>
      <c r="D2522" s="1" t="s">
        <v>12756</v>
      </c>
      <c r="E2522" s="1" t="s">
        <v>12756</v>
      </c>
      <c r="F2522" s="1" t="s">
        <v>12757</v>
      </c>
      <c r="G2522" s="1" t="s">
        <v>12758</v>
      </c>
      <c r="H2522" s="1" t="str">
        <f>IFERROR(__xludf.DUMMYFUNCTION("GOOGLETRANSLATE(D2522,""EN"",""JA"")"),"免疫グロブリンGサブクラス3")</f>
        <v>免疫グロブリンGサブクラス3</v>
      </c>
      <c r="I2522" s="1" t="str">
        <f>IFERROR(__xludf.DUMMYFUNCTION("GOOGLETRANSLATE(E2522,""EN"",""JA"")"),"免疫グロブリンGサブクラス3")</f>
        <v>免疫グロブリンGサブクラス3</v>
      </c>
      <c r="J2522" s="1" t="str">
        <f>IFERROR(__xludf.DUMMYFUNCTION("GOOGLETRANSLATE(F2522,""EN"",""JA"")"),"生物標本中の免疫グロブリン G サブクラス 3 の測定。")</f>
        <v>生物標本中の免疫グロブリン G サブクラス 3 の測定。</v>
      </c>
      <c r="K2522" s="1" t="str">
        <f>IFERROR(__xludf.DUMMYFUNCTION("GOOGLETRANSLATE(G2522,""EN"",""JA"")"),"免疫グロブリンGサブクラス3測定")</f>
        <v>免疫グロブリンGサブクラス3測定</v>
      </c>
    </row>
    <row r="2523" ht="13.5" customHeight="1">
      <c r="A2523" s="1" t="s">
        <v>11</v>
      </c>
      <c r="B2523" s="1" t="s">
        <v>12759</v>
      </c>
      <c r="C2523" s="1" t="s">
        <v>12760</v>
      </c>
      <c r="D2523" s="1" t="s">
        <v>12761</v>
      </c>
      <c r="E2523" s="1" t="s">
        <v>12761</v>
      </c>
      <c r="F2523" s="1" t="s">
        <v>12762</v>
      </c>
      <c r="G2523" s="1" t="s">
        <v>12763</v>
      </c>
      <c r="H2523" s="1" t="str">
        <f>IFERROR(__xludf.DUMMYFUNCTION("GOOGLETRANSLATE(D2523,""EN"",""JA"")"),"免疫グロブリンGサブクラス4")</f>
        <v>免疫グロブリンGサブクラス4</v>
      </c>
      <c r="I2523" s="1" t="str">
        <f>IFERROR(__xludf.DUMMYFUNCTION("GOOGLETRANSLATE(E2523,""EN"",""JA"")"),"免疫グロブリンGサブクラス4")</f>
        <v>免疫グロブリンGサブクラス4</v>
      </c>
      <c r="J2523" s="1" t="str">
        <f>IFERROR(__xludf.DUMMYFUNCTION("GOOGLETRANSLATE(F2523,""EN"",""JA"")"),"生物標本中の免疫グロブリン G サブクラス 4 の測定。")</f>
        <v>生物標本中の免疫グロブリン G サブクラス 4 の測定。</v>
      </c>
      <c r="K2523" s="1" t="str">
        <f>IFERROR(__xludf.DUMMYFUNCTION("GOOGLETRANSLATE(G2523,""EN"",""JA"")"),"免疫グロブリンGサブクラス4測定")</f>
        <v>免疫グロブリンGサブクラス4測定</v>
      </c>
    </row>
    <row r="2524" ht="13.5" customHeight="1">
      <c r="A2524" s="1" t="s">
        <v>11</v>
      </c>
      <c r="B2524" s="1" t="s">
        <v>12764</v>
      </c>
      <c r="C2524" s="1" t="s">
        <v>12765</v>
      </c>
      <c r="D2524" s="1" t="s">
        <v>12766</v>
      </c>
      <c r="E2524" s="1" t="s">
        <v>12767</v>
      </c>
      <c r="F2524" s="1" t="s">
        <v>12768</v>
      </c>
      <c r="G2524" s="1" t="s">
        <v>12769</v>
      </c>
      <c r="H2524" s="1" t="str">
        <f>IFERROR(__xludf.DUMMYFUNCTION("GOOGLETRANSLATE(D2524,""EN"",""JA"")"),"免疫グロブリンG/アルブミン")</f>
        <v>免疫グロブリンG/アルブミン</v>
      </c>
      <c r="I2524" s="1" t="str">
        <f>IFERROR(__xludf.DUMMYFUNCTION("GOOGLETRANSLATE(E2524,""EN"",""JA"")"),"IgG/アルブミン; 免疫グロブリンG/アルブミン")</f>
        <v>IgG/アルブミン; 免疫グロブリンG/アルブミン</v>
      </c>
      <c r="J2524" s="1" t="str">
        <f>IFERROR(__xludf.DUMMYFUNCTION("GOOGLETRANSLATE(F2524,""EN"",""JA"")"),"生物学的標本中のアルブミンに対する免疫グロブリン G の相対的な測定値 (比率またはパーセンテージ)。")</f>
        <v>生物学的標本中のアルブミンに対する免疫グロブリン G の相対的な測定値 (比率またはパーセンテージ)。</v>
      </c>
      <c r="K2524" s="1" t="str">
        <f>IFERROR(__xludf.DUMMYFUNCTION("GOOGLETRANSLATE(G2524,""EN"",""JA"")"),"免疫グロブリンGとアルブミンの比率測定")</f>
        <v>免疫グロブリンGとアルブミンの比率測定</v>
      </c>
    </row>
    <row r="2525" ht="13.5" customHeight="1">
      <c r="A2525" s="1" t="s">
        <v>11</v>
      </c>
      <c r="B2525" s="1" t="s">
        <v>12770</v>
      </c>
      <c r="C2525" s="1" t="s">
        <v>12771</v>
      </c>
      <c r="D2525" s="1" t="s">
        <v>12772</v>
      </c>
      <c r="E2525" s="1" t="s">
        <v>12772</v>
      </c>
      <c r="F2525" s="1" t="s">
        <v>12773</v>
      </c>
      <c r="G2525" s="1" t="s">
        <v>12772</v>
      </c>
      <c r="H2525" s="1" t="str">
        <f>IFERROR(__xludf.DUMMYFUNCTION("GOOGLETRANSLATE(D2525,""EN"",""JA"")"),"IgGクリアランス")</f>
        <v>IgGクリアランス</v>
      </c>
      <c r="I2525" s="1" t="str">
        <f>IFERROR(__xludf.DUMMYFUNCTION("GOOGLETRANSLATE(E2525,""EN"",""JA"")"),"IgGクリアランス")</f>
        <v>IgGクリアランス</v>
      </c>
      <c r="J2525" s="1" t="str">
        <f>IFERROR(__xludf.DUMMYFUNCTION("GOOGLETRANSLATE(F2525,""EN"",""JA"")"),"生物学的標本中の IgG クリアランスの測定。")</f>
        <v>生物学的標本中の IgG クリアランスの測定。</v>
      </c>
      <c r="K2525" s="1" t="str">
        <f>IFERROR(__xludf.DUMMYFUNCTION("GOOGLETRANSLATE(G2525,""EN"",""JA"")"),"IgGクリアランス")</f>
        <v>IgGクリアランス</v>
      </c>
    </row>
    <row r="2526" ht="13.5" customHeight="1">
      <c r="A2526" s="1" t="s">
        <v>11</v>
      </c>
      <c r="B2526" s="1" t="s">
        <v>12774</v>
      </c>
      <c r="C2526" s="1" t="s">
        <v>12775</v>
      </c>
      <c r="D2526" s="1" t="s">
        <v>12776</v>
      </c>
      <c r="E2526" s="1" t="s">
        <v>12776</v>
      </c>
      <c r="F2526" s="1" t="s">
        <v>12777</v>
      </c>
      <c r="G2526" s="1" t="s">
        <v>12778</v>
      </c>
      <c r="H2526" s="1" t="str">
        <f>IFERROR(__xludf.DUMMYFUNCTION("GOOGLETRANSLATE(D2526,""EN"",""JA"")"),"IgGクリアランス/アルブミンクリアランス")</f>
        <v>IgGクリアランス/アルブミンクリアランス</v>
      </c>
      <c r="I2526" s="1" t="str">
        <f>IFERROR(__xludf.DUMMYFUNCTION("GOOGLETRANSLATE(E2526,""EN"",""JA"")"),"IgGクリアランス/アルブミンクリアランス")</f>
        <v>IgGクリアランス/アルブミンクリアランス</v>
      </c>
      <c r="J2526" s="1" t="str">
        <f>IFERROR(__xludf.DUMMYFUNCTION("GOOGLETRANSLATE(F2526,""EN"",""JA"")"),"生物学的標本における IgG クリアランスとアルブミン クリアランスの相対的な測定値 (比率)。")</f>
        <v>生物学的標本における IgG クリアランスとアルブミン クリアランスの相対的な測定値 (比率)。</v>
      </c>
      <c r="K2526" s="1" t="str">
        <f>IFERROR(__xludf.DUMMYFUNCTION("GOOGLETRANSLATE(G2526,""EN"",""JA"")"),"IgGクリアランスとアルブミンクリアランス比の測定")</f>
        <v>IgGクリアランスとアルブミンクリアランス比の測定</v>
      </c>
    </row>
    <row r="2527" ht="13.5" customHeight="1">
      <c r="A2527" s="1" t="s">
        <v>11</v>
      </c>
      <c r="B2527" s="1" t="s">
        <v>12779</v>
      </c>
      <c r="C2527" s="1" t="s">
        <v>12780</v>
      </c>
      <c r="D2527" s="1" t="s">
        <v>12781</v>
      </c>
      <c r="E2527" s="1" t="s">
        <v>12781</v>
      </c>
      <c r="F2527" s="1" t="s">
        <v>12782</v>
      </c>
      <c r="G2527" s="1" t="s">
        <v>12783</v>
      </c>
      <c r="H2527" s="1" t="str">
        <f>IFERROR(__xludf.DUMMYFUNCTION("GOOGLETRANSLATE(D2527,""EN"",""JA"")"),"免疫グロブリンG/クレアチニン")</f>
        <v>免疫グロブリンG/クレアチニン</v>
      </c>
      <c r="I2527" s="1" t="str">
        <f>IFERROR(__xludf.DUMMYFUNCTION("GOOGLETRANSLATE(E2527,""EN"",""JA"")"),"免疫グロブリンG/クレアチニン")</f>
        <v>免疫グロブリンG/クレアチニン</v>
      </c>
      <c r="J2527" s="1" t="str">
        <f>IFERROR(__xludf.DUMMYFUNCTION("GOOGLETRANSLATE(F2527,""EN"",""JA"")"),"生物学的標本中のクレアチニンに対する免疫グロブリン G の相対的な測定値 (比率またはパーセンテージ)。")</f>
        <v>生物学的標本中のクレアチニンに対する免疫グロブリン G の相対的な測定値 (比率またはパーセンテージ)。</v>
      </c>
      <c r="K2527" s="1" t="str">
        <f>IFERROR(__xludf.DUMMYFUNCTION("GOOGLETRANSLATE(G2527,""EN"",""JA"")"),"免疫グロブリンGとクレアチニンの比の測定")</f>
        <v>免疫グロブリンGとクレアチニンの比の測定</v>
      </c>
    </row>
    <row r="2528" ht="13.5" customHeight="1">
      <c r="A2528" s="1" t="s">
        <v>11</v>
      </c>
      <c r="B2528" s="1" t="s">
        <v>12784</v>
      </c>
      <c r="C2528" s="1" t="s">
        <v>12785</v>
      </c>
      <c r="D2528" s="1" t="s">
        <v>12786</v>
      </c>
      <c r="E2528" s="1" t="s">
        <v>12786</v>
      </c>
      <c r="F2528" s="1" t="s">
        <v>12787</v>
      </c>
      <c r="G2528" s="1" t="s">
        <v>12786</v>
      </c>
      <c r="H2528" s="1" t="str">
        <f>IFERROR(__xludf.DUMMYFUNCTION("GOOGLETRANSLATE(D2528,""EN"",""JA"")"),"IgG合成速度")</f>
        <v>IgG合成速度</v>
      </c>
      <c r="I2528" s="1" t="str">
        <f>IFERROR(__xludf.DUMMYFUNCTION("GOOGLETRANSLATE(E2528,""EN"",""JA"")"),"IgG合成速度")</f>
        <v>IgG合成速度</v>
      </c>
      <c r="J2528" s="1" t="str">
        <f>IFERROR(__xludf.DUMMYFUNCTION("GOOGLETRANSLATE(F2528,""EN"",""JA"")"),"生物学的標本における IgG 合成速度の測定。")</f>
        <v>生物学的標本における IgG 合成速度の測定。</v>
      </c>
      <c r="K2528" s="1" t="str">
        <f>IFERROR(__xludf.DUMMYFUNCTION("GOOGLETRANSLATE(G2528,""EN"",""JA"")"),"IgG合成速度")</f>
        <v>IgG合成速度</v>
      </c>
    </row>
    <row r="2529" ht="13.5" customHeight="1">
      <c r="A2529" s="1" t="s">
        <v>11</v>
      </c>
      <c r="B2529" s="1" t="s">
        <v>12788</v>
      </c>
      <c r="C2529" s="1" t="s">
        <v>12789</v>
      </c>
      <c r="D2529" s="1" t="s">
        <v>12790</v>
      </c>
      <c r="E2529" s="1" t="s">
        <v>12790</v>
      </c>
      <c r="F2529" s="1" t="s">
        <v>12791</v>
      </c>
      <c r="G2529" s="1" t="s">
        <v>12792</v>
      </c>
      <c r="H2529" s="1" t="str">
        <f>IFERROR(__xludf.DUMMYFUNCTION("GOOGLETRANSLATE(D2529,""EN"",""JA"")"),"免疫グロブリン重鎖定常ガンマ2")</f>
        <v>免疫グロブリン重鎖定常ガンマ2</v>
      </c>
      <c r="I2529" s="1" t="str">
        <f>IFERROR(__xludf.DUMMYFUNCTION("GOOGLETRANSLATE(E2529,""EN"",""JA"")"),"免疫グロブリン重鎖定常ガンマ2")</f>
        <v>免疫グロブリン重鎖定常ガンマ2</v>
      </c>
      <c r="J2529" s="1" t="str">
        <f>IFERROR(__xludf.DUMMYFUNCTION("GOOGLETRANSLATE(F2529,""EN"",""JA"")"),"生物標本中の免疫グロブリン重定数ガンマ 2 の測定。")</f>
        <v>生物標本中の免疫グロブリン重定数ガンマ 2 の測定。</v>
      </c>
      <c r="K2529" s="1" t="str">
        <f>IFERROR(__xludf.DUMMYFUNCTION("GOOGLETRANSLATE(G2529,""EN"",""JA"")"),"免疫グロブリン重鎖定常ガンマ2測定")</f>
        <v>免疫グロブリン重鎖定常ガンマ2測定</v>
      </c>
    </row>
    <row r="2530" ht="13.5" customHeight="1">
      <c r="A2530" s="1" t="s">
        <v>11</v>
      </c>
      <c r="B2530" s="1" t="s">
        <v>12793</v>
      </c>
      <c r="C2530" s="1" t="s">
        <v>12794</v>
      </c>
      <c r="D2530" s="1" t="s">
        <v>12795</v>
      </c>
      <c r="E2530" s="1" t="s">
        <v>12795</v>
      </c>
      <c r="F2530" s="1" t="s">
        <v>12796</v>
      </c>
      <c r="G2530" s="1" t="s">
        <v>12797</v>
      </c>
      <c r="H2530" s="1" t="str">
        <f>IFERROR(__xludf.DUMMYFUNCTION("GOOGLETRANSLATE(D2530,""EN"",""JA"")"),"免疫グロブリン重鎖定常ガンマ4")</f>
        <v>免疫グロブリン重鎖定常ガンマ4</v>
      </c>
      <c r="I2530" s="1" t="str">
        <f>IFERROR(__xludf.DUMMYFUNCTION("GOOGLETRANSLATE(E2530,""EN"",""JA"")"),"免疫グロブリン重鎖定常ガンマ4")</f>
        <v>免疫グロブリン重鎖定常ガンマ4</v>
      </c>
      <c r="J2530" s="1" t="str">
        <f>IFERROR(__xludf.DUMMYFUNCTION("GOOGLETRANSLATE(F2530,""EN"",""JA"")"),"生物標本中の免疫グロブリン重定数ガンマ 4 の測定。")</f>
        <v>生物標本中の免疫グロブリン重定数ガンマ 4 の測定。</v>
      </c>
      <c r="K2530" s="1" t="str">
        <f>IFERROR(__xludf.DUMMYFUNCTION("GOOGLETRANSLATE(G2530,""EN"",""JA"")"),"免疫グロブリン重鎖定常ガンマ4測定")</f>
        <v>免疫グロブリン重鎖定常ガンマ4測定</v>
      </c>
    </row>
    <row r="2531" ht="13.5" customHeight="1">
      <c r="A2531" s="1" t="s">
        <v>11</v>
      </c>
      <c r="B2531" s="1" t="s">
        <v>12798</v>
      </c>
      <c r="C2531" s="1" t="s">
        <v>12799</v>
      </c>
      <c r="D2531" s="1" t="s">
        <v>12800</v>
      </c>
      <c r="E2531" s="1" t="s">
        <v>12800</v>
      </c>
      <c r="F2531" s="1" t="s">
        <v>12801</v>
      </c>
      <c r="G2531" s="1" t="s">
        <v>12802</v>
      </c>
      <c r="H2531" s="1" t="str">
        <f>IFERROR(__xludf.DUMMYFUNCTION("GOOGLETRANSLATE(D2531,""EN"",""JA"")"),"免疫グロブリンM")</f>
        <v>免疫グロブリンM</v>
      </c>
      <c r="I2531" s="1" t="str">
        <f>IFERROR(__xludf.DUMMYFUNCTION("GOOGLETRANSLATE(E2531,""EN"",""JA"")"),"免疫グロブリンM")</f>
        <v>免疫グロブリンM</v>
      </c>
      <c r="J2531" s="1" t="str">
        <f>IFERROR(__xludf.DUMMYFUNCTION("GOOGLETRANSLATE(F2531,""EN"",""JA"")"),"生物標本中の総免疫グロブリン M の測定。")</f>
        <v>生物標本中の総免疫グロブリン M の測定。</v>
      </c>
      <c r="K2531" s="1" t="str">
        <f>IFERROR(__xludf.DUMMYFUNCTION("GOOGLETRANSLATE(G2531,""EN"",""JA"")"),"免疫グロブリンM測定")</f>
        <v>免疫グロブリンM測定</v>
      </c>
    </row>
    <row r="2532" ht="13.5" customHeight="1">
      <c r="A2532" s="1" t="s">
        <v>11</v>
      </c>
      <c r="B2532" s="1" t="s">
        <v>12803</v>
      </c>
      <c r="C2532" s="1" t="s">
        <v>12804</v>
      </c>
      <c r="D2532" s="1" t="s">
        <v>12805</v>
      </c>
      <c r="E2532" s="1" t="s">
        <v>12805</v>
      </c>
      <c r="F2532" s="1" t="s">
        <v>12806</v>
      </c>
      <c r="G2532" s="1" t="s">
        <v>12807</v>
      </c>
      <c r="H2532" s="1" t="str">
        <f>IFERROR(__xludf.DUMMYFUNCTION("GOOGLETRANSLATE(D2532,""EN"",""JA"")"),"可溶性免疫グロブリン")</f>
        <v>可溶性免疫グロブリン</v>
      </c>
      <c r="I2532" s="1" t="str">
        <f>IFERROR(__xludf.DUMMYFUNCTION("GOOGLETRANSLATE(E2532,""EN"",""JA"")"),"可溶性免疫グロブリン")</f>
        <v>可溶性免疫グロブリン</v>
      </c>
      <c r="J2532" s="1" t="str">
        <f>IFERROR(__xludf.DUMMYFUNCTION("GOOGLETRANSLATE(F2532,""EN"",""JA"")"),"生物学的標本中の可溶性総免疫グロブリンの測定。")</f>
        <v>生物学的標本中の可溶性総免疫グロブリンの測定。</v>
      </c>
      <c r="K2532" s="1" t="str">
        <f>IFERROR(__xludf.DUMMYFUNCTION("GOOGLETRANSLATE(G2532,""EN"",""JA"")"),"可溶性免疫グロブリン測定")</f>
        <v>可溶性免疫グロブリン測定</v>
      </c>
    </row>
    <row r="2533" ht="13.5" customHeight="1">
      <c r="A2533" s="1" t="s">
        <v>11</v>
      </c>
      <c r="B2533" s="1" t="s">
        <v>12808</v>
      </c>
      <c r="C2533" s="1" t="s">
        <v>12809</v>
      </c>
      <c r="D2533" s="1" t="s">
        <v>12810</v>
      </c>
      <c r="E2533" s="1" t="s">
        <v>12810</v>
      </c>
      <c r="F2533" s="1" t="s">
        <v>12811</v>
      </c>
      <c r="G2533" s="1" t="s">
        <v>12812</v>
      </c>
      <c r="H2533" s="1" t="str">
        <f>IFERROR(__xludf.DUMMYFUNCTION("GOOGLETRANSLATE(D2533,""EN"",""JA"")"),"インターロイキン12+23 p40")</f>
        <v>インターロイキン12+23 p40</v>
      </c>
      <c r="I2533" s="1" t="str">
        <f>IFERROR(__xludf.DUMMYFUNCTION("GOOGLETRANSLATE(E2533,""EN"",""JA"")"),"インターロイキン12+23 p40")</f>
        <v>インターロイキン12+23 p40</v>
      </c>
      <c r="J2533" s="1" t="str">
        <f>IFERROR(__xludf.DUMMYFUNCTION("GOOGLETRANSLATE(F2533,""EN"",""JA"")"),"生物標本中のインターロイキン 12 および 23 の p40 サブユニットの測定。")</f>
        <v>生物標本中のインターロイキン 12 および 23 の p40 サブユニットの測定。</v>
      </c>
      <c r="K2533" s="1" t="str">
        <f>IFERROR(__xludf.DUMMYFUNCTION("GOOGLETRANSLATE(G2533,""EN"",""JA"")"),"インターロイキン12+23 p40測定")</f>
        <v>インターロイキン12+23 p40測定</v>
      </c>
    </row>
    <row r="2534" ht="13.5" customHeight="1">
      <c r="A2534" s="1" t="s">
        <v>11</v>
      </c>
      <c r="B2534" s="1" t="s">
        <v>12813</v>
      </c>
      <c r="C2534" s="1" t="s">
        <v>12814</v>
      </c>
      <c r="D2534" s="1" t="s">
        <v>12815</v>
      </c>
      <c r="E2534" s="1" t="s">
        <v>12815</v>
      </c>
      <c r="F2534" s="1" t="s">
        <v>12816</v>
      </c>
      <c r="G2534" s="1" t="s">
        <v>12817</v>
      </c>
      <c r="H2534" s="1" t="str">
        <f>IFERROR(__xludf.DUMMYFUNCTION("GOOGLETRANSLATE(D2534,""EN"",""JA"")"),"インターロイキン18結合タンパク質")</f>
        <v>インターロイキン18結合タンパク質</v>
      </c>
      <c r="I2534" s="1" t="str">
        <f>IFERROR(__xludf.DUMMYFUNCTION("GOOGLETRANSLATE(E2534,""EN"",""JA"")"),"インターロイキン18結合タンパク質")</f>
        <v>インターロイキン18結合タンパク質</v>
      </c>
      <c r="J2534" s="1" t="str">
        <f>IFERROR(__xludf.DUMMYFUNCTION("GOOGLETRANSLATE(F2534,""EN"",""JA"")"),"生物標本中のインターロイキン 18 結合タンパク質の測定。")</f>
        <v>生物標本中のインターロイキン 18 結合タンパク質の測定。</v>
      </c>
      <c r="K2534" s="1" t="str">
        <f>IFERROR(__xludf.DUMMYFUNCTION("GOOGLETRANSLATE(G2534,""EN"",""JA"")"),"インターロイキン18結合タンパク質測定")</f>
        <v>インターロイキン18結合タンパク質測定</v>
      </c>
    </row>
    <row r="2535" ht="13.5" customHeight="1">
      <c r="A2535" s="1" t="s">
        <v>11</v>
      </c>
      <c r="B2535" s="1" t="s">
        <v>12818</v>
      </c>
      <c r="C2535" s="1" t="s">
        <v>12819</v>
      </c>
      <c r="D2535" s="1" t="s">
        <v>12820</v>
      </c>
      <c r="E2535" s="1" t="s">
        <v>12820</v>
      </c>
      <c r="F2535" s="1" t="s">
        <v>12821</v>
      </c>
      <c r="G2535" s="1" t="s">
        <v>12820</v>
      </c>
      <c r="H2535" s="1" t="str">
        <f>IFERROR(__xludf.DUMMYFUNCTION("GOOGLETRANSLATE(D2535,""EN"",""JA"")"),"インターロイキン18排泄率")</f>
        <v>インターロイキン18排泄率</v>
      </c>
      <c r="I2535" s="1" t="str">
        <f>IFERROR(__xludf.DUMMYFUNCTION("GOOGLETRANSLATE(E2535,""EN"",""JA"")"),"インターロイキン18排泄率")</f>
        <v>インターロイキン18排泄率</v>
      </c>
      <c r="J2535" s="1" t="str">
        <f>IFERROR(__xludf.DUMMYFUNCTION("GOOGLETRANSLATE(F2535,""EN"",""JA"")"),"定義された期間（例：1 時間）にわたって生物学的標本中に排出されるインターロイキン 18 の量を測定します。")</f>
        <v>定義された期間（例：1 時間）にわたって生物学的標本中に排出されるインターロイキン 18 の量を測定します。</v>
      </c>
      <c r="K2535" s="1" t="str">
        <f>IFERROR(__xludf.DUMMYFUNCTION("GOOGLETRANSLATE(G2535,""EN"",""JA"")"),"インターロイキン18排泄率")</f>
        <v>インターロイキン18排泄率</v>
      </c>
    </row>
    <row r="2536" ht="13.5" customHeight="1">
      <c r="A2536" s="1" t="s">
        <v>11</v>
      </c>
      <c r="B2536" s="1" t="s">
        <v>12822</v>
      </c>
      <c r="C2536" s="1" t="s">
        <v>12823</v>
      </c>
      <c r="D2536" s="1" t="s">
        <v>12824</v>
      </c>
      <c r="E2536" s="1" t="s">
        <v>12824</v>
      </c>
      <c r="F2536" s="1" t="s">
        <v>12825</v>
      </c>
      <c r="G2536" s="1" t="s">
        <v>12824</v>
      </c>
      <c r="H2536" s="1" t="str">
        <f>IFERROR(__xludf.DUMMYFUNCTION("GOOGLETRANSLATE(D2536,""EN"",""JA"")"),"インターロイキン1排泄率")</f>
        <v>インターロイキン1排泄率</v>
      </c>
      <c r="I2536" s="1" t="str">
        <f>IFERROR(__xludf.DUMMYFUNCTION("GOOGLETRANSLATE(E2536,""EN"",""JA"")"),"インターロイキン1排泄率")</f>
        <v>インターロイキン1排泄率</v>
      </c>
      <c r="J2536" s="1" t="str">
        <f>IFERROR(__xludf.DUMMYFUNCTION("GOOGLETRANSLATE(F2536,""EN"",""JA"")"),"定義された期間（例：1 時間）にわたって生物学的標本中に排出されるインターロイキン 1 の量を測定します。")</f>
        <v>定義された期間（例：1 時間）にわたって生物学的標本中に排出されるインターロイキン 1 の量を測定します。</v>
      </c>
      <c r="K2536" s="1" t="str">
        <f>IFERROR(__xludf.DUMMYFUNCTION("GOOGLETRANSLATE(G2536,""EN"",""JA"")"),"インターロイキン1排泄率")</f>
        <v>インターロイキン1排泄率</v>
      </c>
    </row>
    <row r="2537" ht="13.5" customHeight="1">
      <c r="A2537" s="1" t="s">
        <v>11</v>
      </c>
      <c r="B2537" s="1" t="s">
        <v>12826</v>
      </c>
      <c r="C2537" s="1" t="s">
        <v>12827</v>
      </c>
      <c r="D2537" s="1" t="s">
        <v>12828</v>
      </c>
      <c r="E2537" s="1" t="s">
        <v>12829</v>
      </c>
      <c r="F2537" s="1" t="s">
        <v>12830</v>
      </c>
      <c r="G2537" s="1" t="s">
        <v>12831</v>
      </c>
      <c r="H2537" s="1" t="str">
        <f>IFERROR(__xludf.DUMMYFUNCTION("GOOGLETRANSLATE(D2537,""EN"",""JA"")"),"インターロイキン1受容体2型")</f>
        <v>インターロイキン1受容体2型</v>
      </c>
      <c r="I2537" s="1" t="str">
        <f>IFERROR(__xludf.DUMMYFUNCTION("GOOGLETRANSLATE(E2537,""EN"",""JA"")"),"CDw121b; IL-1R-2; IL-1RT2; IL1R2c; IL1RB; インターロイキン1受容体2型; 可溶性CD121b")</f>
        <v>CDw121b; IL-1R-2; IL-1RT2; IL1R2c; IL1RB; インターロイキン1受容体2型; 可溶性CD121b</v>
      </c>
      <c r="J2537" s="1" t="str">
        <f>IFERROR(__xludf.DUMMYFUNCTION("GOOGLETRANSLATE(F2537,""EN"",""JA"")"),"生物標本中のインターロイキン 1 受容体タイプ 2 の測定。")</f>
        <v>生物標本中のインターロイキン 1 受容体タイプ 2 の測定。</v>
      </c>
      <c r="K2537" s="1" t="str">
        <f>IFERROR(__xludf.DUMMYFUNCTION("GOOGLETRANSLATE(G2537,""EN"",""JA"")"),"インターロイキン1受容体2型測定")</f>
        <v>インターロイキン1受容体2型測定</v>
      </c>
    </row>
    <row r="2538" ht="13.5" customHeight="1">
      <c r="A2538" s="1" t="s">
        <v>11</v>
      </c>
      <c r="B2538" s="1" t="s">
        <v>12832</v>
      </c>
      <c r="C2538" s="1" t="s">
        <v>12833</v>
      </c>
      <c r="D2538" s="1" t="s">
        <v>12834</v>
      </c>
      <c r="E2538" s="1" t="s">
        <v>12835</v>
      </c>
      <c r="F2538" s="1" t="s">
        <v>12836</v>
      </c>
      <c r="G2538" s="1" t="s">
        <v>12837</v>
      </c>
      <c r="H2538" s="1" t="str">
        <f>IFERROR(__xludf.DUMMYFUNCTION("GOOGLETRANSLATE(D2538,""EN"",""JA"")"),"インターロイキン1受容体様1")</f>
        <v>インターロイキン1受容体様1</v>
      </c>
      <c r="I2538" s="1" t="str">
        <f>IFERROR(__xludf.DUMMYFUNCTION("GOOGLETRANSLATE(E2538,""EN"",""JA"")"),"インターロイキン1受容体様1; タンパク質ST2; sST2")</f>
        <v>インターロイキン1受容体様1; タンパク質ST2; sST2</v>
      </c>
      <c r="J2538" s="1" t="str">
        <f>IFERROR(__xludf.DUMMYFUNCTION("GOOGLETRANSLATE(F2538,""EN"",""JA"")"),"生物標本中のインターロイキン 1 受容体様 1 の測定。")</f>
        <v>生物標本中のインターロイキン 1 受容体様 1 の測定。</v>
      </c>
      <c r="K2538" s="1" t="str">
        <f>IFERROR(__xludf.DUMMYFUNCTION("GOOGLETRANSLATE(G2538,""EN"",""JA"")"),"インターロイキン1受容体様1測定")</f>
        <v>インターロイキン1受容体様1測定</v>
      </c>
    </row>
    <row r="2539" ht="13.5" customHeight="1">
      <c r="A2539" s="1" t="s">
        <v>11</v>
      </c>
      <c r="B2539" s="1" t="s">
        <v>12838</v>
      </c>
      <c r="C2539" s="1" t="s">
        <v>12839</v>
      </c>
      <c r="D2539" s="1" t="s">
        <v>12840</v>
      </c>
      <c r="E2539" s="1" t="s">
        <v>12840</v>
      </c>
      <c r="F2539" s="1" t="s">
        <v>12841</v>
      </c>
      <c r="G2539" s="1" t="s">
        <v>12842</v>
      </c>
      <c r="H2539" s="1" t="str">
        <f>IFERROR(__xludf.DUMMYFUNCTION("GOOGLETRANSLATE(D2539,""EN"",""JA"")"),"可溶性インターロイキン-1受容体I型")</f>
        <v>可溶性インターロイキン-1受容体I型</v>
      </c>
      <c r="I2539" s="1" t="str">
        <f>IFERROR(__xludf.DUMMYFUNCTION("GOOGLETRANSLATE(E2539,""EN"",""JA"")"),"可溶性インターロイキン-1受容体I型")</f>
        <v>可溶性インターロイキン-1受容体I型</v>
      </c>
      <c r="J2539" s="1" t="str">
        <f>IFERROR(__xludf.DUMMYFUNCTION("GOOGLETRANSLATE(F2539,""EN"",""JA"")"),"生物標本中の可溶性インターロイキン-1受容体I型の測定。")</f>
        <v>生物標本中の可溶性インターロイキン-1受容体I型の測定。</v>
      </c>
      <c r="K2539" s="1" t="str">
        <f>IFERROR(__xludf.DUMMYFUNCTION("GOOGLETRANSLATE(G2539,""EN"",""JA"")"),"可溶性インターロイキン-1受容体I型測定")</f>
        <v>可溶性インターロイキン-1受容体I型測定</v>
      </c>
    </row>
    <row r="2540" ht="13.5" customHeight="1">
      <c r="A2540" s="1" t="s">
        <v>11</v>
      </c>
      <c r="B2540" s="1" t="s">
        <v>12843</v>
      </c>
      <c r="C2540" s="1" t="s">
        <v>12844</v>
      </c>
      <c r="D2540" s="1" t="s">
        <v>12845</v>
      </c>
      <c r="E2540" s="1" t="s">
        <v>12846</v>
      </c>
      <c r="F2540" s="1" t="s">
        <v>12847</v>
      </c>
      <c r="G2540" s="1" t="s">
        <v>12848</v>
      </c>
      <c r="H2540" s="1" t="str">
        <f>IFERROR(__xludf.DUMMYFUNCTION("GOOGLETRANSLATE(D2540,""EN"",""JA"")"),"インターロイキン28B")</f>
        <v>インターロイキン28B</v>
      </c>
      <c r="I2540" s="1" t="str">
        <f>IFERROR(__xludf.DUMMYFUNCTION("GOOGLETRANSLATE(E2540,""EN"",""JA"")"),"IFN-ラムダ3; インターロイキン28B")</f>
        <v>IFN-ラムダ3; インターロイキン28B</v>
      </c>
      <c r="J2540" s="1" t="str">
        <f>IFERROR(__xludf.DUMMYFUNCTION("GOOGLETRANSLATE(F2540,""EN"",""JA"")"),"生物標本中のインターロイキン 28B の測定。")</f>
        <v>生物標本中のインターロイキン 28B の測定。</v>
      </c>
      <c r="K2540" s="1" t="str">
        <f>IFERROR(__xludf.DUMMYFUNCTION("GOOGLETRANSLATE(G2540,""EN"",""JA"")"),"インターロイキン28B測定")</f>
        <v>インターロイキン28B測定</v>
      </c>
    </row>
    <row r="2541" ht="13.5" customHeight="1">
      <c r="A2541" s="1" t="s">
        <v>11</v>
      </c>
      <c r="B2541" s="1" t="s">
        <v>12849</v>
      </c>
      <c r="C2541" s="1" t="s">
        <v>12850</v>
      </c>
      <c r="D2541" s="1" t="s">
        <v>12851</v>
      </c>
      <c r="E2541" s="1" t="s">
        <v>12851</v>
      </c>
      <c r="F2541" s="1" t="s">
        <v>12852</v>
      </c>
      <c r="G2541" s="1" t="s">
        <v>12853</v>
      </c>
      <c r="H2541" s="1" t="str">
        <f>IFERROR(__xludf.DUMMYFUNCTION("GOOGLETRANSLATE(D2541,""EN"",""JA"")"),"インターロイキン2受容体")</f>
        <v>インターロイキン2受容体</v>
      </c>
      <c r="I2541" s="1" t="str">
        <f>IFERROR(__xludf.DUMMYFUNCTION("GOOGLETRANSLATE(E2541,""EN"",""JA"")"),"インターロイキン2受容体")</f>
        <v>インターロイキン2受容体</v>
      </c>
      <c r="J2541" s="1" t="str">
        <f>IFERROR(__xludf.DUMMYFUNCTION("GOOGLETRANSLATE(F2541,""EN"",""JA"")"),"生物標本中のインターロイキン 2 受容体の測定。")</f>
        <v>生物標本中のインターロイキン 2 受容体の測定。</v>
      </c>
      <c r="K2541" s="1" t="str">
        <f>IFERROR(__xludf.DUMMYFUNCTION("GOOGLETRANSLATE(G2541,""EN"",""JA"")"),"インターロイキン2受容体測定")</f>
        <v>インターロイキン2受容体測定</v>
      </c>
    </row>
    <row r="2542" ht="13.5" customHeight="1">
      <c r="A2542" s="1" t="s">
        <v>11</v>
      </c>
      <c r="B2542" s="1" t="s">
        <v>12854</v>
      </c>
      <c r="C2542" s="1" t="s">
        <v>12855</v>
      </c>
      <c r="D2542" s="1" t="s">
        <v>12856</v>
      </c>
      <c r="E2542" s="1" t="s">
        <v>12857</v>
      </c>
      <c r="F2542" s="1" t="s">
        <v>12858</v>
      </c>
      <c r="G2542" s="1" t="s">
        <v>12859</v>
      </c>
      <c r="H2542" s="1" t="str">
        <f>IFERROR(__xludf.DUMMYFUNCTION("GOOGLETRANSLATE(D2542,""EN"",""JA"")"),"インターロイキン2受容体サブユニットα")</f>
        <v>インターロイキン2受容体サブユニットα</v>
      </c>
      <c r="I2542" s="1" t="str">
        <f>IFERROR(__xludf.DUMMYFUNCTION("GOOGLETRANSLATE(E2542,""EN"",""JA"")"),"IL-2Ra; インターロイキン2受容体サブユニットα; sCD25; 可溶性CD25")</f>
        <v>IL-2Ra; インターロイキン2受容体サブユニットα; sCD25; 可溶性CD25</v>
      </c>
      <c r="J2542" s="1" t="str">
        <f>IFERROR(__xludf.DUMMYFUNCTION("GOOGLETRANSLATE(F2542,""EN"",""JA"")"),"生物標本中のインターロイキン 2 受容体サブユニット アルファの測定。")</f>
        <v>生物標本中のインターロイキン 2 受容体サブユニット アルファの測定。</v>
      </c>
      <c r="K2542" s="1" t="str">
        <f>IFERROR(__xludf.DUMMYFUNCTION("GOOGLETRANSLATE(G2542,""EN"",""JA"")"),"インターロイキン2受容体サブユニットα測定")</f>
        <v>インターロイキン2受容体サブユニットα測定</v>
      </c>
    </row>
    <row r="2543" ht="13.5" customHeight="1">
      <c r="A2543" s="1" t="s">
        <v>11</v>
      </c>
      <c r="B2543" s="1" t="s">
        <v>12860</v>
      </c>
      <c r="C2543" s="1" t="s">
        <v>12861</v>
      </c>
      <c r="D2543" s="1" t="s">
        <v>12862</v>
      </c>
      <c r="E2543" s="1" t="s">
        <v>12863</v>
      </c>
      <c r="F2543" s="1" t="s">
        <v>12864</v>
      </c>
      <c r="G2543" s="1" t="s">
        <v>12865</v>
      </c>
      <c r="H2543" s="1" t="str">
        <f>IFERROR(__xludf.DUMMYFUNCTION("GOOGLETRANSLATE(D2543,""EN"",""JA"")"),"インターロイキン2受容体サブユニットβ")</f>
        <v>インターロイキン2受容体サブユニットβ</v>
      </c>
      <c r="I2543" s="1" t="str">
        <f>IFERROR(__xludf.DUMMYFUNCTION("GOOGLETRANSLATE(E2543,""EN"",""JA"")"),"IL-2Rb; インターロイキン2受容体サブユニットβ")</f>
        <v>IL-2Rb; インターロイキン2受容体サブユニットβ</v>
      </c>
      <c r="J2543" s="1" t="str">
        <f>IFERROR(__xludf.DUMMYFUNCTION("GOOGLETRANSLATE(F2543,""EN"",""JA"")"),"生物標本中のインターロイキン 2 受容体サブユニット ベータの測定。")</f>
        <v>生物標本中のインターロイキン 2 受容体サブユニット ベータの測定。</v>
      </c>
      <c r="K2543" s="1" t="str">
        <f>IFERROR(__xludf.DUMMYFUNCTION("GOOGLETRANSLATE(G2543,""EN"",""JA"")"),"インターロイキン2受容体サブユニットβ測定")</f>
        <v>インターロイキン2受容体サブユニットβ測定</v>
      </c>
    </row>
    <row r="2544" ht="13.5" customHeight="1">
      <c r="A2544" s="1" t="s">
        <v>11</v>
      </c>
      <c r="B2544" s="1" t="s">
        <v>12866</v>
      </c>
      <c r="C2544" s="1" t="s">
        <v>12867</v>
      </c>
      <c r="D2544" s="1" t="s">
        <v>12868</v>
      </c>
      <c r="E2544" s="1" t="s">
        <v>12868</v>
      </c>
      <c r="F2544" s="1" t="s">
        <v>12869</v>
      </c>
      <c r="G2544" s="1" t="s">
        <v>12870</v>
      </c>
      <c r="H2544" s="1" t="str">
        <f>IFERROR(__xludf.DUMMYFUNCTION("GOOGLETRANSLATE(D2544,""EN"",""JA"")"),"可溶性インターロイキン2受容体")</f>
        <v>可溶性インターロイキン2受容体</v>
      </c>
      <c r="I2544" s="1" t="str">
        <f>IFERROR(__xludf.DUMMYFUNCTION("GOOGLETRANSLATE(E2544,""EN"",""JA"")"),"可溶性インターロイキン2受容体")</f>
        <v>可溶性インターロイキン2受容体</v>
      </c>
      <c r="J2544" s="1" t="str">
        <f>IFERROR(__xludf.DUMMYFUNCTION("GOOGLETRANSLATE(F2544,""EN"",""JA"")"),"生物学的標本中の可溶性インターロイキン 2 受容体 (すべてのサブユニットを含む) の測定。")</f>
        <v>生物学的標本中の可溶性インターロイキン 2 受容体 (すべてのサブユニットを含む) の測定。</v>
      </c>
      <c r="K2544" s="1" t="str">
        <f>IFERROR(__xludf.DUMMYFUNCTION("GOOGLETRANSLATE(G2544,""EN"",""JA"")"),"可溶性インターロイキン2受容体測定")</f>
        <v>可溶性インターロイキン2受容体測定</v>
      </c>
    </row>
    <row r="2545" ht="13.5" customHeight="1">
      <c r="A2545" s="1" t="s">
        <v>11</v>
      </c>
      <c r="B2545" s="1" t="s">
        <v>12871</v>
      </c>
      <c r="C2545" s="1" t="s">
        <v>12872</v>
      </c>
      <c r="D2545" s="1" t="s">
        <v>12873</v>
      </c>
      <c r="E2545" s="1" t="s">
        <v>12873</v>
      </c>
      <c r="F2545" s="1" t="s">
        <v>12874</v>
      </c>
      <c r="G2545" s="1" t="s">
        <v>12875</v>
      </c>
      <c r="H2545" s="1" t="str">
        <f>IFERROR(__xludf.DUMMYFUNCTION("GOOGLETRANSLATE(D2545,""EN"",""JA"")"),"可溶性インターロイキン6受容体")</f>
        <v>可溶性インターロイキン6受容体</v>
      </c>
      <c r="I2545" s="1" t="str">
        <f>IFERROR(__xludf.DUMMYFUNCTION("GOOGLETRANSLATE(E2545,""EN"",""JA"")"),"可溶性インターロイキン6受容体")</f>
        <v>可溶性インターロイキン6受容体</v>
      </c>
      <c r="J2545" s="1" t="str">
        <f>IFERROR(__xludf.DUMMYFUNCTION("GOOGLETRANSLATE(F2545,""EN"",""JA"")"),"生物標本中の可溶性インターロイキン 6 受容体の測定。")</f>
        <v>生物標本中の可溶性インターロイキン 6 受容体の測定。</v>
      </c>
      <c r="K2545" s="1" t="str">
        <f>IFERROR(__xludf.DUMMYFUNCTION("GOOGLETRANSLATE(G2545,""EN"",""JA"")"),"可溶性インターロイキン6受容体測定")</f>
        <v>可溶性インターロイキン6受容体測定</v>
      </c>
    </row>
    <row r="2546" ht="13.5" customHeight="1">
      <c r="A2546" s="1" t="s">
        <v>11</v>
      </c>
      <c r="B2546" s="1" t="s">
        <v>12876</v>
      </c>
      <c r="C2546" s="1" t="s">
        <v>12877</v>
      </c>
      <c r="D2546" s="1" t="s">
        <v>12878</v>
      </c>
      <c r="E2546" s="1" t="s">
        <v>12878</v>
      </c>
      <c r="F2546" s="1" t="s">
        <v>12879</v>
      </c>
      <c r="G2546" s="1" t="s">
        <v>12880</v>
      </c>
      <c r="H2546" s="1" t="str">
        <f>IFERROR(__xludf.DUMMYFUNCTION("GOOGLETRANSLATE(D2546,""EN"",""JA"")"),"イソロイシン")</f>
        <v>イソロイシン</v>
      </c>
      <c r="I2546" s="1" t="str">
        <f>IFERROR(__xludf.DUMMYFUNCTION("GOOGLETRANSLATE(E2546,""EN"",""JA"")"),"イソロイシン")</f>
        <v>イソロイシン</v>
      </c>
      <c r="J2546" s="1" t="str">
        <f>IFERROR(__xludf.DUMMYFUNCTION("GOOGLETRANSLATE(F2546,""EN"",""JA"")"),"生物標本中のイソロイシンの測定。")</f>
        <v>生物標本中のイソロイシンの測定。</v>
      </c>
      <c r="K2546" s="1" t="str">
        <f>IFERROR(__xludf.DUMMYFUNCTION("GOOGLETRANSLATE(G2546,""EN"",""JA"")"),"イソロイシン測定")</f>
        <v>イソロイシン測定</v>
      </c>
    </row>
    <row r="2547" ht="13.5" customHeight="1">
      <c r="A2547" s="1" t="s">
        <v>11</v>
      </c>
      <c r="B2547" s="1" t="s">
        <v>12881</v>
      </c>
      <c r="C2547" s="1" t="s">
        <v>12882</v>
      </c>
      <c r="D2547" s="1" t="s">
        <v>12883</v>
      </c>
      <c r="E2547" s="1" t="s">
        <v>12883</v>
      </c>
      <c r="F2547" s="1" t="s">
        <v>12884</v>
      </c>
      <c r="G2547" s="1" t="s">
        <v>12885</v>
      </c>
      <c r="H2547" s="1" t="str">
        <f>IFERROR(__xludf.DUMMYFUNCTION("GOOGLETRANSLATE(D2547,""EN"",""JA"")"),"イロペリドン")</f>
        <v>イロペリドン</v>
      </c>
      <c r="I2547" s="1" t="str">
        <f>IFERROR(__xludf.DUMMYFUNCTION("GOOGLETRANSLATE(E2547,""EN"",""JA"")"),"イロペリドン")</f>
        <v>イロペリドン</v>
      </c>
      <c r="J2547" s="1" t="str">
        <f>IFERROR(__xludf.DUMMYFUNCTION("GOOGLETRANSLATE(F2547,""EN"",""JA"")"),"生物標本中のイロペリドンの測定。")</f>
        <v>生物標本中のイロペリドンの測定。</v>
      </c>
      <c r="K2547" s="1" t="str">
        <f>IFERROR(__xludf.DUMMYFUNCTION("GOOGLETRANSLATE(G2547,""EN"",""JA"")"),"イロペリドン測定")</f>
        <v>イロペリドン測定</v>
      </c>
    </row>
    <row r="2548" ht="13.5" customHeight="1">
      <c r="A2548" s="1" t="s">
        <v>1034</v>
      </c>
      <c r="B2548" s="1" t="s">
        <v>12886</v>
      </c>
      <c r="C2548" s="1" t="s">
        <v>12887</v>
      </c>
      <c r="D2548" s="1" t="s">
        <v>12888</v>
      </c>
      <c r="E2548" s="1" t="s">
        <v>12889</v>
      </c>
      <c r="F2548" s="1" t="s">
        <v>12890</v>
      </c>
      <c r="G2548" s="1" t="s">
        <v>12891</v>
      </c>
      <c r="H2548" s="1" t="str">
        <f>IFERROR(__xludf.DUMMYFUNCTION("GOOGLETRANSLATE(D2548,""EN"",""JA"")"),"ファントムボリュームのIMCL基準")</f>
        <v>ファントムボリュームのIMCL基準</v>
      </c>
      <c r="I2548" s="1" t="str">
        <f>IFERROR(__xludf.DUMMYFUNCTION("GOOGLETRANSLATE(E2548,""EN"",""JA"")"),"ファントムボリュームのIMCL正規化; ファントムボリュームのIMCL正規化")</f>
        <v>ファントムボリュームのIMCL正規化; ファントムボリュームのIMCL正規化</v>
      </c>
      <c r="J2548" s="1" t="str">
        <f>IFERROR(__xludf.DUMMYFUNCTION("GOOGLETRANSLATE(F2548,""EN"",""JA"")"),"生物標本における、ファントムボリュームをイメージングするために正規化された細胞内脂質の測定値。")</f>
        <v>生物標本における、ファントムボリュームをイメージングするために正規化された細胞内脂質の測定値。</v>
      </c>
      <c r="K2548" s="1" t="str">
        <f>IFERROR(__xludf.DUMMYFUNCTION("GOOGLETRANSLATE(G2548,""EN"",""JA"")"),"ファントムボリューム測定用に標準化された筋細胞内脂質")</f>
        <v>ファントムボリューム測定用に標準化された筋細胞内脂質</v>
      </c>
    </row>
    <row r="2549" ht="13.5" customHeight="1">
      <c r="A2549" s="1" t="s">
        <v>1034</v>
      </c>
      <c r="B2549" s="1" t="s">
        <v>12892</v>
      </c>
      <c r="C2549" s="1" t="s">
        <v>12893</v>
      </c>
      <c r="D2549" s="1" t="s">
        <v>12894</v>
      </c>
      <c r="E2549" s="1" t="s">
        <v>12895</v>
      </c>
      <c r="F2549" s="1" t="s">
        <v>12896</v>
      </c>
      <c r="G2549" s="1" t="s">
        <v>12897</v>
      </c>
      <c r="H2549" s="1" t="str">
        <f>IFERROR(__xludf.DUMMYFUNCTION("GOOGLETRANSLATE(D2549,""EN"",""JA"")"),"組織重量のIMCL基準")</f>
        <v>組織重量のIMCL基準</v>
      </c>
      <c r="I2549" s="1" t="str">
        <f>IFERROR(__xludf.DUMMYFUNCTION("GOOGLETRANSLATE(E2549,""EN"",""JA"")"),"組織重量に対するIMCL基準値；組織重量に対するIMCL正規化値；組織重量に対する筋細胞内脂質正規化値")</f>
        <v>組織重量に対するIMCL基準値；組織重量に対するIMCL正規化値；組織重量に対する筋細胞内脂質正規化値</v>
      </c>
      <c r="J2549" s="1" t="str">
        <f>IFERROR(__xludf.DUMMYFUNCTION("GOOGLETRANSLATE(F2549,""EN"",""JA"")"),"生物標本中の組織重量に対して正規化された細胞内脂質の測定値。")</f>
        <v>生物標本中の組織重量に対して正規化された細胞内脂質の測定値。</v>
      </c>
      <c r="K2549" s="1" t="str">
        <f>IFERROR(__xludf.DUMMYFUNCTION("GOOGLETRANSLATE(G2549,""EN"",""JA"")"),"組織重量測定のための筋細胞内脂質の標準化")</f>
        <v>組織重量測定のための筋細胞内脂質の標準化</v>
      </c>
    </row>
    <row r="2550" ht="13.5" customHeight="1">
      <c r="A2550" s="1" t="s">
        <v>1034</v>
      </c>
      <c r="B2550" s="1" t="s">
        <v>12898</v>
      </c>
      <c r="C2550" s="1" t="s">
        <v>12899</v>
      </c>
      <c r="D2550" s="1" t="s">
        <v>12900</v>
      </c>
      <c r="E2550" s="1" t="s">
        <v>12901</v>
      </c>
      <c r="F2550" s="1" t="s">
        <v>12902</v>
      </c>
      <c r="G2550" s="1" t="s">
        <v>12903</v>
      </c>
      <c r="H2550" s="1" t="str">
        <f>IFERROR(__xludf.DUMMYFUNCTION("GOOGLETRANSLATE(D2550,""EN"",""JA"")"),"組織水分量のIMCL基準")</f>
        <v>組織水分量のIMCL基準</v>
      </c>
      <c r="I2550" s="1" t="str">
        <f>IFERROR(__xludf.DUMMYFUNCTION("GOOGLETRANSLATE(E2550,""EN"",""JA"")"),"組織水分量のIMCL基準値；組織水分量に対して標準化されたIMCL；組織水分量に対して標準化された筋細胞内脂質")</f>
        <v>組織水分量のIMCL基準値；組織水分量に対して標準化されたIMCL；組織水分量に対して標準化された筋細胞内脂質</v>
      </c>
      <c r="J2550" s="1" t="str">
        <f>IFERROR(__xludf.DUMMYFUNCTION("GOOGLETRANSLATE(F2550,""EN"",""JA"")"),"生物標本中の組織水分量に対して正規化された細胞内脂質の測定値。")</f>
        <v>生物標本中の組織水分量に対して正規化された細胞内脂質の測定値。</v>
      </c>
      <c r="K2550" s="1" t="str">
        <f>IFERROR(__xludf.DUMMYFUNCTION("GOOGLETRANSLATE(G2550,""EN"",""JA"")"),"組織水分量測定のための筋細胞内脂質の標準化")</f>
        <v>組織水分量測定のための筋細胞内脂質の標準化</v>
      </c>
    </row>
    <row r="2551" ht="13.5" customHeight="1">
      <c r="A2551" s="1" t="s">
        <v>11</v>
      </c>
      <c r="B2551" s="1" t="s">
        <v>12904</v>
      </c>
      <c r="C2551" s="1" t="s">
        <v>12905</v>
      </c>
      <c r="D2551" s="1" t="s">
        <v>12906</v>
      </c>
      <c r="E2551" s="1" t="s">
        <v>12906</v>
      </c>
      <c r="F2551" s="1" t="s">
        <v>12907</v>
      </c>
      <c r="G2551" s="1" t="s">
        <v>12908</v>
      </c>
      <c r="H2551" s="1" t="str">
        <f>IFERROR(__xludf.DUMMYFUNCTION("GOOGLETRANSLATE(D2551,""EN"",""JA"")"),"イミプラミン")</f>
        <v>イミプラミン</v>
      </c>
      <c r="I2551" s="1" t="str">
        <f>IFERROR(__xludf.DUMMYFUNCTION("GOOGLETRANSLATE(E2551,""EN"",""JA"")"),"イミプラミン")</f>
        <v>イミプラミン</v>
      </c>
      <c r="J2551" s="1" t="str">
        <f>IFERROR(__xludf.DUMMYFUNCTION("GOOGLETRANSLATE(F2551,""EN"",""JA"")"),"生物標本中のイミプラミンの測定。")</f>
        <v>生物標本中のイミプラミンの測定。</v>
      </c>
      <c r="K2551" s="1" t="str">
        <f>IFERROR(__xludf.DUMMYFUNCTION("GOOGLETRANSLATE(G2551,""EN"",""JA"")"),"イミプラミン測定")</f>
        <v>イミプラミン測定</v>
      </c>
    </row>
    <row r="2552" ht="13.5" customHeight="1">
      <c r="A2552" s="1" t="s">
        <v>11</v>
      </c>
      <c r="B2552" s="1" t="s">
        <v>12909</v>
      </c>
      <c r="C2552" s="1" t="s">
        <v>12910</v>
      </c>
      <c r="D2552" s="1" t="s">
        <v>12911</v>
      </c>
      <c r="E2552" s="1" t="s">
        <v>12911</v>
      </c>
      <c r="F2552" s="1" t="s">
        <v>12912</v>
      </c>
      <c r="G2552" s="1" t="s">
        <v>12913</v>
      </c>
      <c r="H2552" s="1" t="str">
        <f>IFERROR(__xludf.DUMMYFUNCTION("GOOGLETRANSLATE(D2552,""EN"",""JA"")"),"免疫グロブリン")</f>
        <v>免疫グロブリン</v>
      </c>
      <c r="I2552" s="1" t="str">
        <f>IFERROR(__xludf.DUMMYFUNCTION("GOOGLETRANSLATE(E2552,""EN"",""JA"")"),"免疫グロブリン")</f>
        <v>免疫グロブリン</v>
      </c>
      <c r="J2552" s="1" t="str">
        <f>IFERROR(__xludf.DUMMYFUNCTION("GOOGLETRANSLATE(F2552,""EN"",""JA"")"),"生物学的標本中の総免疫グロブリンの測定。")</f>
        <v>生物学的標本中の総免疫グロブリンの測定。</v>
      </c>
      <c r="K2552" s="1" t="str">
        <f>IFERROR(__xludf.DUMMYFUNCTION("GOOGLETRANSLATE(G2552,""EN"",""JA"")"),"免疫グロブリン測定")</f>
        <v>免疫グロブリン測定</v>
      </c>
    </row>
    <row r="2553" ht="13.5" customHeight="1">
      <c r="A2553" s="1" t="s">
        <v>11</v>
      </c>
      <c r="B2553" s="1" t="s">
        <v>12914</v>
      </c>
      <c r="C2553" s="1" t="s">
        <v>12915</v>
      </c>
      <c r="D2553" s="1" t="s">
        <v>12916</v>
      </c>
      <c r="E2553" s="1" t="s">
        <v>12916</v>
      </c>
      <c r="F2553" s="1" t="s">
        <v>12917</v>
      </c>
      <c r="G2553" s="1" t="s">
        <v>12918</v>
      </c>
      <c r="H2553" s="1" t="str">
        <f>IFERROR(__xludf.DUMMYFUNCTION("GOOGLETRANSLATE(D2553,""EN"",""JA"")"),"免疫グロブリン軽鎖")</f>
        <v>免疫グロブリン軽鎖</v>
      </c>
      <c r="I2553" s="1" t="str">
        <f>IFERROR(__xludf.DUMMYFUNCTION("GOOGLETRANSLATE(E2553,""EN"",""JA"")"),"免疫グロブリン軽鎖")</f>
        <v>免疫グロブリン軽鎖</v>
      </c>
      <c r="J2553" s="1" t="str">
        <f>IFERROR(__xludf.DUMMYFUNCTION("GOOGLETRANSLATE(F2553,""EN"",""JA"")"),"生物学的標本中の総免疫グロブリン（カッパおよびラムダ）軽鎖の測定。")</f>
        <v>生物学的標本中の総免疫グロブリン（カッパおよびラムダ）軽鎖の測定。</v>
      </c>
      <c r="K2553" s="1" t="str">
        <f>IFERROR(__xludf.DUMMYFUNCTION("GOOGLETRANSLATE(G2553,""EN"",""JA"")"),"免疫グロブリン軽鎖測定")</f>
        <v>免疫グロブリン軽鎖測定</v>
      </c>
    </row>
    <row r="2554" ht="13.5" customHeight="1">
      <c r="A2554" s="1" t="s">
        <v>11</v>
      </c>
      <c r="B2554" s="1" t="s">
        <v>12919</v>
      </c>
      <c r="C2554" s="1" t="s">
        <v>12920</v>
      </c>
      <c r="D2554" s="1" t="s">
        <v>12921</v>
      </c>
      <c r="E2554" s="1" t="s">
        <v>12921</v>
      </c>
      <c r="F2554" s="1" t="s">
        <v>12922</v>
      </c>
      <c r="G2554" s="1" t="s">
        <v>12923</v>
      </c>
      <c r="H2554" s="1" t="str">
        <f>IFERROR(__xludf.DUMMYFUNCTION("GOOGLETRANSLATE(D2554,""EN"",""JA"")"),"免疫グロブリン軽鎖、遊離")</f>
        <v>免疫グロブリン軽鎖、遊離</v>
      </c>
      <c r="I2554" s="1" t="str">
        <f>IFERROR(__xludf.DUMMYFUNCTION("GOOGLETRANSLATE(E2554,""EN"",""JA"")"),"免疫グロブリン軽鎖、遊離")</f>
        <v>免疫グロブリン軽鎖、遊離</v>
      </c>
      <c r="J2554" s="1" t="str">
        <f>IFERROR(__xludf.DUMMYFUNCTION("GOOGLETRANSLATE(F2554,""EN"",""JA"")"),"生物学的標本中の遊離免疫グロブリン（カッパおよびラムダ）軽鎖の総量の測定。")</f>
        <v>生物学的標本中の遊離免疫グロブリン（カッパおよびラムダ）軽鎖の総量の測定。</v>
      </c>
      <c r="K2554" s="1" t="str">
        <f>IFERROR(__xludf.DUMMYFUNCTION("GOOGLETRANSLATE(G2554,""EN"",""JA"")"),"遊離免疫グロブリン軽鎖測定")</f>
        <v>遊離免疫グロブリン軽鎖測定</v>
      </c>
    </row>
    <row r="2555" ht="13.5" customHeight="1">
      <c r="A2555" s="1" t="s">
        <v>134</v>
      </c>
      <c r="B2555" s="1" t="s">
        <v>12924</v>
      </c>
      <c r="C2555" s="1" t="s">
        <v>12925</v>
      </c>
      <c r="D2555" s="1" t="s">
        <v>12926</v>
      </c>
      <c r="E2555" s="1" t="s">
        <v>12927</v>
      </c>
      <c r="F2555" s="1" t="s">
        <v>12928</v>
      </c>
      <c r="G2555" s="1" t="s">
        <v>12929</v>
      </c>
      <c r="H2555" s="1" t="str">
        <f>IFERROR(__xludf.DUMMYFUNCTION("GOOGLETRANSLATE(D2555,""EN"",""JA"")"),"免疫細胞の浸潤")</f>
        <v>免疫細胞の浸潤</v>
      </c>
      <c r="I2555" s="1" t="str">
        <f>IFERROR(__xludf.DUMMYFUNCTION("GOOGLETRANSLATE(E2555,""EN"",""JA"")"),"免疫細胞浸潤; 免疫細胞浸潤")</f>
        <v>免疫細胞浸潤; 免疫細胞浸潤</v>
      </c>
      <c r="J2555" s="1" t="str">
        <f>IFERROR(__xludf.DUMMYFUNCTION("GOOGLETRANSLATE(F2555,""EN"",""JA"")"),"生物標本における免疫細胞浸潤の評価。")</f>
        <v>生物標本における免疫細胞浸潤の評価。</v>
      </c>
      <c r="K2555" s="1" t="str">
        <f>IFERROR(__xludf.DUMMYFUNCTION("GOOGLETRANSLATE(G2555,""EN"",""JA"")"),"免疫細胞浸潤評価")</f>
        <v>免疫細胞浸潤評価</v>
      </c>
    </row>
    <row r="2556" ht="13.5" customHeight="1">
      <c r="A2556" s="1" t="s">
        <v>160</v>
      </c>
      <c r="B2556" s="1" t="s">
        <v>12930</v>
      </c>
      <c r="C2556" s="1" t="s">
        <v>12931</v>
      </c>
      <c r="D2556" s="1" t="s">
        <v>12932</v>
      </c>
      <c r="E2556" s="1" t="s">
        <v>12932</v>
      </c>
      <c r="F2556" s="1" t="s">
        <v>12933</v>
      </c>
      <c r="G2556" s="1" t="s">
        <v>12932</v>
      </c>
      <c r="H2556" s="1" t="str">
        <f>IFERROR(__xludf.DUMMYFUNCTION("GOOGLETRANSLATE(D2556,""EN"",""JA"")"),"人工妊娠中絶指標")</f>
        <v>人工妊娠中絶指標</v>
      </c>
      <c r="I2556" s="1" t="str">
        <f>IFERROR(__xludf.DUMMYFUNCTION("GOOGLETRANSLATE(E2556,""EN"",""JA"")"),"人工妊娠中絶指標")</f>
        <v>人工妊娠中絶指標</v>
      </c>
      <c r="J2556" s="1" t="str">
        <f>IFERROR(__xludf.DUMMYFUNCTION("GOOGLETRANSLATE(F2556,""EN"",""JA"")"),"女性被験者が過去に中絶手術を受けたことがあるかどうかを示します。")</f>
        <v>女性被験者が過去に中絶手術を受けたことがあるかどうかを示します。</v>
      </c>
      <c r="K2556" s="1" t="str">
        <f>IFERROR(__xludf.DUMMYFUNCTION("GOOGLETRANSLATE(G2556,""EN"",""JA"")"),"人工妊娠中絶指標")</f>
        <v>人工妊娠中絶指標</v>
      </c>
    </row>
    <row r="2557" ht="13.5" customHeight="1">
      <c r="A2557" s="1" t="s">
        <v>160</v>
      </c>
      <c r="B2557" s="1" t="s">
        <v>12934</v>
      </c>
      <c r="C2557" s="1" t="s">
        <v>12935</v>
      </c>
      <c r="D2557" s="1" t="s">
        <v>12936</v>
      </c>
      <c r="E2557" s="1" t="s">
        <v>12936</v>
      </c>
      <c r="F2557" s="1" t="s">
        <v>12937</v>
      </c>
      <c r="G2557" s="1" t="s">
        <v>12936</v>
      </c>
      <c r="H2557" s="1" t="str">
        <f>IFERROR(__xludf.DUMMYFUNCTION("GOOGLETRANSLATE(D2557,""EN"",""JA"")"),"人工妊娠中絶件数")</f>
        <v>人工妊娠中絶件数</v>
      </c>
      <c r="I2557" s="1" t="str">
        <f>IFERROR(__xludf.DUMMYFUNCTION("GOOGLETRANSLATE(E2557,""EN"",""JA"")"),"人工妊娠中絶件数")</f>
        <v>人工妊娠中絶件数</v>
      </c>
      <c r="J2557" s="1" t="str">
        <f>IFERROR(__xludf.DUMMYFUNCTION("GOOGLETRANSLATE(F2557,""EN"",""JA"")"),"女性被験者が経験した人工妊娠中絶の総数の測定値。")</f>
        <v>女性被験者が経験した人工妊娠中絶の総数の測定値。</v>
      </c>
      <c r="K2557" s="1" t="str">
        <f>IFERROR(__xludf.DUMMYFUNCTION("GOOGLETRANSLATE(G2557,""EN"",""JA"")"),"人工妊娠中絶件数")</f>
        <v>人工妊娠中絶件数</v>
      </c>
    </row>
    <row r="2558" ht="13.5" customHeight="1">
      <c r="A2558" s="1" t="s">
        <v>11</v>
      </c>
      <c r="B2558" s="1" t="s">
        <v>12938</v>
      </c>
      <c r="C2558" s="1" t="s">
        <v>12939</v>
      </c>
      <c r="D2558" s="1" t="s">
        <v>12940</v>
      </c>
      <c r="E2558" s="1" t="s">
        <v>12940</v>
      </c>
      <c r="F2558" s="1" t="s">
        <v>12941</v>
      </c>
      <c r="G2558" s="1" t="s">
        <v>12942</v>
      </c>
      <c r="H2558" s="1" t="str">
        <f>IFERROR(__xludf.DUMMYFUNCTION("GOOGLETRANSLATE(D2558,""EN"",""JA"")"),"封入体")</f>
        <v>封入体</v>
      </c>
      <c r="I2558" s="1" t="str">
        <f>IFERROR(__xludf.DUMMYFUNCTION("GOOGLETRANSLATE(E2558,""EN"",""JA"")"),"封入体")</f>
        <v>封入体</v>
      </c>
      <c r="J2558" s="1" t="str">
        <f>IFERROR(__xludf.DUMMYFUNCTION("GOOGLETRANSLATE(F2558,""EN"",""JA"")"),"生物標本内の封入体の測定。")</f>
        <v>生物標本内の封入体の測定。</v>
      </c>
      <c r="K2558" s="1" t="str">
        <f>IFERROR(__xludf.DUMMYFUNCTION("GOOGLETRANSLATE(G2558,""EN"",""JA"")"),"封入体測定")</f>
        <v>封入体測定</v>
      </c>
    </row>
    <row r="2559" ht="13.5" customHeight="1">
      <c r="A2559" s="1" t="s">
        <v>11</v>
      </c>
      <c r="B2559" s="1" t="s">
        <v>12943</v>
      </c>
      <c r="C2559" s="1" t="s">
        <v>12944</v>
      </c>
      <c r="D2559" s="1" t="s">
        <v>12945</v>
      </c>
      <c r="E2559" s="1" t="s">
        <v>12945</v>
      </c>
      <c r="F2559" s="1" t="s">
        <v>12946</v>
      </c>
      <c r="G2559" s="1" t="s">
        <v>12947</v>
      </c>
      <c r="H2559" s="1" t="str">
        <f>IFERROR(__xludf.DUMMYFUNCTION("GOOGLETRANSLATE(D2559,""EN"",""JA"")"),"赤血球封入体")</f>
        <v>赤血球封入体</v>
      </c>
      <c r="I2559" s="1" t="str">
        <f>IFERROR(__xludf.DUMMYFUNCTION("GOOGLETRANSLATE(E2559,""EN"",""JA"")"),"赤血球封入体")</f>
        <v>赤血球封入体</v>
      </c>
      <c r="J2559" s="1" t="str">
        <f>IFERROR(__xludf.DUMMYFUNCTION("GOOGLETRANSLATE(F2559,""EN"",""JA"")"),"生物標本中の赤血球封入体の測定。")</f>
        <v>生物標本中の赤血球封入体の測定。</v>
      </c>
      <c r="K2559" s="1" t="str">
        <f>IFERROR(__xludf.DUMMYFUNCTION("GOOGLETRANSLATE(G2559,""EN"",""JA"")"),"赤血球封入体測定")</f>
        <v>赤血球封入体測定</v>
      </c>
    </row>
    <row r="2560" ht="13.5" customHeight="1">
      <c r="A2560" s="1" t="s">
        <v>601</v>
      </c>
      <c r="B2560" s="1" t="s">
        <v>12948</v>
      </c>
      <c r="C2560" s="1" t="s">
        <v>12949</v>
      </c>
      <c r="D2560" s="1" t="s">
        <v>12950</v>
      </c>
      <c r="E2560" s="1" t="s">
        <v>12950</v>
      </c>
      <c r="F2560" s="1" t="s">
        <v>12951</v>
      </c>
      <c r="G2560" s="1" t="s">
        <v>12950</v>
      </c>
      <c r="H2560" s="1" t="str">
        <f>IFERROR(__xludf.DUMMYFUNCTION("GOOGLETRANSLATE(D2560,""EN"",""JA"")"),"収入レベル")</f>
        <v>収入レベル</v>
      </c>
      <c r="I2560" s="1" t="str">
        <f>IFERROR(__xludf.DUMMYFUNCTION("GOOGLETRANSLATE(E2560,""EN"",""JA"")"),"収入レベル")</f>
        <v>収入レベル</v>
      </c>
      <c r="J2560" s="1" t="str">
        <f>IFERROR(__xludf.DUMMYFUNCTION("GOOGLETRANSLATE(F2560,""EN"",""JA"")"),"収益または金銭的支援を測定する尺度上の位置を示します。")</f>
        <v>収益または金銭的支援を測定する尺度上の位置を示します。</v>
      </c>
      <c r="K2560" s="1" t="str">
        <f>IFERROR(__xludf.DUMMYFUNCTION("GOOGLETRANSLATE(G2560,""EN"",""JA"")"),"収入レベル")</f>
        <v>収入レベル</v>
      </c>
    </row>
    <row r="2561" ht="13.5" customHeight="1">
      <c r="A2561" s="1" t="s">
        <v>397</v>
      </c>
      <c r="B2561" s="1" t="s">
        <v>12952</v>
      </c>
      <c r="C2561" s="1" t="s">
        <v>12953</v>
      </c>
      <c r="D2561" s="1" t="s">
        <v>12954</v>
      </c>
      <c r="E2561" s="1" t="s">
        <v>12955</v>
      </c>
      <c r="F2561" s="1" t="s">
        <v>12956</v>
      </c>
      <c r="G2561" s="1" t="s">
        <v>12957</v>
      </c>
      <c r="H2561" s="1" t="str">
        <f>IFERROR(__xludf.DUMMYFUNCTION("GOOGLETRANSLATE(D2561,""EN"",""JA"")"),"試験の疾患/症状の適応")</f>
        <v>試験の疾患/症状の適応</v>
      </c>
      <c r="I2561" s="1" t="str">
        <f>IFERROR(__xludf.DUMMYFUNCTION("GOOGLETRANSLATE(E2561,""EN"",""JA"")"),"使用目的；試験疾患／症状の適応；試験疾患／症状の適応の説明")</f>
        <v>使用目的；試験疾患／症状の適応；試験疾患／症状の適応の説明</v>
      </c>
      <c r="J2561" s="1" t="str">
        <f>IFERROR(__xludf.DUMMYFUNCTION("GOOGLETRANSLATE(F2561,""EN"",""JA"")"),"臨床試験で調査または対処することを意図している症状、疾患、または障害を物語形式で表現したもの。")</f>
        <v>臨床試験で調査または対処することを意図している症状、疾患、または障害を物語形式で表現したもの。</v>
      </c>
      <c r="K2561" s="1" t="str">
        <f>IFERROR(__xludf.DUMMYFUNCTION("GOOGLETRANSLATE(G2561,""EN"",""JA"")"),"試験適応")</f>
        <v>試験適応</v>
      </c>
    </row>
    <row r="2562" ht="13.5" customHeight="1">
      <c r="A2562" s="1" t="s">
        <v>11</v>
      </c>
      <c r="B2562" s="1" t="s">
        <v>12958</v>
      </c>
      <c r="C2562" s="1" t="s">
        <v>12959</v>
      </c>
      <c r="D2562" s="1" t="s">
        <v>12960</v>
      </c>
      <c r="E2562" s="1" t="s">
        <v>12960</v>
      </c>
      <c r="F2562" s="1" t="s">
        <v>12961</v>
      </c>
      <c r="G2562" s="1" t="s">
        <v>12962</v>
      </c>
      <c r="H2562" s="1" t="str">
        <f>IFERROR(__xludf.DUMMYFUNCTION("GOOGLETRANSLATE(D2562,""EN"",""JA"")"),"インディカン")</f>
        <v>インディカン</v>
      </c>
      <c r="I2562" s="1" t="str">
        <f>IFERROR(__xludf.DUMMYFUNCTION("GOOGLETRANSLATE(E2562,""EN"",""JA"")"),"インディカン")</f>
        <v>インディカン</v>
      </c>
      <c r="J2562" s="1" t="str">
        <f>IFERROR(__xludf.DUMMYFUNCTION("GOOGLETRANSLATE(F2562,""EN"",""JA"")"),"生物標本中に存在するインディカンの測定。")</f>
        <v>生物標本中に存在するインディカンの測定。</v>
      </c>
      <c r="K2562" s="1" t="str">
        <f>IFERROR(__xludf.DUMMYFUNCTION("GOOGLETRANSLATE(G2562,""EN"",""JA"")"),"インディカン測定")</f>
        <v>インディカン測定</v>
      </c>
    </row>
    <row r="2563" ht="13.5" customHeight="1">
      <c r="A2563" s="1" t="s">
        <v>580</v>
      </c>
      <c r="B2563" s="1" t="s">
        <v>12963</v>
      </c>
      <c r="C2563" s="1" t="s">
        <v>12964</v>
      </c>
      <c r="D2563" s="1" t="s">
        <v>12965</v>
      </c>
      <c r="E2563" s="1" t="s">
        <v>12965</v>
      </c>
      <c r="F2563" s="1" t="s">
        <v>12966</v>
      </c>
      <c r="G2563" s="1" t="s">
        <v>12967</v>
      </c>
      <c r="H2563" s="1" t="str">
        <f>IFERROR(__xludf.DUMMYFUNCTION("GOOGLETRANSLATE(D2563,""EN"",""JA"")"),"慣性")</f>
        <v>慣性</v>
      </c>
      <c r="I2563" s="1" t="str">
        <f>IFERROR(__xludf.DUMMYFUNCTION("GOOGLETRANSLATE(E2563,""EN"",""JA"")"),"慣性")</f>
        <v>慣性</v>
      </c>
      <c r="J2563" s="1" t="str">
        <f>IFERROR(__xludf.DUMMYFUNCTION("GOOGLETRANSLATE(F2563,""EN"",""JA"")"),"伝導気道内の空気柱の力の測定値。")</f>
        <v>伝導気道内の空気柱の力の測定値。</v>
      </c>
      <c r="K2563" s="1" t="str">
        <f>IFERROR(__xludf.DUMMYFUNCTION("GOOGLETRANSLATE(G2563,""EN"",""JA"")"),"肺不活動")</f>
        <v>肺不活動</v>
      </c>
    </row>
    <row r="2564" ht="13.5" customHeight="1">
      <c r="A2564" s="1" t="s">
        <v>67</v>
      </c>
      <c r="B2564" s="1" t="s">
        <v>12968</v>
      </c>
      <c r="C2564" s="1" t="s">
        <v>12969</v>
      </c>
      <c r="D2564" s="1" t="s">
        <v>12970</v>
      </c>
      <c r="E2564" s="1" t="s">
        <v>12970</v>
      </c>
      <c r="F2564" s="1" t="s">
        <v>12971</v>
      </c>
      <c r="G2564" s="1" t="s">
        <v>12972</v>
      </c>
      <c r="H2564" s="1" t="str">
        <f>IFERROR(__xludf.DUMMYFUNCTION("GOOGLETRANSLATE(D2564,""EN"",""JA"")"),"インフルエンザAウイルス")</f>
        <v>インフルエンザAウイルス</v>
      </c>
      <c r="I2564" s="1" t="str">
        <f>IFERROR(__xludf.DUMMYFUNCTION("GOOGLETRANSLATE(E2564,""EN"",""JA"")"),"インフルエンザAウイルス")</f>
        <v>インフルエンザAウイルス</v>
      </c>
      <c r="J2564" s="1" t="str">
        <f>IFERROR(__xludf.DUMMYFUNCTION("GOOGLETRANSLATE(F2564,""EN"",""JA"")"),"生物学的標本におけるインフルエンザAウイルスの測定。")</f>
        <v>生物学的標本におけるインフルエンザAウイルスの測定。</v>
      </c>
      <c r="K2564" s="1" t="str">
        <f>IFERROR(__xludf.DUMMYFUNCTION("GOOGLETRANSLATE(G2564,""EN"",""JA"")"),"インフルエンザAウイルス測定")</f>
        <v>インフルエンザAウイルス測定</v>
      </c>
    </row>
    <row r="2565" ht="13.5" customHeight="1">
      <c r="A2565" s="1" t="s">
        <v>67</v>
      </c>
      <c r="B2565" s="1" t="s">
        <v>12973</v>
      </c>
      <c r="C2565" s="1" t="s">
        <v>12974</v>
      </c>
      <c r="D2565" s="1" t="s">
        <v>12975</v>
      </c>
      <c r="E2565" s="1" t="s">
        <v>12975</v>
      </c>
      <c r="F2565" s="1" t="s">
        <v>12976</v>
      </c>
      <c r="G2565" s="1" t="s">
        <v>12977</v>
      </c>
      <c r="H2565" s="1" t="str">
        <f>IFERROR(__xludf.DUMMYFUNCTION("GOOGLETRANSLATE(D2565,""EN"",""JA"")"),"インフルエンザA抗原")</f>
        <v>インフルエンザA抗原</v>
      </c>
      <c r="I2565" s="1" t="str">
        <f>IFERROR(__xludf.DUMMYFUNCTION("GOOGLETRANSLATE(E2565,""EN"",""JA"")"),"インフルエンザA抗原")</f>
        <v>インフルエンザA抗原</v>
      </c>
      <c r="J2565" s="1" t="str">
        <f>IFERROR(__xludf.DUMMYFUNCTION("GOOGLETRANSLATE(F2565,""EN"",""JA"")"),"生物学的標本中のインフルエンザA抗原の測定。")</f>
        <v>生物学的標本中のインフルエンザA抗原の測定。</v>
      </c>
      <c r="K2565" s="1" t="str">
        <f>IFERROR(__xludf.DUMMYFUNCTION("GOOGLETRANSLATE(G2565,""EN"",""JA"")"),"インフルエンザA抗原測定")</f>
        <v>インフルエンザA抗原測定</v>
      </c>
    </row>
    <row r="2566" ht="13.5" customHeight="1">
      <c r="A2566" s="1" t="s">
        <v>67</v>
      </c>
      <c r="B2566" s="1" t="s">
        <v>12978</v>
      </c>
      <c r="C2566" s="1" t="s">
        <v>12979</v>
      </c>
      <c r="D2566" s="1" t="s">
        <v>12980</v>
      </c>
      <c r="E2566" s="1" t="s">
        <v>12980</v>
      </c>
      <c r="F2566" s="1" t="s">
        <v>12981</v>
      </c>
      <c r="G2566" s="1" t="s">
        <v>12982</v>
      </c>
      <c r="H2566" s="1" t="str">
        <f>IFERROR(__xludf.DUMMYFUNCTION("GOOGLETRANSLATE(D2566,""EN"",""JA"")"),"インフルエンザA/Bウイルス")</f>
        <v>インフルエンザA/Bウイルス</v>
      </c>
      <c r="I2566" s="1" t="str">
        <f>IFERROR(__xludf.DUMMYFUNCTION("GOOGLETRANSLATE(E2566,""EN"",""JA"")"),"インフルエンザA/Bウイルス")</f>
        <v>インフルエンザA/Bウイルス</v>
      </c>
      <c r="J2566" s="1" t="str">
        <f>IFERROR(__xludf.DUMMYFUNCTION("GOOGLETRANSLATE(F2566,""EN"",""JA"")"),"生物学的標本中のインフルエンザ A 型および/または B 型ウイルスの測定。")</f>
        <v>生物学的標本中のインフルエンザ A 型および/または B 型ウイルスの測定。</v>
      </c>
      <c r="K2566" s="1" t="str">
        <f>IFERROR(__xludf.DUMMYFUNCTION("GOOGLETRANSLATE(G2566,""EN"",""JA"")"),"インフルエンザA/Bウイルス測定")</f>
        <v>インフルエンザA/Bウイルス測定</v>
      </c>
    </row>
    <row r="2567" ht="13.5" customHeight="1">
      <c r="A2567" s="1" t="s">
        <v>67</v>
      </c>
      <c r="B2567" s="1" t="s">
        <v>12983</v>
      </c>
      <c r="C2567" s="1" t="s">
        <v>12984</v>
      </c>
      <c r="D2567" s="1" t="s">
        <v>12985</v>
      </c>
      <c r="E2567" s="1" t="s">
        <v>12985</v>
      </c>
      <c r="F2567" s="1" t="s">
        <v>12986</v>
      </c>
      <c r="G2567" s="1" t="s">
        <v>12987</v>
      </c>
      <c r="H2567" s="1" t="str">
        <f>IFERROR(__xludf.DUMMYFUNCTION("GOOGLETRANSLATE(D2567,""EN"",""JA"")"),"インフルエンザA/B抗原")</f>
        <v>インフルエンザA/B抗原</v>
      </c>
      <c r="I2567" s="1" t="str">
        <f>IFERROR(__xludf.DUMMYFUNCTION("GOOGLETRANSLATE(E2567,""EN"",""JA"")"),"インフルエンザA/B抗原")</f>
        <v>インフルエンザA/B抗原</v>
      </c>
      <c r="J2567" s="1" t="str">
        <f>IFERROR(__xludf.DUMMYFUNCTION("GOOGLETRANSLATE(F2567,""EN"",""JA"")"),"生物学的標本中のインフルエンザ A 型および/または B 型抗原の測定。")</f>
        <v>生物学的標本中のインフルエンザ A 型および/または B 型抗原の測定。</v>
      </c>
      <c r="K2567" s="1" t="str">
        <f>IFERROR(__xludf.DUMMYFUNCTION("GOOGLETRANSLATE(G2567,""EN"",""JA"")"),"インフルエンザA/B抗原測定")</f>
        <v>インフルエンザA/B抗原測定</v>
      </c>
    </row>
    <row r="2568" ht="13.5" customHeight="1">
      <c r="A2568" s="1" t="s">
        <v>67</v>
      </c>
      <c r="B2568" s="1" t="s">
        <v>12988</v>
      </c>
      <c r="C2568" s="1" t="s">
        <v>12989</v>
      </c>
      <c r="D2568" s="1" t="s">
        <v>12990</v>
      </c>
      <c r="E2568" s="1" t="s">
        <v>12990</v>
      </c>
      <c r="F2568" s="1" t="s">
        <v>12991</v>
      </c>
      <c r="G2568" s="1" t="s">
        <v>12992</v>
      </c>
      <c r="H2568" s="1" t="str">
        <f>IFERROR(__xludf.DUMMYFUNCTION("GOOGLETRANSLATE(D2568,""EN"",""JA"")"),"インフルエンザA/B RNA")</f>
        <v>インフルエンザA/B RNA</v>
      </c>
      <c r="I2568" s="1" t="str">
        <f>IFERROR(__xludf.DUMMYFUNCTION("GOOGLETRANSLATE(E2568,""EN"",""JA"")"),"インフルエンザA/B RNA")</f>
        <v>インフルエンザA/B RNA</v>
      </c>
      <c r="J2568" s="1" t="str">
        <f>IFERROR(__xludf.DUMMYFUNCTION("GOOGLETRANSLATE(F2568,""EN"",""JA"")"),"生物学的標本中のインフルエンザ A 型および/または B 型の RNA の測定。")</f>
        <v>生物学的標本中のインフルエンザ A 型および/または B 型の RNA の測定。</v>
      </c>
      <c r="K2568" s="1" t="str">
        <f>IFERROR(__xludf.DUMMYFUNCTION("GOOGLETRANSLATE(G2568,""EN"",""JA"")"),"インフルエンザA型および/またはB型のRNA測定")</f>
        <v>インフルエンザA型および/またはB型のRNA測定</v>
      </c>
    </row>
    <row r="2569" ht="13.5" customHeight="1">
      <c r="A2569" s="1" t="s">
        <v>67</v>
      </c>
      <c r="B2569" s="1" t="s">
        <v>12993</v>
      </c>
      <c r="C2569" s="1" t="s">
        <v>12994</v>
      </c>
      <c r="D2569" s="1" t="s">
        <v>12995</v>
      </c>
      <c r="E2569" s="1" t="s">
        <v>12995</v>
      </c>
      <c r="F2569" s="1" t="s">
        <v>12996</v>
      </c>
      <c r="G2569" s="1" t="s">
        <v>12997</v>
      </c>
      <c r="H2569" s="1" t="str">
        <f>IFERROR(__xludf.DUMMYFUNCTION("GOOGLETRANSLATE(D2569,""EN"",""JA"")"),"インフルエンザA H1核酸")</f>
        <v>インフルエンザA H1核酸</v>
      </c>
      <c r="I2569" s="1" t="str">
        <f>IFERROR(__xludf.DUMMYFUNCTION("GOOGLETRANSLATE(E2569,""EN"",""JA"")"),"インフルエンザA H1核酸")</f>
        <v>インフルエンザA H1核酸</v>
      </c>
      <c r="J2569" s="1" t="str">
        <f>IFERROR(__xludf.DUMMYFUNCTION("GOOGLETRANSLATE(F2569,""EN"",""JA"")"),"生物学的標本中のインフルエンザ A ウイルス亜型のヘマグルチニン (HA) 1 核酸の測定。")</f>
        <v>生物学的標本中のインフルエンザ A ウイルス亜型のヘマグルチニン (HA) 1 核酸の測定。</v>
      </c>
      <c r="K2569" s="1" t="str">
        <f>IFERROR(__xludf.DUMMYFUNCTION("GOOGLETRANSLATE(G2569,""EN"",""JA"")"),"インフルエンザA H1核酸測定")</f>
        <v>インフルエンザA H1核酸測定</v>
      </c>
    </row>
    <row r="2570" ht="13.5" customHeight="1">
      <c r="A2570" s="1" t="s">
        <v>67</v>
      </c>
      <c r="B2570" s="1" t="s">
        <v>12998</v>
      </c>
      <c r="C2570" s="1" t="s">
        <v>12999</v>
      </c>
      <c r="D2570" s="1" t="s">
        <v>13000</v>
      </c>
      <c r="E2570" s="1" t="s">
        <v>13000</v>
      </c>
      <c r="F2570" s="1" t="s">
        <v>13001</v>
      </c>
      <c r="G2570" s="1" t="s">
        <v>13002</v>
      </c>
      <c r="H2570" s="1" t="str">
        <f>IFERROR(__xludf.DUMMYFUNCTION("GOOGLETRANSLATE(D2570,""EN"",""JA"")"),"インフルエンザA H1 RNA")</f>
        <v>インフルエンザA H1 RNA</v>
      </c>
      <c r="I2570" s="1" t="str">
        <f>IFERROR(__xludf.DUMMYFUNCTION("GOOGLETRANSLATE(E2570,""EN"",""JA"")"),"インフルエンザA H1 RNA")</f>
        <v>インフルエンザA H1 RNA</v>
      </c>
      <c r="J2570" s="1" t="str">
        <f>IFERROR(__xludf.DUMMYFUNCTION("GOOGLETRANSLATE(F2570,""EN"",""JA"")"),"生物学的標本中のインフルエンザ A ウイルス亜型のヘマグルチニン (HA) 1 RNA の測定。")</f>
        <v>生物学的標本中のインフルエンザ A ウイルス亜型のヘマグルチニン (HA) 1 RNA の測定。</v>
      </c>
      <c r="K2570" s="1" t="str">
        <f>IFERROR(__xludf.DUMMYFUNCTION("GOOGLETRANSLATE(G2570,""EN"",""JA"")"),"インフルエンザA H1 RNA測定")</f>
        <v>インフルエンザA H1 RNA測定</v>
      </c>
    </row>
    <row r="2571" ht="13.5" customHeight="1">
      <c r="A2571" s="1" t="s">
        <v>67</v>
      </c>
      <c r="B2571" s="1" t="s">
        <v>13003</v>
      </c>
      <c r="C2571" s="1" t="s">
        <v>13004</v>
      </c>
      <c r="D2571" s="1" t="s">
        <v>13005</v>
      </c>
      <c r="E2571" s="1" t="s">
        <v>13005</v>
      </c>
      <c r="F2571" s="1" t="s">
        <v>13006</v>
      </c>
      <c r="G2571" s="1" t="s">
        <v>13007</v>
      </c>
      <c r="H2571" s="1" t="str">
        <f>IFERROR(__xludf.DUMMYFUNCTION("GOOGLETRANSLATE(D2571,""EN"",""JA"")"),"インフルエンザA H3核酸")</f>
        <v>インフルエンザA H3核酸</v>
      </c>
      <c r="I2571" s="1" t="str">
        <f>IFERROR(__xludf.DUMMYFUNCTION("GOOGLETRANSLATE(E2571,""EN"",""JA"")"),"インフルエンザA H3核酸")</f>
        <v>インフルエンザA H3核酸</v>
      </c>
      <c r="J2571" s="1" t="str">
        <f>IFERROR(__xludf.DUMMYFUNCTION("GOOGLETRANSLATE(F2571,""EN"",""JA"")"),"生物学的標本中のインフルエンザ A ウイルス亜型のヘマグルチニン (HA) 3 核酸の測定。")</f>
        <v>生物学的標本中のインフルエンザ A ウイルス亜型のヘマグルチニン (HA) 3 核酸の測定。</v>
      </c>
      <c r="K2571" s="1" t="str">
        <f>IFERROR(__xludf.DUMMYFUNCTION("GOOGLETRANSLATE(G2571,""EN"",""JA"")"),"インフルエンザA H3核酸測定")</f>
        <v>インフルエンザA H3核酸測定</v>
      </c>
    </row>
    <row r="2572" ht="13.5" customHeight="1">
      <c r="A2572" s="1" t="s">
        <v>67</v>
      </c>
      <c r="B2572" s="1" t="s">
        <v>13008</v>
      </c>
      <c r="C2572" s="1" t="s">
        <v>13009</v>
      </c>
      <c r="D2572" s="1" t="s">
        <v>13010</v>
      </c>
      <c r="E2572" s="1" t="s">
        <v>13010</v>
      </c>
      <c r="F2572" s="1" t="s">
        <v>13011</v>
      </c>
      <c r="G2572" s="1" t="s">
        <v>13012</v>
      </c>
      <c r="H2572" s="1" t="str">
        <f>IFERROR(__xludf.DUMMYFUNCTION("GOOGLETRANSLATE(D2572,""EN"",""JA"")"),"インフルエンザA H3 RNA")</f>
        <v>インフルエンザA H3 RNA</v>
      </c>
      <c r="I2572" s="1" t="str">
        <f>IFERROR(__xludf.DUMMYFUNCTION("GOOGLETRANSLATE(E2572,""EN"",""JA"")"),"インフルエンザA H3 RNA")</f>
        <v>インフルエンザA H3 RNA</v>
      </c>
      <c r="J2572" s="1" t="str">
        <f>IFERROR(__xludf.DUMMYFUNCTION("GOOGLETRANSLATE(F2572,""EN"",""JA"")"),"生物学的標本中のインフルエンザ A ウイルス亜型のヘマグルチニン (HA) 3 RNA の測定。")</f>
        <v>生物学的標本中のインフルエンザ A ウイルス亜型のヘマグルチニン (HA) 3 RNA の測定。</v>
      </c>
      <c r="K2572" s="1" t="str">
        <f>IFERROR(__xludf.DUMMYFUNCTION("GOOGLETRANSLATE(G2572,""EN"",""JA"")"),"インフルエンザA H3 RNA測定")</f>
        <v>インフルエンザA H3 RNA測定</v>
      </c>
    </row>
    <row r="2573" ht="13.5" customHeight="1">
      <c r="A2573" s="1" t="s">
        <v>67</v>
      </c>
      <c r="B2573" s="1" t="s">
        <v>13013</v>
      </c>
      <c r="C2573" s="1" t="s">
        <v>13014</v>
      </c>
      <c r="D2573" s="1" t="s">
        <v>13015</v>
      </c>
      <c r="E2573" s="1" t="s">
        <v>13015</v>
      </c>
      <c r="F2573" s="1" t="s">
        <v>13016</v>
      </c>
      <c r="G2573" s="1" t="s">
        <v>13017</v>
      </c>
      <c r="H2573" s="1" t="str">
        <f>IFERROR(__xludf.DUMMYFUNCTION("GOOGLETRANSLATE(D2573,""EN"",""JA"")"),"インフルエンザA核酸")</f>
        <v>インフルエンザA核酸</v>
      </c>
      <c r="I2573" s="1" t="str">
        <f>IFERROR(__xludf.DUMMYFUNCTION("GOOGLETRANSLATE(E2573,""EN"",""JA"")"),"インフルエンザA核酸")</f>
        <v>インフルエンザA核酸</v>
      </c>
      <c r="J2573" s="1" t="str">
        <f>IFERROR(__xludf.DUMMYFUNCTION("GOOGLETRANSLATE(F2573,""EN"",""JA"")"),"生物標本中のインフルエンザAウイルスの核酸の測定。")</f>
        <v>生物標本中のインフルエンザAウイルスの核酸の測定。</v>
      </c>
      <c r="K2573" s="1" t="str">
        <f>IFERROR(__xludf.DUMMYFUNCTION("GOOGLETRANSLATE(G2573,""EN"",""JA"")"),"インフルエンザA核酸測定")</f>
        <v>インフルエンザA核酸測定</v>
      </c>
    </row>
    <row r="2574" ht="13.5" customHeight="1">
      <c r="A2574" s="1" t="s">
        <v>67</v>
      </c>
      <c r="B2574" s="1" t="s">
        <v>13018</v>
      </c>
      <c r="C2574" s="1" t="s">
        <v>13019</v>
      </c>
      <c r="D2574" s="1" t="s">
        <v>13020</v>
      </c>
      <c r="E2574" s="1" t="s">
        <v>13020</v>
      </c>
      <c r="F2574" s="1" t="s">
        <v>13021</v>
      </c>
      <c r="G2574" s="1" t="s">
        <v>13022</v>
      </c>
      <c r="H2574" s="1" t="str">
        <f>IFERROR(__xludf.DUMMYFUNCTION("GOOGLETRANSLATE(D2574,""EN"",""JA"")"),"インフルエンザA RNA")</f>
        <v>インフルエンザA RNA</v>
      </c>
      <c r="I2574" s="1" t="str">
        <f>IFERROR(__xludf.DUMMYFUNCTION("GOOGLETRANSLATE(E2574,""EN"",""JA"")"),"インフルエンザA RNA")</f>
        <v>インフルエンザA RNA</v>
      </c>
      <c r="J2574" s="1" t="str">
        <f>IFERROR(__xludf.DUMMYFUNCTION("GOOGLETRANSLATE(F2574,""EN"",""JA"")"),"生物標本中のインフルエンザAウイルスRNAの測定。")</f>
        <v>生物標本中のインフルエンザAウイルスRNAの測定。</v>
      </c>
      <c r="K2574" s="1" t="str">
        <f>IFERROR(__xludf.DUMMYFUNCTION("GOOGLETRANSLATE(G2574,""EN"",""JA"")"),"インフルエンザA RNA測定")</f>
        <v>インフルエンザA RNA測定</v>
      </c>
    </row>
    <row r="2575" ht="13.5" customHeight="1">
      <c r="A2575" s="1" t="s">
        <v>67</v>
      </c>
      <c r="B2575" s="1" t="s">
        <v>13023</v>
      </c>
      <c r="C2575" s="1" t="s">
        <v>13024</v>
      </c>
      <c r="D2575" s="1" t="s">
        <v>13025</v>
      </c>
      <c r="E2575" s="1" t="s">
        <v>13025</v>
      </c>
      <c r="F2575" s="1" t="s">
        <v>13026</v>
      </c>
      <c r="G2575" s="1" t="s">
        <v>13027</v>
      </c>
      <c r="H2575" s="1" t="str">
        <f>IFERROR(__xludf.DUMMYFUNCTION("GOOGLETRANSLATE(D2575,""EN"",""JA"")"),"インフルエンザBウイルス")</f>
        <v>インフルエンザBウイルス</v>
      </c>
      <c r="I2575" s="1" t="str">
        <f>IFERROR(__xludf.DUMMYFUNCTION("GOOGLETRANSLATE(E2575,""EN"",""JA"")"),"インフルエンザBウイルス")</f>
        <v>インフルエンザBウイルス</v>
      </c>
      <c r="J2575" s="1" t="str">
        <f>IFERROR(__xludf.DUMMYFUNCTION("GOOGLETRANSLATE(F2575,""EN"",""JA"")"),"生物学的標本であるインフルエンザBウイルスの測定。")</f>
        <v>生物学的標本であるインフルエンザBウイルスの測定。</v>
      </c>
      <c r="K2575" s="1" t="str">
        <f>IFERROR(__xludf.DUMMYFUNCTION("GOOGLETRANSLATE(G2575,""EN"",""JA"")"),"インフルエンザBウイルス測定")</f>
        <v>インフルエンザBウイルス測定</v>
      </c>
    </row>
    <row r="2576" ht="13.5" customHeight="1">
      <c r="A2576" s="1" t="s">
        <v>67</v>
      </c>
      <c r="B2576" s="1" t="s">
        <v>13028</v>
      </c>
      <c r="C2576" s="1" t="s">
        <v>13029</v>
      </c>
      <c r="D2576" s="1" t="s">
        <v>13030</v>
      </c>
      <c r="E2576" s="1" t="s">
        <v>13030</v>
      </c>
      <c r="F2576" s="1" t="s">
        <v>13031</v>
      </c>
      <c r="G2576" s="1" t="s">
        <v>13032</v>
      </c>
      <c r="H2576" s="1" t="str">
        <f>IFERROR(__xludf.DUMMYFUNCTION("GOOGLETRANSLATE(D2576,""EN"",""JA"")"),"インフルエンザB抗原")</f>
        <v>インフルエンザB抗原</v>
      </c>
      <c r="I2576" s="1" t="str">
        <f>IFERROR(__xludf.DUMMYFUNCTION("GOOGLETRANSLATE(E2576,""EN"",""JA"")"),"インフルエンザB抗原")</f>
        <v>インフルエンザB抗原</v>
      </c>
      <c r="J2576" s="1" t="str">
        <f>IFERROR(__xludf.DUMMYFUNCTION("GOOGLETRANSLATE(F2576,""EN"",""JA"")"),"生物学的標本中のインフルエンザ B 抗原の測定。")</f>
        <v>生物学的標本中のインフルエンザ B 抗原の測定。</v>
      </c>
      <c r="K2576" s="1" t="str">
        <f>IFERROR(__xludf.DUMMYFUNCTION("GOOGLETRANSLATE(G2576,""EN"",""JA"")"),"インフルエンザB抗原測定")</f>
        <v>インフルエンザB抗原測定</v>
      </c>
    </row>
    <row r="2577" ht="13.5" customHeight="1">
      <c r="A2577" s="1" t="s">
        <v>67</v>
      </c>
      <c r="B2577" s="1" t="s">
        <v>13033</v>
      </c>
      <c r="C2577" s="1" t="s">
        <v>13034</v>
      </c>
      <c r="D2577" s="1" t="s">
        <v>13035</v>
      </c>
      <c r="E2577" s="1" t="s">
        <v>13035</v>
      </c>
      <c r="F2577" s="1" t="s">
        <v>13036</v>
      </c>
      <c r="G2577" s="1" t="s">
        <v>13037</v>
      </c>
      <c r="H2577" s="1" t="str">
        <f>IFERROR(__xludf.DUMMYFUNCTION("GOOGLETRANSLATE(D2577,""EN"",""JA"")"),"インフルエンザB核酸")</f>
        <v>インフルエンザB核酸</v>
      </c>
      <c r="I2577" s="1" t="str">
        <f>IFERROR(__xludf.DUMMYFUNCTION("GOOGLETRANSLATE(E2577,""EN"",""JA"")"),"インフルエンザB核酸")</f>
        <v>インフルエンザB核酸</v>
      </c>
      <c r="J2577" s="1" t="str">
        <f>IFERROR(__xludf.DUMMYFUNCTION("GOOGLETRANSLATE(F2577,""EN"",""JA"")"),"生物標本中のインフルエンザ B ウイルスの核酸の測定。")</f>
        <v>生物標本中のインフルエンザ B ウイルスの核酸の測定。</v>
      </c>
      <c r="K2577" s="1" t="str">
        <f>IFERROR(__xludf.DUMMYFUNCTION("GOOGLETRANSLATE(G2577,""EN"",""JA"")"),"インフルエンザB核酸測定")</f>
        <v>インフルエンザB核酸測定</v>
      </c>
    </row>
    <row r="2578" ht="13.5" customHeight="1">
      <c r="A2578" s="1" t="s">
        <v>67</v>
      </c>
      <c r="B2578" s="1" t="s">
        <v>13038</v>
      </c>
      <c r="C2578" s="1" t="s">
        <v>13039</v>
      </c>
      <c r="D2578" s="1" t="s">
        <v>13040</v>
      </c>
      <c r="E2578" s="1" t="s">
        <v>13040</v>
      </c>
      <c r="F2578" s="1" t="s">
        <v>13041</v>
      </c>
      <c r="G2578" s="1" t="s">
        <v>13042</v>
      </c>
      <c r="H2578" s="1" t="str">
        <f>IFERROR(__xludf.DUMMYFUNCTION("GOOGLETRANSLATE(D2578,""EN"",""JA"")"),"インフルエンザB RNA")</f>
        <v>インフルエンザB RNA</v>
      </c>
      <c r="I2578" s="1" t="str">
        <f>IFERROR(__xludf.DUMMYFUNCTION("GOOGLETRANSLATE(E2578,""EN"",""JA"")"),"インフルエンザB RNA")</f>
        <v>インフルエンザB RNA</v>
      </c>
      <c r="J2578" s="1" t="str">
        <f>IFERROR(__xludf.DUMMYFUNCTION("GOOGLETRANSLATE(F2578,""EN"",""JA"")"),"生物標本中のインフルエンザ B ウイルス RNA の測定。")</f>
        <v>生物標本中のインフルエンザ B ウイルス RNA の測定。</v>
      </c>
      <c r="K2578" s="1" t="str">
        <f>IFERROR(__xludf.DUMMYFUNCTION("GOOGLETRANSLATE(G2578,""EN"",""JA"")"),"インフルエンザB RNA測定")</f>
        <v>インフルエンザB RNA測定</v>
      </c>
    </row>
    <row r="2579" ht="13.5" customHeight="1">
      <c r="A2579" s="1" t="s">
        <v>580</v>
      </c>
      <c r="B2579" s="1" t="s">
        <v>13043</v>
      </c>
      <c r="C2579" s="1" t="s">
        <v>13044</v>
      </c>
      <c r="D2579" s="1" t="s">
        <v>13045</v>
      </c>
      <c r="E2579" s="1" t="s">
        <v>13045</v>
      </c>
      <c r="F2579" s="1" t="s">
        <v>13046</v>
      </c>
      <c r="G2579" s="1" t="s">
        <v>13045</v>
      </c>
      <c r="H2579" s="1" t="str">
        <f>IFERROR(__xludf.DUMMYFUNCTION("GOOGLETRANSLATE(D2579,""EN"",""JA"")"),"侵入インジケーター")</f>
        <v>侵入インジケーター</v>
      </c>
      <c r="I2579" s="1" t="str">
        <f>IFERROR(__xludf.DUMMYFUNCTION("GOOGLETRANSLATE(E2579,""EN"",""JA"")"),"侵入インジケーター")</f>
        <v>侵入インジケーター</v>
      </c>
      <c r="J2579" s="1" t="str">
        <f>IFERROR(__xludf.DUMMYFUNCTION("GOOGLETRANSLATE(F2579,""EN"",""JA"")"),"浸潤が発生したかどうかを示します。")</f>
        <v>浸潤が発生したかどうかを示します。</v>
      </c>
      <c r="K2579" s="1" t="str">
        <f>IFERROR(__xludf.DUMMYFUNCTION("GOOGLETRANSLATE(G2579,""EN"",""JA"")"),"侵入インジケーター")</f>
        <v>侵入インジケーター</v>
      </c>
    </row>
    <row r="2580" ht="13.5" customHeight="1">
      <c r="A2580" s="1" t="s">
        <v>842</v>
      </c>
      <c r="B2580" s="1" t="s">
        <v>13047</v>
      </c>
      <c r="C2580" s="1" t="s">
        <v>13048</v>
      </c>
      <c r="D2580" s="1" t="s">
        <v>13049</v>
      </c>
      <c r="E2580" s="1" t="s">
        <v>13049</v>
      </c>
      <c r="F2580" s="1" t="s">
        <v>13050</v>
      </c>
      <c r="G2580" s="1" t="s">
        <v>13049</v>
      </c>
      <c r="H2580" s="1" t="str">
        <f>IFERROR(__xludf.DUMMYFUNCTION("GOOGLETRANSLATE(D2580,""EN"",""JA"")"),"死因に関する情報源")</f>
        <v>死因に関する情報源</v>
      </c>
      <c r="I2580" s="1" t="str">
        <f>IFERROR(__xludf.DUMMYFUNCTION("GOOGLETRANSLATE(E2580,""EN"",""JA"")"),"死因に関する情報源")</f>
        <v>死因に関する情報源</v>
      </c>
      <c r="J2580" s="1" t="str">
        <f>IFERROR(__xludf.DUMMYFUNCTION("GOOGLETRANSLATE(F2580,""EN"",""JA"")"),"死亡原因を提供した人物または権威ある情報源。")</f>
        <v>死亡原因を提供した人物または権威ある情報源。</v>
      </c>
      <c r="K2580" s="1" t="str">
        <f>IFERROR(__xludf.DUMMYFUNCTION("GOOGLETRANSLATE(G2580,""EN"",""JA"")"),"死因に関する情報源")</f>
        <v>死因に関する情報源</v>
      </c>
    </row>
    <row r="2581" ht="13.5" customHeight="1">
      <c r="A2581" s="1" t="s">
        <v>9590</v>
      </c>
      <c r="B2581" s="1" t="s">
        <v>13051</v>
      </c>
      <c r="C2581" s="1" t="s">
        <v>13052</v>
      </c>
      <c r="D2581" s="1" t="s">
        <v>13053</v>
      </c>
      <c r="E2581" s="1" t="s">
        <v>13053</v>
      </c>
      <c r="F2581" s="1" t="s">
        <v>13054</v>
      </c>
      <c r="G2581" s="1" t="s">
        <v>13053</v>
      </c>
      <c r="H2581" s="1" t="str">
        <f>IFERROR(__xludf.DUMMYFUNCTION("GOOGLETRANSLATE(D2581,""EN"",""JA"")"),"生存状況の情報源")</f>
        <v>生存状況の情報源</v>
      </c>
      <c r="I2581" s="1" t="str">
        <f>IFERROR(__xludf.DUMMYFUNCTION("GOOGLETRANSLATE(E2581,""EN"",""JA"")"),"生存状況の情報源")</f>
        <v>生存状況の情報源</v>
      </c>
      <c r="J2581" s="1" t="str">
        <f>IFERROR(__xludf.DUMMYFUNCTION("GOOGLETRANSLATE(F2581,""EN"",""JA"")"),"生存状況に関する情報を提供した人物または権威ある情報源。")</f>
        <v>生存状況に関する情報を提供した人物または権威ある情報源。</v>
      </c>
      <c r="K2581" s="1" t="str">
        <f>IFERROR(__xludf.DUMMYFUNCTION("GOOGLETRANSLATE(G2581,""EN"",""JA"")"),"生存状況の情報源")</f>
        <v>生存状況の情報源</v>
      </c>
    </row>
    <row r="2582" ht="13.5" customHeight="1">
      <c r="A2582" s="1" t="s">
        <v>160</v>
      </c>
      <c r="B2582" s="1" t="s">
        <v>13055</v>
      </c>
      <c r="C2582" s="1" t="s">
        <v>13056</v>
      </c>
      <c r="D2582" s="1" t="s">
        <v>13057</v>
      </c>
      <c r="E2582" s="1" t="s">
        <v>13057</v>
      </c>
      <c r="F2582" s="1" t="s">
        <v>13058</v>
      </c>
      <c r="G2582" s="1" t="s">
        <v>13057</v>
      </c>
      <c r="H2582" s="1" t="str">
        <f>IFERROR(__xludf.DUMMYFUNCTION("GOOGLETRANSLATE(D2582,""EN"",""JA"")"),"不妊症指標")</f>
        <v>不妊症指標</v>
      </c>
      <c r="I2582" s="1" t="str">
        <f>IFERROR(__xludf.DUMMYFUNCTION("GOOGLETRANSLATE(E2582,""EN"",""JA"")"),"不妊症指標")</f>
        <v>不妊症指標</v>
      </c>
      <c r="J2582" s="1" t="str">
        <f>IFERROR(__xludf.DUMMYFUNCTION("GOOGLETRANSLATE(F2582,""EN"",""JA"")"),"個人が不妊症を経験したかどうかを示すもの。")</f>
        <v>個人が不妊症を経験したかどうかを示すもの。</v>
      </c>
      <c r="K2582" s="1" t="str">
        <f>IFERROR(__xludf.DUMMYFUNCTION("GOOGLETRANSLATE(G2582,""EN"",""JA"")"),"不妊症指標")</f>
        <v>不妊症指標</v>
      </c>
    </row>
    <row r="2583" ht="13.5" customHeight="1">
      <c r="A2583" s="1" t="s">
        <v>11</v>
      </c>
      <c r="B2583" s="1" t="s">
        <v>13059</v>
      </c>
      <c r="C2583" s="1" t="s">
        <v>13060</v>
      </c>
      <c r="D2583" s="1" t="s">
        <v>13061</v>
      </c>
      <c r="E2583" s="1" t="s">
        <v>13061</v>
      </c>
      <c r="F2583" s="1" t="s">
        <v>13062</v>
      </c>
      <c r="G2583" s="1" t="s">
        <v>13063</v>
      </c>
      <c r="H2583" s="1" t="str">
        <f>IFERROR(__xludf.DUMMYFUNCTION("GOOGLETRANSLATE(D2583,""EN"",""JA"")"),"インヒビンA")</f>
        <v>インヒビンA</v>
      </c>
      <c r="I2583" s="1" t="str">
        <f>IFERROR(__xludf.DUMMYFUNCTION("GOOGLETRANSLATE(E2583,""EN"",""JA"")"),"インヒビンA")</f>
        <v>インヒビンA</v>
      </c>
      <c r="J2583" s="1" t="str">
        <f>IFERROR(__xludf.DUMMYFUNCTION("GOOGLETRANSLATE(F2583,""EN"",""JA"")"),"生物標本中のインヒビン A (インヒビン サブユニット アルファとインヒビン サブユニット ベータ A のヘテロ二量体) の測定。")</f>
        <v>生物標本中のインヒビン A (インヒビン サブユニット アルファとインヒビン サブユニット ベータ A のヘテロ二量体) の測定。</v>
      </c>
      <c r="K2583" s="1" t="str">
        <f>IFERROR(__xludf.DUMMYFUNCTION("GOOGLETRANSLATE(G2583,""EN"",""JA"")"),"インヒビンA測定")</f>
        <v>インヒビンA測定</v>
      </c>
    </row>
    <row r="2584" ht="13.5" customHeight="1">
      <c r="A2584" s="1" t="s">
        <v>11</v>
      </c>
      <c r="B2584" s="1" t="s">
        <v>13064</v>
      </c>
      <c r="C2584" s="1" t="s">
        <v>13065</v>
      </c>
      <c r="D2584" s="1" t="s">
        <v>13066</v>
      </c>
      <c r="E2584" s="1" t="s">
        <v>13066</v>
      </c>
      <c r="F2584" s="1" t="s">
        <v>13067</v>
      </c>
      <c r="G2584" s="1" t="s">
        <v>13068</v>
      </c>
      <c r="H2584" s="1" t="str">
        <f>IFERROR(__xludf.DUMMYFUNCTION("GOOGLETRANSLATE(D2584,""EN"",""JA"")"),"インヒビンB")</f>
        <v>インヒビンB</v>
      </c>
      <c r="I2584" s="1" t="str">
        <f>IFERROR(__xludf.DUMMYFUNCTION("GOOGLETRANSLATE(E2584,""EN"",""JA"")"),"インヒビンB")</f>
        <v>インヒビンB</v>
      </c>
      <c r="J2584" s="1" t="str">
        <f>IFERROR(__xludf.DUMMYFUNCTION("GOOGLETRANSLATE(F2584,""EN"",""JA"")"),"生物標本中のインヒビン B (インヒビン サブユニット アルファとインヒビン サブユニット ベータ B のヘテロ二量体) の測定。")</f>
        <v>生物標本中のインヒビン B (インヒビン サブユニット アルファとインヒビン サブユニット ベータ B のヘテロ二量体) の測定。</v>
      </c>
      <c r="K2584" s="1" t="str">
        <f>IFERROR(__xludf.DUMMYFUNCTION("GOOGLETRANSLATE(G2584,""EN"",""JA"")"),"インヒビンB測定")</f>
        <v>インヒビンB測定</v>
      </c>
    </row>
    <row r="2585" ht="13.5" customHeight="1">
      <c r="A2585" s="1" t="s">
        <v>601</v>
      </c>
      <c r="B2585" s="1" t="s">
        <v>13069</v>
      </c>
      <c r="C2585" s="1" t="s">
        <v>13070</v>
      </c>
      <c r="D2585" s="1" t="s">
        <v>13071</v>
      </c>
      <c r="E2585" s="1" t="s">
        <v>13071</v>
      </c>
      <c r="F2585" s="1" t="s">
        <v>13072</v>
      </c>
      <c r="G2585" s="1" t="s">
        <v>13071</v>
      </c>
      <c r="H2585" s="1" t="str">
        <f>IFERROR(__xludf.DUMMYFUNCTION("GOOGLETRANSLATE(D2585,""EN"",""JA"")"),"1歳未満の乳児指標")</f>
        <v>1歳未満の乳児指標</v>
      </c>
      <c r="I2585" s="1" t="str">
        <f>IFERROR(__xludf.DUMMYFUNCTION("GOOGLETRANSLATE(E2585,""EN"",""JA"")"),"1歳未満の乳児指標")</f>
        <v>1歳未満の乳児指標</v>
      </c>
      <c r="J2585" s="1" t="str">
        <f>IFERROR(__xludf.DUMMYFUNCTION("GOOGLETRANSLATE(F2585,""EN"",""JA"")"),"対象者が1歳未満であるかどうかを示します。")</f>
        <v>対象者が1歳未満であるかどうかを示します。</v>
      </c>
      <c r="K2585" s="1" t="str">
        <f>IFERROR(__xludf.DUMMYFUNCTION("GOOGLETRANSLATE(G2585,""EN"",""JA"")"),"1歳未満の乳児指標")</f>
        <v>1歳未満の乳児指標</v>
      </c>
    </row>
    <row r="2586" ht="13.5" customHeight="1">
      <c r="A2586" s="1" t="s">
        <v>11</v>
      </c>
      <c r="B2586" s="1" t="s">
        <v>13073</v>
      </c>
      <c r="C2586" s="1" t="s">
        <v>13074</v>
      </c>
      <c r="D2586" s="1" t="s">
        <v>13075</v>
      </c>
      <c r="E2586" s="1" t="s">
        <v>13075</v>
      </c>
      <c r="F2586" s="1" t="s">
        <v>13076</v>
      </c>
      <c r="G2586" s="1" t="s">
        <v>13075</v>
      </c>
      <c r="H2586" s="1" t="str">
        <f>IFERROR(__xludf.DUMMYFUNCTION("GOOGLETRANSLATE(D2586,""EN"",""JA"")"),"イヌリンクリアランス")</f>
        <v>イヌリンクリアランス</v>
      </c>
      <c r="I2586" s="1" t="str">
        <f>IFERROR(__xludf.DUMMYFUNCTION("GOOGLETRANSLATE(E2586,""EN"",""JA"")"),"イヌリンクリアランス")</f>
        <v>イヌリンクリアランス</v>
      </c>
      <c r="J2586" s="1" t="str">
        <f>IFERROR(__xludf.DUMMYFUNCTION("GOOGLETRANSLATE(F2586,""EN"",""JA"")"),"指定された時間単位（例：1 分）に尿として排出され、イヌリンが除去される血清または血漿の量の測定値。")</f>
        <v>指定された時間単位（例：1 分）に尿として排出され、イヌリンが除去される血清または血漿の量の測定値。</v>
      </c>
      <c r="K2586" s="1" t="str">
        <f>IFERROR(__xludf.DUMMYFUNCTION("GOOGLETRANSLATE(G2586,""EN"",""JA"")"),"イヌリンクリアランス")</f>
        <v>イヌリンクリアランス</v>
      </c>
    </row>
    <row r="2587" ht="13.5" customHeight="1">
      <c r="A2587" s="1" t="s">
        <v>134</v>
      </c>
      <c r="B2587" s="1" t="s">
        <v>13077</v>
      </c>
      <c r="C2587" s="1" t="s">
        <v>13078</v>
      </c>
      <c r="D2587" s="1" t="s">
        <v>13079</v>
      </c>
      <c r="E2587" s="1" t="s">
        <v>13080</v>
      </c>
      <c r="F2587" s="1" t="s">
        <v>13081</v>
      </c>
      <c r="G2587" s="1" t="s">
        <v>13079</v>
      </c>
      <c r="H2587" s="1" t="str">
        <f>IFERROR(__xludf.DUMMYFUNCTION("GOOGLETRANSLATE(D2587,""EN"",""JA"")"),"関与するリンパ節レベル数")</f>
        <v>関与するリンパ節レベル数</v>
      </c>
      <c r="I2587" s="1" t="str">
        <f>IFERROR(__xludf.DUMMYFUNCTION("GOOGLETRANSLATE(E2587,""EN"",""JA"")"),"転移リンパ節レベル数、転移リンパ節ステーション数、陽性リンパ節レベル数、陽性リンパ節ステーション数")</f>
        <v>転移リンパ節レベル数、転移リンパ節ステーション数、陽性リンパ節レベル数、陽性リンパ節ステーション数</v>
      </c>
      <c r="J2587" s="1" t="str">
        <f>IFERROR(__xludf.DUMMYFUNCTION("GOOGLETRANSLATE(F2587,""EN"",""JA"")"),"腫瘍細胞を含むリンパ節のレベルの数の測定値。")</f>
        <v>腫瘍細胞を含むリンパ節のレベルの数の測定値。</v>
      </c>
      <c r="K2587" s="1" t="str">
        <f>IFERROR(__xludf.DUMMYFUNCTION("GOOGLETRANSLATE(G2587,""EN"",""JA"")"),"関与するリンパ節レベル数")</f>
        <v>関与するリンパ節レベル数</v>
      </c>
    </row>
    <row r="2588" ht="13.5" customHeight="1">
      <c r="A2588" s="1" t="s">
        <v>176</v>
      </c>
      <c r="B2588" s="1" t="s">
        <v>13082</v>
      </c>
      <c r="C2588" s="1" t="s">
        <v>13083</v>
      </c>
      <c r="D2588" s="1" t="s">
        <v>13084</v>
      </c>
      <c r="E2588" s="1" t="s">
        <v>13085</v>
      </c>
      <c r="F2588" s="1" t="s">
        <v>13086</v>
      </c>
      <c r="G2588" s="1" t="s">
        <v>13087</v>
      </c>
      <c r="H2588" s="1" t="str">
        <f>IFERROR(__xludf.DUMMYFUNCTION("GOOGLETRANSLATE(D2588,""EN"",""JA"")"),"ミオイノシトール")</f>
        <v>ミオイノシトール</v>
      </c>
      <c r="I2588" s="1" t="str">
        <f>IFERROR(__xludf.DUMMYFUNCTION("GOOGLETRANSLATE(E2588,""EN"",""JA"")"),"mI; ミオイノシトール")</f>
        <v>mI; ミオイノシトール</v>
      </c>
      <c r="J2588" s="1" t="str">
        <f>IFERROR(__xludf.DUMMYFUNCTION("GOOGLETRANSLATE(F2588,""EN"",""JA"")"),"生物標本中のミオイノシトールの測定。")</f>
        <v>生物標本中のミオイノシトールの測定。</v>
      </c>
      <c r="K2588" s="1" t="str">
        <f>IFERROR(__xludf.DUMMYFUNCTION("GOOGLETRANSLATE(G2588,""EN"",""JA"")"),"ミオイノシトール測定")</f>
        <v>ミオイノシトール測定</v>
      </c>
    </row>
    <row r="2589" ht="13.5" customHeight="1">
      <c r="A2589" s="1" t="s">
        <v>176</v>
      </c>
      <c r="B2589" s="1" t="s">
        <v>13088</v>
      </c>
      <c r="C2589" s="1" t="s">
        <v>13089</v>
      </c>
      <c r="D2589" s="1" t="s">
        <v>13090</v>
      </c>
      <c r="E2589" s="1" t="s">
        <v>13090</v>
      </c>
      <c r="F2589" s="1" t="s">
        <v>13091</v>
      </c>
      <c r="G2589" s="1" t="s">
        <v>13092</v>
      </c>
      <c r="H2589" s="1" t="str">
        <f>IFERROR(__xludf.DUMMYFUNCTION("GOOGLETRANSLATE(D2589,""EN"",""JA"")"),"ミオイノシトール/クレアチン")</f>
        <v>ミオイノシトール/クレアチン</v>
      </c>
      <c r="I2589" s="1" t="str">
        <f>IFERROR(__xludf.DUMMYFUNCTION("GOOGLETRANSLATE(E2589,""EN"",""JA"")"),"ミオイノシトール/クレアチン")</f>
        <v>ミオイノシトール/クレアチン</v>
      </c>
      <c r="J2589" s="1" t="str">
        <f>IFERROR(__xludf.DUMMYFUNCTION("GOOGLETRANSLATE(F2589,""EN"",""JA"")"),"生物学的標本中のミオイノシトールとクレアチンの相対的な測定値（比率またはパーセンテージ）。")</f>
        <v>生物学的標本中のミオイノシトールとクレアチンの相対的な測定値（比率またはパーセンテージ）。</v>
      </c>
      <c r="K2589" s="1" t="str">
        <f>IFERROR(__xludf.DUMMYFUNCTION("GOOGLETRANSLATE(G2589,""EN"",""JA"")"),"ミオイノシトール/クレアチン比")</f>
        <v>ミオイノシトール/クレアチン比</v>
      </c>
    </row>
    <row r="2590" ht="13.5" customHeight="1">
      <c r="A2590" s="1" t="s">
        <v>11</v>
      </c>
      <c r="B2590" s="1" t="s">
        <v>13093</v>
      </c>
      <c r="C2590" s="1" t="s">
        <v>13094</v>
      </c>
      <c r="D2590" s="1" t="s">
        <v>13095</v>
      </c>
      <c r="E2590" s="1" t="s">
        <v>13095</v>
      </c>
      <c r="F2590" s="1" t="s">
        <v>13096</v>
      </c>
      <c r="G2590" s="1" t="s">
        <v>13097</v>
      </c>
      <c r="H2590" s="1" t="str">
        <f>IFERROR(__xludf.DUMMYFUNCTION("GOOGLETRANSLATE(D2590,""EN"",""JA"")"),"プロトロンビン国際標準化比")</f>
        <v>プロトロンビン国際標準化比</v>
      </c>
      <c r="I2590" s="1" t="str">
        <f>IFERROR(__xludf.DUMMYFUNCTION("GOOGLETRANSLATE(E2590,""EN"",""JA"")"),"プロトロンビン国際標準化比")</f>
        <v>プロトロンビン国際標準化比</v>
      </c>
      <c r="J2590" s="1" t="str">
        <f>IFERROR(__xludf.DUMMYFUNCTION("GOOGLETRANSLATE(F2590,""EN"",""JA"")"),"血漿検体のプロトロンビン時間をコントロール血漿検体の結果で割った比率。さらに、検査で使用される組織因子（トロンボプラスチン）の国際感度指数に合わせて標準化されています。")</f>
        <v>血漿検体のプロトロンビン時間をコントロール血漿検体の結果で割った比率。さらに、検査で使用される組織因子（トロンボプラスチン）の国際感度指数に合わせて標準化されています。</v>
      </c>
      <c r="K2590" s="1" t="str">
        <f>IFERROR(__xludf.DUMMYFUNCTION("GOOGLETRANSLATE(G2590,""EN"",""JA"")"),"プロトロンビン時間の国際標準化比")</f>
        <v>プロトロンビン時間の国際標準化比</v>
      </c>
    </row>
    <row r="2591" ht="13.5" customHeight="1">
      <c r="A2591" s="1" t="s">
        <v>90</v>
      </c>
      <c r="B2591" s="1" t="s">
        <v>13098</v>
      </c>
      <c r="C2591" s="1" t="s">
        <v>13099</v>
      </c>
      <c r="D2591" s="1" t="s">
        <v>13100</v>
      </c>
      <c r="E2591" s="1" t="s">
        <v>13100</v>
      </c>
      <c r="F2591" s="1" t="s">
        <v>13101</v>
      </c>
      <c r="G2591" s="1" t="s">
        <v>13100</v>
      </c>
      <c r="H2591" s="1" t="str">
        <f>IFERROR(__xludf.DUMMYFUNCTION("GOOGLETRANSLATE(D2591,""EN"",""JA"")"),"ステント内再狭窄インジケーター")</f>
        <v>ステント内再狭窄インジケーター</v>
      </c>
      <c r="I2591" s="1" t="str">
        <f>IFERROR(__xludf.DUMMYFUNCTION("GOOGLETRANSLATE(E2591,""EN"",""JA"")"),"ステント内再狭窄インジケーター")</f>
        <v>ステント内再狭窄インジケーター</v>
      </c>
      <c r="J2591" s="1" t="str">
        <f>IFERROR(__xludf.DUMMYFUNCTION("GOOGLETRANSLATE(F2591,""EN"",""JA"")"),"以前の狭窄を治療するために病変部位に埋め込まれたステントが、ステント内の直径の 50% を超える狭窄まで再び狭まっているかどうかを示します。")</f>
        <v>以前の狭窄を治療するために病変部位に埋め込まれたステントが、ステント内の直径の 50% を超える狭窄まで再び狭まっているかどうかを示します。</v>
      </c>
      <c r="K2591" s="1" t="str">
        <f>IFERROR(__xludf.DUMMYFUNCTION("GOOGLETRANSLATE(G2591,""EN"",""JA"")"),"ステント内再狭窄インジケーター")</f>
        <v>ステント内再狭窄インジケーター</v>
      </c>
    </row>
    <row r="2592" ht="13.5" customHeight="1">
      <c r="A2592" s="1" t="s">
        <v>11</v>
      </c>
      <c r="B2592" s="1" t="s">
        <v>13102</v>
      </c>
      <c r="C2592" s="1" t="s">
        <v>13103</v>
      </c>
      <c r="D2592" s="1" t="s">
        <v>13104</v>
      </c>
      <c r="E2592" s="1" t="s">
        <v>13104</v>
      </c>
      <c r="F2592" s="1" t="s">
        <v>13105</v>
      </c>
      <c r="G2592" s="1" t="s">
        <v>13106</v>
      </c>
      <c r="H2592" s="1" t="str">
        <f>IFERROR(__xludf.DUMMYFUNCTION("GOOGLETRANSLATE(D2592,""EN"",""JA"")"),"インスリン、フリー")</f>
        <v>インスリン、フリー</v>
      </c>
      <c r="I2592" s="1" t="str">
        <f>IFERROR(__xludf.DUMMYFUNCTION("GOOGLETRANSLATE(E2592,""EN"",""JA"")"),"インスリン、フリー")</f>
        <v>インスリン、フリー</v>
      </c>
      <c r="J2592" s="1" t="str">
        <f>IFERROR(__xludf.DUMMYFUNCTION("GOOGLETRANSLATE(F2592,""EN"",""JA"")"),"生物学的標本中の遊離インスリンの測定。")</f>
        <v>生物学的標本中の遊離インスリンの測定。</v>
      </c>
      <c r="K2592" s="1" t="str">
        <f>IFERROR(__xludf.DUMMYFUNCTION("GOOGLETRANSLATE(G2592,""EN"",""JA"")"),"無料インスリン測定")</f>
        <v>無料インスリン測定</v>
      </c>
    </row>
    <row r="2593" ht="13.5" customHeight="1">
      <c r="A2593" s="1" t="s">
        <v>11</v>
      </c>
      <c r="B2593" s="1" t="s">
        <v>13107</v>
      </c>
      <c r="C2593" s="1" t="s">
        <v>13108</v>
      </c>
      <c r="D2593" s="1" t="s">
        <v>13109</v>
      </c>
      <c r="E2593" s="1" t="s">
        <v>13109</v>
      </c>
      <c r="F2593" s="1" t="s">
        <v>13110</v>
      </c>
      <c r="G2593" s="1" t="s">
        <v>13111</v>
      </c>
      <c r="H2593" s="1" t="str">
        <f>IFERROR(__xludf.DUMMYFUNCTION("GOOGLETRANSLATE(D2593,""EN"",""JA"")"),"インスリン")</f>
        <v>インスリン</v>
      </c>
      <c r="I2593" s="1" t="str">
        <f>IFERROR(__xludf.DUMMYFUNCTION("GOOGLETRANSLATE(E2593,""EN"",""JA"")"),"インスリン")</f>
        <v>インスリン</v>
      </c>
      <c r="J2593" s="1" t="str">
        <f>IFERROR(__xludf.DUMMYFUNCTION("GOOGLETRANSLATE(F2593,""EN"",""JA"")"),"生物学的標本中のインスリンの測定。")</f>
        <v>生物学的標本中のインスリンの測定。</v>
      </c>
      <c r="K2593" s="1" t="str">
        <f>IFERROR(__xludf.DUMMYFUNCTION("GOOGLETRANSLATE(G2593,""EN"",""JA"")"),"インスリン測定")</f>
        <v>インスリン測定</v>
      </c>
    </row>
    <row r="2594" ht="13.5" customHeight="1">
      <c r="A2594" s="1" t="s">
        <v>11</v>
      </c>
      <c r="B2594" s="1" t="s">
        <v>13112</v>
      </c>
      <c r="C2594" s="1" t="s">
        <v>13113</v>
      </c>
      <c r="D2594" s="1" t="s">
        <v>13114</v>
      </c>
      <c r="E2594" s="1" t="s">
        <v>13114</v>
      </c>
      <c r="F2594" s="1" t="s">
        <v>13115</v>
      </c>
      <c r="G2594" s="1" t="s">
        <v>13116</v>
      </c>
      <c r="H2594" s="1" t="str">
        <f>IFERROR(__xludf.DUMMYFUNCTION("GOOGLETRANSLATE(D2594,""EN"",""JA"")"),"インスリン、無傷")</f>
        <v>インスリン、無傷</v>
      </c>
      <c r="I2594" s="1" t="str">
        <f>IFERROR(__xludf.DUMMYFUNCTION("GOOGLETRANSLATE(E2594,""EN"",""JA"")"),"インスリン、無傷")</f>
        <v>インスリン、無傷</v>
      </c>
      <c r="J2594" s="1" t="str">
        <f>IFERROR(__xludf.DUMMYFUNCTION("GOOGLETRANSLATE(F2594,""EN"",""JA"")"),"生物学的標本中の完全なインスリンの測定。")</f>
        <v>生物学的標本中の完全なインスリンの測定。</v>
      </c>
      <c r="K2594" s="1" t="str">
        <f>IFERROR(__xludf.DUMMYFUNCTION("GOOGLETRANSLATE(G2594,""EN"",""JA"")"),"インタクトインスリン測定")</f>
        <v>インタクトインスリン測定</v>
      </c>
    </row>
    <row r="2595" ht="13.5" customHeight="1">
      <c r="A2595" s="1" t="s">
        <v>11</v>
      </c>
      <c r="B2595" s="1" t="s">
        <v>13117</v>
      </c>
      <c r="C2595" s="1" t="s">
        <v>13118</v>
      </c>
      <c r="D2595" s="1" t="s">
        <v>13119</v>
      </c>
      <c r="E2595" s="1" t="s">
        <v>13119</v>
      </c>
      <c r="F2595" s="1" t="s">
        <v>13120</v>
      </c>
      <c r="G2595" s="1" t="s">
        <v>13121</v>
      </c>
      <c r="H2595" s="1" t="str">
        <f>IFERROR(__xludf.DUMMYFUNCTION("GOOGLETRANSLATE(D2595,""EN"",""JA"")"),"インスリン抵抗性")</f>
        <v>インスリン抵抗性</v>
      </c>
      <c r="I2595" s="1" t="str">
        <f>IFERROR(__xludf.DUMMYFUNCTION("GOOGLETRANSLATE(E2595,""EN"",""JA"")"),"インスリン抵抗性")</f>
        <v>インスリン抵抗性</v>
      </c>
      <c r="J2595" s="1" t="str">
        <f>IFERROR(__xludf.DUMMYFUNCTION("GOOGLETRANSLATE(F2595,""EN"",""JA"")"),"生物学的標本におけるインスリン抵抗性（細胞がインスリンに反応できない状態）の測定値。")</f>
        <v>生物学的標本におけるインスリン抵抗性（細胞がインスリンに反応できない状態）の測定値。</v>
      </c>
      <c r="K2595" s="1" t="str">
        <f>IFERROR(__xludf.DUMMYFUNCTION("GOOGLETRANSLATE(G2595,""EN"",""JA"")"),"インスリン抵抗性測定")</f>
        <v>インスリン抵抗性測定</v>
      </c>
    </row>
    <row r="2596" ht="13.5" customHeight="1">
      <c r="A2596" s="1" t="s">
        <v>11</v>
      </c>
      <c r="B2596" s="1" t="s">
        <v>13122</v>
      </c>
      <c r="C2596" s="1" t="s">
        <v>13123</v>
      </c>
      <c r="D2596" s="1" t="s">
        <v>13124</v>
      </c>
      <c r="E2596" s="1" t="s">
        <v>13124</v>
      </c>
      <c r="F2596" s="1" t="s">
        <v>13125</v>
      </c>
      <c r="G2596" s="1" t="s">
        <v>13126</v>
      </c>
      <c r="H2596" s="1" t="str">
        <f>IFERROR(__xludf.DUMMYFUNCTION("GOOGLETRANSLATE(D2596,""EN"",""JA"")"),"インスリン感受性")</f>
        <v>インスリン感受性</v>
      </c>
      <c r="I2596" s="1" t="str">
        <f>IFERROR(__xludf.DUMMYFUNCTION("GOOGLETRANSLATE(E2596,""EN"",""JA"")"),"インスリン感受性")</f>
        <v>インスリン感受性</v>
      </c>
      <c r="J2596" s="1" t="str">
        <f>IFERROR(__xludf.DUMMYFUNCTION("GOOGLETRANSLATE(F2596,""EN"",""JA"")"),"生物学的標本におけるインスリン感受性（細胞は正常よりも低いインスリンレベルによって刺激される）の測定値。")</f>
        <v>生物学的標本におけるインスリン感受性（細胞は正常よりも低いインスリンレベルによって刺激される）の測定値。</v>
      </c>
      <c r="K2596" s="1" t="str">
        <f>IFERROR(__xludf.DUMMYFUNCTION("GOOGLETRANSLATE(G2596,""EN"",""JA"")"),"インスリン感受性測定")</f>
        <v>インスリン感受性測定</v>
      </c>
    </row>
    <row r="2597" ht="13.5" customHeight="1">
      <c r="A2597" s="1" t="s">
        <v>11</v>
      </c>
      <c r="B2597" s="1" t="s">
        <v>13127</v>
      </c>
      <c r="C2597" s="1" t="s">
        <v>13128</v>
      </c>
      <c r="D2597" s="1" t="s">
        <v>13129</v>
      </c>
      <c r="E2597" s="1" t="s">
        <v>13129</v>
      </c>
      <c r="F2597" s="1" t="s">
        <v>13130</v>
      </c>
      <c r="G2597" s="1" t="s">
        <v>13131</v>
      </c>
      <c r="H2597" s="1" t="str">
        <f>IFERROR(__xludf.DUMMYFUNCTION("GOOGLETRANSLATE(D2597,""EN"",""JA"")"),"インターロイキン1")</f>
        <v>インターロイキン1</v>
      </c>
      <c r="I2597" s="1" t="str">
        <f>IFERROR(__xludf.DUMMYFUNCTION("GOOGLETRANSLATE(E2597,""EN"",""JA"")"),"インターロイキン1")</f>
        <v>インターロイキン1</v>
      </c>
      <c r="J2597" s="1" t="str">
        <f>IFERROR(__xludf.DUMMYFUNCTION("GOOGLETRANSLATE(F2597,""EN"",""JA"")"),"生物標本中のインターロイキン 1 の測定。")</f>
        <v>生物標本中のインターロイキン 1 の測定。</v>
      </c>
      <c r="K2597" s="1" t="str">
        <f>IFERROR(__xludf.DUMMYFUNCTION("GOOGLETRANSLATE(G2597,""EN"",""JA"")"),"インターロイキン1測定")</f>
        <v>インターロイキン1測定</v>
      </c>
    </row>
    <row r="2598" ht="13.5" customHeight="1">
      <c r="A2598" s="1" t="s">
        <v>11</v>
      </c>
      <c r="B2598" s="1" t="s">
        <v>13132</v>
      </c>
      <c r="C2598" s="1" t="s">
        <v>13133</v>
      </c>
      <c r="D2598" s="1" t="s">
        <v>13134</v>
      </c>
      <c r="E2598" s="1" t="s">
        <v>13134</v>
      </c>
      <c r="F2598" s="1" t="s">
        <v>13135</v>
      </c>
      <c r="G2598" s="1" t="s">
        <v>13136</v>
      </c>
      <c r="H2598" s="1" t="str">
        <f>IFERROR(__xludf.DUMMYFUNCTION("GOOGLETRANSLATE(D2598,""EN"",""JA"")"),"インターロイキン10")</f>
        <v>インターロイキン10</v>
      </c>
      <c r="I2598" s="1" t="str">
        <f>IFERROR(__xludf.DUMMYFUNCTION("GOOGLETRANSLATE(E2598,""EN"",""JA"")"),"インターロイキン10")</f>
        <v>インターロイキン10</v>
      </c>
      <c r="J2598" s="1" t="str">
        <f>IFERROR(__xludf.DUMMYFUNCTION("GOOGLETRANSLATE(F2598,""EN"",""JA"")"),"生物標本中のインターロイキン 10 の測定。")</f>
        <v>生物標本中のインターロイキン 10 の測定。</v>
      </c>
      <c r="K2598" s="1" t="str">
        <f>IFERROR(__xludf.DUMMYFUNCTION("GOOGLETRANSLATE(G2598,""EN"",""JA"")"),"インターロイキン10測定")</f>
        <v>インターロイキン10測定</v>
      </c>
    </row>
    <row r="2599" ht="13.5" customHeight="1">
      <c r="A2599" s="1" t="s">
        <v>11</v>
      </c>
      <c r="B2599" s="1" t="s">
        <v>13137</v>
      </c>
      <c r="C2599" s="1" t="s">
        <v>13138</v>
      </c>
      <c r="D2599" s="1" t="s">
        <v>13139</v>
      </c>
      <c r="E2599" s="1" t="s">
        <v>13139</v>
      </c>
      <c r="F2599" s="1" t="s">
        <v>13140</v>
      </c>
      <c r="G2599" s="1" t="s">
        <v>13141</v>
      </c>
      <c r="H2599" s="1" t="str">
        <f>IFERROR(__xludf.DUMMYFUNCTION("GOOGLETRANSLATE(D2599,""EN"",""JA"")"),"インターロイキン11")</f>
        <v>インターロイキン11</v>
      </c>
      <c r="I2599" s="1" t="str">
        <f>IFERROR(__xludf.DUMMYFUNCTION("GOOGLETRANSLATE(E2599,""EN"",""JA"")"),"インターロイキン11")</f>
        <v>インターロイキン11</v>
      </c>
      <c r="J2599" s="1" t="str">
        <f>IFERROR(__xludf.DUMMYFUNCTION("GOOGLETRANSLATE(F2599,""EN"",""JA"")"),"生物標本中のインターロイキン 11 の測定。")</f>
        <v>生物標本中のインターロイキン 11 の測定。</v>
      </c>
      <c r="K2599" s="1" t="str">
        <f>IFERROR(__xludf.DUMMYFUNCTION("GOOGLETRANSLATE(G2599,""EN"",""JA"")"),"インターロイキン11測定")</f>
        <v>インターロイキン11測定</v>
      </c>
    </row>
    <row r="2600" ht="13.5" customHeight="1">
      <c r="A2600" s="1" t="s">
        <v>11</v>
      </c>
      <c r="B2600" s="1" t="s">
        <v>13142</v>
      </c>
      <c r="C2600" s="1" t="s">
        <v>13143</v>
      </c>
      <c r="D2600" s="1" t="s">
        <v>13144</v>
      </c>
      <c r="E2600" s="1" t="s">
        <v>13145</v>
      </c>
      <c r="F2600" s="1" t="s">
        <v>13146</v>
      </c>
      <c r="G2600" s="1" t="s">
        <v>13147</v>
      </c>
      <c r="H2600" s="1" t="str">
        <f>IFERROR(__xludf.DUMMYFUNCTION("GOOGLETRANSLATE(D2600,""EN"",""JA"")"),"インターロイキン12")</f>
        <v>インターロイキン12</v>
      </c>
      <c r="I2600" s="1" t="str">
        <f>IFERROR(__xludf.DUMMYFUNCTION("GOOGLETRANSLATE(E2600,""EN"",""JA"")"),"インターロイキン12; インターロイキン12 p70")</f>
        <v>インターロイキン12; インターロイキン12 p70</v>
      </c>
      <c r="J2600" s="1" t="str">
        <f>IFERROR(__xludf.DUMMYFUNCTION("GOOGLETRANSLATE(F2600,""EN"",""JA"")"),"生物標本中のインターロイキン 12 の測定。")</f>
        <v>生物標本中のインターロイキン 12 の測定。</v>
      </c>
      <c r="K2600" s="1" t="str">
        <f>IFERROR(__xludf.DUMMYFUNCTION("GOOGLETRANSLATE(G2600,""EN"",""JA"")"),"インターロイキン12測定")</f>
        <v>インターロイキン12測定</v>
      </c>
    </row>
    <row r="2601" ht="13.5" customHeight="1">
      <c r="A2601" s="1" t="s">
        <v>11</v>
      </c>
      <c r="B2601" s="1" t="s">
        <v>13148</v>
      </c>
      <c r="C2601" s="1" t="s">
        <v>13149</v>
      </c>
      <c r="D2601" s="1" t="s">
        <v>13150</v>
      </c>
      <c r="E2601" s="1" t="s">
        <v>13151</v>
      </c>
      <c r="F2601" s="1" t="s">
        <v>13152</v>
      </c>
      <c r="G2601" s="1" t="s">
        <v>13153</v>
      </c>
      <c r="H2601" s="1" t="str">
        <f>IFERROR(__xludf.DUMMYFUNCTION("GOOGLETRANSLATE(D2601,""EN"",""JA"")"),"インターロイキン12ベータ")</f>
        <v>インターロイキン12ベータ</v>
      </c>
      <c r="I2601" s="1" t="str">
        <f>IFERROR(__xludf.DUMMYFUNCTION("GOOGLETRANSLATE(E2601,""EN"",""JA"")"),"インターロイキン 12 ベータ; インターロイキン 12 ベータ サブユニット; インターロイキン 12 p40; インターロイキン 12 p40 サブユニット")</f>
        <v>インターロイキン 12 ベータ; インターロイキン 12 ベータ サブユニット; インターロイキン 12 p40; インターロイキン 12 p40 サブユニット</v>
      </c>
      <c r="J2601" s="1" t="str">
        <f>IFERROR(__xludf.DUMMYFUNCTION("GOOGLETRANSLATE(F2601,""EN"",""JA"")"),"生物標本中のインターロイキン 12 の p40 サブユニットの測定。")</f>
        <v>生物標本中のインターロイキン 12 の p40 サブユニットの測定。</v>
      </c>
      <c r="K2601" s="1" t="str">
        <f>IFERROR(__xludf.DUMMYFUNCTION("GOOGLETRANSLATE(G2601,""EN"",""JA"")"),"インターロイキン12ベータ測定")</f>
        <v>インターロイキン12ベータ測定</v>
      </c>
    </row>
    <row r="2602" ht="13.5" customHeight="1">
      <c r="A2602" s="1" t="s">
        <v>11</v>
      </c>
      <c r="B2602" s="1" t="s">
        <v>13154</v>
      </c>
      <c r="C2602" s="1" t="s">
        <v>13155</v>
      </c>
      <c r="D2602" s="1" t="s">
        <v>13156</v>
      </c>
      <c r="E2602" s="1" t="s">
        <v>13156</v>
      </c>
      <c r="F2602" s="1" t="s">
        <v>13157</v>
      </c>
      <c r="G2602" s="1" t="s">
        <v>13158</v>
      </c>
      <c r="H2602" s="1" t="str">
        <f>IFERROR(__xludf.DUMMYFUNCTION("GOOGLETRANSLATE(D2602,""EN"",""JA"")"),"インターロイキン13")</f>
        <v>インターロイキン13</v>
      </c>
      <c r="I2602" s="1" t="str">
        <f>IFERROR(__xludf.DUMMYFUNCTION("GOOGLETRANSLATE(E2602,""EN"",""JA"")"),"インターロイキン13")</f>
        <v>インターロイキン13</v>
      </c>
      <c r="J2602" s="1" t="str">
        <f>IFERROR(__xludf.DUMMYFUNCTION("GOOGLETRANSLATE(F2602,""EN"",""JA"")"),"生物標本中のインターロイキン 13 の測定。")</f>
        <v>生物標本中のインターロイキン 13 の測定。</v>
      </c>
      <c r="K2602" s="1" t="str">
        <f>IFERROR(__xludf.DUMMYFUNCTION("GOOGLETRANSLATE(G2602,""EN"",""JA"")"),"インターロイキン13測定")</f>
        <v>インターロイキン13測定</v>
      </c>
    </row>
    <row r="2603" ht="13.5" customHeight="1">
      <c r="A2603" s="1" t="s">
        <v>11</v>
      </c>
      <c r="B2603" s="1" t="s">
        <v>13159</v>
      </c>
      <c r="C2603" s="1" t="s">
        <v>13160</v>
      </c>
      <c r="D2603" s="1" t="s">
        <v>13161</v>
      </c>
      <c r="E2603" s="1" t="s">
        <v>13161</v>
      </c>
      <c r="F2603" s="1" t="s">
        <v>13162</v>
      </c>
      <c r="G2603" s="1" t="s">
        <v>13163</v>
      </c>
      <c r="H2603" s="1" t="str">
        <f>IFERROR(__xludf.DUMMYFUNCTION("GOOGLETRANSLATE(D2603,""EN"",""JA"")"),"インターロイキン14")</f>
        <v>インターロイキン14</v>
      </c>
      <c r="I2603" s="1" t="str">
        <f>IFERROR(__xludf.DUMMYFUNCTION("GOOGLETRANSLATE(E2603,""EN"",""JA"")"),"インターロイキン14")</f>
        <v>インターロイキン14</v>
      </c>
      <c r="J2603" s="1" t="str">
        <f>IFERROR(__xludf.DUMMYFUNCTION("GOOGLETRANSLATE(F2603,""EN"",""JA"")"),"生物標本中のインターロイキン 14 の測定。")</f>
        <v>生物標本中のインターロイキン 14 の測定。</v>
      </c>
      <c r="K2603" s="1" t="str">
        <f>IFERROR(__xludf.DUMMYFUNCTION("GOOGLETRANSLATE(G2603,""EN"",""JA"")"),"インターロイキン14測定")</f>
        <v>インターロイキン14測定</v>
      </c>
    </row>
    <row r="2604" ht="13.5" customHeight="1">
      <c r="A2604" s="1" t="s">
        <v>11</v>
      </c>
      <c r="B2604" s="1" t="s">
        <v>13164</v>
      </c>
      <c r="C2604" s="1" t="s">
        <v>13165</v>
      </c>
      <c r="D2604" s="1" t="s">
        <v>13166</v>
      </c>
      <c r="E2604" s="1" t="s">
        <v>13166</v>
      </c>
      <c r="F2604" s="1" t="s">
        <v>13167</v>
      </c>
      <c r="G2604" s="1" t="s">
        <v>13168</v>
      </c>
      <c r="H2604" s="1" t="str">
        <f>IFERROR(__xludf.DUMMYFUNCTION("GOOGLETRANSLATE(D2604,""EN"",""JA"")"),"インターロイキン15")</f>
        <v>インターロイキン15</v>
      </c>
      <c r="I2604" s="1" t="str">
        <f>IFERROR(__xludf.DUMMYFUNCTION("GOOGLETRANSLATE(E2604,""EN"",""JA"")"),"インターロイキン15")</f>
        <v>インターロイキン15</v>
      </c>
      <c r="J2604" s="1" t="str">
        <f>IFERROR(__xludf.DUMMYFUNCTION("GOOGLETRANSLATE(F2604,""EN"",""JA"")"),"生物標本中のインターロイキン 15 の測定。")</f>
        <v>生物標本中のインターロイキン 15 の測定。</v>
      </c>
      <c r="K2604" s="1" t="str">
        <f>IFERROR(__xludf.DUMMYFUNCTION("GOOGLETRANSLATE(G2604,""EN"",""JA"")"),"インターロイキン15測定")</f>
        <v>インターロイキン15測定</v>
      </c>
    </row>
    <row r="2605" ht="13.5" customHeight="1">
      <c r="A2605" s="1" t="s">
        <v>11</v>
      </c>
      <c r="B2605" s="1" t="s">
        <v>13169</v>
      </c>
      <c r="C2605" s="1" t="s">
        <v>13170</v>
      </c>
      <c r="D2605" s="1" t="s">
        <v>13171</v>
      </c>
      <c r="E2605" s="1" t="s">
        <v>13171</v>
      </c>
      <c r="F2605" s="1" t="s">
        <v>13172</v>
      </c>
      <c r="G2605" s="1" t="s">
        <v>13173</v>
      </c>
      <c r="H2605" s="1" t="str">
        <f>IFERROR(__xludf.DUMMYFUNCTION("GOOGLETRANSLATE(D2605,""EN"",""JA"")"),"インターロイキン16")</f>
        <v>インターロイキン16</v>
      </c>
      <c r="I2605" s="1" t="str">
        <f>IFERROR(__xludf.DUMMYFUNCTION("GOOGLETRANSLATE(E2605,""EN"",""JA"")"),"インターロイキン16")</f>
        <v>インターロイキン16</v>
      </c>
      <c r="J2605" s="1" t="str">
        <f>IFERROR(__xludf.DUMMYFUNCTION("GOOGLETRANSLATE(F2605,""EN"",""JA"")"),"生物標本中のインターロイキン 16 の測定。")</f>
        <v>生物標本中のインターロイキン 16 の測定。</v>
      </c>
      <c r="K2605" s="1" t="str">
        <f>IFERROR(__xludf.DUMMYFUNCTION("GOOGLETRANSLATE(G2605,""EN"",""JA"")"),"インターロイキン16測定")</f>
        <v>インターロイキン16測定</v>
      </c>
    </row>
    <row r="2606" ht="13.5" customHeight="1">
      <c r="A2606" s="1" t="s">
        <v>11</v>
      </c>
      <c r="B2606" s="1" t="s">
        <v>13174</v>
      </c>
      <c r="C2606" s="1" t="s">
        <v>13175</v>
      </c>
      <c r="D2606" s="1" t="s">
        <v>13176</v>
      </c>
      <c r="E2606" s="1" t="s">
        <v>13177</v>
      </c>
      <c r="F2606" s="1" t="s">
        <v>13178</v>
      </c>
      <c r="G2606" s="1" t="s">
        <v>13179</v>
      </c>
      <c r="H2606" s="1" t="str">
        <f>IFERROR(__xludf.DUMMYFUNCTION("GOOGLETRANSLATE(D2606,""EN"",""JA"")"),"インターロイキン17")</f>
        <v>インターロイキン17</v>
      </c>
      <c r="I2606" s="1" t="str">
        <f>IFERROR(__xludf.DUMMYFUNCTION("GOOGLETRANSLATE(E2606,""EN"",""JA"")"),"IL-17A; インターロイキン17; インターロイキン17A")</f>
        <v>IL-17A; インターロイキン17; インターロイキン17A</v>
      </c>
      <c r="J2606" s="1" t="str">
        <f>IFERROR(__xludf.DUMMYFUNCTION("GOOGLETRANSLATE(F2606,""EN"",""JA"")"),"生物標本中のインターロイキン 17 の測定。")</f>
        <v>生物標本中のインターロイキン 17 の測定。</v>
      </c>
      <c r="K2606" s="1" t="str">
        <f>IFERROR(__xludf.DUMMYFUNCTION("GOOGLETRANSLATE(G2606,""EN"",""JA"")"),"インターロイキン17測定")</f>
        <v>インターロイキン17測定</v>
      </c>
    </row>
    <row r="2607" ht="13.5" customHeight="1">
      <c r="A2607" s="1" t="s">
        <v>11</v>
      </c>
      <c r="B2607" s="1" t="s">
        <v>13180</v>
      </c>
      <c r="C2607" s="1" t="s">
        <v>13181</v>
      </c>
      <c r="D2607" s="1" t="s">
        <v>13182</v>
      </c>
      <c r="E2607" s="1" t="s">
        <v>13183</v>
      </c>
      <c r="F2607" s="1" t="s">
        <v>13184</v>
      </c>
      <c r="G2607" s="1" t="s">
        <v>13185</v>
      </c>
      <c r="H2607" s="1" t="str">
        <f>IFERROR(__xludf.DUMMYFUNCTION("GOOGLETRANSLATE(D2607,""EN"",""JA"")"),"インターロイキン17C")</f>
        <v>インターロイキン17C</v>
      </c>
      <c r="I2607" s="1" t="str">
        <f>IFERROR(__xludf.DUMMYFUNCTION("GOOGLETRANSLATE(E2607,""EN"",""JA"")"),"CX2; サイトカインCX2; IL-17C; インターロイキン17C")</f>
        <v>CX2; サイトカインCX2; IL-17C; インターロイキン17C</v>
      </c>
      <c r="J2607" s="1" t="str">
        <f>IFERROR(__xludf.DUMMYFUNCTION("GOOGLETRANSLATE(F2607,""EN"",""JA"")"),"生物標本中のインターロイキン 17C の測定。")</f>
        <v>生物標本中のインターロイキン 17C の測定。</v>
      </c>
      <c r="K2607" s="1" t="str">
        <f>IFERROR(__xludf.DUMMYFUNCTION("GOOGLETRANSLATE(G2607,""EN"",""JA"")"),"インターロイキン17C測定")</f>
        <v>インターロイキン17C測定</v>
      </c>
    </row>
    <row r="2608" ht="13.5" customHeight="1">
      <c r="A2608" s="1" t="s">
        <v>11</v>
      </c>
      <c r="B2608" s="1" t="s">
        <v>13186</v>
      </c>
      <c r="C2608" s="1" t="s">
        <v>13187</v>
      </c>
      <c r="D2608" s="1" t="s">
        <v>13188</v>
      </c>
      <c r="E2608" s="1" t="s">
        <v>13188</v>
      </c>
      <c r="F2608" s="1" t="s">
        <v>13189</v>
      </c>
      <c r="G2608" s="1" t="s">
        <v>13190</v>
      </c>
      <c r="H2608" s="1" t="str">
        <f>IFERROR(__xludf.DUMMYFUNCTION("GOOGLETRANSLATE(D2608,""EN"",""JA"")"),"インターロイキン18")</f>
        <v>インターロイキン18</v>
      </c>
      <c r="I2608" s="1" t="str">
        <f>IFERROR(__xludf.DUMMYFUNCTION("GOOGLETRANSLATE(E2608,""EN"",""JA"")"),"インターロイキン18")</f>
        <v>インターロイキン18</v>
      </c>
      <c r="J2608" s="1" t="str">
        <f>IFERROR(__xludf.DUMMYFUNCTION("GOOGLETRANSLATE(F2608,""EN"",""JA"")"),"生物標本中のインターロイキン 18 の測定。")</f>
        <v>生物標本中のインターロイキン 18 の測定。</v>
      </c>
      <c r="K2608" s="1" t="str">
        <f>IFERROR(__xludf.DUMMYFUNCTION("GOOGLETRANSLATE(G2608,""EN"",""JA"")"),"インターロイキン18測定")</f>
        <v>インターロイキン18測定</v>
      </c>
    </row>
    <row r="2609" ht="13.5" customHeight="1">
      <c r="A2609" s="1" t="s">
        <v>11</v>
      </c>
      <c r="B2609" s="1" t="s">
        <v>13191</v>
      </c>
      <c r="C2609" s="1" t="s">
        <v>13192</v>
      </c>
      <c r="D2609" s="1" t="s">
        <v>13193</v>
      </c>
      <c r="E2609" s="1" t="s">
        <v>13193</v>
      </c>
      <c r="F2609" s="1" t="s">
        <v>13194</v>
      </c>
      <c r="G2609" s="1" t="s">
        <v>13195</v>
      </c>
      <c r="H2609" s="1" t="str">
        <f>IFERROR(__xludf.DUMMYFUNCTION("GOOGLETRANSLATE(D2609,""EN"",""JA"")"),"インターロイキン19")</f>
        <v>インターロイキン19</v>
      </c>
      <c r="I2609" s="1" t="str">
        <f>IFERROR(__xludf.DUMMYFUNCTION("GOOGLETRANSLATE(E2609,""EN"",""JA"")"),"インターロイキン19")</f>
        <v>インターロイキン19</v>
      </c>
      <c r="J2609" s="1" t="str">
        <f>IFERROR(__xludf.DUMMYFUNCTION("GOOGLETRANSLATE(F2609,""EN"",""JA"")"),"生物標本中のインターロイキン 19 の測定。")</f>
        <v>生物標本中のインターロイキン 19 の測定。</v>
      </c>
      <c r="K2609" s="1" t="str">
        <f>IFERROR(__xludf.DUMMYFUNCTION("GOOGLETRANSLATE(G2609,""EN"",""JA"")"),"インターロイキン19測定")</f>
        <v>インターロイキン19測定</v>
      </c>
    </row>
    <row r="2610" ht="13.5" customHeight="1">
      <c r="A2610" s="1" t="s">
        <v>11</v>
      </c>
      <c r="B2610" s="1" t="s">
        <v>13196</v>
      </c>
      <c r="C2610" s="1" t="s">
        <v>13197</v>
      </c>
      <c r="D2610" s="1" t="s">
        <v>13198</v>
      </c>
      <c r="E2610" s="1" t="s">
        <v>13198</v>
      </c>
      <c r="F2610" s="1" t="s">
        <v>13199</v>
      </c>
      <c r="G2610" s="1" t="s">
        <v>13200</v>
      </c>
      <c r="H2610" s="1" t="str">
        <f>IFERROR(__xludf.DUMMYFUNCTION("GOOGLETRANSLATE(D2610,""EN"",""JA"")"),"インターロイキン1アルファ")</f>
        <v>インターロイキン1アルファ</v>
      </c>
      <c r="I2610" s="1" t="str">
        <f>IFERROR(__xludf.DUMMYFUNCTION("GOOGLETRANSLATE(E2610,""EN"",""JA"")"),"インターロイキン1アルファ")</f>
        <v>インターロイキン1アルファ</v>
      </c>
      <c r="J2610" s="1" t="str">
        <f>IFERROR(__xludf.DUMMYFUNCTION("GOOGLETRANSLATE(F2610,""EN"",""JA"")"),"生物標本中のインターロイキン 1 アルファの測定。")</f>
        <v>生物標本中のインターロイキン 1 アルファの測定。</v>
      </c>
      <c r="K2610" s="1" t="str">
        <f>IFERROR(__xludf.DUMMYFUNCTION("GOOGLETRANSLATE(G2610,""EN"",""JA"")"),"インターロイキン1アルファ測定")</f>
        <v>インターロイキン1アルファ測定</v>
      </c>
    </row>
    <row r="2611" ht="13.5" customHeight="1">
      <c r="A2611" s="1" t="s">
        <v>11</v>
      </c>
      <c r="B2611" s="1" t="s">
        <v>13201</v>
      </c>
      <c r="C2611" s="1" t="s">
        <v>13202</v>
      </c>
      <c r="D2611" s="1" t="s">
        <v>13203</v>
      </c>
      <c r="E2611" s="1" t="s">
        <v>13204</v>
      </c>
      <c r="F2611" s="1" t="s">
        <v>13205</v>
      </c>
      <c r="G2611" s="1" t="s">
        <v>13206</v>
      </c>
      <c r="H2611" s="1" t="str">
        <f>IFERROR(__xludf.DUMMYFUNCTION("GOOGLETRANSLATE(D2611,""EN"",""JA"")"),"インターロイキン1ベータ")</f>
        <v>インターロイキン1ベータ</v>
      </c>
      <c r="I2611" s="1" t="str">
        <f>IFERROR(__xludf.DUMMYFUNCTION("GOOGLETRANSLATE(E2611,""EN"",""JA"")"),"IL-1B; IL1Beta; インターロイキン1ベータ; インターロイキン1B")</f>
        <v>IL-1B; IL1Beta; インターロイキン1ベータ; インターロイキン1B</v>
      </c>
      <c r="J2611" s="1" t="str">
        <f>IFERROR(__xludf.DUMMYFUNCTION("GOOGLETRANSLATE(F2611,""EN"",""JA"")"),"生物標本中のインターロイキン 1 ベータの測定。")</f>
        <v>生物標本中のインターロイキン 1 ベータの測定。</v>
      </c>
      <c r="K2611" s="1" t="str">
        <f>IFERROR(__xludf.DUMMYFUNCTION("GOOGLETRANSLATE(G2611,""EN"",""JA"")"),"インターロイキン1ベータ測定")</f>
        <v>インターロイキン1ベータ測定</v>
      </c>
    </row>
    <row r="2612" ht="13.5" customHeight="1">
      <c r="A2612" s="1" t="s">
        <v>11</v>
      </c>
      <c r="B2612" s="1" t="s">
        <v>13207</v>
      </c>
      <c r="C2612" s="1" t="s">
        <v>13208</v>
      </c>
      <c r="D2612" s="1" t="s">
        <v>13209</v>
      </c>
      <c r="E2612" s="1" t="s">
        <v>13210</v>
      </c>
      <c r="F2612" s="1" t="s">
        <v>13211</v>
      </c>
      <c r="G2612" s="1" t="s">
        <v>13212</v>
      </c>
      <c r="H2612" s="1" t="str">
        <f>IFERROR(__xludf.DUMMYFUNCTION("GOOGLETRANSLATE(D2612,""EN"",""JA"")"),"インターロイキン1受容体拮抗薬")</f>
        <v>インターロイキン1受容体拮抗薬</v>
      </c>
      <c r="I2612" s="1" t="str">
        <f>IFERROR(__xludf.DUMMYFUNCTION("GOOGLETRANSLATE(E2612,""EN"",""JA"")"),"IL-1RA; インターロイキン1受容体拮抗薬")</f>
        <v>IL-1RA; インターロイキン1受容体拮抗薬</v>
      </c>
      <c r="J2612" s="1" t="str">
        <f>IFERROR(__xludf.DUMMYFUNCTION("GOOGLETRANSLATE(F2612,""EN"",""JA"")"),"生物標本中のインターロイキン 1 受容体拮抗薬の測定。")</f>
        <v>生物標本中のインターロイキン 1 受容体拮抗薬の測定。</v>
      </c>
      <c r="K2612" s="1" t="str">
        <f>IFERROR(__xludf.DUMMYFUNCTION("GOOGLETRANSLATE(G2612,""EN"",""JA"")"),"インターロイキン1受容体拮抗薬測定")</f>
        <v>インターロイキン1受容体拮抗薬測定</v>
      </c>
    </row>
    <row r="2613" ht="13.5" customHeight="1">
      <c r="A2613" s="1" t="s">
        <v>11</v>
      </c>
      <c r="B2613" s="1" t="s">
        <v>13213</v>
      </c>
      <c r="C2613" s="1" t="s">
        <v>13214</v>
      </c>
      <c r="D2613" s="1" t="s">
        <v>13215</v>
      </c>
      <c r="E2613" s="1" t="s">
        <v>13215</v>
      </c>
      <c r="F2613" s="1" t="s">
        <v>13216</v>
      </c>
      <c r="G2613" s="1" t="s">
        <v>13217</v>
      </c>
      <c r="H2613" s="1" t="str">
        <f>IFERROR(__xludf.DUMMYFUNCTION("GOOGLETRANSLATE(D2613,""EN"",""JA"")"),"インターロイキン2")</f>
        <v>インターロイキン2</v>
      </c>
      <c r="I2613" s="1" t="str">
        <f>IFERROR(__xludf.DUMMYFUNCTION("GOOGLETRANSLATE(E2613,""EN"",""JA"")"),"インターロイキン2")</f>
        <v>インターロイキン2</v>
      </c>
      <c r="J2613" s="1" t="str">
        <f>IFERROR(__xludf.DUMMYFUNCTION("GOOGLETRANSLATE(F2613,""EN"",""JA"")"),"生物標本中のインターロイキン 2 の測定。")</f>
        <v>生物標本中のインターロイキン 2 の測定。</v>
      </c>
      <c r="K2613" s="1" t="str">
        <f>IFERROR(__xludf.DUMMYFUNCTION("GOOGLETRANSLATE(G2613,""EN"",""JA"")"),"インターロイキン2測定")</f>
        <v>インターロイキン2測定</v>
      </c>
    </row>
    <row r="2614" ht="13.5" customHeight="1">
      <c r="A2614" s="1" t="s">
        <v>11</v>
      </c>
      <c r="B2614" s="1" t="s">
        <v>13218</v>
      </c>
      <c r="C2614" s="1" t="s">
        <v>13219</v>
      </c>
      <c r="D2614" s="1" t="s">
        <v>13220</v>
      </c>
      <c r="E2614" s="1" t="s">
        <v>13220</v>
      </c>
      <c r="F2614" s="1" t="s">
        <v>13221</v>
      </c>
      <c r="G2614" s="1" t="s">
        <v>13222</v>
      </c>
      <c r="H2614" s="1" t="str">
        <f>IFERROR(__xludf.DUMMYFUNCTION("GOOGLETRANSLATE(D2614,""EN"",""JA"")"),"インターロイキン20")</f>
        <v>インターロイキン20</v>
      </c>
      <c r="I2614" s="1" t="str">
        <f>IFERROR(__xludf.DUMMYFUNCTION("GOOGLETRANSLATE(E2614,""EN"",""JA"")"),"インターロイキン20")</f>
        <v>インターロイキン20</v>
      </c>
      <c r="J2614" s="1" t="str">
        <f>IFERROR(__xludf.DUMMYFUNCTION("GOOGLETRANSLATE(F2614,""EN"",""JA"")"),"生物標本中のインターロイキン 20 の測定。")</f>
        <v>生物標本中のインターロイキン 20 の測定。</v>
      </c>
      <c r="K2614" s="1" t="str">
        <f>IFERROR(__xludf.DUMMYFUNCTION("GOOGLETRANSLATE(G2614,""EN"",""JA"")"),"インターロイキン20測定")</f>
        <v>インターロイキン20測定</v>
      </c>
    </row>
    <row r="2615" ht="13.5" customHeight="1">
      <c r="A2615" s="1" t="s">
        <v>11</v>
      </c>
      <c r="B2615" s="1" t="s">
        <v>13223</v>
      </c>
      <c r="C2615" s="1" t="s">
        <v>13224</v>
      </c>
      <c r="D2615" s="1" t="s">
        <v>13225</v>
      </c>
      <c r="E2615" s="1" t="s">
        <v>13225</v>
      </c>
      <c r="F2615" s="1" t="s">
        <v>13226</v>
      </c>
      <c r="G2615" s="1" t="s">
        <v>13227</v>
      </c>
      <c r="H2615" s="1" t="str">
        <f>IFERROR(__xludf.DUMMYFUNCTION("GOOGLETRANSLATE(D2615,""EN"",""JA"")"),"インターロイキン21")</f>
        <v>インターロイキン21</v>
      </c>
      <c r="I2615" s="1" t="str">
        <f>IFERROR(__xludf.DUMMYFUNCTION("GOOGLETRANSLATE(E2615,""EN"",""JA"")"),"インターロイキン21")</f>
        <v>インターロイキン21</v>
      </c>
      <c r="J2615" s="1" t="str">
        <f>IFERROR(__xludf.DUMMYFUNCTION("GOOGLETRANSLATE(F2615,""EN"",""JA"")"),"生物標本中のインターロイキン 21 の測定。")</f>
        <v>生物標本中のインターロイキン 21 の測定。</v>
      </c>
      <c r="K2615" s="1" t="str">
        <f>IFERROR(__xludf.DUMMYFUNCTION("GOOGLETRANSLATE(G2615,""EN"",""JA"")"),"インターロイキン21測定")</f>
        <v>インターロイキン21測定</v>
      </c>
    </row>
    <row r="2616" ht="13.5" customHeight="1">
      <c r="A2616" s="1" t="s">
        <v>11</v>
      </c>
      <c r="B2616" s="1" t="s">
        <v>13228</v>
      </c>
      <c r="C2616" s="1" t="s">
        <v>13229</v>
      </c>
      <c r="D2616" s="1" t="s">
        <v>13230</v>
      </c>
      <c r="E2616" s="1" t="s">
        <v>13230</v>
      </c>
      <c r="F2616" s="1" t="s">
        <v>13231</v>
      </c>
      <c r="G2616" s="1" t="s">
        <v>13232</v>
      </c>
      <c r="H2616" s="1" t="str">
        <f>IFERROR(__xludf.DUMMYFUNCTION("GOOGLETRANSLATE(D2616,""EN"",""JA"")"),"インターロイキン22")</f>
        <v>インターロイキン22</v>
      </c>
      <c r="I2616" s="1" t="str">
        <f>IFERROR(__xludf.DUMMYFUNCTION("GOOGLETRANSLATE(E2616,""EN"",""JA"")"),"インターロイキン22")</f>
        <v>インターロイキン22</v>
      </c>
      <c r="J2616" s="1" t="str">
        <f>IFERROR(__xludf.DUMMYFUNCTION("GOOGLETRANSLATE(F2616,""EN"",""JA"")"),"生物標本中のインターロイキン 22 の測定。")</f>
        <v>生物標本中のインターロイキン 22 の測定。</v>
      </c>
      <c r="K2616" s="1" t="str">
        <f>IFERROR(__xludf.DUMMYFUNCTION("GOOGLETRANSLATE(G2616,""EN"",""JA"")"),"インターロイキン22測定")</f>
        <v>インターロイキン22測定</v>
      </c>
    </row>
    <row r="2617" ht="13.5" customHeight="1">
      <c r="A2617" s="1" t="s">
        <v>11</v>
      </c>
      <c r="B2617" s="1" t="s">
        <v>13233</v>
      </c>
      <c r="C2617" s="1" t="s">
        <v>13234</v>
      </c>
      <c r="D2617" s="1" t="s">
        <v>13235</v>
      </c>
      <c r="E2617" s="1" t="s">
        <v>13236</v>
      </c>
      <c r="F2617" s="1" t="s">
        <v>13237</v>
      </c>
      <c r="G2617" s="1" t="s">
        <v>13238</v>
      </c>
      <c r="H2617" s="1" t="str">
        <f>IFERROR(__xludf.DUMMYFUNCTION("GOOGLETRANSLATE(D2617,""EN"",""JA"")"),"インターロイキン23")</f>
        <v>インターロイキン23</v>
      </c>
      <c r="I2617" s="1" t="str">
        <f>IFERROR(__xludf.DUMMYFUNCTION("GOOGLETRANSLATE(E2617,""EN"",""JA"")"),"インターロイキン23; インターロイキン23 p59")</f>
        <v>インターロイキン23; インターロイキン23 p59</v>
      </c>
      <c r="J2617" s="1" t="str">
        <f>IFERROR(__xludf.DUMMYFUNCTION("GOOGLETRANSLATE(F2617,""EN"",""JA"")"),"生物標本中のインターロイキン 23 の測定。")</f>
        <v>生物標本中のインターロイキン 23 の測定。</v>
      </c>
      <c r="K2617" s="1" t="str">
        <f>IFERROR(__xludf.DUMMYFUNCTION("GOOGLETRANSLATE(G2617,""EN"",""JA"")"),"インターロイキン23測定")</f>
        <v>インターロイキン23測定</v>
      </c>
    </row>
    <row r="2618" ht="13.5" customHeight="1">
      <c r="A2618" s="1" t="s">
        <v>11</v>
      </c>
      <c r="B2618" s="1" t="s">
        <v>13239</v>
      </c>
      <c r="C2618" s="1" t="s">
        <v>13240</v>
      </c>
      <c r="D2618" s="1" t="s">
        <v>13241</v>
      </c>
      <c r="E2618" s="1" t="s">
        <v>13241</v>
      </c>
      <c r="F2618" s="1" t="s">
        <v>13242</v>
      </c>
      <c r="G2618" s="1" t="s">
        <v>13243</v>
      </c>
      <c r="H2618" s="1" t="str">
        <f>IFERROR(__xludf.DUMMYFUNCTION("GOOGLETRANSLATE(D2618,""EN"",""JA"")"),"インターロイキン24")</f>
        <v>インターロイキン24</v>
      </c>
      <c r="I2618" s="1" t="str">
        <f>IFERROR(__xludf.DUMMYFUNCTION("GOOGLETRANSLATE(E2618,""EN"",""JA"")"),"インターロイキン24")</f>
        <v>インターロイキン24</v>
      </c>
      <c r="J2618" s="1" t="str">
        <f>IFERROR(__xludf.DUMMYFUNCTION("GOOGLETRANSLATE(F2618,""EN"",""JA"")"),"生物標本中のインターロイキン 24 の測定。")</f>
        <v>生物標本中のインターロイキン 24 の測定。</v>
      </c>
      <c r="K2618" s="1" t="str">
        <f>IFERROR(__xludf.DUMMYFUNCTION("GOOGLETRANSLATE(G2618,""EN"",""JA"")"),"インターロイキン24測定")</f>
        <v>インターロイキン24測定</v>
      </c>
    </row>
    <row r="2619" ht="13.5" customHeight="1">
      <c r="A2619" s="1" t="s">
        <v>11</v>
      </c>
      <c r="B2619" s="1" t="s">
        <v>13244</v>
      </c>
      <c r="C2619" s="1" t="s">
        <v>13245</v>
      </c>
      <c r="D2619" s="1" t="s">
        <v>13246</v>
      </c>
      <c r="E2619" s="1" t="s">
        <v>13246</v>
      </c>
      <c r="F2619" s="1" t="s">
        <v>13247</v>
      </c>
      <c r="G2619" s="1" t="s">
        <v>13248</v>
      </c>
      <c r="H2619" s="1" t="str">
        <f>IFERROR(__xludf.DUMMYFUNCTION("GOOGLETRANSLATE(D2619,""EN"",""JA"")"),"インターロイキン25")</f>
        <v>インターロイキン25</v>
      </c>
      <c r="I2619" s="1" t="str">
        <f>IFERROR(__xludf.DUMMYFUNCTION("GOOGLETRANSLATE(E2619,""EN"",""JA"")"),"インターロイキン25")</f>
        <v>インターロイキン25</v>
      </c>
      <c r="J2619" s="1" t="str">
        <f>IFERROR(__xludf.DUMMYFUNCTION("GOOGLETRANSLATE(F2619,""EN"",""JA"")"),"生物標本中のインターロイキン 25 の測定。")</f>
        <v>生物標本中のインターロイキン 25 の測定。</v>
      </c>
      <c r="K2619" s="1" t="str">
        <f>IFERROR(__xludf.DUMMYFUNCTION("GOOGLETRANSLATE(G2619,""EN"",""JA"")"),"インターロイキン25測定")</f>
        <v>インターロイキン25測定</v>
      </c>
    </row>
    <row r="2620" ht="13.5" customHeight="1">
      <c r="A2620" s="1" t="s">
        <v>11</v>
      </c>
      <c r="B2620" s="1" t="s">
        <v>13249</v>
      </c>
      <c r="C2620" s="1" t="s">
        <v>13250</v>
      </c>
      <c r="D2620" s="1" t="s">
        <v>13251</v>
      </c>
      <c r="E2620" s="1" t="s">
        <v>13251</v>
      </c>
      <c r="F2620" s="1" t="s">
        <v>13252</v>
      </c>
      <c r="G2620" s="1" t="s">
        <v>13253</v>
      </c>
      <c r="H2620" s="1" t="str">
        <f>IFERROR(__xludf.DUMMYFUNCTION("GOOGLETRANSLATE(D2620,""EN"",""JA"")"),"インターロイキン26")</f>
        <v>インターロイキン26</v>
      </c>
      <c r="I2620" s="1" t="str">
        <f>IFERROR(__xludf.DUMMYFUNCTION("GOOGLETRANSLATE(E2620,""EN"",""JA"")"),"インターロイキン26")</f>
        <v>インターロイキン26</v>
      </c>
      <c r="J2620" s="1" t="str">
        <f>IFERROR(__xludf.DUMMYFUNCTION("GOOGLETRANSLATE(F2620,""EN"",""JA"")"),"生物標本中のインターロイキン 26 の測定。")</f>
        <v>生物標本中のインターロイキン 26 の測定。</v>
      </c>
      <c r="K2620" s="1" t="str">
        <f>IFERROR(__xludf.DUMMYFUNCTION("GOOGLETRANSLATE(G2620,""EN"",""JA"")"),"インターロイキン26測定")</f>
        <v>インターロイキン26測定</v>
      </c>
    </row>
    <row r="2621" ht="13.5" customHeight="1">
      <c r="A2621" s="1" t="s">
        <v>11</v>
      </c>
      <c r="B2621" s="1" t="s">
        <v>13254</v>
      </c>
      <c r="C2621" s="1" t="s">
        <v>13255</v>
      </c>
      <c r="D2621" s="1" t="s">
        <v>13256</v>
      </c>
      <c r="E2621" s="1" t="s">
        <v>13256</v>
      </c>
      <c r="F2621" s="1" t="s">
        <v>13257</v>
      </c>
      <c r="G2621" s="1" t="s">
        <v>13258</v>
      </c>
      <c r="H2621" s="1" t="str">
        <f>IFERROR(__xludf.DUMMYFUNCTION("GOOGLETRANSLATE(D2621,""EN"",""JA"")"),"インターロイキン27")</f>
        <v>インターロイキン27</v>
      </c>
      <c r="I2621" s="1" t="str">
        <f>IFERROR(__xludf.DUMMYFUNCTION("GOOGLETRANSLATE(E2621,""EN"",""JA"")"),"インターロイキン27")</f>
        <v>インターロイキン27</v>
      </c>
      <c r="J2621" s="1" t="str">
        <f>IFERROR(__xludf.DUMMYFUNCTION("GOOGLETRANSLATE(F2621,""EN"",""JA"")"),"生物標本中のインターロイキン 27 の測定。")</f>
        <v>生物標本中のインターロイキン 27 の測定。</v>
      </c>
      <c r="K2621" s="1" t="str">
        <f>IFERROR(__xludf.DUMMYFUNCTION("GOOGLETRANSLATE(G2621,""EN"",""JA"")"),"インターロイキン27測定")</f>
        <v>インターロイキン27測定</v>
      </c>
    </row>
    <row r="2622" ht="13.5" customHeight="1">
      <c r="A2622" s="1" t="s">
        <v>11</v>
      </c>
      <c r="B2622" s="1" t="s">
        <v>13259</v>
      </c>
      <c r="C2622" s="1" t="s">
        <v>13260</v>
      </c>
      <c r="D2622" s="1" t="s">
        <v>13261</v>
      </c>
      <c r="E2622" s="1" t="s">
        <v>13261</v>
      </c>
      <c r="F2622" s="1" t="s">
        <v>13262</v>
      </c>
      <c r="G2622" s="1" t="s">
        <v>13263</v>
      </c>
      <c r="H2622" s="1" t="str">
        <f>IFERROR(__xludf.DUMMYFUNCTION("GOOGLETRANSLATE(D2622,""EN"",""JA"")"),"インターロイキン28")</f>
        <v>インターロイキン28</v>
      </c>
      <c r="I2622" s="1" t="str">
        <f>IFERROR(__xludf.DUMMYFUNCTION("GOOGLETRANSLATE(E2622,""EN"",""JA"")"),"インターロイキン28")</f>
        <v>インターロイキン28</v>
      </c>
      <c r="J2622" s="1" t="str">
        <f>IFERROR(__xludf.DUMMYFUNCTION("GOOGLETRANSLATE(F2622,""EN"",""JA"")"),"生物標本中の総インターロイキン 28 の測定。")</f>
        <v>生物標本中の総インターロイキン 28 の測定。</v>
      </c>
      <c r="K2622" s="1" t="str">
        <f>IFERROR(__xludf.DUMMYFUNCTION("GOOGLETRANSLATE(G2622,""EN"",""JA"")"),"インターロイキン28測定")</f>
        <v>インターロイキン28測定</v>
      </c>
    </row>
    <row r="2623" ht="13.5" customHeight="1">
      <c r="A2623" s="1" t="s">
        <v>11</v>
      </c>
      <c r="B2623" s="1" t="s">
        <v>13264</v>
      </c>
      <c r="C2623" s="1" t="s">
        <v>13265</v>
      </c>
      <c r="D2623" s="1" t="s">
        <v>13266</v>
      </c>
      <c r="E2623" s="1" t="s">
        <v>13266</v>
      </c>
      <c r="F2623" s="1" t="s">
        <v>13267</v>
      </c>
      <c r="G2623" s="1" t="s">
        <v>13268</v>
      </c>
      <c r="H2623" s="1" t="str">
        <f>IFERROR(__xludf.DUMMYFUNCTION("GOOGLETRANSLATE(D2623,""EN"",""JA"")"),"インターロイキン29")</f>
        <v>インターロイキン29</v>
      </c>
      <c r="I2623" s="1" t="str">
        <f>IFERROR(__xludf.DUMMYFUNCTION("GOOGLETRANSLATE(E2623,""EN"",""JA"")"),"インターロイキン29")</f>
        <v>インターロイキン29</v>
      </c>
      <c r="J2623" s="1" t="str">
        <f>IFERROR(__xludf.DUMMYFUNCTION("GOOGLETRANSLATE(F2623,""EN"",""JA"")"),"生物標本中のインターロイキン 29 の測定。")</f>
        <v>生物標本中のインターロイキン 29 の測定。</v>
      </c>
      <c r="K2623" s="1" t="str">
        <f>IFERROR(__xludf.DUMMYFUNCTION("GOOGLETRANSLATE(G2623,""EN"",""JA"")"),"インターロイキン29測定")</f>
        <v>インターロイキン29測定</v>
      </c>
    </row>
    <row r="2624" ht="13.5" customHeight="1">
      <c r="A2624" s="1" t="s">
        <v>11</v>
      </c>
      <c r="B2624" s="1" t="s">
        <v>13269</v>
      </c>
      <c r="C2624" s="1" t="s">
        <v>13270</v>
      </c>
      <c r="D2624" s="1" t="s">
        <v>13271</v>
      </c>
      <c r="E2624" s="1" t="s">
        <v>13271</v>
      </c>
      <c r="F2624" s="1" t="s">
        <v>13272</v>
      </c>
      <c r="G2624" s="1" t="s">
        <v>13273</v>
      </c>
      <c r="H2624" s="1" t="str">
        <f>IFERROR(__xludf.DUMMYFUNCTION("GOOGLETRANSLATE(D2624,""EN"",""JA"")"),"インターロイキン3")</f>
        <v>インターロイキン3</v>
      </c>
      <c r="I2624" s="1" t="str">
        <f>IFERROR(__xludf.DUMMYFUNCTION("GOOGLETRANSLATE(E2624,""EN"",""JA"")"),"インターロイキン3")</f>
        <v>インターロイキン3</v>
      </c>
      <c r="J2624" s="1" t="str">
        <f>IFERROR(__xludf.DUMMYFUNCTION("GOOGLETRANSLATE(F2624,""EN"",""JA"")"),"生物標本中のインターロイキン 3 の測定。")</f>
        <v>生物標本中のインターロイキン 3 の測定。</v>
      </c>
      <c r="K2624" s="1" t="str">
        <f>IFERROR(__xludf.DUMMYFUNCTION("GOOGLETRANSLATE(G2624,""EN"",""JA"")"),"インターロイキン3測定")</f>
        <v>インターロイキン3測定</v>
      </c>
    </row>
    <row r="2625" ht="13.5" customHeight="1">
      <c r="A2625" s="1" t="s">
        <v>11</v>
      </c>
      <c r="B2625" s="1" t="s">
        <v>13274</v>
      </c>
      <c r="C2625" s="1" t="s">
        <v>13275</v>
      </c>
      <c r="D2625" s="1" t="s">
        <v>13276</v>
      </c>
      <c r="E2625" s="1" t="s">
        <v>13276</v>
      </c>
      <c r="F2625" s="1" t="s">
        <v>13277</v>
      </c>
      <c r="G2625" s="1" t="s">
        <v>13278</v>
      </c>
      <c r="H2625" s="1" t="str">
        <f>IFERROR(__xludf.DUMMYFUNCTION("GOOGLETRANSLATE(D2625,""EN"",""JA"")"),"インターロイキン30")</f>
        <v>インターロイキン30</v>
      </c>
      <c r="I2625" s="1" t="str">
        <f>IFERROR(__xludf.DUMMYFUNCTION("GOOGLETRANSLATE(E2625,""EN"",""JA"")"),"インターロイキン30")</f>
        <v>インターロイキン30</v>
      </c>
      <c r="J2625" s="1" t="str">
        <f>IFERROR(__xludf.DUMMYFUNCTION("GOOGLETRANSLATE(F2625,""EN"",""JA"")"),"生物標本中のインターロイキン 30 の測定。")</f>
        <v>生物標本中のインターロイキン 30 の測定。</v>
      </c>
      <c r="K2625" s="1" t="str">
        <f>IFERROR(__xludf.DUMMYFUNCTION("GOOGLETRANSLATE(G2625,""EN"",""JA"")"),"インターロイキン30測定")</f>
        <v>インターロイキン30測定</v>
      </c>
    </row>
    <row r="2626" ht="13.5" customHeight="1">
      <c r="A2626" s="1" t="s">
        <v>11</v>
      </c>
      <c r="B2626" s="1" t="s">
        <v>13279</v>
      </c>
      <c r="C2626" s="1" t="s">
        <v>13280</v>
      </c>
      <c r="D2626" s="1" t="s">
        <v>13281</v>
      </c>
      <c r="E2626" s="1" t="s">
        <v>13281</v>
      </c>
      <c r="F2626" s="1" t="s">
        <v>13282</v>
      </c>
      <c r="G2626" s="1" t="s">
        <v>13283</v>
      </c>
      <c r="H2626" s="1" t="str">
        <f>IFERROR(__xludf.DUMMYFUNCTION("GOOGLETRANSLATE(D2626,""EN"",""JA"")"),"インターロイキン31")</f>
        <v>インターロイキン31</v>
      </c>
      <c r="I2626" s="1" t="str">
        <f>IFERROR(__xludf.DUMMYFUNCTION("GOOGLETRANSLATE(E2626,""EN"",""JA"")"),"インターロイキン31")</f>
        <v>インターロイキン31</v>
      </c>
      <c r="J2626" s="1" t="str">
        <f>IFERROR(__xludf.DUMMYFUNCTION("GOOGLETRANSLATE(F2626,""EN"",""JA"")"),"生物標本中のインターロイキン 31 の測定。")</f>
        <v>生物標本中のインターロイキン 31 の測定。</v>
      </c>
      <c r="K2626" s="1" t="str">
        <f>IFERROR(__xludf.DUMMYFUNCTION("GOOGLETRANSLATE(G2626,""EN"",""JA"")"),"インターロイキン31測定")</f>
        <v>インターロイキン31測定</v>
      </c>
    </row>
    <row r="2627" ht="13.5" customHeight="1">
      <c r="A2627" s="1" t="s">
        <v>11</v>
      </c>
      <c r="B2627" s="1" t="s">
        <v>13284</v>
      </c>
      <c r="C2627" s="1" t="s">
        <v>13285</v>
      </c>
      <c r="D2627" s="1" t="s">
        <v>13286</v>
      </c>
      <c r="E2627" s="1" t="s">
        <v>13286</v>
      </c>
      <c r="F2627" s="1" t="s">
        <v>13287</v>
      </c>
      <c r="G2627" s="1" t="s">
        <v>13288</v>
      </c>
      <c r="H2627" s="1" t="str">
        <f>IFERROR(__xludf.DUMMYFUNCTION("GOOGLETRANSLATE(D2627,""EN"",""JA"")"),"インターロイキン32")</f>
        <v>インターロイキン32</v>
      </c>
      <c r="I2627" s="1" t="str">
        <f>IFERROR(__xludf.DUMMYFUNCTION("GOOGLETRANSLATE(E2627,""EN"",""JA"")"),"インターロイキン32")</f>
        <v>インターロイキン32</v>
      </c>
      <c r="J2627" s="1" t="str">
        <f>IFERROR(__xludf.DUMMYFUNCTION("GOOGLETRANSLATE(F2627,""EN"",""JA"")"),"生物標本中のインターロイキン 32 の測定。")</f>
        <v>生物標本中のインターロイキン 32 の測定。</v>
      </c>
      <c r="K2627" s="1" t="str">
        <f>IFERROR(__xludf.DUMMYFUNCTION("GOOGLETRANSLATE(G2627,""EN"",""JA"")"),"インターロイキン32測定")</f>
        <v>インターロイキン32測定</v>
      </c>
    </row>
    <row r="2628" ht="13.5" customHeight="1">
      <c r="A2628" s="1" t="s">
        <v>11</v>
      </c>
      <c r="B2628" s="1" t="s">
        <v>13289</v>
      </c>
      <c r="C2628" s="1" t="s">
        <v>13290</v>
      </c>
      <c r="D2628" s="1" t="s">
        <v>13291</v>
      </c>
      <c r="E2628" s="1" t="s">
        <v>13291</v>
      </c>
      <c r="F2628" s="1" t="s">
        <v>13292</v>
      </c>
      <c r="G2628" s="1" t="s">
        <v>13293</v>
      </c>
      <c r="H2628" s="1" t="str">
        <f>IFERROR(__xludf.DUMMYFUNCTION("GOOGLETRANSLATE(D2628,""EN"",""JA"")"),"インターロイキン33")</f>
        <v>インターロイキン33</v>
      </c>
      <c r="I2628" s="1" t="str">
        <f>IFERROR(__xludf.DUMMYFUNCTION("GOOGLETRANSLATE(E2628,""EN"",""JA"")"),"インターロイキン33")</f>
        <v>インターロイキン33</v>
      </c>
      <c r="J2628" s="1" t="str">
        <f>IFERROR(__xludf.DUMMYFUNCTION("GOOGLETRANSLATE(F2628,""EN"",""JA"")"),"生物標本中のインターロイキン 33 の測定。")</f>
        <v>生物標本中のインターロイキン 33 の測定。</v>
      </c>
      <c r="K2628" s="1" t="str">
        <f>IFERROR(__xludf.DUMMYFUNCTION("GOOGLETRANSLATE(G2628,""EN"",""JA"")"),"インターロイキン33測定")</f>
        <v>インターロイキン33測定</v>
      </c>
    </row>
    <row r="2629" ht="13.5" customHeight="1">
      <c r="A2629" s="1" t="s">
        <v>11</v>
      </c>
      <c r="B2629" s="1" t="s">
        <v>13294</v>
      </c>
      <c r="C2629" s="1" t="s">
        <v>13295</v>
      </c>
      <c r="D2629" s="1" t="s">
        <v>13296</v>
      </c>
      <c r="E2629" s="1" t="s">
        <v>13296</v>
      </c>
      <c r="F2629" s="1" t="s">
        <v>13297</v>
      </c>
      <c r="G2629" s="1" t="s">
        <v>13298</v>
      </c>
      <c r="H2629" s="1" t="str">
        <f>IFERROR(__xludf.DUMMYFUNCTION("GOOGLETRANSLATE(D2629,""EN"",""JA"")"),"インターロイキン4")</f>
        <v>インターロイキン4</v>
      </c>
      <c r="I2629" s="1" t="str">
        <f>IFERROR(__xludf.DUMMYFUNCTION("GOOGLETRANSLATE(E2629,""EN"",""JA"")"),"インターロイキン4")</f>
        <v>インターロイキン4</v>
      </c>
      <c r="J2629" s="1" t="str">
        <f>IFERROR(__xludf.DUMMYFUNCTION("GOOGLETRANSLATE(F2629,""EN"",""JA"")"),"生物標本中のインターロイキン 4 の測定。")</f>
        <v>生物標本中のインターロイキン 4 の測定。</v>
      </c>
      <c r="K2629" s="1" t="str">
        <f>IFERROR(__xludf.DUMMYFUNCTION("GOOGLETRANSLATE(G2629,""EN"",""JA"")"),"インターロイキン4測定")</f>
        <v>インターロイキン4測定</v>
      </c>
    </row>
    <row r="2630" ht="13.5" customHeight="1">
      <c r="A2630" s="1" t="s">
        <v>11</v>
      </c>
      <c r="B2630" s="1" t="s">
        <v>13299</v>
      </c>
      <c r="C2630" s="1" t="s">
        <v>13300</v>
      </c>
      <c r="D2630" s="1" t="s">
        <v>13301</v>
      </c>
      <c r="E2630" s="1" t="s">
        <v>13301</v>
      </c>
      <c r="F2630" s="1" t="s">
        <v>13302</v>
      </c>
      <c r="G2630" s="1" t="s">
        <v>13303</v>
      </c>
      <c r="H2630" s="1" t="str">
        <f>IFERROR(__xludf.DUMMYFUNCTION("GOOGLETRANSLATE(D2630,""EN"",""JA"")"),"インターロイキン5")</f>
        <v>インターロイキン5</v>
      </c>
      <c r="I2630" s="1" t="str">
        <f>IFERROR(__xludf.DUMMYFUNCTION("GOOGLETRANSLATE(E2630,""EN"",""JA"")"),"インターロイキン5")</f>
        <v>インターロイキン5</v>
      </c>
      <c r="J2630" s="1" t="str">
        <f>IFERROR(__xludf.DUMMYFUNCTION("GOOGLETRANSLATE(F2630,""EN"",""JA"")"),"生物標本中のインターロイキン 5 の測定。")</f>
        <v>生物標本中のインターロイキン 5 の測定。</v>
      </c>
      <c r="K2630" s="1" t="str">
        <f>IFERROR(__xludf.DUMMYFUNCTION("GOOGLETRANSLATE(G2630,""EN"",""JA"")"),"インターロイキン5測定")</f>
        <v>インターロイキン5測定</v>
      </c>
    </row>
    <row r="2631" ht="13.5" customHeight="1">
      <c r="A2631" s="1" t="s">
        <v>11</v>
      </c>
      <c r="B2631" s="1" t="s">
        <v>13304</v>
      </c>
      <c r="C2631" s="1" t="s">
        <v>13305</v>
      </c>
      <c r="D2631" s="1" t="s">
        <v>13306</v>
      </c>
      <c r="E2631" s="1" t="s">
        <v>13306</v>
      </c>
      <c r="F2631" s="1" t="s">
        <v>13307</v>
      </c>
      <c r="G2631" s="1" t="s">
        <v>13308</v>
      </c>
      <c r="H2631" s="1" t="str">
        <f>IFERROR(__xludf.DUMMYFUNCTION("GOOGLETRANSLATE(D2631,""EN"",""JA"")"),"インターロイキン6")</f>
        <v>インターロイキン6</v>
      </c>
      <c r="I2631" s="1" t="str">
        <f>IFERROR(__xludf.DUMMYFUNCTION("GOOGLETRANSLATE(E2631,""EN"",""JA"")"),"インターロイキン6")</f>
        <v>インターロイキン6</v>
      </c>
      <c r="J2631" s="1" t="str">
        <f>IFERROR(__xludf.DUMMYFUNCTION("GOOGLETRANSLATE(F2631,""EN"",""JA"")"),"生物標本中のインターロイキン 6 の測定。")</f>
        <v>生物標本中のインターロイキン 6 の測定。</v>
      </c>
      <c r="K2631" s="1" t="str">
        <f>IFERROR(__xludf.DUMMYFUNCTION("GOOGLETRANSLATE(G2631,""EN"",""JA"")"),"インターロイキン6測定")</f>
        <v>インターロイキン6測定</v>
      </c>
    </row>
    <row r="2632" ht="13.5" customHeight="1">
      <c r="A2632" s="1" t="s">
        <v>11</v>
      </c>
      <c r="B2632" s="1" t="s">
        <v>13309</v>
      </c>
      <c r="C2632" s="1" t="s">
        <v>13310</v>
      </c>
      <c r="D2632" s="1" t="s">
        <v>13311</v>
      </c>
      <c r="E2632" s="1" t="s">
        <v>13311</v>
      </c>
      <c r="F2632" s="1" t="s">
        <v>13312</v>
      </c>
      <c r="G2632" s="1" t="s">
        <v>13313</v>
      </c>
      <c r="H2632" s="1" t="str">
        <f>IFERROR(__xludf.DUMMYFUNCTION("GOOGLETRANSLATE(D2632,""EN"",""JA"")"),"インターロイキン7")</f>
        <v>インターロイキン7</v>
      </c>
      <c r="I2632" s="1" t="str">
        <f>IFERROR(__xludf.DUMMYFUNCTION("GOOGLETRANSLATE(E2632,""EN"",""JA"")"),"インターロイキン7")</f>
        <v>インターロイキン7</v>
      </c>
      <c r="J2632" s="1" t="str">
        <f>IFERROR(__xludf.DUMMYFUNCTION("GOOGLETRANSLATE(F2632,""EN"",""JA"")"),"生物標本中のインターロイキン 7 の測定。")</f>
        <v>生物標本中のインターロイキン 7 の測定。</v>
      </c>
      <c r="K2632" s="1" t="str">
        <f>IFERROR(__xludf.DUMMYFUNCTION("GOOGLETRANSLATE(G2632,""EN"",""JA"")"),"インターロイキン7測定")</f>
        <v>インターロイキン7測定</v>
      </c>
    </row>
    <row r="2633" ht="13.5" customHeight="1">
      <c r="A2633" s="1" t="s">
        <v>11</v>
      </c>
      <c r="B2633" s="1" t="s">
        <v>13314</v>
      </c>
      <c r="C2633" s="1" t="s">
        <v>13315</v>
      </c>
      <c r="D2633" s="1" t="s">
        <v>13316</v>
      </c>
      <c r="E2633" s="1" t="s">
        <v>13317</v>
      </c>
      <c r="F2633" s="1" t="s">
        <v>13318</v>
      </c>
      <c r="G2633" s="1" t="s">
        <v>13319</v>
      </c>
      <c r="H2633" s="1" t="str">
        <f>IFERROR(__xludf.DUMMYFUNCTION("GOOGLETRANSLATE(D2633,""EN"",""JA"")"),"インターロイキン8")</f>
        <v>インターロイキン8</v>
      </c>
      <c r="I2633" s="1" t="str">
        <f>IFERROR(__xludf.DUMMYFUNCTION("GOOGLETRANSLATE(E2633,""EN"",""JA"")"),"ケモカイン（C-X-Cモチーフ）リガンド8; CXCL8; インターロイキン8")</f>
        <v>ケモカイン（C-X-Cモチーフ）リガンド8; CXCL8; インターロイキン8</v>
      </c>
      <c r="J2633" s="1" t="str">
        <f>IFERROR(__xludf.DUMMYFUNCTION("GOOGLETRANSLATE(F2633,""EN"",""JA"")"),"生物標本中のインターロイキン 8 の測定。")</f>
        <v>生物標本中のインターロイキン 8 の測定。</v>
      </c>
      <c r="K2633" s="1" t="str">
        <f>IFERROR(__xludf.DUMMYFUNCTION("GOOGLETRANSLATE(G2633,""EN"",""JA"")"),"インターロイキン8測定")</f>
        <v>インターロイキン8測定</v>
      </c>
    </row>
    <row r="2634" ht="13.5" customHeight="1">
      <c r="A2634" s="1" t="s">
        <v>11</v>
      </c>
      <c r="B2634" s="1" t="s">
        <v>13320</v>
      </c>
      <c r="C2634" s="1" t="s">
        <v>13321</v>
      </c>
      <c r="D2634" s="1" t="s">
        <v>13322</v>
      </c>
      <c r="E2634" s="1" t="s">
        <v>13322</v>
      </c>
      <c r="F2634" s="1" t="s">
        <v>13323</v>
      </c>
      <c r="G2634" s="1" t="s">
        <v>13324</v>
      </c>
      <c r="H2634" s="1" t="str">
        <f>IFERROR(__xludf.DUMMYFUNCTION("GOOGLETRANSLATE(D2634,""EN"",""JA"")"),"インターロイキン9")</f>
        <v>インターロイキン9</v>
      </c>
      <c r="I2634" s="1" t="str">
        <f>IFERROR(__xludf.DUMMYFUNCTION("GOOGLETRANSLATE(E2634,""EN"",""JA"")"),"インターロイキン9")</f>
        <v>インターロイキン9</v>
      </c>
      <c r="J2634" s="1" t="str">
        <f>IFERROR(__xludf.DUMMYFUNCTION("GOOGLETRANSLATE(F2634,""EN"",""JA"")"),"生物標本中のインターロイキン 9 の測定。")</f>
        <v>生物標本中のインターロイキン 9 の測定。</v>
      </c>
      <c r="K2634" s="1" t="str">
        <f>IFERROR(__xludf.DUMMYFUNCTION("GOOGLETRANSLATE(G2634,""EN"",""JA"")"),"インターロイキン9測定")</f>
        <v>インターロイキン9測定</v>
      </c>
    </row>
    <row r="2635" ht="13.5" customHeight="1">
      <c r="A2635" s="1" t="s">
        <v>134</v>
      </c>
      <c r="B2635" s="1" t="s">
        <v>13325</v>
      </c>
      <c r="C2635" s="1" t="s">
        <v>13326</v>
      </c>
      <c r="D2635" s="1" t="s">
        <v>13327</v>
      </c>
      <c r="E2635" s="1" t="s">
        <v>13327</v>
      </c>
      <c r="F2635" s="1" t="s">
        <v>13328</v>
      </c>
      <c r="G2635" s="1" t="s">
        <v>13329</v>
      </c>
      <c r="H2635" s="1" t="str">
        <f>IFERROR(__xludf.DUMMYFUNCTION("GOOGLETRANSLATE(D2635,""EN"",""JA"")"),"内膜動脈炎")</f>
        <v>内膜動脈炎</v>
      </c>
      <c r="I2635" s="1" t="str">
        <f>IFERROR(__xludf.DUMMYFUNCTION("GOOGLETRANSLATE(E2635,""EN"",""JA"")"),"内膜動脈炎")</f>
        <v>内膜動脈炎</v>
      </c>
      <c r="J2635" s="1" t="str">
        <f>IFERROR(__xludf.DUMMYFUNCTION("GOOGLETRANSLATE(F2635,""EN"",""JA"")"),"生物標本における内膜動脈炎の評価。")</f>
        <v>生物標本における内膜動脈炎の評価。</v>
      </c>
      <c r="K2635" s="1" t="str">
        <f>IFERROR(__xludf.DUMMYFUNCTION("GOOGLETRANSLATE(G2635,""EN"",""JA"")"),"内膜動脈炎の評価")</f>
        <v>内膜動脈炎の評価</v>
      </c>
    </row>
    <row r="2636" ht="13.5" customHeight="1">
      <c r="A2636" s="1" t="s">
        <v>397</v>
      </c>
      <c r="B2636" s="1" t="s">
        <v>13330</v>
      </c>
      <c r="C2636" s="1" t="s">
        <v>13331</v>
      </c>
      <c r="D2636" s="1" t="s">
        <v>13332</v>
      </c>
      <c r="E2636" s="1" t="s">
        <v>13332</v>
      </c>
      <c r="F2636" s="1" t="s">
        <v>13333</v>
      </c>
      <c r="G2636" s="1" t="s">
        <v>13332</v>
      </c>
      <c r="H2636" s="1" t="str">
        <f>IFERROR(__xludf.DUMMYFUNCTION("GOOGLETRANSLATE(D2636,""EN"",""JA"")"),"介入モデル")</f>
        <v>介入モデル</v>
      </c>
      <c r="I2636" s="1" t="str">
        <f>IFERROR(__xludf.DUMMYFUNCTION("GOOGLETRANSLATE(E2636,""EN"",""JA"")"),"介入モデル")</f>
        <v>介入モデル</v>
      </c>
      <c r="J2636" s="1" t="str">
        <f>IFERROR(__xludf.DUMMYFUNCTION("GOOGLETRANSLATE(F2636,""EN"",""JA"")"),"臨床試験の参加者に介入を割り当てるための戦略の一般的な設計。(clinicaltrials.gov)")</f>
        <v>臨床試験の参加者に介入を割り当てるための戦略の一般的な設計。(clinicaltrials.gov)</v>
      </c>
      <c r="K2636" s="1" t="str">
        <f>IFERROR(__xludf.DUMMYFUNCTION("GOOGLETRANSLATE(G2636,""EN"",""JA"")"),"介入モデル")</f>
        <v>介入モデル</v>
      </c>
    </row>
    <row r="2637" ht="13.5" customHeight="1">
      <c r="A2637" s="1" t="s">
        <v>1970</v>
      </c>
      <c r="B2637" s="1" t="s">
        <v>13334</v>
      </c>
      <c r="C2637" s="1" t="s">
        <v>13335</v>
      </c>
      <c r="D2637" s="1" t="s">
        <v>13336</v>
      </c>
      <c r="E2637" s="1" t="s">
        <v>13336</v>
      </c>
      <c r="F2637" s="1" t="s">
        <v>13337</v>
      </c>
      <c r="G2637" s="1" t="s">
        <v>13336</v>
      </c>
      <c r="H2637" s="1" t="str">
        <f>IFERROR(__xludf.DUMMYFUNCTION("GOOGLETRANSLATE(D2637,""EN"",""JA"")"),"解釈")</f>
        <v>解釈</v>
      </c>
      <c r="I2637" s="1" t="str">
        <f>IFERROR(__xludf.DUMMYFUNCTION("GOOGLETRANSLATE(E2637,""EN"",""JA"")"),"解釈")</f>
        <v>解釈</v>
      </c>
      <c r="J2637" s="1" t="str">
        <f>IFERROR(__xludf.DUMMYFUNCTION("GOOGLETRANSLATE(F2637,""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37" s="1" t="str">
        <f>IFERROR(__xludf.DUMMYFUNCTION("GOOGLETRANSLATE(G2637,""EN"",""JA"")"),"解釈")</f>
        <v>解釈</v>
      </c>
    </row>
    <row r="2638" ht="13.5" customHeight="1">
      <c r="A2638" s="1" t="s">
        <v>160</v>
      </c>
      <c r="B2638" s="1" t="s">
        <v>13334</v>
      </c>
      <c r="C2638" s="1" t="s">
        <v>13335</v>
      </c>
      <c r="D2638" s="1" t="s">
        <v>13336</v>
      </c>
      <c r="E2638" s="1" t="s">
        <v>13336</v>
      </c>
      <c r="F2638" s="1" t="s">
        <v>13337</v>
      </c>
      <c r="G2638" s="1" t="s">
        <v>13336</v>
      </c>
      <c r="H2638" s="1" t="str">
        <f>IFERROR(__xludf.DUMMYFUNCTION("GOOGLETRANSLATE(D2638,""EN"",""JA"")"),"解釈")</f>
        <v>解釈</v>
      </c>
      <c r="I2638" s="1" t="str">
        <f>IFERROR(__xludf.DUMMYFUNCTION("GOOGLETRANSLATE(E2638,""EN"",""JA"")"),"解釈")</f>
        <v>解釈</v>
      </c>
      <c r="J2638" s="1" t="str">
        <f>IFERROR(__xludf.DUMMYFUNCTION("GOOGLETRANSLATE(F2638,""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38" s="1" t="str">
        <f>IFERROR(__xludf.DUMMYFUNCTION("GOOGLETRANSLATE(G2638,""EN"",""JA"")"),"解釈")</f>
        <v>解釈</v>
      </c>
    </row>
    <row r="2639" ht="13.5" customHeight="1">
      <c r="A2639" s="1" t="s">
        <v>580</v>
      </c>
      <c r="B2639" s="1" t="s">
        <v>13334</v>
      </c>
      <c r="C2639" s="1" t="s">
        <v>13335</v>
      </c>
      <c r="D2639" s="1" t="s">
        <v>13336</v>
      </c>
      <c r="E2639" s="1" t="s">
        <v>13336</v>
      </c>
      <c r="F2639" s="1" t="s">
        <v>13337</v>
      </c>
      <c r="G2639" s="1" t="s">
        <v>13336</v>
      </c>
      <c r="H2639" s="1" t="str">
        <f>IFERROR(__xludf.DUMMYFUNCTION("GOOGLETRANSLATE(D2639,""EN"",""JA"")"),"解釈")</f>
        <v>解釈</v>
      </c>
      <c r="I2639" s="1" t="str">
        <f>IFERROR(__xludf.DUMMYFUNCTION("GOOGLETRANSLATE(E2639,""EN"",""JA"")"),"解釈")</f>
        <v>解釈</v>
      </c>
      <c r="J2639" s="1" t="str">
        <f>IFERROR(__xludf.DUMMYFUNCTION("GOOGLETRANSLATE(F2639,""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39" s="1" t="str">
        <f>IFERROR(__xludf.DUMMYFUNCTION("GOOGLETRANSLATE(G2639,""EN"",""JA"")"),"解釈")</f>
        <v>解釈</v>
      </c>
    </row>
    <row r="2640" ht="13.5" customHeight="1">
      <c r="A2640" s="1" t="s">
        <v>129</v>
      </c>
      <c r="B2640" s="1" t="s">
        <v>13334</v>
      </c>
      <c r="C2640" s="1" t="s">
        <v>13335</v>
      </c>
      <c r="D2640" s="1" t="s">
        <v>13336</v>
      </c>
      <c r="E2640" s="1" t="s">
        <v>13336</v>
      </c>
      <c r="F2640" s="1" t="s">
        <v>13337</v>
      </c>
      <c r="G2640" s="1" t="s">
        <v>13336</v>
      </c>
      <c r="H2640" s="1" t="str">
        <f>IFERROR(__xludf.DUMMYFUNCTION("GOOGLETRANSLATE(D2640,""EN"",""JA"")"),"解釈")</f>
        <v>解釈</v>
      </c>
      <c r="I2640" s="1" t="str">
        <f>IFERROR(__xludf.DUMMYFUNCTION("GOOGLETRANSLATE(E2640,""EN"",""JA"")"),"解釈")</f>
        <v>解釈</v>
      </c>
      <c r="J2640" s="1" t="str">
        <f>IFERROR(__xludf.DUMMYFUNCTION("GOOGLETRANSLATE(F2640,""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40" s="1" t="str">
        <f>IFERROR(__xludf.DUMMYFUNCTION("GOOGLETRANSLATE(G2640,""EN"",""JA"")"),"解釈")</f>
        <v>解釈</v>
      </c>
    </row>
    <row r="2641" ht="13.5" customHeight="1">
      <c r="A2641" s="1" t="s">
        <v>90</v>
      </c>
      <c r="B2641" s="1" t="s">
        <v>13334</v>
      </c>
      <c r="C2641" s="1" t="s">
        <v>13335</v>
      </c>
      <c r="D2641" s="1" t="s">
        <v>13336</v>
      </c>
      <c r="E2641" s="1" t="s">
        <v>13336</v>
      </c>
      <c r="F2641" s="1" t="s">
        <v>13337</v>
      </c>
      <c r="G2641" s="1" t="s">
        <v>13336</v>
      </c>
      <c r="H2641" s="1" t="str">
        <f>IFERROR(__xludf.DUMMYFUNCTION("GOOGLETRANSLATE(D2641,""EN"",""JA"")"),"解釈")</f>
        <v>解釈</v>
      </c>
      <c r="I2641" s="1" t="str">
        <f>IFERROR(__xludf.DUMMYFUNCTION("GOOGLETRANSLATE(E2641,""EN"",""JA"")"),"解釈")</f>
        <v>解釈</v>
      </c>
      <c r="J2641" s="1" t="str">
        <f>IFERROR(__xludf.DUMMYFUNCTION("GOOGLETRANSLATE(F2641,""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41" s="1" t="str">
        <f>IFERROR(__xludf.DUMMYFUNCTION("GOOGLETRANSLATE(G2641,""EN"",""JA"")"),"解釈")</f>
        <v>解釈</v>
      </c>
    </row>
    <row r="2642" ht="13.5" customHeight="1">
      <c r="A2642" s="1" t="s">
        <v>1168</v>
      </c>
      <c r="B2642" s="1" t="s">
        <v>13334</v>
      </c>
      <c r="C2642" s="1" t="s">
        <v>13335</v>
      </c>
      <c r="D2642" s="1" t="s">
        <v>13336</v>
      </c>
      <c r="E2642" s="1" t="s">
        <v>13336</v>
      </c>
      <c r="F2642" s="1" t="s">
        <v>13337</v>
      </c>
      <c r="G2642" s="1" t="s">
        <v>13336</v>
      </c>
      <c r="H2642" s="1" t="str">
        <f>IFERROR(__xludf.DUMMYFUNCTION("GOOGLETRANSLATE(D2642,""EN"",""JA"")"),"解釈")</f>
        <v>解釈</v>
      </c>
      <c r="I2642" s="1" t="str">
        <f>IFERROR(__xludf.DUMMYFUNCTION("GOOGLETRANSLATE(E2642,""EN"",""JA"")"),"解釈")</f>
        <v>解釈</v>
      </c>
      <c r="J2642" s="1" t="str">
        <f>IFERROR(__xludf.DUMMYFUNCTION("GOOGLETRANSLATE(F2642,""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42" s="1" t="str">
        <f>IFERROR(__xludf.DUMMYFUNCTION("GOOGLETRANSLATE(G2642,""EN"",""JA"")"),"解釈")</f>
        <v>解釈</v>
      </c>
    </row>
    <row r="2643" ht="13.5" customHeight="1">
      <c r="A2643" s="1" t="s">
        <v>1168</v>
      </c>
      <c r="B2643" s="1" t="s">
        <v>13334</v>
      </c>
      <c r="C2643" s="1" t="s">
        <v>13335</v>
      </c>
      <c r="D2643" s="1" t="s">
        <v>13336</v>
      </c>
      <c r="E2643" s="1" t="s">
        <v>13336</v>
      </c>
      <c r="F2643" s="1" t="s">
        <v>13337</v>
      </c>
      <c r="G2643" s="1" t="s">
        <v>13336</v>
      </c>
      <c r="H2643" s="1" t="str">
        <f>IFERROR(__xludf.DUMMYFUNCTION("GOOGLETRANSLATE(D2643,""EN"",""JA"")"),"解釈")</f>
        <v>解釈</v>
      </c>
      <c r="I2643" s="1" t="str">
        <f>IFERROR(__xludf.DUMMYFUNCTION("GOOGLETRANSLATE(E2643,""EN"",""JA"")"),"解釈")</f>
        <v>解釈</v>
      </c>
      <c r="J2643" s="1" t="str">
        <f>IFERROR(__xludf.DUMMYFUNCTION("GOOGLETRANSLATE(F2643,""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43" s="1" t="str">
        <f>IFERROR(__xludf.DUMMYFUNCTION("GOOGLETRANSLATE(G2643,""EN"",""JA"")"),"解釈")</f>
        <v>解釈</v>
      </c>
    </row>
    <row r="2644" ht="13.5" customHeight="1">
      <c r="A2644" s="1" t="s">
        <v>1168</v>
      </c>
      <c r="B2644" s="1" t="s">
        <v>13334</v>
      </c>
      <c r="C2644" s="1" t="s">
        <v>13335</v>
      </c>
      <c r="D2644" s="1" t="s">
        <v>13336</v>
      </c>
      <c r="E2644" s="1" t="s">
        <v>13336</v>
      </c>
      <c r="F2644" s="1" t="s">
        <v>13337</v>
      </c>
      <c r="G2644" s="1" t="s">
        <v>13336</v>
      </c>
      <c r="H2644" s="1" t="str">
        <f>IFERROR(__xludf.DUMMYFUNCTION("GOOGLETRANSLATE(D2644,""EN"",""JA"")"),"解釈")</f>
        <v>解釈</v>
      </c>
      <c r="I2644" s="1" t="str">
        <f>IFERROR(__xludf.DUMMYFUNCTION("GOOGLETRANSLATE(E2644,""EN"",""JA"")"),"解釈")</f>
        <v>解釈</v>
      </c>
      <c r="J2644" s="1" t="str">
        <f>IFERROR(__xludf.DUMMYFUNCTION("GOOGLETRANSLATE(F2644,""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44" s="1" t="str">
        <f>IFERROR(__xludf.DUMMYFUNCTION("GOOGLETRANSLATE(G2644,""EN"",""JA"")"),"解釈")</f>
        <v>解釈</v>
      </c>
    </row>
    <row r="2645" ht="13.5" customHeight="1">
      <c r="A2645" s="1" t="s">
        <v>1168</v>
      </c>
      <c r="B2645" s="1" t="s">
        <v>13334</v>
      </c>
      <c r="C2645" s="1" t="s">
        <v>13335</v>
      </c>
      <c r="D2645" s="1" t="s">
        <v>13336</v>
      </c>
      <c r="E2645" s="1" t="s">
        <v>13336</v>
      </c>
      <c r="F2645" s="1" t="s">
        <v>13337</v>
      </c>
      <c r="G2645" s="1" t="s">
        <v>13336</v>
      </c>
      <c r="H2645" s="1" t="str">
        <f>IFERROR(__xludf.DUMMYFUNCTION("GOOGLETRANSLATE(D2645,""EN"",""JA"")"),"解釈")</f>
        <v>解釈</v>
      </c>
      <c r="I2645" s="1" t="str">
        <f>IFERROR(__xludf.DUMMYFUNCTION("GOOGLETRANSLATE(E2645,""EN"",""JA"")"),"解釈")</f>
        <v>解釈</v>
      </c>
      <c r="J2645" s="1" t="str">
        <f>IFERROR(__xludf.DUMMYFUNCTION("GOOGLETRANSLATE(F2645,""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45" s="1" t="str">
        <f>IFERROR(__xludf.DUMMYFUNCTION("GOOGLETRANSLATE(G2645,""EN"",""JA"")"),"解釈")</f>
        <v>解釈</v>
      </c>
    </row>
    <row r="2646" ht="13.5" customHeight="1">
      <c r="A2646" s="1" t="s">
        <v>1997</v>
      </c>
      <c r="B2646" s="1" t="s">
        <v>13334</v>
      </c>
      <c r="C2646" s="1" t="s">
        <v>13335</v>
      </c>
      <c r="D2646" s="1" t="s">
        <v>13336</v>
      </c>
      <c r="E2646" s="1" t="s">
        <v>13336</v>
      </c>
      <c r="F2646" s="1" t="s">
        <v>13337</v>
      </c>
      <c r="G2646" s="1" t="s">
        <v>13336</v>
      </c>
      <c r="H2646" s="1" t="str">
        <f>IFERROR(__xludf.DUMMYFUNCTION("GOOGLETRANSLATE(D2646,""EN"",""JA"")"),"解釈")</f>
        <v>解釈</v>
      </c>
      <c r="I2646" s="1" t="str">
        <f>IFERROR(__xludf.DUMMYFUNCTION("GOOGLETRANSLATE(E2646,""EN"",""JA"")"),"解釈")</f>
        <v>解釈</v>
      </c>
      <c r="J2646" s="1" t="str">
        <f>IFERROR(__xludf.DUMMYFUNCTION("GOOGLETRANSLATE(F2646,""EN"",""JA"")"),"解明の行為またはプロセス。ドメインのオブジェクトを形式言語の定数に、真理値を命題記号に、真理関数を接続に割り当てることによって、イベントまたは事物の意味を説明する説明。")</f>
        <v>解明の行為またはプロセス。ドメインのオブジェクトを形式言語の定数に、真理値を命題記号に、真理関数を接続に割り当てることによって、イベントまたは事物の意味を説明する説明。</v>
      </c>
      <c r="K2646" s="1" t="str">
        <f>IFERROR(__xludf.DUMMYFUNCTION("GOOGLETRANSLATE(G2646,""EN"",""JA"")"),"解釈")</f>
        <v>解釈</v>
      </c>
    </row>
    <row r="2647" ht="13.5" customHeight="1">
      <c r="A2647" s="1" t="s">
        <v>134</v>
      </c>
      <c r="B2647" s="1" t="s">
        <v>13338</v>
      </c>
      <c r="C2647" s="1" t="s">
        <v>13339</v>
      </c>
      <c r="D2647" s="1" t="s">
        <v>13340</v>
      </c>
      <c r="E2647" s="1" t="s">
        <v>13340</v>
      </c>
      <c r="F2647" s="1" t="s">
        <v>13341</v>
      </c>
      <c r="G2647" s="1" t="s">
        <v>13342</v>
      </c>
      <c r="H2647" s="1" t="str">
        <f>IFERROR(__xludf.DUMMYFUNCTION("GOOGLETRANSLATE(D2647,""EN"",""JA"")"),"間質線維症")</f>
        <v>間質線維症</v>
      </c>
      <c r="I2647" s="1" t="str">
        <f>IFERROR(__xludf.DUMMYFUNCTION("GOOGLETRANSLATE(E2647,""EN"",""JA"")"),"間質線維症")</f>
        <v>間質線維症</v>
      </c>
      <c r="J2647" s="1" t="str">
        <f>IFERROR(__xludf.DUMMYFUNCTION("GOOGLETRANSLATE(F2647,""EN"",""JA"")"),"生物標本における間質線維症の評価。")</f>
        <v>生物標本における間質線維症の評価。</v>
      </c>
      <c r="K2647" s="1" t="str">
        <f>IFERROR(__xludf.DUMMYFUNCTION("GOOGLETRANSLATE(G2647,""EN"",""JA"")"),"間質線維症の評価")</f>
        <v>間質線維症の評価</v>
      </c>
    </row>
    <row r="2648" ht="13.5" customHeight="1">
      <c r="A2648" s="1" t="s">
        <v>397</v>
      </c>
      <c r="B2648" s="1" t="s">
        <v>13343</v>
      </c>
      <c r="C2648" s="1" t="s">
        <v>13344</v>
      </c>
      <c r="D2648" s="1" t="s">
        <v>13345</v>
      </c>
      <c r="E2648" s="1" t="s">
        <v>13345</v>
      </c>
      <c r="F2648" s="1" t="s">
        <v>13346</v>
      </c>
      <c r="G2648" s="1" t="s">
        <v>13345</v>
      </c>
      <c r="H2648" s="1" t="str">
        <f>IFERROR(__xludf.DUMMYFUNCTION("GOOGLETRANSLATE(D2648,""EN"",""JA"")"),"介入の種類")</f>
        <v>介入の種類</v>
      </c>
      <c r="I2648" s="1" t="str">
        <f>IFERROR(__xludf.DUMMYFUNCTION("GOOGLETRANSLATE(E2648,""EN"",""JA"")"),"介入の種類")</f>
        <v>介入の種類</v>
      </c>
      <c r="J2648" s="1" t="str">
        <f>IFERROR(__xludf.DUMMYFUNCTION("GOOGLETRANSLATE(F2648,""EN"",""JA"")"),"試験で研究される製品または手順の種類。")</f>
        <v>試験で研究される製品または手順の種類。</v>
      </c>
      <c r="K2648" s="1" t="str">
        <f>IFERROR(__xludf.DUMMYFUNCTION("GOOGLETRANSLATE(G2648,""EN"",""JA"")"),"介入の種類")</f>
        <v>介入の種類</v>
      </c>
    </row>
    <row r="2649" ht="13.5" customHeight="1">
      <c r="A2649" s="1" t="s">
        <v>11</v>
      </c>
      <c r="B2649" s="1" t="s">
        <v>13347</v>
      </c>
      <c r="C2649" s="1" t="s">
        <v>13348</v>
      </c>
      <c r="D2649" s="1" t="s">
        <v>13349</v>
      </c>
      <c r="E2649" s="1" t="s">
        <v>13349</v>
      </c>
      <c r="F2649" s="1" t="s">
        <v>13350</v>
      </c>
      <c r="G2649" s="1" t="s">
        <v>13351</v>
      </c>
      <c r="H2649" s="1" t="str">
        <f>IFERROR(__xludf.DUMMYFUNCTION("GOOGLETRANSLATE(D2649,""EN"",""JA"")"),"イヌリン")</f>
        <v>イヌリン</v>
      </c>
      <c r="I2649" s="1" t="str">
        <f>IFERROR(__xludf.DUMMYFUNCTION("GOOGLETRANSLATE(E2649,""EN"",""JA"")"),"イヌリン")</f>
        <v>イヌリン</v>
      </c>
      <c r="J2649" s="1" t="str">
        <f>IFERROR(__xludf.DUMMYFUNCTION("GOOGLETRANSLATE(F2649,""EN"",""JA"")"),"生物標本中のイヌリンの測定。")</f>
        <v>生物標本中のイヌリンの測定。</v>
      </c>
      <c r="K2649" s="1" t="str">
        <f>IFERROR(__xludf.DUMMYFUNCTION("GOOGLETRANSLATE(G2649,""EN"",""JA"")"),"イヌリン測定")</f>
        <v>イヌリン測定</v>
      </c>
    </row>
    <row r="2650" ht="13.5" customHeight="1">
      <c r="A2650" s="1" t="s">
        <v>11</v>
      </c>
      <c r="B2650" s="1" t="s">
        <v>13352</v>
      </c>
      <c r="C2650" s="1" t="s">
        <v>13353</v>
      </c>
      <c r="D2650" s="1" t="s">
        <v>13354</v>
      </c>
      <c r="E2650" s="1" t="s">
        <v>13354</v>
      </c>
      <c r="F2650" s="1" t="s">
        <v>13355</v>
      </c>
      <c r="G2650" s="1" t="s">
        <v>13356</v>
      </c>
      <c r="H2650" s="1" t="str">
        <f>IFERROR(__xludf.DUMMYFUNCTION("GOOGLETRANSLATE(D2650,""EN"",""JA"")"),"ヨウ素")</f>
        <v>ヨウ素</v>
      </c>
      <c r="I2650" s="1" t="str">
        <f>IFERROR(__xludf.DUMMYFUNCTION("GOOGLETRANSLATE(E2650,""EN"",""JA"")"),"ヨウ素")</f>
        <v>ヨウ素</v>
      </c>
      <c r="J2650" s="1" t="str">
        <f>IFERROR(__xludf.DUMMYFUNCTION("GOOGLETRANSLATE(F2650,""EN"",""JA"")"),"生物標本中の総ヨウ素量の測定。")</f>
        <v>生物標本中の総ヨウ素量の測定。</v>
      </c>
      <c r="K2650" s="1" t="str">
        <f>IFERROR(__xludf.DUMMYFUNCTION("GOOGLETRANSLATE(G2650,""EN"",""JA"")"),"ヨウ素測定")</f>
        <v>ヨウ素測定</v>
      </c>
    </row>
    <row r="2651" ht="13.5" customHeight="1">
      <c r="A2651" s="1" t="s">
        <v>11</v>
      </c>
      <c r="B2651" s="1" t="s">
        <v>13357</v>
      </c>
      <c r="C2651" s="1" t="s">
        <v>13358</v>
      </c>
      <c r="D2651" s="1" t="s">
        <v>13359</v>
      </c>
      <c r="E2651" s="1" t="s">
        <v>13359</v>
      </c>
      <c r="F2651" s="1" t="s">
        <v>13360</v>
      </c>
      <c r="G2651" s="1" t="s">
        <v>13361</v>
      </c>
      <c r="H2651" s="1" t="str">
        <f>IFERROR(__xludf.DUMMYFUNCTION("GOOGLETRANSLATE(D2651,""EN"",""JA"")"),"ヨウ素、遊離")</f>
        <v>ヨウ素、遊離</v>
      </c>
      <c r="I2651" s="1" t="str">
        <f>IFERROR(__xludf.DUMMYFUNCTION("GOOGLETRANSLATE(E2651,""EN"",""JA"")"),"ヨウ素、遊離")</f>
        <v>ヨウ素、遊離</v>
      </c>
      <c r="J2651" s="1" t="str">
        <f>IFERROR(__xludf.DUMMYFUNCTION("GOOGLETRANSLATE(F2651,""EN"",""JA"")"),"生物標本中の遊離（非結合）ヨウ素の測定。")</f>
        <v>生物標本中の遊離（非結合）ヨウ素の測定。</v>
      </c>
      <c r="K2651" s="1" t="str">
        <f>IFERROR(__xludf.DUMMYFUNCTION("GOOGLETRANSLATE(G2651,""EN"",""JA"")"),"遊離ヨウ素測定")</f>
        <v>遊離ヨウ素測定</v>
      </c>
    </row>
    <row r="2652" ht="13.5" customHeight="1">
      <c r="A2652" s="1" t="s">
        <v>11</v>
      </c>
      <c r="B2652" s="1" t="s">
        <v>13362</v>
      </c>
      <c r="C2652" s="1" t="s">
        <v>13363</v>
      </c>
      <c r="D2652" s="1" t="s">
        <v>13364</v>
      </c>
      <c r="E2652" s="1" t="s">
        <v>13364</v>
      </c>
      <c r="F2652" s="1" t="s">
        <v>13365</v>
      </c>
      <c r="G2652" s="1" t="s">
        <v>13364</v>
      </c>
      <c r="H2652" s="1" t="str">
        <f>IFERROR(__xludf.DUMMYFUNCTION("GOOGLETRANSLATE(D2652,""EN"",""JA"")"),"イオヘキソールクリアランス")</f>
        <v>イオヘキソールクリアランス</v>
      </c>
      <c r="I2652" s="1" t="str">
        <f>IFERROR(__xludf.DUMMYFUNCTION("GOOGLETRANSLATE(E2652,""EN"",""JA"")"),"イオヘキソールクリアランス")</f>
        <v>イオヘキソールクリアランス</v>
      </c>
      <c r="J2652" s="1" t="str">
        <f>IFERROR(__xludf.DUMMYFUNCTION("GOOGLETRANSLATE(F2652,""EN"",""JA"")"),"指定された時間単位（例：1 分）に尿として排出されイオヘキソールが除去される血清または血漿の量の測定値。")</f>
        <v>指定された時間単位（例：1 分）に尿として排出されイオヘキソールが除去される血清または血漿の量の測定値。</v>
      </c>
      <c r="K2652" s="1" t="str">
        <f>IFERROR(__xludf.DUMMYFUNCTION("GOOGLETRANSLATE(G2652,""EN"",""JA"")"),"イオヘキソールクリアランス")</f>
        <v>イオヘキソールクリアランス</v>
      </c>
    </row>
    <row r="2653" ht="13.5" customHeight="1">
      <c r="A2653" s="1" t="s">
        <v>11</v>
      </c>
      <c r="B2653" s="1" t="s">
        <v>13366</v>
      </c>
      <c r="C2653" s="1" t="s">
        <v>13367</v>
      </c>
      <c r="D2653" s="1" t="s">
        <v>13368</v>
      </c>
      <c r="E2653" s="1" t="s">
        <v>13368</v>
      </c>
      <c r="F2653" s="1" t="s">
        <v>13369</v>
      </c>
      <c r="G2653" s="1" t="s">
        <v>13370</v>
      </c>
      <c r="H2653" s="1" t="str">
        <f>IFERROR(__xludf.DUMMYFUNCTION("GOOGLETRANSLATE(D2653,""EN"",""JA"")"),"イオヘキソール")</f>
        <v>イオヘキソール</v>
      </c>
      <c r="I2653" s="1" t="str">
        <f>IFERROR(__xludf.DUMMYFUNCTION("GOOGLETRANSLATE(E2653,""EN"",""JA"")"),"イオヘキソール")</f>
        <v>イオヘキソール</v>
      </c>
      <c r="J2653" s="1" t="str">
        <f>IFERROR(__xludf.DUMMYFUNCTION("GOOGLETRANSLATE(F2653,""EN"",""JA"")"),"生物標本中のイオヘキソールの測定。")</f>
        <v>生物標本中のイオヘキソールの測定。</v>
      </c>
      <c r="K2653" s="1" t="str">
        <f>IFERROR(__xludf.DUMMYFUNCTION("GOOGLETRANSLATE(G2653,""EN"",""JA"")"),"イオヘキソール測定")</f>
        <v>イオヘキソール測定</v>
      </c>
    </row>
    <row r="2654" ht="13.5" customHeight="1">
      <c r="A2654" s="1" t="s">
        <v>1997</v>
      </c>
      <c r="B2654" s="1" t="s">
        <v>13371</v>
      </c>
      <c r="C2654" s="1" t="s">
        <v>13372</v>
      </c>
      <c r="D2654" s="1" t="s">
        <v>13373</v>
      </c>
      <c r="E2654" s="1" t="s">
        <v>13373</v>
      </c>
      <c r="F2654" s="1" t="s">
        <v>13374</v>
      </c>
      <c r="G2654" s="1" t="s">
        <v>13373</v>
      </c>
      <c r="H2654" s="1" t="str">
        <f>IFERROR(__xludf.DUMMYFUNCTION("GOOGLETRANSLATE(D2654,""EN"",""JA"")"),"眼圧")</f>
        <v>眼圧</v>
      </c>
      <c r="I2654" s="1" t="str">
        <f>IFERROR(__xludf.DUMMYFUNCTION("GOOGLETRANSLATE(E2654,""EN"",""JA"")"),"眼圧")</f>
        <v>眼圧</v>
      </c>
      <c r="J2654" s="1" t="str">
        <f>IFERROR(__xludf.DUMMYFUNCTION("GOOGLETRANSLATE(F2654,""EN"",""JA"")"),"眼球内の液体の圧力。")</f>
        <v>眼球内の液体の圧力。</v>
      </c>
      <c r="K2654" s="1" t="str">
        <f>IFERROR(__xludf.DUMMYFUNCTION("GOOGLETRANSLATE(G2654,""EN"",""JA"")"),"眼圧")</f>
        <v>眼圧</v>
      </c>
    </row>
    <row r="2655" ht="13.5" customHeight="1">
      <c r="A2655" s="1" t="s">
        <v>11</v>
      </c>
      <c r="B2655" s="1" t="s">
        <v>13375</v>
      </c>
      <c r="C2655" s="1" t="s">
        <v>13376</v>
      </c>
      <c r="D2655" s="1" t="s">
        <v>13377</v>
      </c>
      <c r="E2655" s="1" t="s">
        <v>13377</v>
      </c>
      <c r="F2655" s="1" t="s">
        <v>13378</v>
      </c>
      <c r="G2655" s="1" t="s">
        <v>13377</v>
      </c>
      <c r="H2655" s="1" t="str">
        <f>IFERROR(__xludf.DUMMYFUNCTION("GOOGLETRANSLATE(D2655,""EN"",""JA"")"),"イオタラム酸クリアランス")</f>
        <v>イオタラム酸クリアランス</v>
      </c>
      <c r="I2655" s="1" t="str">
        <f>IFERROR(__xludf.DUMMYFUNCTION("GOOGLETRANSLATE(E2655,""EN"",""JA"")"),"イオタラム酸クリアランス")</f>
        <v>イオタラム酸クリアランス</v>
      </c>
      <c r="J2655" s="1" t="str">
        <f>IFERROR(__xludf.DUMMYFUNCTION("GOOGLETRANSLATE(F2655,""EN"",""JA"")"),"指定された時間単位（例：1 分）に尿として排出され、イオタラム酸が除去される血清または血漿の量の測定値。")</f>
        <v>指定された時間単位（例：1 分）に尿として排出され、イオタラム酸が除去される血清または血漿の量の測定値。</v>
      </c>
      <c r="K2655" s="1" t="str">
        <f>IFERROR(__xludf.DUMMYFUNCTION("GOOGLETRANSLATE(G2655,""EN"",""JA"")"),"イオタラム酸クリアランス")</f>
        <v>イオタラム酸クリアランス</v>
      </c>
    </row>
    <row r="2656" ht="13.5" customHeight="1">
      <c r="A2656" s="1" t="s">
        <v>11</v>
      </c>
      <c r="B2656" s="1" t="s">
        <v>13379</v>
      </c>
      <c r="C2656" s="1" t="s">
        <v>13380</v>
      </c>
      <c r="D2656" s="1" t="s">
        <v>13381</v>
      </c>
      <c r="E2656" s="1" t="s">
        <v>13381</v>
      </c>
      <c r="F2656" s="1" t="s">
        <v>13382</v>
      </c>
      <c r="G2656" s="1" t="s">
        <v>13381</v>
      </c>
      <c r="H2656" s="1" t="str">
        <f>IFERROR(__xludf.DUMMYFUNCTION("GOOGLETRANSLATE(D2656,""EN"",""JA"")"),"BSA調整イオタラム酸クリアランス")</f>
        <v>BSA調整イオタラム酸クリアランス</v>
      </c>
      <c r="I2656" s="1" t="str">
        <f>IFERROR(__xludf.DUMMYFUNCTION("GOOGLETRANSLATE(E2656,""EN"",""JA"")"),"BSA調整イオタラム酸クリアランス")</f>
        <v>BSA調整イオタラム酸クリアランス</v>
      </c>
      <c r="J2656" s="1" t="str">
        <f>IFERROR(__xludf.DUMMYFUNCTION("GOOGLETRANSLATE(F2656,""EN"",""JA"")"),"体表面積に合わせて調整された、指定された時間単位（例：1 分）に尿として排出され、イオタラム酸が除去される血清または血漿の量の測定値。")</f>
        <v>体表面積に合わせて調整された、指定された時間単位（例：1 分）に尿として排出され、イオタラム酸が除去される血清または血漿の量の測定値。</v>
      </c>
      <c r="K2656" s="1" t="str">
        <f>IFERROR(__xludf.DUMMYFUNCTION("GOOGLETRANSLATE(G2656,""EN"",""JA"")"),"BSA調整イオタラム酸クリアランス")</f>
        <v>BSA調整イオタラム酸クリアランス</v>
      </c>
    </row>
    <row r="2657" ht="13.5" customHeight="1">
      <c r="A2657" s="1" t="s">
        <v>11</v>
      </c>
      <c r="B2657" s="1" t="s">
        <v>13383</v>
      </c>
      <c r="C2657" s="1" t="s">
        <v>13384</v>
      </c>
      <c r="D2657" s="1" t="s">
        <v>13385</v>
      </c>
      <c r="E2657" s="1" t="s">
        <v>13385</v>
      </c>
      <c r="F2657" s="1" t="s">
        <v>13386</v>
      </c>
      <c r="G2657" s="1" t="s">
        <v>13387</v>
      </c>
      <c r="H2657" s="1" t="str">
        <f>IFERROR(__xludf.DUMMYFUNCTION("GOOGLETRANSLATE(D2657,""EN"",""JA"")"),"未熟網状赤血球分画")</f>
        <v>未熟網状赤血球分画</v>
      </c>
      <c r="I2657" s="1" t="str">
        <f>IFERROR(__xludf.DUMMYFUNCTION("GOOGLETRANSLATE(E2657,""EN"",""JA"")"),"未熟網状赤血球分画")</f>
        <v>未熟網状赤血球分画</v>
      </c>
      <c r="J2657" s="1" t="str">
        <f>IFERROR(__xludf.DUMMYFUNCTION("GOOGLETRANSLATE(F2657,""EN"",""JA"")"),"生物標本中に存在する未熟網状赤血球分率の測定。")</f>
        <v>生物標本中に存在する未熟網状赤血球分率の測定。</v>
      </c>
      <c r="K2657" s="1" t="str">
        <f>IFERROR(__xludf.DUMMYFUNCTION("GOOGLETRANSLATE(G2657,""EN"",""JA"")"),"未熟網状赤血球分率測定")</f>
        <v>未熟網状赤血球分率測定</v>
      </c>
    </row>
    <row r="2658" ht="13.5" customHeight="1">
      <c r="A2658" s="1" t="s">
        <v>134</v>
      </c>
      <c r="B2658" s="1" t="s">
        <v>13388</v>
      </c>
      <c r="C2658" s="1" t="s">
        <v>13389</v>
      </c>
      <c r="D2658" s="1" t="s">
        <v>13390</v>
      </c>
      <c r="E2658" s="1" t="s">
        <v>13391</v>
      </c>
      <c r="F2658" s="1" t="s">
        <v>13392</v>
      </c>
      <c r="G2658" s="1" t="s">
        <v>13393</v>
      </c>
      <c r="H2658" s="1" t="str">
        <f>IFERROR(__xludf.DUMMYFUNCTION("GOOGLETRANSLATE(D2658,""EN"",""JA"")"),"インターフェロン調節因子4")</f>
        <v>インターフェロン調節因子4</v>
      </c>
      <c r="I2658" s="1" t="str">
        <f>IFERROR(__xludf.DUMMYFUNCTION("GOOGLETRANSLATE(E2658,""EN"",""JA"")"),"インターフェロン調節因子4; 多発性骨髄腫癌遺伝子1; MUM1")</f>
        <v>インターフェロン調節因子4; 多発性骨髄腫癌遺伝子1; MUM1</v>
      </c>
      <c r="J2658" s="1" t="str">
        <f>IFERROR(__xludf.DUMMYFUNCTION("GOOGLETRANSLATE(F2658,""EN"",""JA"")"),"生物標本中のインターフェロン調節因子 4 タンパク質の測定。")</f>
        <v>生物標本中のインターフェロン調節因子 4 タンパク質の測定。</v>
      </c>
      <c r="K2658" s="1" t="str">
        <f>IFERROR(__xludf.DUMMYFUNCTION("GOOGLETRANSLATE(G2658,""EN"",""JA"")"),"インターフェロン調節因子4測定")</f>
        <v>インターフェロン調節因子4測定</v>
      </c>
    </row>
    <row r="2659" ht="13.5" customHeight="1">
      <c r="A2659" s="1" t="s">
        <v>134</v>
      </c>
      <c r="B2659" s="1" t="s">
        <v>13394</v>
      </c>
      <c r="C2659" s="1" t="s">
        <v>13395</v>
      </c>
      <c r="D2659" s="1" t="s">
        <v>13396</v>
      </c>
      <c r="E2659" s="1" t="s">
        <v>13397</v>
      </c>
      <c r="F2659" s="1" t="s">
        <v>13398</v>
      </c>
      <c r="G2659" s="1" t="s">
        <v>13399</v>
      </c>
      <c r="H2659" s="1" t="str">
        <f>IFERROR(__xludf.DUMMYFUNCTION("GOOGLETRANSLATE(D2659,""EN"",""JA"")"),"鉄")</f>
        <v>鉄</v>
      </c>
      <c r="I2659" s="1" t="str">
        <f>IFERROR(__xludf.DUMMYFUNCTION("GOOGLETRANSLATE(E2659,""EN"",""JA"")"),"FE; 鉄")</f>
        <v>FE; 鉄</v>
      </c>
      <c r="J2659" s="1" t="str">
        <f>IFERROR(__xludf.DUMMYFUNCTION("GOOGLETRANSLATE(F2659,""EN"",""JA"")"),"生物標本中の鉄の測定。")</f>
        <v>生物標本中の鉄の測定。</v>
      </c>
      <c r="K2659" s="1" t="str">
        <f>IFERROR(__xludf.DUMMYFUNCTION("GOOGLETRANSLATE(G2659,""EN"",""JA"")"),"鉄の測定")</f>
        <v>鉄の測定</v>
      </c>
    </row>
    <row r="2660" ht="13.5" customHeight="1">
      <c r="A2660" s="1" t="s">
        <v>11</v>
      </c>
      <c r="B2660" s="1" t="s">
        <v>13394</v>
      </c>
      <c r="C2660" s="1" t="s">
        <v>13395</v>
      </c>
      <c r="D2660" s="1" t="s">
        <v>13396</v>
      </c>
      <c r="E2660" s="1" t="s">
        <v>13397</v>
      </c>
      <c r="F2660" s="1" t="s">
        <v>13398</v>
      </c>
      <c r="G2660" s="1" t="s">
        <v>13399</v>
      </c>
      <c r="H2660" s="1" t="str">
        <f>IFERROR(__xludf.DUMMYFUNCTION("GOOGLETRANSLATE(D2660,""EN"",""JA"")"),"鉄")</f>
        <v>鉄</v>
      </c>
      <c r="I2660" s="1" t="str">
        <f>IFERROR(__xludf.DUMMYFUNCTION("GOOGLETRANSLATE(E2660,""EN"",""JA"")"),"FE; 鉄")</f>
        <v>FE; 鉄</v>
      </c>
      <c r="J2660" s="1" t="str">
        <f>IFERROR(__xludf.DUMMYFUNCTION("GOOGLETRANSLATE(F2660,""EN"",""JA"")"),"生物標本中の鉄の測定。")</f>
        <v>生物標本中の鉄の測定。</v>
      </c>
      <c r="K2660" s="1" t="str">
        <f>IFERROR(__xludf.DUMMYFUNCTION("GOOGLETRANSLATE(G2660,""EN"",""JA"")"),"鉄の測定")</f>
        <v>鉄の測定</v>
      </c>
    </row>
    <row r="2661" ht="13.5" customHeight="1">
      <c r="A2661" s="1" t="s">
        <v>11</v>
      </c>
      <c r="B2661" s="1" t="s">
        <v>13400</v>
      </c>
      <c r="C2661" s="1" t="s">
        <v>13401</v>
      </c>
      <c r="D2661" s="1" t="s">
        <v>13402</v>
      </c>
      <c r="E2661" s="1" t="s">
        <v>13402</v>
      </c>
      <c r="F2661" s="1" t="s">
        <v>13403</v>
      </c>
      <c r="G2661" s="1" t="s">
        <v>13402</v>
      </c>
      <c r="H2661" s="1" t="str">
        <f>IFERROR(__xludf.DUMMYFUNCTION("GOOGLETRANSLATE(D2661,""EN"",""JA"")"),"鉄排泄率")</f>
        <v>鉄排泄率</v>
      </c>
      <c r="I2661" s="1" t="str">
        <f>IFERROR(__xludf.DUMMYFUNCTION("GOOGLETRANSLATE(E2661,""EN"",""JA"")"),"鉄排泄率")</f>
        <v>鉄排泄率</v>
      </c>
      <c r="J2661" s="1" t="str">
        <f>IFERROR(__xludf.DUMMYFUNCTION("GOOGLETRANSLATE(F2661,""EN"",""JA"")"),"定義された時間（例：1 時間）にわたって生物標本に排出される鉄の量を測定します。")</f>
        <v>定義された時間（例：1 時間）にわたって生物標本に排出される鉄の量を測定します。</v>
      </c>
      <c r="K2661" s="1" t="str">
        <f>IFERROR(__xludf.DUMMYFUNCTION("GOOGLETRANSLATE(G2661,""EN"",""JA"")"),"鉄排泄率")</f>
        <v>鉄排泄率</v>
      </c>
    </row>
    <row r="2662" ht="13.5" customHeight="1">
      <c r="A2662" s="1" t="s">
        <v>160</v>
      </c>
      <c r="B2662" s="1" t="s">
        <v>13404</v>
      </c>
      <c r="C2662" s="1" t="s">
        <v>13405</v>
      </c>
      <c r="D2662" s="1" t="s">
        <v>13406</v>
      </c>
      <c r="E2662" s="1" t="s">
        <v>13406</v>
      </c>
      <c r="F2662" s="1" t="s">
        <v>13407</v>
      </c>
      <c r="G2662" s="1" t="s">
        <v>13406</v>
      </c>
      <c r="H2662" s="1" t="str">
        <f>IFERROR(__xludf.DUMMYFUNCTION("GOOGLETRANSLATE(D2662,""EN"",""JA"")"),"月経不順の指標")</f>
        <v>月経不順の指標</v>
      </c>
      <c r="I2662" s="1" t="str">
        <f>IFERROR(__xludf.DUMMYFUNCTION("GOOGLETRANSLATE(E2662,""EN"",""JA"")"),"月経不順の指標")</f>
        <v>月経不順の指標</v>
      </c>
      <c r="J2662" s="1" t="str">
        <f>IFERROR(__xludf.DUMMYFUNCTION("GOOGLETRANSLATE(F2662,""EN"",""JA"")"),"個人が月経不順を経験したかどうかを示します。")</f>
        <v>個人が月経不順を経験したかどうかを示します。</v>
      </c>
      <c r="K2662" s="1" t="str">
        <f>IFERROR(__xludf.DUMMYFUNCTION("GOOGLETRANSLATE(G2662,""EN"",""JA"")"),"月経不順の指標")</f>
        <v>月経不順の指標</v>
      </c>
    </row>
    <row r="2663" ht="13.5" customHeight="1">
      <c r="A2663" s="1" t="s">
        <v>580</v>
      </c>
      <c r="B2663" s="1" t="s">
        <v>13408</v>
      </c>
      <c r="C2663" s="1" t="s">
        <v>13409</v>
      </c>
      <c r="D2663" s="1" t="s">
        <v>13410</v>
      </c>
      <c r="E2663" s="1" t="s">
        <v>13410</v>
      </c>
      <c r="F2663" s="1" t="s">
        <v>13411</v>
      </c>
      <c r="G2663" s="1" t="s">
        <v>13410</v>
      </c>
      <c r="H2663" s="1" t="str">
        <f>IFERROR(__xludf.DUMMYFUNCTION("GOOGLETRANSLATE(D2663,""EN"",""JA"")"),"予備吸気量")</f>
        <v>予備吸気量</v>
      </c>
      <c r="I2663" s="1" t="str">
        <f>IFERROR(__xludf.DUMMYFUNCTION("GOOGLETRANSLATE(E2663,""EN"",""JA"")"),"予備吸気量")</f>
        <v>予備吸気量</v>
      </c>
      <c r="J2663" s="1" t="str">
        <f>IFERROR(__xludf.DUMMYFUNCTION("GOOGLETRANSLATE(F2663,""EN"",""JA"")"),"潮汐吸入後に被験者が肺に吸い込むことができる空気の最大量。")</f>
        <v>潮汐吸入後に被験者が肺に吸い込むことができる空気の最大量。</v>
      </c>
      <c r="K2663" s="1" t="str">
        <f>IFERROR(__xludf.DUMMYFUNCTION("GOOGLETRANSLATE(G2663,""EN"",""JA"")"),"予備吸気量")</f>
        <v>予備吸気量</v>
      </c>
    </row>
    <row r="2664" ht="13.5" customHeight="1">
      <c r="A2664" s="1" t="s">
        <v>580</v>
      </c>
      <c r="B2664" s="1" t="s">
        <v>13412</v>
      </c>
      <c r="C2664" s="1" t="s">
        <v>13413</v>
      </c>
      <c r="D2664" s="1" t="s">
        <v>13414</v>
      </c>
      <c r="E2664" s="1" t="s">
        <v>13414</v>
      </c>
      <c r="F2664" s="1" t="s">
        <v>13415</v>
      </c>
      <c r="G2664" s="1" t="s">
        <v>13416</v>
      </c>
      <c r="H2664" s="1" t="str">
        <f>IFERROR(__xludf.DUMMYFUNCTION("GOOGLETRANSLATE(D2664,""EN"",""JA"")"),"予測IRVの割合")</f>
        <v>予測IRVの割合</v>
      </c>
      <c r="I2664" s="1" t="str">
        <f>IFERROR(__xludf.DUMMYFUNCTION("GOOGLETRANSLATE(E2664,""EN"",""JA"")"),"予測IRVの割合")</f>
        <v>予測IRVの割合</v>
      </c>
      <c r="J2664" s="1" t="str">
        <f>IFERROR(__xludf.DUMMYFUNCTION("GOOGLETRANSLATE(F2664,""EN"",""JA"")"),"予測される正常値の割合として、潮汐吸入後に被験者が肺に吸い込むことができる空気の最大量。")</f>
        <v>予測される正常値の割合として、潮汐吸入後に被験者が肺に吸い込むことができる空気の最大量。</v>
      </c>
      <c r="K2664" s="1" t="str">
        <f>IFERROR(__xludf.DUMMYFUNCTION("GOOGLETRANSLATE(G2664,""EN"",""JA"")"),"予測吸気予備量の割合")</f>
        <v>予測吸気予備量の割合</v>
      </c>
    </row>
    <row r="2665" ht="13.5" customHeight="1">
      <c r="A2665" s="1" t="s">
        <v>11</v>
      </c>
      <c r="B2665" s="1" t="s">
        <v>13417</v>
      </c>
      <c r="C2665" s="1" t="s">
        <v>13418</v>
      </c>
      <c r="D2665" s="1" t="s">
        <v>13419</v>
      </c>
      <c r="E2665" s="1" t="s">
        <v>13420</v>
      </c>
      <c r="F2665" s="1" t="s">
        <v>13421</v>
      </c>
      <c r="G2665" s="1" t="s">
        <v>13422</v>
      </c>
      <c r="H2665" s="1" t="str">
        <f>IFERROR(__xludf.DUMMYFUNCTION("GOOGLETRANSLATE(D2665,""EN"",""JA"")"),"ユビキチン様タンパク質ISG15")</f>
        <v>ユビキチン様タンパク質ISG15</v>
      </c>
      <c r="I2665" s="1" t="str">
        <f>IFERROR(__xludf.DUMMYFUNCTION("GOOGLETRANSLATE(E2665,""EN"",""JA"")"),"ISG15 ユビキチン様修飾子; ユビキチン様タンパク質 ISG15")</f>
        <v>ISG15 ユビキチン様修飾子; ユビキチン様タンパク質 ISG15</v>
      </c>
      <c r="J2665" s="1" t="str">
        <f>IFERROR(__xludf.DUMMYFUNCTION("GOOGLETRANSLATE(F2665,""EN"",""JA"")"),"生物標本中のユビキチン様タンパク質 ISG15 の測定。")</f>
        <v>生物標本中のユビキチン様タンパク質 ISG15 の測定。</v>
      </c>
      <c r="K2665" s="1" t="str">
        <f>IFERROR(__xludf.DUMMYFUNCTION("GOOGLETRANSLATE(G2665,""EN"",""JA"")"),"ユビキチン様タンパク質ISG15の測定")</f>
        <v>ユビキチン様タンパク質ISG15の測定</v>
      </c>
    </row>
    <row r="2666" ht="13.5" customHeight="1">
      <c r="A2666" s="1" t="s">
        <v>90</v>
      </c>
      <c r="B2666" s="1" t="s">
        <v>13423</v>
      </c>
      <c r="C2666" s="1" t="s">
        <v>13424</v>
      </c>
      <c r="D2666" s="1" t="s">
        <v>13425</v>
      </c>
      <c r="E2666" s="1" t="s">
        <v>13425</v>
      </c>
      <c r="F2666" s="1" t="s">
        <v>13426</v>
      </c>
      <c r="G2666" s="1" t="s">
        <v>13425</v>
      </c>
      <c r="H2666" s="1" t="str">
        <f>IFERROR(__xludf.DUMMYFUNCTION("GOOGLETRANSLATE(D2666,""EN"",""JA"")"),"虚血性心筋の割合")</f>
        <v>虚血性心筋の割合</v>
      </c>
      <c r="I2666" s="1" t="str">
        <f>IFERROR(__xludf.DUMMYFUNCTION("GOOGLETRANSLATE(E2666,""EN"",""JA"")"),"虚血性心筋の割合")</f>
        <v>虚血性心筋の割合</v>
      </c>
      <c r="J2666" s="1" t="str">
        <f>IFERROR(__xludf.DUMMYFUNCTION("GOOGLETRANSLATE(F2666,""EN"",""JA"")"),"不十分な血流（虚血）の特徴を示す心筋組織の割合。")</f>
        <v>不十分な血流（虚血）の特徴を示す心筋組織の割合。</v>
      </c>
      <c r="K2666" s="1" t="str">
        <f>IFERROR(__xludf.DUMMYFUNCTION("GOOGLETRANSLATE(G2666,""EN"",""JA"")"),"虚血性心筋の割合")</f>
        <v>虚血性心筋の割合</v>
      </c>
    </row>
    <row r="2667" ht="13.5" customHeight="1">
      <c r="A2667" s="1" t="s">
        <v>1034</v>
      </c>
      <c r="B2667" s="1" t="s">
        <v>13427</v>
      </c>
      <c r="C2667" s="1" t="s">
        <v>13428</v>
      </c>
      <c r="D2667" s="1" t="s">
        <v>13429</v>
      </c>
      <c r="E2667" s="1" t="s">
        <v>13429</v>
      </c>
      <c r="F2667" s="1" t="s">
        <v>13430</v>
      </c>
      <c r="G2667" s="1" t="s">
        <v>13429</v>
      </c>
      <c r="H2667" s="1" t="str">
        <f>IFERROR(__xludf.DUMMYFUNCTION("GOOGLETRANSLATE(D2667,""EN"",""JA"")"),"等尺性筋力、外転")</f>
        <v>等尺性筋力、外転</v>
      </c>
      <c r="I2667" s="1" t="str">
        <f>IFERROR(__xludf.DUMMYFUNCTION("GOOGLETRANSLATE(E2667,""EN"",""JA"")"),"等尺性筋力、外転")</f>
        <v>等尺性筋力、外転</v>
      </c>
      <c r="J2667" s="1" t="str">
        <f>IFERROR(__xludf.DUMMYFUNCTION("GOOGLETRANSLATE(F2667,""EN"",""JA"")"),"身体の一部が身体の中心線から離れる方向に動く際に静的筋肉収縮によって生じる力を測定する筋力評価法。")</f>
        <v>身体の一部が身体の中心線から離れる方向に動く際に静的筋肉収縮によって生じる力を測定する筋力評価法。</v>
      </c>
      <c r="K2667" s="1" t="str">
        <f>IFERROR(__xludf.DUMMYFUNCTION("GOOGLETRANSLATE(G2667,""EN"",""JA"")"),"等尺性筋力、外転")</f>
        <v>等尺性筋力、外転</v>
      </c>
    </row>
    <row r="2668" ht="13.5" customHeight="1">
      <c r="A2668" s="1" t="s">
        <v>1034</v>
      </c>
      <c r="B2668" s="1" t="s">
        <v>13431</v>
      </c>
      <c r="C2668" s="1" t="s">
        <v>13432</v>
      </c>
      <c r="D2668" s="1" t="s">
        <v>13433</v>
      </c>
      <c r="E2668" s="1" t="s">
        <v>13433</v>
      </c>
      <c r="F2668" s="1" t="s">
        <v>13434</v>
      </c>
      <c r="G2668" s="1" t="s">
        <v>13433</v>
      </c>
      <c r="H2668" s="1" t="str">
        <f>IFERROR(__xludf.DUMMYFUNCTION("GOOGLETRANSLATE(D2668,""EN"",""JA"")"),"等尺性筋力、内転")</f>
        <v>等尺性筋力、内転</v>
      </c>
      <c r="I2668" s="1" t="str">
        <f>IFERROR(__xludf.DUMMYFUNCTION("GOOGLETRANSLATE(E2668,""EN"",""JA"")"),"等尺性筋力、内転")</f>
        <v>等尺性筋力、内転</v>
      </c>
      <c r="J2668" s="1" t="str">
        <f>IFERROR(__xludf.DUMMYFUNCTION("GOOGLETRANSLATE(F2668,""EN"",""JA"")"),"身体の一部が身体の正中線に向かって動く際に静的筋肉収縮によって生じる力を測定する筋力評価法。")</f>
        <v>身体の一部が身体の正中線に向かって動く際に静的筋肉収縮によって生じる力を測定する筋力評価法。</v>
      </c>
      <c r="K2668" s="1" t="str">
        <f>IFERROR(__xludf.DUMMYFUNCTION("GOOGLETRANSLATE(G2668,""EN"",""JA"")"),"等尺性筋力、内転")</f>
        <v>等尺性筋力、内転</v>
      </c>
    </row>
    <row r="2669" ht="13.5" customHeight="1">
      <c r="A2669" s="1" t="s">
        <v>1034</v>
      </c>
      <c r="B2669" s="1" t="s">
        <v>13435</v>
      </c>
      <c r="C2669" s="1" t="s">
        <v>13436</v>
      </c>
      <c r="D2669" s="1" t="s">
        <v>13437</v>
      </c>
      <c r="E2669" s="1" t="s">
        <v>13437</v>
      </c>
      <c r="F2669" s="1" t="s">
        <v>13438</v>
      </c>
      <c r="G2669" s="1" t="s">
        <v>13437</v>
      </c>
      <c r="H2669" s="1" t="str">
        <f>IFERROR(__xludf.DUMMYFUNCTION("GOOGLETRANSLATE(D2669,""EN"",""JA"")"),"等尺性筋力、背屈")</f>
        <v>等尺性筋力、背屈</v>
      </c>
      <c r="I2669" s="1" t="str">
        <f>IFERROR(__xludf.DUMMYFUNCTION("GOOGLETRANSLATE(E2669,""EN"",""JA"")"),"等尺性筋力、背屈")</f>
        <v>等尺性筋力、背屈</v>
      </c>
      <c r="J2669" s="1" t="str">
        <f>IFERROR(__xludf.DUMMYFUNCTION("GOOGLETRANSLATE(F2669,""EN"",""JA"")"),"身体の一部が背部に向かって上方に曲がる動作中に静的筋肉収縮によって生じる力を測定する筋力評価法。")</f>
        <v>身体の一部が背部に向かって上方に曲がる動作中に静的筋肉収縮によって生じる力を測定する筋力評価法。</v>
      </c>
      <c r="K2669" s="1" t="str">
        <f>IFERROR(__xludf.DUMMYFUNCTION("GOOGLETRANSLATE(G2669,""EN"",""JA"")"),"等尺性筋力、背屈")</f>
        <v>等尺性筋力、背屈</v>
      </c>
    </row>
    <row r="2670" ht="13.5" customHeight="1">
      <c r="A2670" s="1" t="s">
        <v>1034</v>
      </c>
      <c r="B2670" s="1" t="s">
        <v>13439</v>
      </c>
      <c r="C2670" s="1" t="s">
        <v>13440</v>
      </c>
      <c r="D2670" s="1" t="s">
        <v>13441</v>
      </c>
      <c r="E2670" s="1" t="s">
        <v>13442</v>
      </c>
      <c r="F2670" s="1" t="s">
        <v>13443</v>
      </c>
      <c r="G2670" s="1" t="s">
        <v>13444</v>
      </c>
      <c r="H2670" s="1" t="str">
        <f>IFERROR(__xludf.DUMMYFUNCTION("GOOGLETRANSLATE(D2670,""EN"",""JA"")"),"等尺性筋力、外旋")</f>
        <v>等尺性筋力、外旋</v>
      </c>
      <c r="I2670" s="1" t="str">
        <f>IFERROR(__xludf.DUMMYFUNCTION("GOOGLETRANSLATE(E2670,""EN"",""JA"")"),"等尺性筋力、外旋; 等尺性筋力、外旋")</f>
        <v>等尺性筋力、外旋; 等尺性筋力、外旋</v>
      </c>
      <c r="J2670" s="1" t="str">
        <f>IFERROR(__xludf.DUMMYFUNCTION("GOOGLETRANSLATE(F2670,""EN"",""JA"")"),"体の一部を体から外側へ回転運動させる際に静的筋肉収縮によって生じる力を測定する筋力評価法。")</f>
        <v>体の一部を体から外側へ回転運動させる際に静的筋肉収縮によって生じる力を測定する筋力評価法。</v>
      </c>
      <c r="K2670" s="1" t="str">
        <f>IFERROR(__xludf.DUMMYFUNCTION("GOOGLETRANSLATE(G2670,""EN"",""JA"")"),"等尺性筋力、外旋")</f>
        <v>等尺性筋力、外旋</v>
      </c>
    </row>
    <row r="2671" ht="13.5" customHeight="1">
      <c r="A2671" s="1" t="s">
        <v>1034</v>
      </c>
      <c r="B2671" s="1" t="s">
        <v>13445</v>
      </c>
      <c r="C2671" s="1" t="s">
        <v>13446</v>
      </c>
      <c r="D2671" s="1" t="s">
        <v>13447</v>
      </c>
      <c r="E2671" s="1" t="s">
        <v>13447</v>
      </c>
      <c r="F2671" s="1" t="s">
        <v>13448</v>
      </c>
      <c r="G2671" s="1" t="s">
        <v>13447</v>
      </c>
      <c r="H2671" s="1" t="str">
        <f>IFERROR(__xludf.DUMMYFUNCTION("GOOGLETRANSLATE(D2671,""EN"",""JA"")"),"等尺性筋力、伸展")</f>
        <v>等尺性筋力、伸展</v>
      </c>
      <c r="I2671" s="1" t="str">
        <f>IFERROR(__xludf.DUMMYFUNCTION("GOOGLETRANSLATE(E2671,""EN"",""JA"")"),"等尺性筋力、伸展")</f>
        <v>等尺性筋力、伸展</v>
      </c>
      <c r="J2671" s="1" t="str">
        <f>IFERROR(__xludf.DUMMYFUNCTION("GOOGLETRANSLATE(F2671,""EN"",""JA"")"),"身体の各部位を伸ばす（曲げる）動作中に静的筋肉収縮によって生じる力を測定する筋力評価法。（NCI）")</f>
        <v>身体の各部位を伸ばす（曲げる）動作中に静的筋肉収縮によって生じる力を測定する筋力評価法。（NCI）</v>
      </c>
      <c r="K2671" s="1" t="str">
        <f>IFERROR(__xludf.DUMMYFUNCTION("GOOGLETRANSLATE(G2671,""EN"",""JA"")"),"等尺性筋力、伸展")</f>
        <v>等尺性筋力、伸展</v>
      </c>
    </row>
    <row r="2672" ht="13.5" customHeight="1">
      <c r="A2672" s="1" t="s">
        <v>1034</v>
      </c>
      <c r="B2672" s="1" t="s">
        <v>13449</v>
      </c>
      <c r="C2672" s="1" t="s">
        <v>13450</v>
      </c>
      <c r="D2672" s="1" t="s">
        <v>13451</v>
      </c>
      <c r="E2672" s="1" t="s">
        <v>13451</v>
      </c>
      <c r="F2672" s="1" t="s">
        <v>13452</v>
      </c>
      <c r="G2672" s="1" t="s">
        <v>13451</v>
      </c>
      <c r="H2672" s="1" t="str">
        <f>IFERROR(__xludf.DUMMYFUNCTION("GOOGLETRANSLATE(D2672,""EN"",""JA"")"),"等尺性筋力、屈曲")</f>
        <v>等尺性筋力、屈曲</v>
      </c>
      <c r="I2672" s="1" t="str">
        <f>IFERROR(__xludf.DUMMYFUNCTION("GOOGLETRANSLATE(E2672,""EN"",""JA"")"),"等尺性筋力、屈曲")</f>
        <v>等尺性筋力、屈曲</v>
      </c>
      <c r="J2672" s="1" t="str">
        <f>IFERROR(__xludf.DUMMYFUNCTION("GOOGLETRANSLATE(F2672,""EN"",""JA"")"),"身体の各部位間の曲げ動作中に静的筋肉収縮によって生じる力を測定する筋力評価法。(NCI)")</f>
        <v>身体の各部位間の曲げ動作中に静的筋肉収縮によって生じる力を測定する筋力評価法。(NCI)</v>
      </c>
      <c r="K2672" s="1" t="str">
        <f>IFERROR(__xludf.DUMMYFUNCTION("GOOGLETRANSLATE(G2672,""EN"",""JA"")"),"等尺性筋力、屈曲")</f>
        <v>等尺性筋力、屈曲</v>
      </c>
    </row>
    <row r="2673" ht="13.5" customHeight="1">
      <c r="A2673" s="1" t="s">
        <v>1034</v>
      </c>
      <c r="B2673" s="1" t="s">
        <v>13453</v>
      </c>
      <c r="C2673" s="1" t="s">
        <v>13454</v>
      </c>
      <c r="D2673" s="1" t="s">
        <v>13455</v>
      </c>
      <c r="E2673" s="1" t="s">
        <v>13456</v>
      </c>
      <c r="F2673" s="1" t="s">
        <v>13457</v>
      </c>
      <c r="G2673" s="1" t="s">
        <v>13458</v>
      </c>
      <c r="H2673" s="1" t="str">
        <f>IFERROR(__xludf.DUMMYFUNCTION("GOOGLETRANSLATE(D2673,""EN"",""JA"")"),"等尺性筋力、内旋")</f>
        <v>等尺性筋力、内旋</v>
      </c>
      <c r="I2673" s="1" t="str">
        <f>IFERROR(__xludf.DUMMYFUNCTION("GOOGLETRANSLATE(E2673,""EN"",""JA"")"),"等尺性筋力、内旋; 等尺性筋力、内旋")</f>
        <v>等尺性筋力、内旋; 等尺性筋力、内旋</v>
      </c>
      <c r="J2673" s="1" t="str">
        <f>IFERROR(__xludf.DUMMYFUNCTION("GOOGLETRANSLATE(F2673,""EN"",""JA"")"),"身体の一部を身体の内側に向かって回転運動させる際に静的筋肉収縮によって生じる力を測定する筋力評価法。")</f>
        <v>身体の一部を身体の内側に向かって回転運動させる際に静的筋肉収縮によって生じる力を測定する筋力評価法。</v>
      </c>
      <c r="K2673" s="1" t="str">
        <f>IFERROR(__xludf.DUMMYFUNCTION("GOOGLETRANSLATE(G2673,""EN"",""JA"")"),"等尺性筋力、内旋")</f>
        <v>等尺性筋力、内旋</v>
      </c>
    </row>
    <row r="2674" ht="13.5" customHeight="1">
      <c r="A2674" s="1" t="s">
        <v>11</v>
      </c>
      <c r="B2674" s="1" t="s">
        <v>13459</v>
      </c>
      <c r="C2674" s="1" t="s">
        <v>13460</v>
      </c>
      <c r="D2674" s="1" t="s">
        <v>13461</v>
      </c>
      <c r="E2674" s="1" t="s">
        <v>13461</v>
      </c>
      <c r="F2674" s="1" t="s">
        <v>13462</v>
      </c>
      <c r="G2674" s="1" t="s">
        <v>13463</v>
      </c>
      <c r="H2674" s="1" t="str">
        <f>IFERROR(__xludf.DUMMYFUNCTION("GOOGLETRANSLATE(D2674,""EN"",""JA"")"),"イソプレン")</f>
        <v>イソプレン</v>
      </c>
      <c r="I2674" s="1" t="str">
        <f>IFERROR(__xludf.DUMMYFUNCTION("GOOGLETRANSLATE(E2674,""EN"",""JA"")"),"イソプレン")</f>
        <v>イソプレン</v>
      </c>
      <c r="J2674" s="1" t="str">
        <f>IFERROR(__xludf.DUMMYFUNCTION("GOOGLETRANSLATE(F2674,""EN"",""JA"")"),"標本中のイソプレンの測定。")</f>
        <v>標本中のイソプレンの測定。</v>
      </c>
      <c r="K2674" s="1" t="str">
        <f>IFERROR(__xludf.DUMMYFUNCTION("GOOGLETRANSLATE(G2674,""EN"",""JA"")"),"イソプレン測定")</f>
        <v>イソプレン測定</v>
      </c>
    </row>
    <row r="2675" ht="13.5" customHeight="1">
      <c r="A2675" s="1" t="s">
        <v>11</v>
      </c>
      <c r="B2675" s="1" t="s">
        <v>13464</v>
      </c>
      <c r="C2675" s="1" t="s">
        <v>13465</v>
      </c>
      <c r="D2675" s="1" t="s">
        <v>13466</v>
      </c>
      <c r="E2675" s="1" t="s">
        <v>13466</v>
      </c>
      <c r="F2675" s="1" t="s">
        <v>13467</v>
      </c>
      <c r="G2675" s="1" t="s">
        <v>13468</v>
      </c>
      <c r="H2675" s="1" t="str">
        <f>IFERROR(__xludf.DUMMYFUNCTION("GOOGLETRANSLATE(D2675,""EN"",""JA"")"),"F2-イソプロスタン")</f>
        <v>F2-イソプロスタン</v>
      </c>
      <c r="I2675" s="1" t="str">
        <f>IFERROR(__xludf.DUMMYFUNCTION("GOOGLETRANSLATE(E2675,""EN"",""JA"")"),"F2-イソプロスタン")</f>
        <v>F2-イソプロスタン</v>
      </c>
      <c r="J2675" s="1" t="str">
        <f>IFERROR(__xludf.DUMMYFUNCTION("GOOGLETRANSLATE(F2675,""EN"",""JA"")"),"生物標本中の F2-イソプロスタンの測定。")</f>
        <v>生物標本中の F2-イソプロスタンの測定。</v>
      </c>
      <c r="K2675" s="1" t="str">
        <f>IFERROR(__xludf.DUMMYFUNCTION("GOOGLETRANSLATE(G2675,""EN"",""JA"")"),"F2イソプロスタン測定")</f>
        <v>F2イソプロスタン測定</v>
      </c>
    </row>
    <row r="2676" ht="13.5" customHeight="1">
      <c r="A2676" s="1" t="s">
        <v>601</v>
      </c>
      <c r="B2676" s="1" t="s">
        <v>13469</v>
      </c>
      <c r="C2676" s="1" t="s">
        <v>13470</v>
      </c>
      <c r="D2676" s="1" t="s">
        <v>13471</v>
      </c>
      <c r="E2676" s="1" t="s">
        <v>13471</v>
      </c>
      <c r="F2676" s="1" t="s">
        <v>13472</v>
      </c>
      <c r="G2676" s="1" t="s">
        <v>13471</v>
      </c>
      <c r="H2676" s="1" t="str">
        <f>IFERROR(__xludf.DUMMYFUNCTION("GOOGLETRANSLATE(D2676,""EN"",""JA"")"),"インターセックス診断指標")</f>
        <v>インターセックス診断指標</v>
      </c>
      <c r="I2676" s="1" t="str">
        <f>IFERROR(__xludf.DUMMYFUNCTION("GOOGLETRANSLATE(E2676,""EN"",""JA"")"),"インターセックス診断指標")</f>
        <v>インターセックス診断指標</v>
      </c>
      <c r="J2676" s="1" t="str">
        <f>IFERROR(__xludf.DUMMYFUNCTION("GOOGLETRANSLATE(F2676,""EN"",""JA"")"),"参加者または被験者がインターセックスと診断されているかどうかを示します。")</f>
        <v>参加者または被験者がインターセックスと診断されているかどうかを示します。</v>
      </c>
      <c r="K2676" s="1" t="str">
        <f>IFERROR(__xludf.DUMMYFUNCTION("GOOGLETRANSLATE(G2676,""EN"",""JA"")"),"インターセックス診断指標")</f>
        <v>インターセックス診断指標</v>
      </c>
    </row>
    <row r="2677" ht="13.5" customHeight="1">
      <c r="A2677" s="1" t="s">
        <v>134</v>
      </c>
      <c r="B2677" s="1" t="s">
        <v>13473</v>
      </c>
      <c r="C2677" s="1" t="s">
        <v>13474</v>
      </c>
      <c r="D2677" s="1" t="s">
        <v>13475</v>
      </c>
      <c r="E2677" s="1" t="s">
        <v>13476</v>
      </c>
      <c r="F2677" s="1" t="s">
        <v>13477</v>
      </c>
      <c r="G2677" s="1" t="s">
        <v>13478</v>
      </c>
      <c r="H2677" s="1" t="str">
        <f>IFERROR(__xludf.DUMMYFUNCTION("GOOGLETRANSLATE(D2677,""EN"",""JA"")"),"インテグリンサブユニットβ3")</f>
        <v>インテグリンサブユニットβ3</v>
      </c>
      <c r="I2677" s="1" t="str">
        <f>IFERROR(__xludf.DUMMYFUNCTION("GOOGLETRANSLATE(E2677,""EN"",""JA"")"),"CD61; GP3A; インテグリンサブユニットβ3; 血小板糖タンパク質IIIa")</f>
        <v>CD61; GP3A; インテグリンサブユニットβ3; 血小板糖タンパク質IIIa</v>
      </c>
      <c r="J2677" s="1" t="str">
        <f>IFERROR(__xludf.DUMMYFUNCTION("GOOGLETRANSLATE(F2677,""EN"",""JA"")"),"生物標本中のインテグリンサブユニットベータ3の測定。")</f>
        <v>生物標本中のインテグリンサブユニットベータ3の測定。</v>
      </c>
      <c r="K2677" s="1" t="str">
        <f>IFERROR(__xludf.DUMMYFUNCTION("GOOGLETRANSLATE(G2677,""EN"",""JA"")"),"インテグリンサブユニットβ3測定")</f>
        <v>インテグリンサブユニットβ3測定</v>
      </c>
    </row>
    <row r="2678" ht="13.5" customHeight="1">
      <c r="A2678" s="1" t="s">
        <v>11</v>
      </c>
      <c r="B2678" s="1" t="s">
        <v>13479</v>
      </c>
      <c r="C2678" s="1" t="s">
        <v>13480</v>
      </c>
      <c r="D2678" s="1" t="s">
        <v>13481</v>
      </c>
      <c r="E2678" s="1" t="s">
        <v>13482</v>
      </c>
      <c r="F2678" s="1" t="s">
        <v>13483</v>
      </c>
      <c r="G2678" s="1" t="s">
        <v>13484</v>
      </c>
      <c r="H2678" s="1" t="str">
        <f>IFERROR(__xludf.DUMMYFUNCTION("GOOGLETRANSLATE(D2678,""EN"",""JA"")"),"インテレクチン-1")</f>
        <v>インテレクチン-1</v>
      </c>
      <c r="I2678" s="1" t="str">
        <f>IFERROR(__xludf.DUMMYFUNCTION("GOOGLETRANSLATE(E2678,""EN"",""JA"")"),"内皮レクチン HL-1; ガラクトフラノース結合レクチン; インテレクチン-1; 腸管ラクトフェリン受容体; ITLN-1; オメンチン")</f>
        <v>内皮レクチン HL-1; ガラクトフラノース結合レクチン; インテレクチン-1; 腸管ラクトフェリン受容体; ITLN-1; オメンチン</v>
      </c>
      <c r="J2678" s="1" t="str">
        <f>IFERROR(__xludf.DUMMYFUNCTION("GOOGLETRANSLATE(F2678,""EN"",""JA"")"),"生物標本中のインテレクチン-1の測定。")</f>
        <v>生物標本中のインテレクチン-1の測定。</v>
      </c>
      <c r="K2678" s="1" t="str">
        <f>IFERROR(__xludf.DUMMYFUNCTION("GOOGLETRANSLATE(G2678,""EN"",""JA"")"),"インテレクチン-1測定")</f>
        <v>インテレクチン-1測定</v>
      </c>
    </row>
    <row r="2679" ht="13.5" customHeight="1">
      <c r="A2679" s="1" t="s">
        <v>580</v>
      </c>
      <c r="B2679" s="1" t="s">
        <v>13485</v>
      </c>
      <c r="C2679" s="1" t="s">
        <v>13486</v>
      </c>
      <c r="D2679" s="1" t="s">
        <v>13487</v>
      </c>
      <c r="E2679" s="1" t="s">
        <v>13487</v>
      </c>
      <c r="F2679" s="1" t="s">
        <v>13488</v>
      </c>
      <c r="G2679" s="1" t="s">
        <v>13487</v>
      </c>
      <c r="H2679" s="1" t="str">
        <f>IFERROR(__xludf.DUMMYFUNCTION("GOOGLETRANSLATE(D2679,""EN"",""JA"")"),"吸気肺活量")</f>
        <v>吸気肺活量</v>
      </c>
      <c r="I2679" s="1" t="str">
        <f>IFERROR(__xludf.DUMMYFUNCTION("GOOGLETRANSLATE(E2679,""EN"",""JA"")"),"吸気肺活量")</f>
        <v>吸気肺活量</v>
      </c>
      <c r="J2679" s="1" t="str">
        <f>IFERROR(__xludf.DUMMYFUNCTION("GOOGLETRANSLATE(F2679,""EN"",""JA"")"),"最大限に吐き出した時点から人が吸い込むことができる空気の最大量。")</f>
        <v>最大限に吐き出した時点から人が吸い込むことができる空気の最大量。</v>
      </c>
      <c r="K2679" s="1" t="str">
        <f>IFERROR(__xludf.DUMMYFUNCTION("GOOGLETRANSLATE(G2679,""EN"",""JA"")"),"吸気肺活量")</f>
        <v>吸気肺活量</v>
      </c>
    </row>
    <row r="2680" ht="13.5" customHeight="1">
      <c r="A2680" s="1" t="s">
        <v>90</v>
      </c>
      <c r="B2680" s="1" t="s">
        <v>13489</v>
      </c>
      <c r="C2680" s="1" t="s">
        <v>13490</v>
      </c>
      <c r="D2680" s="1" t="s">
        <v>13491</v>
      </c>
      <c r="E2680" s="1" t="s">
        <v>13492</v>
      </c>
      <c r="F2680" s="1" t="s">
        <v>13493</v>
      </c>
      <c r="G2680" s="1" t="s">
        <v>13494</v>
      </c>
      <c r="H2680" s="1" t="str">
        <f>IFERROR(__xludf.DUMMYFUNCTION("GOOGLETRANSLATE(D2680,""EN"",""JA"")"),"下大静脈虚脱スニフインド")</f>
        <v>下大静脈虚脱スニフインド</v>
      </c>
      <c r="I2680" s="1" t="str">
        <f>IFERROR(__xludf.DUMMYFUNCTION("GOOGLETRANSLATE(E2680,""EN"",""JA"")"),"下大静脈虚脱インジケーター; 下大静脈虚脱スニフインジケーター")</f>
        <v>下大静脈虚脱インジケーター; 下大静脈虚脱スニフインジケーター</v>
      </c>
      <c r="J2680" s="1" t="str">
        <f>IFERROR(__xludf.DUMMYFUNCTION("GOOGLETRANSLATE(F2680,""EN"",""JA"")"),"嗅覚により下大静脈虚脱が発生したかどうかを示します。")</f>
        <v>嗅覚により下大静脈虚脱が発生したかどうかを示します。</v>
      </c>
      <c r="K2680" s="1" t="str">
        <f>IFERROR(__xludf.DUMMYFUNCTION("GOOGLETRANSLATE(G2680,""EN"",""JA"")"),"嗅覚検査指標による下大静脈虚脱")</f>
        <v>嗅覚検査指標による下大静脈虚脱</v>
      </c>
    </row>
    <row r="2681" ht="13.5" customHeight="1">
      <c r="A2681" s="1" t="s">
        <v>580</v>
      </c>
      <c r="B2681" s="1" t="s">
        <v>13495</v>
      </c>
      <c r="C2681" s="1" t="s">
        <v>13496</v>
      </c>
      <c r="D2681" s="1" t="s">
        <v>13497</v>
      </c>
      <c r="E2681" s="1" t="s">
        <v>13497</v>
      </c>
      <c r="F2681" s="1" t="s">
        <v>13498</v>
      </c>
      <c r="G2681" s="1" t="s">
        <v>13499</v>
      </c>
      <c r="H2681" s="1" t="str">
        <f>IFERROR(__xludf.DUMMYFUNCTION("GOOGLETRANSLATE(D2681,""EN"",""JA"")"),"予測IVC率")</f>
        <v>予測IVC率</v>
      </c>
      <c r="I2681" s="1" t="str">
        <f>IFERROR(__xludf.DUMMYFUNCTION("GOOGLETRANSLATE(E2681,""EN"",""JA"")"),"予測IVC率")</f>
        <v>予測IVC率</v>
      </c>
      <c r="J2681" s="1" t="str">
        <f>IFERROR(__xludf.DUMMYFUNCTION("GOOGLETRANSLATE(F2681,""EN"",""JA"")"),"最大呼気点から個人が吸入できる空気の最大量を、予測される正常値のパーセンテージで表したもの。")</f>
        <v>最大呼気点から個人が吸入できる空気の最大量を、予測される正常値のパーセンテージで表したもの。</v>
      </c>
      <c r="K2681" s="1" t="str">
        <f>IFERROR(__xludf.DUMMYFUNCTION("GOOGLETRANSLATE(G2681,""EN"",""JA"")"),"予測吸気肺活量の割合")</f>
        <v>予測吸気肺活量の割合</v>
      </c>
    </row>
    <row r="2682" ht="13.5" customHeight="1">
      <c r="A2682" s="1" t="s">
        <v>1168</v>
      </c>
      <c r="B2682" s="1" t="s">
        <v>13500</v>
      </c>
      <c r="C2682" s="1" t="s">
        <v>13501</v>
      </c>
      <c r="D2682" s="1" t="s">
        <v>13502</v>
      </c>
      <c r="E2682" s="1" t="s">
        <v>13502</v>
      </c>
      <c r="F2682" s="1" t="s">
        <v>13503</v>
      </c>
      <c r="G2682" s="1" t="s">
        <v>13504</v>
      </c>
      <c r="H2682" s="1" t="str">
        <f>IFERROR(__xludf.DUMMYFUNCTION("GOOGLETRANSLATE(D2682,""EN"",""JA"")"),"心室内心房内伝導")</f>
        <v>心室内心房内伝導</v>
      </c>
      <c r="I2682" s="1" t="str">
        <f>IFERROR(__xludf.DUMMYFUNCTION("GOOGLETRANSLATE(E2682,""EN"",""JA"")"),"心室内心房内伝導")</f>
        <v>心室内心房内伝導</v>
      </c>
      <c r="J2682" s="1" t="str">
        <f>IFERROR(__xludf.DUMMYFUNCTION("GOOGLETRANSLATE(F2682,""EN"",""JA"")"),"心室内および心房内伝導の心電図評価。")</f>
        <v>心室内および心房内伝導の心電図評価。</v>
      </c>
      <c r="K2682" s="1" t="str">
        <f>IFERROR(__xludf.DUMMYFUNCTION("GOOGLETRANSLATE(G2682,""EN"",""JA"")"),"心室内および心房内伝導心電図評価")</f>
        <v>心室内および心房内伝導心電図評価</v>
      </c>
    </row>
    <row r="2683" ht="13.5" customHeight="1">
      <c r="A2683" s="1" t="s">
        <v>1168</v>
      </c>
      <c r="B2683" s="1" t="s">
        <v>13500</v>
      </c>
      <c r="C2683" s="1" t="s">
        <v>13501</v>
      </c>
      <c r="D2683" s="1" t="s">
        <v>13502</v>
      </c>
      <c r="E2683" s="1" t="s">
        <v>13502</v>
      </c>
      <c r="F2683" s="1" t="s">
        <v>13503</v>
      </c>
      <c r="G2683" s="1" t="s">
        <v>13504</v>
      </c>
      <c r="H2683" s="1" t="str">
        <f>IFERROR(__xludf.DUMMYFUNCTION("GOOGLETRANSLATE(D2683,""EN"",""JA"")"),"心室内心房内伝導")</f>
        <v>心室内心房内伝導</v>
      </c>
      <c r="I2683" s="1" t="str">
        <f>IFERROR(__xludf.DUMMYFUNCTION("GOOGLETRANSLATE(E2683,""EN"",""JA"")"),"心室内心房内伝導")</f>
        <v>心室内心房内伝導</v>
      </c>
      <c r="J2683" s="1" t="str">
        <f>IFERROR(__xludf.DUMMYFUNCTION("GOOGLETRANSLATE(F2683,""EN"",""JA"")"),"心室内および心房内伝導の心電図評価。")</f>
        <v>心室内および心房内伝導の心電図評価。</v>
      </c>
      <c r="K2683" s="1" t="str">
        <f>IFERROR(__xludf.DUMMYFUNCTION("GOOGLETRANSLATE(G2683,""EN"",""JA"")"),"心室内および心房内伝導心電図評価")</f>
        <v>心室内および心房内伝導心電図評価</v>
      </c>
    </row>
    <row r="2684" ht="13.5" customHeight="1">
      <c r="A2684" s="1" t="s">
        <v>1168</v>
      </c>
      <c r="B2684" s="1" t="s">
        <v>13500</v>
      </c>
      <c r="C2684" s="1" t="s">
        <v>13501</v>
      </c>
      <c r="D2684" s="1" t="s">
        <v>13502</v>
      </c>
      <c r="E2684" s="1" t="s">
        <v>13502</v>
      </c>
      <c r="F2684" s="1" t="s">
        <v>13503</v>
      </c>
      <c r="G2684" s="1" t="s">
        <v>13504</v>
      </c>
      <c r="H2684" s="1" t="str">
        <f>IFERROR(__xludf.DUMMYFUNCTION("GOOGLETRANSLATE(D2684,""EN"",""JA"")"),"心室内心房内伝導")</f>
        <v>心室内心房内伝導</v>
      </c>
      <c r="I2684" s="1" t="str">
        <f>IFERROR(__xludf.DUMMYFUNCTION("GOOGLETRANSLATE(E2684,""EN"",""JA"")"),"心室内心房内伝導")</f>
        <v>心室内心房内伝導</v>
      </c>
      <c r="J2684" s="1" t="str">
        <f>IFERROR(__xludf.DUMMYFUNCTION("GOOGLETRANSLATE(F2684,""EN"",""JA"")"),"心室内および心房内伝導の心電図評価。")</f>
        <v>心室内および心房内伝導の心電図評価。</v>
      </c>
      <c r="K2684" s="1" t="str">
        <f>IFERROR(__xludf.DUMMYFUNCTION("GOOGLETRANSLATE(G2684,""EN"",""JA"")"),"心室内および心房内伝導心電図評価")</f>
        <v>心室内および心房内伝導心電図評価</v>
      </c>
    </row>
    <row r="2685" ht="13.5" customHeight="1">
      <c r="A2685" s="1" t="s">
        <v>1168</v>
      </c>
      <c r="B2685" s="1" t="s">
        <v>13500</v>
      </c>
      <c r="C2685" s="1" t="s">
        <v>13501</v>
      </c>
      <c r="D2685" s="1" t="s">
        <v>13502</v>
      </c>
      <c r="E2685" s="1" t="s">
        <v>13502</v>
      </c>
      <c r="F2685" s="1" t="s">
        <v>13503</v>
      </c>
      <c r="G2685" s="1" t="s">
        <v>13504</v>
      </c>
      <c r="H2685" s="1" t="str">
        <f>IFERROR(__xludf.DUMMYFUNCTION("GOOGLETRANSLATE(D2685,""EN"",""JA"")"),"心室内心房内伝導")</f>
        <v>心室内心房内伝導</v>
      </c>
      <c r="I2685" s="1" t="str">
        <f>IFERROR(__xludf.DUMMYFUNCTION("GOOGLETRANSLATE(E2685,""EN"",""JA"")"),"心室内心房内伝導")</f>
        <v>心室内心房内伝導</v>
      </c>
      <c r="J2685" s="1" t="str">
        <f>IFERROR(__xludf.DUMMYFUNCTION("GOOGLETRANSLATE(F2685,""EN"",""JA"")"),"心室内および心房内伝導の心電図評価。")</f>
        <v>心室内および心房内伝導の心電図評価。</v>
      </c>
      <c r="K2685" s="1" t="str">
        <f>IFERROR(__xludf.DUMMYFUNCTION("GOOGLETRANSLATE(G2685,""EN"",""JA"")"),"心室内および心房内伝導心電図評価")</f>
        <v>心室内および心房内伝導心電図評価</v>
      </c>
    </row>
    <row r="2686" ht="13.5" customHeight="1">
      <c r="A2686" s="1" t="s">
        <v>67</v>
      </c>
      <c r="B2686" s="1" t="s">
        <v>13505</v>
      </c>
      <c r="C2686" s="1" t="s">
        <v>13506</v>
      </c>
      <c r="D2686" s="1" t="s">
        <v>13507</v>
      </c>
      <c r="E2686" s="1" t="s">
        <v>13508</v>
      </c>
      <c r="F2686" s="1" t="s">
        <v>13509</v>
      </c>
      <c r="G2686" s="1" t="s">
        <v>13510</v>
      </c>
      <c r="H2686" s="1" t="str">
        <f>IFERROR(__xludf.DUMMYFUNCTION("GOOGLETRANSLATE(D2686,""EN"",""JA"")"),"JCウイルス")</f>
        <v>JCウイルス</v>
      </c>
      <c r="I2686" s="1" t="str">
        <f>IFERROR(__xludf.DUMMYFUNCTION("GOOGLETRANSLATE(E2686,""EN"",""JA"")"),"JCポリオーマウイルス; JCウイルス; ジョン・カニンガムウイルス")</f>
        <v>JCポリオーマウイルス; JCウイルス; ジョン・カニンガムウイルス</v>
      </c>
      <c r="J2686" s="1" t="str">
        <f>IFERROR(__xludf.DUMMYFUNCTION("GOOGLETRANSLATE(F2686,""EN"",""JA"")"),"生物標本中の JC ウイルスの測定。")</f>
        <v>生物標本中の JC ウイルスの測定。</v>
      </c>
      <c r="K2686" s="1" t="str">
        <f>IFERROR(__xludf.DUMMYFUNCTION("GOOGLETRANSLATE(G2686,""EN"",""JA"")"),"JCウイルス測定")</f>
        <v>JCウイルス測定</v>
      </c>
    </row>
    <row r="2687" ht="13.5" customHeight="1">
      <c r="A2687" s="1" t="s">
        <v>67</v>
      </c>
      <c r="B2687" s="1" t="s">
        <v>13511</v>
      </c>
      <c r="C2687" s="1" t="s">
        <v>13512</v>
      </c>
      <c r="D2687" s="1" t="s">
        <v>13513</v>
      </c>
      <c r="E2687" s="1" t="s">
        <v>13514</v>
      </c>
      <c r="F2687" s="1" t="s">
        <v>13515</v>
      </c>
      <c r="G2687" s="1" t="s">
        <v>13516</v>
      </c>
      <c r="H2687" s="1" t="str">
        <f>IFERROR(__xludf.DUMMYFUNCTION("GOOGLETRANSLATE(D2687,""EN"",""JA"")"),"JCウイルスDNA")</f>
        <v>JCウイルスDNA</v>
      </c>
      <c r="I2687" s="1" t="str">
        <f>IFERROR(__xludf.DUMMYFUNCTION("GOOGLETRANSLATE(E2687,""EN"",""JA"")"),"JCポリオーマウイルスDNA; JC ウイルス DNA; JCV DNA;ジョン・カニンガムのウイルスDNA")</f>
        <v>JCポリオーマウイルスDNA; JC ウイルス DNA; JCV DNA;ジョン・カニンガムのウイルスDNA</v>
      </c>
      <c r="J2687" s="1" t="str">
        <f>IFERROR(__xludf.DUMMYFUNCTION("GOOGLETRANSLATE(F2687,""EN"",""JA"")"),"生物標本中の JC ウイルス DNA の測定。")</f>
        <v>生物標本中の JC ウイルス DNA の測定。</v>
      </c>
      <c r="K2687" s="1" t="str">
        <f>IFERROR(__xludf.DUMMYFUNCTION("GOOGLETRANSLATE(G2687,""EN"",""JA"")"),"JCウイルスDNA測定")</f>
        <v>JCウイルスDNA測定</v>
      </c>
    </row>
    <row r="2688" ht="13.5" customHeight="1">
      <c r="A2688" s="1" t="s">
        <v>1168</v>
      </c>
      <c r="B2688" s="1" t="s">
        <v>13517</v>
      </c>
      <c r="C2688" s="1" t="s">
        <v>13518</v>
      </c>
      <c r="D2688" s="1" t="s">
        <v>13519</v>
      </c>
      <c r="E2688" s="1" t="s">
        <v>13519</v>
      </c>
      <c r="F2688" s="1" t="s">
        <v>13520</v>
      </c>
      <c r="G2688" s="1" t="s">
        <v>13521</v>
      </c>
      <c r="H2688" s="1" t="str">
        <f>IFERROR(__xludf.DUMMYFUNCTION("GOOGLETRANSLATE(D2688,""EN"",""JA"")"),"JT間隔、集計")</f>
        <v>JT間隔、集計</v>
      </c>
      <c r="I2688" s="1" t="str">
        <f>IFERROR(__xludf.DUMMYFUNCTION("GOOGLETRANSLATE(E2688,""EN"",""JA"")"),"JT間隔、集計")</f>
        <v>JT間隔、集計</v>
      </c>
      <c r="J2688" s="1" t="str">
        <f>IFERROR(__xludf.DUMMYFUNCTION("GOOGLETRANSLATE(F2688,""EN"",""JA"")"),"1回の心電図における複数の心拍のJT間隔の測定に基づく集計JT値。集計方法は様々ですが、通常は平均値などの中心傾向を示す指標が用いられます。")</f>
        <v>1回の心電図における複数の心拍のJT間隔の測定に基づく集計JT値。集計方法は様々ですが、通常は平均値などの中心傾向を示す指標が用いられます。</v>
      </c>
      <c r="K2688" s="1" t="str">
        <f>IFERROR(__xludf.DUMMYFUNCTION("GOOGLETRANSLATE(G2688,""EN"",""JA"")"),"集計JT間隔")</f>
        <v>集計JT間隔</v>
      </c>
    </row>
    <row r="2689" ht="13.5" customHeight="1">
      <c r="A2689" s="1" t="s">
        <v>1168</v>
      </c>
      <c r="B2689" s="1" t="s">
        <v>13522</v>
      </c>
      <c r="C2689" s="1" t="s">
        <v>13523</v>
      </c>
      <c r="D2689" s="1" t="s">
        <v>13524</v>
      </c>
      <c r="E2689" s="1" t="s">
        <v>13524</v>
      </c>
      <c r="F2689" s="1" t="s">
        <v>13525</v>
      </c>
      <c r="G2689" s="1" t="s">
        <v>13526</v>
      </c>
      <c r="H2689" s="1" t="str">
        <f>IFERROR(__xludf.DUMMYFUNCTION("GOOGLETRANSLATE(D2689,""EN"",""JA"")"),"JTcB 間隔、集計")</f>
        <v>JTcB 間隔、集計</v>
      </c>
      <c r="I2689" s="1" t="str">
        <f>IFERROR(__xludf.DUMMYFUNCTION("GOOGLETRANSLATE(E2689,""EN"",""JA"")"),"JTcB 間隔、集計")</f>
        <v>JTcB 間隔、集計</v>
      </c>
      <c r="J2689" s="1" t="str">
        <f>IFERROR(__xludf.DUMMYFUNCTION("GOOGLETRANSLATE(F2689,""EN"",""JA"")"),"心拍数補正されたJT集計間隔。これは、1回の心電図における複数の心拍からのQT間隔の測定に基づき、バゼットの式を用いて心拍数補正されたものである。集計方法は様々であるが、通常は中心傾向の尺度が用いられる。")</f>
        <v>心拍数補正されたJT集計間隔。これは、1回の心電図における複数の心拍からのQT間隔の測定に基づき、バゼットの式を用いて心拍数補正されたものである。集計方法は様々であるが、通常は中心傾向の尺度が用いられる。</v>
      </c>
      <c r="K2689" s="1" t="str">
        <f>IFERROR(__xludf.DUMMYFUNCTION("GOOGLETRANSLATE(G2689,""EN"",""JA"")"),"集計JTCB間隔")</f>
        <v>集計JTCB間隔</v>
      </c>
    </row>
    <row r="2690" ht="13.5" customHeight="1">
      <c r="A2690" s="1" t="s">
        <v>1168</v>
      </c>
      <c r="B2690" s="1" t="s">
        <v>13527</v>
      </c>
      <c r="C2690" s="1" t="s">
        <v>13528</v>
      </c>
      <c r="D2690" s="1" t="s">
        <v>13529</v>
      </c>
      <c r="E2690" s="1" t="s">
        <v>13529</v>
      </c>
      <c r="F2690" s="1" t="s">
        <v>13530</v>
      </c>
      <c r="G2690" s="1" t="s">
        <v>13531</v>
      </c>
      <c r="H2690" s="1" t="str">
        <f>IFERROR(__xludf.DUMMYFUNCTION("GOOGLETRANSLATE(D2690,""EN"",""JA"")"),"JTcB インターバル、シングルビート")</f>
        <v>JTcB インターバル、シングルビート</v>
      </c>
      <c r="I2690" s="1" t="str">
        <f>IFERROR(__xludf.DUMMYFUNCTION("GOOGLETRANSLATE(E2690,""EN"",""JA"")"),"JTcB インターバル、シングルビート")</f>
        <v>JTcB インターバル、シングルビート</v>
      </c>
      <c r="J2690" s="1" t="str">
        <f>IFERROR(__xludf.DUMMYFUNCTION("GOOGLETRANSLATE(F2690,""EN"",""JA"")"),"1 つ以上の ECG リードを使用して単一拍で測定された QT 間隔に基づいて、Bazett の式を使用して心拍数に合わせて補正された JT 単一拍間隔。")</f>
        <v>1 つ以上の ECG リードを使用して単一拍で測定された QT 間隔に基づいて、Bazett の式を使用して心拍数に合わせて補正された JT 単一拍間隔。</v>
      </c>
      <c r="K2690" s="1" t="str">
        <f>IFERROR(__xludf.DUMMYFUNCTION("GOOGLETRANSLATE(G2690,""EN"",""JA"")"),"シングルビートJTCBインターバル")</f>
        <v>シングルビートJTCBインターバル</v>
      </c>
    </row>
    <row r="2691" ht="13.5" customHeight="1">
      <c r="A2691" s="1" t="s">
        <v>1168</v>
      </c>
      <c r="B2691" s="1" t="s">
        <v>13532</v>
      </c>
      <c r="C2691" s="1" t="s">
        <v>13533</v>
      </c>
      <c r="D2691" s="1" t="s">
        <v>13534</v>
      </c>
      <c r="E2691" s="1" t="s">
        <v>13534</v>
      </c>
      <c r="F2691" s="1" t="s">
        <v>13535</v>
      </c>
      <c r="G2691" s="1" t="s">
        <v>13536</v>
      </c>
      <c r="H2691" s="1" t="str">
        <f>IFERROR(__xludf.DUMMYFUNCTION("GOOGLETRANSLATE(D2691,""EN"",""JA"")"),"JTcF 間隔、集計")</f>
        <v>JTcF 間隔、集計</v>
      </c>
      <c r="I2691" s="1" t="str">
        <f>IFERROR(__xludf.DUMMYFUNCTION("GOOGLETRANSLATE(E2691,""EN"",""JA"")"),"JTcF 間隔、集計")</f>
        <v>JTcF 間隔、集計</v>
      </c>
      <c r="J2691" s="1" t="str">
        <f>IFERROR(__xludf.DUMMYFUNCTION("GOOGLETRANSLATE(F2691,""EN"",""JA"")"),"単一の心電図における複数の心拍からのQT間隔の測定に基づき、Fridericiaの式を用いて心拍数補正されたJT集計間隔。集計方法は様々であるが、通常は中心傾向の尺度が用いられる。")</f>
        <v>単一の心電図における複数の心拍からのQT間隔の測定に基づき、Fridericiaの式を用いて心拍数補正されたJT集計間隔。集計方法は様々であるが、通常は中心傾向の尺度が用いられる。</v>
      </c>
      <c r="K2691" s="1" t="str">
        <f>IFERROR(__xludf.DUMMYFUNCTION("GOOGLETRANSLATE(G2691,""EN"",""JA"")"),"集計JTCF間隔")</f>
        <v>集計JTCF間隔</v>
      </c>
    </row>
    <row r="2692" ht="13.5" customHeight="1">
      <c r="A2692" s="1" t="s">
        <v>1168</v>
      </c>
      <c r="B2692" s="1" t="s">
        <v>13537</v>
      </c>
      <c r="C2692" s="1" t="s">
        <v>13538</v>
      </c>
      <c r="D2692" s="1" t="s">
        <v>13539</v>
      </c>
      <c r="E2692" s="1" t="s">
        <v>13539</v>
      </c>
      <c r="F2692" s="1" t="s">
        <v>13540</v>
      </c>
      <c r="G2692" s="1" t="s">
        <v>13541</v>
      </c>
      <c r="H2692" s="1" t="str">
        <f>IFERROR(__xludf.DUMMYFUNCTION("GOOGLETRANSLATE(D2692,""EN"",""JA"")"),"JTcF インターバル、シングルビート")</f>
        <v>JTcF インターバル、シングルビート</v>
      </c>
      <c r="I2692" s="1" t="str">
        <f>IFERROR(__xludf.DUMMYFUNCTION("GOOGLETRANSLATE(E2692,""EN"",""JA"")"),"JTcF インターバル、シングルビート")</f>
        <v>JTcF インターバル、シングルビート</v>
      </c>
      <c r="J2692" s="1" t="str">
        <f>IFERROR(__xludf.DUMMYFUNCTION("GOOGLETRANSLATE(F2692,""EN"",""JA"")"),"1 つ以上の ECG リードを使用して単一拍で測定された QT 間隔に基づいて、Fridericia の式を使用して心拍数に合わせて補正された JT 単一拍間隔。")</f>
        <v>1 つ以上の ECG リードを使用して単一拍で測定された QT 間隔に基づいて、Fridericia の式を使用して心拍数に合わせて補正された JT 単一拍間隔。</v>
      </c>
      <c r="K2692" s="1" t="str">
        <f>IFERROR(__xludf.DUMMYFUNCTION("GOOGLETRANSLATE(G2692,""EN"",""JA"")"),"シングルビートJTCFインターバル")</f>
        <v>シングルビートJTCFインターバル</v>
      </c>
    </row>
    <row r="2693" ht="13.5" customHeight="1">
      <c r="A2693" s="1" t="s">
        <v>1168</v>
      </c>
      <c r="B2693" s="1" t="s">
        <v>13542</v>
      </c>
      <c r="C2693" s="1" t="s">
        <v>13543</v>
      </c>
      <c r="D2693" s="1" t="s">
        <v>13544</v>
      </c>
      <c r="E2693" s="1" t="s">
        <v>13544</v>
      </c>
      <c r="F2693" s="1" t="s">
        <v>13545</v>
      </c>
      <c r="G2693" s="1" t="s">
        <v>13546</v>
      </c>
      <c r="H2693" s="1" t="str">
        <f>IFERROR(__xludf.DUMMYFUNCTION("GOOGLETRANSLATE(D2693,""EN"",""JA"")"),"サマリー（最大）JT間隔")</f>
        <v>サマリー（最大）JT間隔</v>
      </c>
      <c r="I2693" s="1" t="str">
        <f>IFERROR(__xludf.DUMMYFUNCTION("GOOGLETRANSLATE(E2693,""EN"",""JA"")"),"サマリー（最大）JT間隔")</f>
        <v>サマリー（最大）JT間隔</v>
      </c>
      <c r="J2693" s="1" t="str">
        <f>IFERROR(__xludf.DUMMYFUNCTION("GOOGLETRANSLATE(F2693,""EN"",""JA"")"),"JT間隔の測定結果から得られるJT間隔の最大持続時間（時間）。JT間隔は、J点（心室脱分極の終点、QRSがST部分と交わる点）からST部分の終点までの時間として定義されます。")</f>
        <v>JT間隔の測定結果から得られるJT間隔の最大持続時間（時間）。JT間隔は、J点（心室脱分極の終点、QRSがST部分と交わる点）からST部分の終点までの時間として定義されます。</v>
      </c>
      <c r="K2693" s="1" t="str">
        <f>IFERROR(__xludf.DUMMYFUNCTION("GOOGLETRANSLATE(G2693,""EN"",""JA"")"),"最大JT期間")</f>
        <v>最大JT期間</v>
      </c>
    </row>
    <row r="2694" ht="13.5" customHeight="1">
      <c r="A2694" s="1" t="s">
        <v>1168</v>
      </c>
      <c r="B2694" s="1" t="s">
        <v>13547</v>
      </c>
      <c r="C2694" s="1" t="s">
        <v>13548</v>
      </c>
      <c r="D2694" s="1" t="s">
        <v>13549</v>
      </c>
      <c r="E2694" s="1" t="s">
        <v>13549</v>
      </c>
      <c r="F2694" s="1" t="s">
        <v>13550</v>
      </c>
      <c r="G2694" s="1" t="s">
        <v>13551</v>
      </c>
      <c r="H2694" s="1" t="str">
        <f>IFERROR(__xludf.DUMMYFUNCTION("GOOGLETRANSLATE(D2694,""EN"",""JA"")"),"サマリー（分）JT間隔")</f>
        <v>サマリー（分）JT間隔</v>
      </c>
      <c r="I2694" s="1" t="str">
        <f>IFERROR(__xludf.DUMMYFUNCTION("GOOGLETRANSLATE(E2694,""EN"",""JA"")"),"サマリー（分）JT間隔")</f>
        <v>サマリー（分）JT間隔</v>
      </c>
      <c r="J2694" s="1" t="str">
        <f>IFERROR(__xludf.DUMMYFUNCTION("GOOGLETRANSLATE(F2694,""EN"",""JA"")"),"JT間隔の最小持続時間（時間）。JT間隔の測定結果から得られる。JT間隔は、J点（心室脱分極の終点、QRSがST部分と交わる点）からST部分の終点までの時間として定義される。")</f>
        <v>JT間隔の最小持続時間（時間）。JT間隔の測定結果から得られる。JT間隔は、J点（心室脱分極の終点、QRSがST部分と交わる点）からST部分の終点までの時間として定義される。</v>
      </c>
      <c r="K2694" s="1" t="str">
        <f>IFERROR(__xludf.DUMMYFUNCTION("GOOGLETRANSLATE(G2694,""EN"",""JA"")"),"最小JT期間")</f>
        <v>最小JT期間</v>
      </c>
    </row>
    <row r="2695" ht="13.5" customHeight="1">
      <c r="A2695" s="1" t="s">
        <v>1168</v>
      </c>
      <c r="B2695" s="1" t="s">
        <v>13552</v>
      </c>
      <c r="C2695" s="1" t="s">
        <v>13553</v>
      </c>
      <c r="D2695" s="1" t="s">
        <v>13554</v>
      </c>
      <c r="E2695" s="1" t="s">
        <v>13554</v>
      </c>
      <c r="F2695" s="1" t="s">
        <v>13555</v>
      </c>
      <c r="G2695" s="1" t="s">
        <v>13556</v>
      </c>
      <c r="H2695" s="1" t="str">
        <f>IFERROR(__xludf.DUMMYFUNCTION("GOOGLETRANSLATE(D2695,""EN"",""JA"")"),"J-Tpeak間隔、集計")</f>
        <v>J-Tpeak間隔、集計</v>
      </c>
      <c r="I2695" s="1" t="str">
        <f>IFERROR(__xludf.DUMMYFUNCTION("GOOGLETRANSLATE(E2695,""EN"",""JA"")"),"J-Tpeak間隔、集計")</f>
        <v>J-Tpeak間隔、集計</v>
      </c>
      <c r="J2695" s="1" t="str">
        <f>IFERROR(__xludf.DUMMYFUNCTION("GOOGLETRANSLATE(F2695,""EN"",""JA"")"),"単一の心電図における複数の心拍におけるJ-Tpeak間隔の測定に基づく集計J-Tpeak値。集計方法は様々ですが、通常は平均値などの中心傾向を示す指標が用いられます。")</f>
        <v>単一の心電図における複数の心拍におけるJ-Tpeak間隔の測定に基づく集計J-Tpeak値。集計方法は様々ですが、通常は平均値などの中心傾向を示す指標が用いられます。</v>
      </c>
      <c r="K2695" s="1" t="str">
        <f>IFERROR(__xludf.DUMMYFUNCTION("GOOGLETRANSLATE(G2695,""EN"",""JA"")"),"集計J-Tピーク間隔")</f>
        <v>集計J-Tピーク間隔</v>
      </c>
    </row>
    <row r="2696" ht="13.5" customHeight="1">
      <c r="A2696" s="1" t="s">
        <v>1168</v>
      </c>
      <c r="B2696" s="1" t="s">
        <v>13557</v>
      </c>
      <c r="C2696" s="1" t="s">
        <v>13558</v>
      </c>
      <c r="D2696" s="1" t="s">
        <v>13559</v>
      </c>
      <c r="E2696" s="1" t="s">
        <v>13559</v>
      </c>
      <c r="F2696" s="1" t="s">
        <v>13560</v>
      </c>
      <c r="G2696" s="1" t="s">
        <v>13561</v>
      </c>
      <c r="H2696" s="1" t="str">
        <f>IFERROR(__xludf.DUMMYFUNCTION("GOOGLETRANSLATE(D2696,""EN"",""JA"")"),"J-Tピーク間隔、単一拍")</f>
        <v>J-Tピーク間隔、単一拍</v>
      </c>
      <c r="I2696" s="1" t="str">
        <f>IFERROR(__xludf.DUMMYFUNCTION("GOOGLETRANSLATE(E2696,""EN"",""JA"")"),"J-Tピーク間隔、単一拍")</f>
        <v>J-Tピーク間隔、単一拍</v>
      </c>
      <c r="J2696" s="1" t="str">
        <f>IFERROR(__xludf.DUMMYFUNCTION("GOOGLETRANSLATE(F2696,""EN"",""JA"")"),"1 つ以上のリードを使用して、J 点から単一拍の T 波のピークまで測定された心電図間隔。")</f>
        <v>1 つ以上のリードを使用して、J 点から単一拍の T 波のピークまで測定された心電図間隔。</v>
      </c>
      <c r="K2696" s="1" t="str">
        <f>IFERROR(__xludf.DUMMYFUNCTION("GOOGLETRANSLATE(G2696,""EN"",""JA"")"),"シングルビートJ-Tピーク間隔")</f>
        <v>シングルビートJ-Tピーク間隔</v>
      </c>
    </row>
    <row r="2697" ht="13.5" customHeight="1">
      <c r="A2697" s="1" t="s">
        <v>1168</v>
      </c>
      <c r="B2697" s="1" t="s">
        <v>13562</v>
      </c>
      <c r="C2697" s="1" t="s">
        <v>13563</v>
      </c>
      <c r="D2697" s="1" t="s">
        <v>13564</v>
      </c>
      <c r="E2697" s="1" t="s">
        <v>13564</v>
      </c>
      <c r="F2697" s="1" t="s">
        <v>13565</v>
      </c>
      <c r="G2697" s="1" t="s">
        <v>13566</v>
      </c>
      <c r="H2697" s="1" t="str">
        <f>IFERROR(__xludf.DUMMYFUNCTION("GOOGLETRANSLATE(D2697,""EN"",""JA"")"),"JT間隔、単一拍")</f>
        <v>JT間隔、単一拍</v>
      </c>
      <c r="I2697" s="1" t="str">
        <f>IFERROR(__xludf.DUMMYFUNCTION("GOOGLETRANSLATE(E2697,""EN"",""JA"")"),"JT間隔、単一拍")</f>
        <v>JT間隔、単一拍</v>
      </c>
      <c r="J2697" s="1" t="str">
        <f>IFERROR(__xludf.DUMMYFUNCTION("GOOGLETRANSLATE(F2697,""EN"",""JA"")"),"1 つ以上のリードを使用して、J 点から単一拍の T 波のオフセットまで測定された心電図間隔。")</f>
        <v>1 つ以上のリードを使用して、J 点から単一拍の T 波のオフセットまで測定された心電図間隔。</v>
      </c>
      <c r="K2697" s="1" t="str">
        <f>IFERROR(__xludf.DUMMYFUNCTION("GOOGLETRANSLATE(G2697,""EN"",""JA"")"),"シングルビートJTインターバル")</f>
        <v>シングルビートJTインターバル</v>
      </c>
    </row>
    <row r="2698" ht="13.5" customHeight="1">
      <c r="A2698" s="1" t="s">
        <v>11</v>
      </c>
      <c r="B2698" s="1" t="s">
        <v>13567</v>
      </c>
      <c r="C2698" s="1" t="s">
        <v>13568</v>
      </c>
      <c r="D2698" s="1" t="s">
        <v>13569</v>
      </c>
      <c r="E2698" s="1" t="s">
        <v>13570</v>
      </c>
      <c r="F2698" s="1" t="s">
        <v>13571</v>
      </c>
      <c r="G2698" s="1" t="s">
        <v>13572</v>
      </c>
      <c r="H2698" s="1" t="str">
        <f>IFERROR(__xludf.DUMMYFUNCTION("GOOGLETRANSLATE(D2698,""EN"",""JA"")"),"JWH-018")</f>
        <v>JWH-018</v>
      </c>
      <c r="I2698" s="1" t="str">
        <f>IFERROR(__xludf.DUMMYFUNCTION("GOOGLETRANSLATE(E2698,""EN"",""JA"")"),"JWH-018; JWH018")</f>
        <v>JWH-018; JWH018</v>
      </c>
      <c r="J2698" s="1" t="str">
        <f>IFERROR(__xludf.DUMMYFUNCTION("GOOGLETRANSLATE(F2698,""EN"",""JA"")"),"生物標本中の合成カンナビノイド JWH-018 の測定。")</f>
        <v>生物標本中の合成カンナビノイド JWH-018 の測定。</v>
      </c>
      <c r="K2698" s="1" t="str">
        <f>IFERROR(__xludf.DUMMYFUNCTION("GOOGLETRANSLATE(G2698,""EN"",""JA"")"),"JWH-018測定")</f>
        <v>JWH-018測定</v>
      </c>
    </row>
    <row r="2699" ht="13.5" customHeight="1">
      <c r="A2699" s="1" t="s">
        <v>11</v>
      </c>
      <c r="B2699" s="1" t="s">
        <v>13573</v>
      </c>
      <c r="C2699" s="1" t="s">
        <v>13574</v>
      </c>
      <c r="D2699" s="1" t="s">
        <v>13575</v>
      </c>
      <c r="E2699" s="1" t="s">
        <v>13576</v>
      </c>
      <c r="F2699" s="1" t="s">
        <v>13577</v>
      </c>
      <c r="G2699" s="1" t="s">
        <v>13578</v>
      </c>
      <c r="H2699" s="1" t="str">
        <f>IFERROR(__xludf.DUMMYFUNCTION("GOOGLETRANSLATE(D2699,""EN"",""JA"")"),"JWH-073")</f>
        <v>JWH-073</v>
      </c>
      <c r="I2699" s="1" t="str">
        <f>IFERROR(__xludf.DUMMYFUNCTION("GOOGLETRANSLATE(E2699,""EN"",""JA"")"),"JWH-073; JWH073")</f>
        <v>JWH-073; JWH073</v>
      </c>
      <c r="J2699" s="1" t="str">
        <f>IFERROR(__xludf.DUMMYFUNCTION("GOOGLETRANSLATE(F2699,""EN"",""JA"")"),"生物標本中の合成カンナビノイド JWH-073 の測定。")</f>
        <v>生物標本中の合成カンナビノイド JWH-073 の測定。</v>
      </c>
      <c r="K2699" s="1" t="str">
        <f>IFERROR(__xludf.DUMMYFUNCTION("GOOGLETRANSLATE(G2699,""EN"",""JA"")"),"JWH-073 測定")</f>
        <v>JWH-073 測定</v>
      </c>
    </row>
    <row r="2700" ht="13.5" customHeight="1">
      <c r="A2700" s="1" t="s">
        <v>11</v>
      </c>
      <c r="B2700" s="1" t="s">
        <v>13579</v>
      </c>
      <c r="C2700" s="1" t="s">
        <v>13580</v>
      </c>
      <c r="D2700" s="1" t="s">
        <v>13581</v>
      </c>
      <c r="E2700" s="1" t="s">
        <v>13582</v>
      </c>
      <c r="F2700" s="1" t="s">
        <v>13583</v>
      </c>
      <c r="G2700" s="1" t="s">
        <v>13584</v>
      </c>
      <c r="H2700" s="1" t="str">
        <f>IFERROR(__xludf.DUMMYFUNCTION("GOOGLETRANSLATE(D2700,""EN"",""JA"")"),"JWH-081")</f>
        <v>JWH-081</v>
      </c>
      <c r="I2700" s="1" t="str">
        <f>IFERROR(__xludf.DUMMYFUNCTION("GOOGLETRANSLATE(E2700,""EN"",""JA"")"),"JWH-081; JWH081")</f>
        <v>JWH-081; JWH081</v>
      </c>
      <c r="J2700" s="1" t="str">
        <f>IFERROR(__xludf.DUMMYFUNCTION("GOOGLETRANSLATE(F2700,""EN"",""JA"")"),"生物標本中の合成カンナビノイド JWH-081 の測定。")</f>
        <v>生物標本中の合成カンナビノイド JWH-081 の測定。</v>
      </c>
      <c r="K2700" s="1" t="str">
        <f>IFERROR(__xludf.DUMMYFUNCTION("GOOGLETRANSLATE(G2700,""EN"",""JA"")"),"JWH-081測定")</f>
        <v>JWH-081測定</v>
      </c>
    </row>
    <row r="2701" ht="13.5" customHeight="1">
      <c r="A2701" s="1" t="s">
        <v>11</v>
      </c>
      <c r="B2701" s="1" t="s">
        <v>13585</v>
      </c>
      <c r="C2701" s="1" t="s">
        <v>13586</v>
      </c>
      <c r="D2701" s="1" t="s">
        <v>13587</v>
      </c>
      <c r="E2701" s="1" t="s">
        <v>13588</v>
      </c>
      <c r="F2701" s="1" t="s">
        <v>13589</v>
      </c>
      <c r="G2701" s="1" t="s">
        <v>13590</v>
      </c>
      <c r="H2701" s="1" t="str">
        <f>IFERROR(__xludf.DUMMYFUNCTION("GOOGLETRANSLATE(D2701,""EN"",""JA"")"),"JWH-122")</f>
        <v>JWH-122</v>
      </c>
      <c r="I2701" s="1" t="str">
        <f>IFERROR(__xludf.DUMMYFUNCTION("GOOGLETRANSLATE(E2701,""EN"",""JA"")"),"JWH-122; JWH122")</f>
        <v>JWH-122; JWH122</v>
      </c>
      <c r="J2701" s="1" t="str">
        <f>IFERROR(__xludf.DUMMYFUNCTION("GOOGLETRANSLATE(F2701,""EN"",""JA"")"),"生物標本中の合成カンナビノイド JWH-122 の測定。")</f>
        <v>生物標本中の合成カンナビノイド JWH-122 の測定。</v>
      </c>
      <c r="K2701" s="1" t="str">
        <f>IFERROR(__xludf.DUMMYFUNCTION("GOOGLETRANSLATE(G2701,""EN"",""JA"")"),"JWH-122測定")</f>
        <v>JWH-122測定</v>
      </c>
    </row>
    <row r="2702" ht="13.5" customHeight="1">
      <c r="A2702" s="1" t="s">
        <v>11</v>
      </c>
      <c r="B2702" s="1" t="s">
        <v>13591</v>
      </c>
      <c r="C2702" s="1" t="s">
        <v>13592</v>
      </c>
      <c r="D2702" s="1" t="s">
        <v>13593</v>
      </c>
      <c r="E2702" s="1" t="s">
        <v>13594</v>
      </c>
      <c r="F2702" s="1" t="s">
        <v>13595</v>
      </c>
      <c r="G2702" s="1" t="s">
        <v>13596</v>
      </c>
      <c r="H2702" s="1" t="str">
        <f>IFERROR(__xludf.DUMMYFUNCTION("GOOGLETRANSLATE(D2702,""EN"",""JA"")"),"JWH-200")</f>
        <v>JWH-200</v>
      </c>
      <c r="I2702" s="1" t="str">
        <f>IFERROR(__xludf.DUMMYFUNCTION("GOOGLETRANSLATE(E2702,""EN"",""JA"")"),"JWH-200; JWH200")</f>
        <v>JWH-200; JWH200</v>
      </c>
      <c r="J2702" s="1" t="str">
        <f>IFERROR(__xludf.DUMMYFUNCTION("GOOGLETRANSLATE(F2702,""EN"",""JA"")"),"生物標本中の合成カンナビノイド JWH-200 の測定。")</f>
        <v>生物標本中の合成カンナビノイド JWH-200 の測定。</v>
      </c>
      <c r="K2702" s="1" t="str">
        <f>IFERROR(__xludf.DUMMYFUNCTION("GOOGLETRANSLATE(G2702,""EN"",""JA"")"),"JWH-200測定")</f>
        <v>JWH-200測定</v>
      </c>
    </row>
    <row r="2703" ht="13.5" customHeight="1">
      <c r="A2703" s="1" t="s">
        <v>11</v>
      </c>
      <c r="B2703" s="1" t="s">
        <v>13597</v>
      </c>
      <c r="C2703" s="1" t="s">
        <v>13598</v>
      </c>
      <c r="D2703" s="1" t="s">
        <v>13599</v>
      </c>
      <c r="E2703" s="1" t="s">
        <v>13600</v>
      </c>
      <c r="F2703" s="1" t="s">
        <v>13601</v>
      </c>
      <c r="G2703" s="1" t="s">
        <v>13602</v>
      </c>
      <c r="H2703" s="1" t="str">
        <f>IFERROR(__xludf.DUMMYFUNCTION("GOOGLETRANSLATE(D2703,""EN"",""JA"")"),"JWH-250")</f>
        <v>JWH-250</v>
      </c>
      <c r="I2703" s="1" t="str">
        <f>IFERROR(__xludf.DUMMYFUNCTION("GOOGLETRANSLATE(E2703,""EN"",""JA"")"),"JWH-250; JWH250")</f>
        <v>JWH-250; JWH250</v>
      </c>
      <c r="J2703" s="1" t="str">
        <f>IFERROR(__xludf.DUMMYFUNCTION("GOOGLETRANSLATE(F2703,""EN"",""JA"")"),"生物標本中の合成カンナビノイド JWH-250 の測定。")</f>
        <v>生物標本中の合成カンナビノイド JWH-250 の測定。</v>
      </c>
      <c r="K2703" s="1" t="str">
        <f>IFERROR(__xludf.DUMMYFUNCTION("GOOGLETRANSLATE(G2703,""EN"",""JA"")"),"JWH-250測定")</f>
        <v>JWH-250測定</v>
      </c>
    </row>
    <row r="2704" ht="13.5" customHeight="1">
      <c r="A2704" s="1" t="s">
        <v>11</v>
      </c>
      <c r="B2704" s="1" t="s">
        <v>13603</v>
      </c>
      <c r="C2704" s="1" t="s">
        <v>13604</v>
      </c>
      <c r="D2704" s="1" t="s">
        <v>13605</v>
      </c>
      <c r="E2704" s="1" t="s">
        <v>13606</v>
      </c>
      <c r="F2704" s="1" t="s">
        <v>13607</v>
      </c>
      <c r="G2704" s="1" t="s">
        <v>13608</v>
      </c>
      <c r="H2704" s="1" t="str">
        <f>IFERROR(__xludf.DUMMYFUNCTION("GOOGLETRANSLATE(D2704,""EN"",""JA"")"),"JWH-398")</f>
        <v>JWH-398</v>
      </c>
      <c r="I2704" s="1" t="str">
        <f>IFERROR(__xludf.DUMMYFUNCTION("GOOGLETRANSLATE(E2704,""EN"",""JA"")"),"JWH-398; JWH398")</f>
        <v>JWH-398; JWH398</v>
      </c>
      <c r="J2704" s="1" t="str">
        <f>IFERROR(__xludf.DUMMYFUNCTION("GOOGLETRANSLATE(F2704,""EN"",""JA"")"),"生物標本中の合成カンナビノイド JWH-398 の測定。")</f>
        <v>生物標本中の合成カンナビノイド JWH-398 の測定。</v>
      </c>
      <c r="K2704" s="1" t="str">
        <f>IFERROR(__xludf.DUMMYFUNCTION("GOOGLETRANSLATE(G2704,""EN"",""JA"")"),"JWH-398測定")</f>
        <v>JWH-398測定</v>
      </c>
    </row>
    <row r="2705" ht="13.5" customHeight="1">
      <c r="A2705" s="1" t="s">
        <v>11</v>
      </c>
      <c r="B2705" s="1" t="s">
        <v>13609</v>
      </c>
      <c r="C2705" s="1" t="s">
        <v>13610</v>
      </c>
      <c r="D2705" s="1" t="s">
        <v>13611</v>
      </c>
      <c r="E2705" s="1" t="s">
        <v>13611</v>
      </c>
      <c r="F2705" s="1" t="s">
        <v>13612</v>
      </c>
      <c r="G2705" s="1" t="s">
        <v>13613</v>
      </c>
      <c r="H2705" s="1" t="str">
        <f>IFERROR(__xludf.DUMMYFUNCTION("GOOGLETRANSLATE(D2705,""EN"",""JA"")"),"カリウム")</f>
        <v>カリウム</v>
      </c>
      <c r="I2705" s="1" t="str">
        <f>IFERROR(__xludf.DUMMYFUNCTION("GOOGLETRANSLATE(E2705,""EN"",""JA"")"),"カリウム")</f>
        <v>カリウム</v>
      </c>
      <c r="J2705" s="1" t="str">
        <f>IFERROR(__xludf.DUMMYFUNCTION("GOOGLETRANSLATE(F2705,""EN"",""JA"")"),"生物標本中のカリウムの測定。")</f>
        <v>生物標本中のカリウムの測定。</v>
      </c>
      <c r="K2705" s="1" t="str">
        <f>IFERROR(__xludf.DUMMYFUNCTION("GOOGLETRANSLATE(G2705,""EN"",""JA"")"),"カリウム測定")</f>
        <v>カリウム測定</v>
      </c>
    </row>
    <row r="2706" ht="13.5" customHeight="1">
      <c r="A2706" s="1" t="s">
        <v>67</v>
      </c>
      <c r="B2706" s="1" t="s">
        <v>13614</v>
      </c>
      <c r="C2706" s="1" t="s">
        <v>13615</v>
      </c>
      <c r="D2706" s="1" t="s">
        <v>13616</v>
      </c>
      <c r="E2706" s="1" t="s">
        <v>13616</v>
      </c>
      <c r="F2706" s="1" t="s">
        <v>13617</v>
      </c>
      <c r="G2706" s="1" t="s">
        <v>13618</v>
      </c>
      <c r="H2706" s="1" t="str">
        <f>IFERROR(__xludf.DUMMYFUNCTION("GOOGLETRANSLATE(D2706,""EN"",""JA"")"),"クレブシエラ・アエロゲネス")</f>
        <v>クレブシエラ・アエロゲネス</v>
      </c>
      <c r="I2706" s="1" t="str">
        <f>IFERROR(__xludf.DUMMYFUNCTION("GOOGLETRANSLATE(E2706,""EN"",""JA"")"),"クレブシエラ・アエロゲネス")</f>
        <v>クレブシエラ・アエロゲネス</v>
      </c>
      <c r="J2706" s="1" t="str">
        <f>IFERROR(__xludf.DUMMYFUNCTION("GOOGLETRANSLATE(F2706,""EN"",""JA"")"),"生物標本中の Klebsiella aerogenes の測定。")</f>
        <v>生物標本中の Klebsiella aerogenes の測定。</v>
      </c>
      <c r="K2706" s="1" t="str">
        <f>IFERROR(__xludf.DUMMYFUNCTION("GOOGLETRANSLATE(G2706,""EN"",""JA"")"),"クレブシエラ・アエロゲネス測定")</f>
        <v>クレブシエラ・アエロゲネス測定</v>
      </c>
    </row>
    <row r="2707" ht="13.5" customHeight="1">
      <c r="A2707" s="1" t="s">
        <v>67</v>
      </c>
      <c r="B2707" s="1" t="s">
        <v>13619</v>
      </c>
      <c r="C2707" s="1" t="s">
        <v>13620</v>
      </c>
      <c r="D2707" s="1" t="s">
        <v>13621</v>
      </c>
      <c r="E2707" s="1" t="s">
        <v>13621</v>
      </c>
      <c r="F2707" s="1" t="s">
        <v>13622</v>
      </c>
      <c r="G2707" s="1" t="s">
        <v>13623</v>
      </c>
      <c r="H2707" s="1" t="str">
        <f>IFERROR(__xludf.DUMMYFUNCTION("GOOGLETRANSLATE(D2707,""EN"",""JA"")"),"クレブシエラ・アエロゲネスDNA")</f>
        <v>クレブシエラ・アエロゲネスDNA</v>
      </c>
      <c r="I2707" s="1" t="str">
        <f>IFERROR(__xludf.DUMMYFUNCTION("GOOGLETRANSLATE(E2707,""EN"",""JA"")"),"クレブシエラ・アエロゲネスDNA")</f>
        <v>クレブシエラ・アエロゲネスDNA</v>
      </c>
      <c r="J2707" s="1" t="str">
        <f>IFERROR(__xludf.DUMMYFUNCTION("GOOGLETRANSLATE(F2707,""EN"",""JA"")"),"生物標本中の Klebsiella aerogenes DNA の測定。")</f>
        <v>生物標本中の Klebsiella aerogenes DNA の測定。</v>
      </c>
      <c r="K2707" s="1" t="str">
        <f>IFERROR(__xludf.DUMMYFUNCTION("GOOGLETRANSLATE(G2707,""EN"",""JA"")"),"クレブシエラ・アエロゲネスDNA測定")</f>
        <v>クレブシエラ・アエロゲネスDNA測定</v>
      </c>
    </row>
    <row r="2708" ht="13.5" customHeight="1">
      <c r="A2708" s="1" t="s">
        <v>11</v>
      </c>
      <c r="B2708" s="1" t="s">
        <v>13624</v>
      </c>
      <c r="C2708" s="1" t="s">
        <v>13625</v>
      </c>
      <c r="D2708" s="1" t="s">
        <v>13626</v>
      </c>
      <c r="E2708" s="1" t="s">
        <v>13626</v>
      </c>
      <c r="F2708" s="1" t="s">
        <v>13627</v>
      </c>
      <c r="G2708" s="1" t="s">
        <v>13628</v>
      </c>
      <c r="H2708" s="1" t="str">
        <f>IFERROR(__xludf.DUMMYFUNCTION("GOOGLETRANSLATE(D2708,""EN"",""JA"")"),"カッパ軽鎖")</f>
        <v>カッパ軽鎖</v>
      </c>
      <c r="I2708" s="1" t="str">
        <f>IFERROR(__xludf.DUMMYFUNCTION("GOOGLETRANSLATE(E2708,""EN"",""JA"")"),"カッパ軽鎖")</f>
        <v>カッパ軽鎖</v>
      </c>
      <c r="J2708" s="1" t="str">
        <f>IFERROR(__xludf.DUMMYFUNCTION("GOOGLETRANSLATE(F2708,""EN"",""JA"")"),"生物標本中のカッパ軽鎖の総量の測定。")</f>
        <v>生物標本中のカッパ軽鎖の総量の測定。</v>
      </c>
      <c r="K2708" s="1" t="str">
        <f>IFERROR(__xludf.DUMMYFUNCTION("GOOGLETRANSLATE(G2708,""EN"",""JA"")"),"カッパ軽鎖測定")</f>
        <v>カッパ軽鎖測定</v>
      </c>
    </row>
    <row r="2709" ht="13.5" customHeight="1">
      <c r="A2709" s="1" t="s">
        <v>11</v>
      </c>
      <c r="B2709" s="1" t="s">
        <v>13629</v>
      </c>
      <c r="C2709" s="1" t="s">
        <v>13630</v>
      </c>
      <c r="D2709" s="1" t="s">
        <v>13631</v>
      </c>
      <c r="E2709" s="1" t="s">
        <v>13631</v>
      </c>
      <c r="F2709" s="1" t="s">
        <v>13632</v>
      </c>
      <c r="G2709" s="1" t="s">
        <v>13633</v>
      </c>
      <c r="H2709" s="1" t="str">
        <f>IFERROR(__xludf.DUMMYFUNCTION("GOOGLETRANSLATE(D2709,""EN"",""JA"")"),"ケトベミドン")</f>
        <v>ケトベミドン</v>
      </c>
      <c r="I2709" s="1" t="str">
        <f>IFERROR(__xludf.DUMMYFUNCTION("GOOGLETRANSLATE(E2709,""EN"",""JA"")"),"ケトベミドン")</f>
        <v>ケトベミドン</v>
      </c>
      <c r="J2709" s="1" t="str">
        <f>IFERROR(__xludf.DUMMYFUNCTION("GOOGLETRANSLATE(F2709,""EN"",""JA"")"),"生物標本中のケトベミドンの測定。")</f>
        <v>生物標本中のケトベミドンの測定。</v>
      </c>
      <c r="K2709" s="1" t="str">
        <f>IFERROR(__xludf.DUMMYFUNCTION("GOOGLETRANSLATE(G2709,""EN"",""JA"")"),"ケトベミドン測定")</f>
        <v>ケトベミドン測定</v>
      </c>
    </row>
    <row r="2710" ht="13.5" customHeight="1">
      <c r="A2710" s="1" t="s">
        <v>11</v>
      </c>
      <c r="B2710" s="1" t="s">
        <v>13634</v>
      </c>
      <c r="C2710" s="1" t="s">
        <v>13635</v>
      </c>
      <c r="D2710" s="1" t="s">
        <v>13636</v>
      </c>
      <c r="E2710" s="1" t="s">
        <v>13636</v>
      </c>
      <c r="F2710" s="1" t="s">
        <v>13637</v>
      </c>
      <c r="G2710" s="1" t="s">
        <v>13638</v>
      </c>
      <c r="H2710" s="1" t="str">
        <f>IFERROR(__xludf.DUMMYFUNCTION("GOOGLETRANSLATE(D2710,""EN"",""JA"")"),"カリウムクリアランス")</f>
        <v>カリウムクリアランス</v>
      </c>
      <c r="I2710" s="1" t="str">
        <f>IFERROR(__xludf.DUMMYFUNCTION("GOOGLETRANSLATE(E2710,""EN"",""JA"")"),"カリウムクリアランス")</f>
        <v>カリウムクリアランス</v>
      </c>
      <c r="J2710" s="1" t="str">
        <f>IFERROR(__xludf.DUMMYFUNCTION("GOOGLETRANSLATE(F2710,""EN"",""JA"")"),"指定された時間単位（例：1 分）に尿として排出され、カリウムが除去される血清または血漿の量の測定値。")</f>
        <v>指定された時間単位（例：1 分）に尿として排出され、カリウムが除去される血清または血漿の量の測定値。</v>
      </c>
      <c r="K2710" s="1" t="str">
        <f>IFERROR(__xludf.DUMMYFUNCTION("GOOGLETRANSLATE(G2710,""EN"",""JA"")"),"カリウムクリアランス測定")</f>
        <v>カリウムクリアランス測定</v>
      </c>
    </row>
    <row r="2711" ht="13.5" customHeight="1">
      <c r="A2711" s="1" t="s">
        <v>11</v>
      </c>
      <c r="B2711" s="1" t="s">
        <v>13639</v>
      </c>
      <c r="C2711" s="1" t="s">
        <v>13640</v>
      </c>
      <c r="D2711" s="1" t="s">
        <v>13641</v>
      </c>
      <c r="E2711" s="1" t="s">
        <v>13641</v>
      </c>
      <c r="F2711" s="1" t="s">
        <v>13642</v>
      </c>
      <c r="G2711" s="1" t="s">
        <v>13643</v>
      </c>
      <c r="H2711" s="1" t="str">
        <f>IFERROR(__xludf.DUMMYFUNCTION("GOOGLETRANSLATE(D2711,""EN"",""JA"")"),"カリウム/クレアチニン")</f>
        <v>カリウム/クレアチニン</v>
      </c>
      <c r="I2711" s="1" t="str">
        <f>IFERROR(__xludf.DUMMYFUNCTION("GOOGLETRANSLATE(E2711,""EN"",""JA"")"),"カリウム/クレアチニン")</f>
        <v>カリウム/クレアチニン</v>
      </c>
      <c r="J2711" s="1" t="str">
        <f>IFERROR(__xludf.DUMMYFUNCTION("GOOGLETRANSLATE(F2711,""EN"",""JA"")"),"生物標本中のカリウムとクレアチニンの相対的な測定値（比率またはパーセンテージ）。")</f>
        <v>生物標本中のカリウムとクレアチニンの相対的な測定値（比率またはパーセンテージ）。</v>
      </c>
      <c r="K2711" s="1" t="str">
        <f>IFERROR(__xludf.DUMMYFUNCTION("GOOGLETRANSLATE(G2711,""EN"",""JA"")"),"カリウム対クレアチニン比測定")</f>
        <v>カリウム対クレアチニン比測定</v>
      </c>
    </row>
    <row r="2712" ht="13.5" customHeight="1">
      <c r="A2712" s="1" t="s">
        <v>870</v>
      </c>
      <c r="B2712" s="1" t="s">
        <v>13644</v>
      </c>
      <c r="C2712" s="1" t="s">
        <v>13645</v>
      </c>
      <c r="D2712" s="1" t="s">
        <v>13646</v>
      </c>
      <c r="E2712" s="1" t="s">
        <v>13646</v>
      </c>
      <c r="F2712" s="1" t="s">
        <v>13647</v>
      </c>
      <c r="G2712" s="1" t="s">
        <v>13646</v>
      </c>
      <c r="H2712" s="1" t="str">
        <f>IFERROR(__xludf.DUMMYFUNCTION("GOOGLETRANSLATE(D2712,""EN"",""JA"")"),"K分布の傾き")</f>
        <v>K分布の傾き</v>
      </c>
      <c r="I2712" s="1" t="str">
        <f>IFERROR(__xludf.DUMMYFUNCTION("GOOGLETRANSLATE(E2712,""EN"",""JA"")"),"K分布の傾き")</f>
        <v>K分布の傾き</v>
      </c>
      <c r="J2712" s="1" t="str">
        <f>IFERROR(__xludf.DUMMYFUNCTION("GOOGLETRANSLATE(F2712,""EN"",""JA"")"),"分配率定数。")</f>
        <v>分配率定数。</v>
      </c>
      <c r="K2712" s="1" t="str">
        <f>IFERROR(__xludf.DUMMYFUNCTION("GOOGLETRANSLATE(G2712,""EN"",""JA"")"),"K分布の傾き")</f>
        <v>K分布の傾き</v>
      </c>
    </row>
    <row r="2713" ht="13.5" customHeight="1">
      <c r="A2713" s="1" t="s">
        <v>11</v>
      </c>
      <c r="B2713" s="1" t="s">
        <v>13648</v>
      </c>
      <c r="C2713" s="1" t="s">
        <v>13649</v>
      </c>
      <c r="D2713" s="1" t="s">
        <v>13650</v>
      </c>
      <c r="E2713" s="1" t="s">
        <v>13650</v>
      </c>
      <c r="F2713" s="1" t="s">
        <v>13651</v>
      </c>
      <c r="G2713" s="1" t="s">
        <v>13652</v>
      </c>
      <c r="H2713" s="1" t="str">
        <f>IFERROR(__xludf.DUMMYFUNCTION("GOOGLETRANSLATE(D2713,""EN"",""JA"")"),"角膜実質細胞")</f>
        <v>角膜実質細胞</v>
      </c>
      <c r="I2713" s="1" t="str">
        <f>IFERROR(__xludf.DUMMYFUNCTION("GOOGLETRANSLATE(E2713,""EN"",""JA"")"),"角膜実質細胞")</f>
        <v>角膜実質細胞</v>
      </c>
      <c r="J2713" s="1" t="str">
        <f>IFERROR(__xludf.DUMMYFUNCTION("GOOGLETRANSLATE(F2713,""EN"",""JA"")"),"生物標本内の角膜実質細胞の測定。")</f>
        <v>生物標本内の角膜実質細胞の測定。</v>
      </c>
      <c r="K2713" s="1" t="str">
        <f>IFERROR(__xludf.DUMMYFUNCTION("GOOGLETRANSLATE(G2713,""EN"",""JA"")"),"角膜実質細胞数")</f>
        <v>角膜実質細胞数</v>
      </c>
    </row>
    <row r="2714" ht="13.5" customHeight="1">
      <c r="A2714" s="1" t="s">
        <v>11</v>
      </c>
      <c r="B2714" s="1" t="s">
        <v>13653</v>
      </c>
      <c r="C2714" s="1" t="s">
        <v>13654</v>
      </c>
      <c r="D2714" s="1" t="s">
        <v>13655</v>
      </c>
      <c r="E2714" s="1" t="s">
        <v>13655</v>
      </c>
      <c r="F2714" s="1" t="s">
        <v>13656</v>
      </c>
      <c r="G2714" s="1" t="s">
        <v>13657</v>
      </c>
      <c r="H2714" s="1" t="str">
        <f>IFERROR(__xludf.DUMMYFUNCTION("GOOGLETRANSLATE(D2714,""EN"",""JA"")"),"ケタミン")</f>
        <v>ケタミン</v>
      </c>
      <c r="I2714" s="1" t="str">
        <f>IFERROR(__xludf.DUMMYFUNCTION("GOOGLETRANSLATE(E2714,""EN"",""JA"")"),"ケタミン")</f>
        <v>ケタミン</v>
      </c>
      <c r="J2714" s="1" t="str">
        <f>IFERROR(__xludf.DUMMYFUNCTION("GOOGLETRANSLATE(F2714,""EN"",""JA"")"),"生物標本中のケタミンの測定。")</f>
        <v>生物標本中のケタミンの測定。</v>
      </c>
      <c r="K2714" s="1" t="str">
        <f>IFERROR(__xludf.DUMMYFUNCTION("GOOGLETRANSLATE(G2714,""EN"",""JA"")"),"ケタミン測定")</f>
        <v>ケタミン測定</v>
      </c>
    </row>
    <row r="2715" ht="13.5" customHeight="1">
      <c r="A2715" s="1" t="s">
        <v>11</v>
      </c>
      <c r="B2715" s="1" t="s">
        <v>13658</v>
      </c>
      <c r="C2715" s="1" t="s">
        <v>13659</v>
      </c>
      <c r="D2715" s="1" t="s">
        <v>13660</v>
      </c>
      <c r="E2715" s="1" t="s">
        <v>13660</v>
      </c>
      <c r="F2715" s="1" t="s">
        <v>13661</v>
      </c>
      <c r="G2715" s="1" t="s">
        <v>13662</v>
      </c>
      <c r="H2715" s="1" t="str">
        <f>IFERROR(__xludf.DUMMYFUNCTION("GOOGLETRANSLATE(D2715,""EN"",""JA"")"),"ケトン体")</f>
        <v>ケトン体</v>
      </c>
      <c r="I2715" s="1" t="str">
        <f>IFERROR(__xludf.DUMMYFUNCTION("GOOGLETRANSLATE(E2715,""EN"",""JA"")"),"ケトン体")</f>
        <v>ケトン体</v>
      </c>
      <c r="J2715" s="1" t="str">
        <f>IFERROR(__xludf.DUMMYFUNCTION("GOOGLETRANSLATE(F2715,""EN"",""JA"")"),"生物標本中のケトン体（アセトン、アセト酢酸、β-ヒドロキシ酪酸、β-ケトペンタノ酸、β-ヒドロキシペンタノ酸）の測定。")</f>
        <v>生物標本中のケトン体（アセトン、アセト酢酸、β-ヒドロキシ酪酸、β-ケトペンタノ酸、β-ヒドロキシペンタノ酸）の測定。</v>
      </c>
      <c r="K2715" s="1" t="str">
        <f>IFERROR(__xludf.DUMMYFUNCTION("GOOGLETRANSLATE(G2715,""EN"",""JA"")"),"ケトン体測定")</f>
        <v>ケトン体測定</v>
      </c>
    </row>
    <row r="2716" ht="13.5" customHeight="1">
      <c r="A2716" s="1" t="s">
        <v>11</v>
      </c>
      <c r="B2716" s="1" t="s">
        <v>13663</v>
      </c>
      <c r="C2716" s="1" t="s">
        <v>13664</v>
      </c>
      <c r="D2716" s="1" t="s">
        <v>13665</v>
      </c>
      <c r="E2716" s="1" t="s">
        <v>13665</v>
      </c>
      <c r="F2716" s="1" t="s">
        <v>13666</v>
      </c>
      <c r="G2716" s="1" t="s">
        <v>13667</v>
      </c>
      <c r="H2716" s="1" t="str">
        <f>IFERROR(__xludf.DUMMYFUNCTION("GOOGLETRANSLATE(D2716,""EN"",""JA"")"),"ケトン")</f>
        <v>ケトン</v>
      </c>
      <c r="I2716" s="1" t="str">
        <f>IFERROR(__xludf.DUMMYFUNCTION("GOOGLETRANSLATE(E2716,""EN"",""JA"")"),"ケトン")</f>
        <v>ケトン</v>
      </c>
      <c r="J2716" s="1" t="str">
        <f>IFERROR(__xludf.DUMMYFUNCTION("GOOGLETRANSLATE(F2716,""EN"",""JA"")"),"生物標本中のケトンの測定。")</f>
        <v>生物標本中のケトンの測定。</v>
      </c>
      <c r="K2716" s="1" t="str">
        <f>IFERROR(__xludf.DUMMYFUNCTION("GOOGLETRANSLATE(G2716,""EN"",""JA"")"),"ケトン測定")</f>
        <v>ケトン測定</v>
      </c>
    </row>
    <row r="2717" ht="13.5" customHeight="1">
      <c r="A2717" s="1" t="s">
        <v>11</v>
      </c>
      <c r="B2717" s="1" t="s">
        <v>13668</v>
      </c>
      <c r="C2717" s="1" t="s">
        <v>13669</v>
      </c>
      <c r="D2717" s="1" t="s">
        <v>13670</v>
      </c>
      <c r="E2717" s="1" t="s">
        <v>13670</v>
      </c>
      <c r="F2717" s="1" t="s">
        <v>13671</v>
      </c>
      <c r="G2717" s="1" t="s">
        <v>13670</v>
      </c>
      <c r="H2717" s="1" t="str">
        <f>IFERROR(__xludf.DUMMYFUNCTION("GOOGLETRANSLATE(D2717,""EN"",""JA"")"),"カリウム排泄率")</f>
        <v>カリウム排泄率</v>
      </c>
      <c r="I2717" s="1" t="str">
        <f>IFERROR(__xludf.DUMMYFUNCTION("GOOGLETRANSLATE(E2717,""EN"",""JA"")"),"カリウム排泄率")</f>
        <v>カリウム排泄率</v>
      </c>
      <c r="J2717" s="1" t="str">
        <f>IFERROR(__xludf.DUMMYFUNCTION("GOOGLETRANSLATE(F2717,""EN"",""JA"")"),"定義された時間（例：1 時間）にわたって生物標本から排出されるカリウムの量を測定します。")</f>
        <v>定義された時間（例：1 時間）にわたって生物標本から排出されるカリウムの量を測定します。</v>
      </c>
      <c r="K2717" s="1" t="str">
        <f>IFERROR(__xludf.DUMMYFUNCTION("GOOGLETRANSLATE(G2717,""EN"",""JA"")"),"カリウム排泄率")</f>
        <v>カリウム排泄率</v>
      </c>
    </row>
    <row r="2718" ht="13.5" customHeight="1">
      <c r="A2718" s="1" t="s">
        <v>397</v>
      </c>
      <c r="B2718" s="1" t="s">
        <v>13672</v>
      </c>
      <c r="C2718" s="1" t="s">
        <v>13673</v>
      </c>
      <c r="D2718" s="1" t="s">
        <v>13674</v>
      </c>
      <c r="E2718" s="1" t="s">
        <v>13674</v>
      </c>
      <c r="F2718" s="1" t="s">
        <v>13675</v>
      </c>
      <c r="G2718" s="1" t="s">
        <v>13674</v>
      </c>
      <c r="H2718" s="1" t="str">
        <f>IFERROR(__xludf.DUMMYFUNCTION("GOOGLETRANSLATE(D2718,""EN"",""JA"")"),"プロトコルキーワード")</f>
        <v>プロトコルキーワード</v>
      </c>
      <c r="I2718" s="1" t="str">
        <f>IFERROR(__xludf.DUMMYFUNCTION("GOOGLETRANSLATE(E2718,""EN"",""JA"")"),"プロトコルキーワード")</f>
        <v>プロトコルキーワード</v>
      </c>
      <c r="J2718" s="1" t="str">
        <f>IFERROR(__xludf.DUMMYFUNCTION("GOOGLETRANSLATE(F2718,""EN"",""JA"")"),"プロトコルの焦点を伝えるために設計された単語または短い単語のセット。")</f>
        <v>プロトコルの焦点を伝えるために設計された単語または短い単語のセット。</v>
      </c>
      <c r="K2718" s="1" t="str">
        <f>IFERROR(__xludf.DUMMYFUNCTION("GOOGLETRANSLATE(G2718,""EN"",""JA"")"),"プロトコルキーワード")</f>
        <v>プロトコルキーワード</v>
      </c>
    </row>
    <row r="2719" ht="13.5" customHeight="1">
      <c r="A2719" s="1" t="s">
        <v>134</v>
      </c>
      <c r="B2719" s="1" t="s">
        <v>13676</v>
      </c>
      <c r="C2719" s="1" t="s">
        <v>13677</v>
      </c>
      <c r="D2719" s="1" t="s">
        <v>13678</v>
      </c>
      <c r="E2719" s="1" t="s">
        <v>13679</v>
      </c>
      <c r="F2719" s="1" t="s">
        <v>13680</v>
      </c>
      <c r="G2719" s="1" t="s">
        <v>13681</v>
      </c>
      <c r="H2719" s="1" t="str">
        <f>IFERROR(__xludf.DUMMYFUNCTION("GOOGLETRANSLATE(D2719,""EN"",""JA"")"),"キ67")</f>
        <v>キ67</v>
      </c>
      <c r="I2719" s="1" t="str">
        <f>IFERROR(__xludf.DUMMYFUNCTION("GOOGLETRANSLATE(E2719,""EN"",""JA"")"),"Ki-67; KI67; MKI67; pKi-67")</f>
        <v>Ki-67; KI67; MKI67; pKi-67</v>
      </c>
      <c r="J2719" s="1" t="str">
        <f>IFERROR(__xludf.DUMMYFUNCTION("GOOGLETRANSLATE(F2719,""EN"",""JA"")"),"生物標本中の Ki-67 タンパク質の測定。")</f>
        <v>生物標本中の Ki-67 タンパク質の測定。</v>
      </c>
      <c r="K2719" s="1" t="str">
        <f>IFERROR(__xludf.DUMMYFUNCTION("GOOGLETRANSLATE(G2719,""EN"",""JA"")"),"Ki67測定")</f>
        <v>Ki67測定</v>
      </c>
    </row>
    <row r="2720" ht="13.5" customHeight="1">
      <c r="A2720" s="1" t="s">
        <v>11</v>
      </c>
      <c r="B2720" s="1" t="s">
        <v>13676</v>
      </c>
      <c r="C2720" s="1" t="s">
        <v>13677</v>
      </c>
      <c r="D2720" s="1" t="s">
        <v>13678</v>
      </c>
      <c r="E2720" s="1" t="s">
        <v>13679</v>
      </c>
      <c r="F2720" s="1" t="s">
        <v>13680</v>
      </c>
      <c r="G2720" s="1" t="s">
        <v>13681</v>
      </c>
      <c r="H2720" s="1" t="str">
        <f>IFERROR(__xludf.DUMMYFUNCTION("GOOGLETRANSLATE(D2720,""EN"",""JA"")"),"キ67")</f>
        <v>キ67</v>
      </c>
      <c r="I2720" s="1" t="str">
        <f>IFERROR(__xludf.DUMMYFUNCTION("GOOGLETRANSLATE(E2720,""EN"",""JA"")"),"Ki-67; KI67; MKI67; pKi-67")</f>
        <v>Ki-67; KI67; MKI67; pKi-67</v>
      </c>
      <c r="J2720" s="1" t="str">
        <f>IFERROR(__xludf.DUMMYFUNCTION("GOOGLETRANSLATE(F2720,""EN"",""JA"")"),"生物標本中の Ki-67 タンパク質の測定。")</f>
        <v>生物標本中の Ki-67 タンパク質の測定。</v>
      </c>
      <c r="K2720" s="1" t="str">
        <f>IFERROR(__xludf.DUMMYFUNCTION("GOOGLETRANSLATE(G2720,""EN"",""JA"")"),"Ki67測定")</f>
        <v>Ki67測定</v>
      </c>
    </row>
    <row r="2721" ht="13.5" customHeight="1">
      <c r="A2721" s="1" t="s">
        <v>11</v>
      </c>
      <c r="B2721" s="1" t="s">
        <v>13682</v>
      </c>
      <c r="C2721" s="1" t="s">
        <v>13683</v>
      </c>
      <c r="D2721" s="1" t="s">
        <v>13684</v>
      </c>
      <c r="E2721" s="1" t="s">
        <v>13685</v>
      </c>
      <c r="F2721" s="1" t="s">
        <v>13686</v>
      </c>
      <c r="G2721" s="1" t="s">
        <v>13687</v>
      </c>
      <c r="H2721" s="1" t="str">
        <f>IFERROR(__xludf.DUMMYFUNCTION("GOOGLETRANSLATE(D2721,""EN"",""JA"")"),"腎臓損傷分子-1")</f>
        <v>腎臓損傷分子-1</v>
      </c>
      <c r="I2721" s="1" t="str">
        <f>IFERROR(__xludf.DUMMYFUNCTION("GOOGLETRANSLATE(E2721,""EN"",""JA"")"),"A型肝炎ウイルス細胞受容体1；腎障害分子1；KIM-1")</f>
        <v>A型肝炎ウイルス細胞受容体1；腎障害分子1；KIM-1</v>
      </c>
      <c r="J2721" s="1" t="str">
        <f>IFERROR(__xludf.DUMMYFUNCTION("GOOGLETRANSLATE(F2721,""EN"",""JA"")"),"生物標本中の腎臓損傷分子-1 (Kim-1) の測定。")</f>
        <v>生物標本中の腎臓損傷分子-1 (Kim-1) の測定。</v>
      </c>
      <c r="K2721" s="1" t="str">
        <f>IFERROR(__xludf.DUMMYFUNCTION("GOOGLETRANSLATE(G2721,""EN"",""JA"")"),"腎臓損傷分子-1の測定")</f>
        <v>腎臓損傷分子-1の測定</v>
      </c>
    </row>
    <row r="2722" ht="13.5" customHeight="1">
      <c r="A2722" s="1" t="s">
        <v>11</v>
      </c>
      <c r="B2722" s="1" t="s">
        <v>13688</v>
      </c>
      <c r="C2722" s="1" t="s">
        <v>13689</v>
      </c>
      <c r="D2722" s="1" t="s">
        <v>13690</v>
      </c>
      <c r="E2722" s="1" t="s">
        <v>13690</v>
      </c>
      <c r="F2722" s="1" t="s">
        <v>13691</v>
      </c>
      <c r="G2722" s="1" t="s">
        <v>13692</v>
      </c>
      <c r="H2722" s="1" t="str">
        <f>IFERROR(__xludf.DUMMYFUNCTION("GOOGLETRANSLATE(D2722,""EN"",""JA"")"),"腎障害分子-1/クレアチニン")</f>
        <v>腎障害分子-1/クレアチニン</v>
      </c>
      <c r="I2722" s="1" t="str">
        <f>IFERROR(__xludf.DUMMYFUNCTION("GOOGLETRANSLATE(E2722,""EN"",""JA"")"),"腎障害分子-1/クレアチニン")</f>
        <v>腎障害分子-1/クレアチニン</v>
      </c>
      <c r="J2722" s="1" t="str">
        <f>IFERROR(__xludf.DUMMYFUNCTION("GOOGLETRANSLATE(F2722,""EN"",""JA"")"),"生物学的標本中のクレアチニンに対する腎障害分子-1の相対的な測定値（比率またはパーセンテージ）。")</f>
        <v>生物学的標本中のクレアチニンに対する腎障害分子-1の相対的な測定値（比率またはパーセンテージ）。</v>
      </c>
      <c r="K2722" s="1" t="str">
        <f>IFERROR(__xludf.DUMMYFUNCTION("GOOGLETRANSLATE(G2722,""EN"",""JA"")"),"腎障害分子-1/クレアチニン比測定")</f>
        <v>腎障害分子-1/クレアチニン比測定</v>
      </c>
    </row>
    <row r="2723" ht="13.5" customHeight="1">
      <c r="A2723" s="1" t="s">
        <v>11</v>
      </c>
      <c r="B2723" s="1" t="s">
        <v>13693</v>
      </c>
      <c r="C2723" s="1" t="s">
        <v>13694</v>
      </c>
      <c r="D2723" s="1" t="s">
        <v>13695</v>
      </c>
      <c r="E2723" s="1" t="s">
        <v>13695</v>
      </c>
      <c r="F2723" s="1" t="s">
        <v>13696</v>
      </c>
      <c r="G2723" s="1" t="s">
        <v>13695</v>
      </c>
      <c r="H2723" s="1" t="str">
        <f>IFERROR(__xludf.DUMMYFUNCTION("GOOGLETRANSLATE(D2723,""EN"",""JA"")"),"腎障害分子-1排泄率")</f>
        <v>腎障害分子-1排泄率</v>
      </c>
      <c r="I2723" s="1" t="str">
        <f>IFERROR(__xludf.DUMMYFUNCTION("GOOGLETRANSLATE(E2723,""EN"",""JA"")"),"腎障害分子-1排泄率")</f>
        <v>腎障害分子-1排泄率</v>
      </c>
      <c r="J2723" s="1" t="str">
        <f>IFERROR(__xludf.DUMMYFUNCTION("GOOGLETRANSLATE(F2723,""EN"",""JA"")"),"定義された時間（例：1時間）にわたって生物学的標本中に排泄される腎障害分子-1の量を測定します。")</f>
        <v>定義された時間（例：1時間）にわたって生物学的標本中に排泄される腎障害分子-1の量を測定します。</v>
      </c>
      <c r="K2723" s="1" t="str">
        <f>IFERROR(__xludf.DUMMYFUNCTION("GOOGLETRANSLATE(G2723,""EN"",""JA"")"),"腎障害分子-1排泄率")</f>
        <v>腎障害分子-1排泄率</v>
      </c>
    </row>
    <row r="2724" ht="13.5" customHeight="1">
      <c r="A2724" s="1" t="s">
        <v>11</v>
      </c>
      <c r="B2724" s="1" t="s">
        <v>13697</v>
      </c>
      <c r="C2724" s="1" t="s">
        <v>13698</v>
      </c>
      <c r="D2724" s="1" t="s">
        <v>13699</v>
      </c>
      <c r="E2724" s="1" t="s">
        <v>13700</v>
      </c>
      <c r="F2724" s="1" t="s">
        <v>13701</v>
      </c>
      <c r="G2724" s="1" t="s">
        <v>13702</v>
      </c>
      <c r="H2724" s="1" t="str">
        <f>IFERROR(__xludf.DUMMYFUNCTION("GOOGLETRANSLATE(D2724,""EN"",""JA"")"),"可溶性腎障害分子-1")</f>
        <v>可溶性腎障害分子-1</v>
      </c>
      <c r="I2724" s="1" t="str">
        <f>IFERROR(__xludf.DUMMYFUNCTION("GOOGLETRANSLATE(E2724,""EN"",""JA"")"),"可溶性A型肝炎ウイルス細胞受容体1；可溶性腎障害分子1；可溶性KIM-1")</f>
        <v>可溶性A型肝炎ウイルス細胞受容体1；可溶性腎障害分子1；可溶性KIM-1</v>
      </c>
      <c r="J2724" s="1" t="str">
        <f>IFERROR(__xludf.DUMMYFUNCTION("GOOGLETRANSLATE(F2724,""EN"",""JA"")"),"生物標本中の可溶性腎障害分子-1の測定。")</f>
        <v>生物標本中の可溶性腎障害分子-1の測定。</v>
      </c>
      <c r="K2724" s="1" t="str">
        <f>IFERROR(__xludf.DUMMYFUNCTION("GOOGLETRANSLATE(G2724,""EN"",""JA"")"),"可溶性腎障害分子-1の測定")</f>
        <v>可溶性腎障害分子-1の測定</v>
      </c>
    </row>
    <row r="2725" ht="13.5" customHeight="1">
      <c r="A2725" s="1" t="s">
        <v>11</v>
      </c>
      <c r="B2725" s="1" t="s">
        <v>13703</v>
      </c>
      <c r="C2725" s="1" t="s">
        <v>13704</v>
      </c>
      <c r="D2725" s="1" t="s">
        <v>13705</v>
      </c>
      <c r="E2725" s="1" t="s">
        <v>13706</v>
      </c>
      <c r="F2725" s="1" t="s">
        <v>13707</v>
      </c>
      <c r="G2725" s="1" t="s">
        <v>13708</v>
      </c>
      <c r="H2725" s="1" t="str">
        <f>IFERROR(__xludf.DUMMYFUNCTION("GOOGLETRANSLATE(D2725,""EN"",""JA"")"),"クレブス・フォン・デン・ルンゲン-6")</f>
        <v>クレブス・フォン・デン・ルンゲン-6</v>
      </c>
      <c r="I2725" s="1" t="str">
        <f>IFERROR(__xludf.DUMMYFUNCTION("GOOGLETRANSLATE(E2725,""EN"",""JA"")"),"KL-6;クレブス・フォン・デン・ルンゲン-6抗原")</f>
        <v>KL-6;クレブス・フォン・デン・ルンゲン-6抗原</v>
      </c>
      <c r="J2725" s="1" t="str">
        <f>IFERROR(__xludf.DUMMYFUNCTION("GOOGLETRANSLATE(F2725,""EN"",""JA"")"),"生物学的標本のクレブス・フォン・デン・ルンゲン-6の測定。")</f>
        <v>生物学的標本のクレブス・フォン・デン・ルンゲン-6の測定。</v>
      </c>
      <c r="K2725" s="1" t="str">
        <f>IFERROR(__xludf.DUMMYFUNCTION("GOOGLETRANSLATE(G2725,""EN"",""JA"")"),"クレブス・フォン・デン・ルンゲン-6 の測定")</f>
        <v>クレブス・フォン・デン・ルンゲン-6 の測定</v>
      </c>
    </row>
    <row r="2726" ht="13.5" customHeight="1">
      <c r="A2726" s="1" t="s">
        <v>11</v>
      </c>
      <c r="B2726" s="1" t="s">
        <v>13709</v>
      </c>
      <c r="C2726" s="1" t="s">
        <v>13710</v>
      </c>
      <c r="D2726" s="1" t="s">
        <v>13711</v>
      </c>
      <c r="E2726" s="1" t="s">
        <v>13712</v>
      </c>
      <c r="F2726" s="1" t="s">
        <v>13713</v>
      </c>
      <c r="G2726" s="1" t="s">
        <v>13714</v>
      </c>
      <c r="H2726" s="1" t="str">
        <f>IFERROR(__xludf.DUMMYFUNCTION("GOOGLETRANSLATE(D2726,""EN"",""JA"")"),"カッパ軽鎖、遊離")</f>
        <v>カッパ軽鎖、遊離</v>
      </c>
      <c r="I2726" s="1" t="str">
        <f>IFERROR(__xludf.DUMMYFUNCTION("GOOGLETRANSLATE(E2726,""EN"",""JA"")"),"ベンス・ジョーンズ、カッパ；カッパ軽鎖、遊離")</f>
        <v>ベンス・ジョーンズ、カッパ；カッパ軽鎖、遊離</v>
      </c>
      <c r="J2726" s="1" t="str">
        <f>IFERROR(__xludf.DUMMYFUNCTION("GOOGLETRANSLATE(F2726,""EN"",""JA"")"),"生物標本中の遊離カッパ軽鎖の測定。")</f>
        <v>生物標本中の遊離カッパ軽鎖の測定。</v>
      </c>
      <c r="K2726" s="1" t="str">
        <f>IFERROR(__xludf.DUMMYFUNCTION("GOOGLETRANSLATE(G2726,""EN"",""JA"")"),"フリーカッパ軽鎖測定")</f>
        <v>フリーカッパ軽鎖測定</v>
      </c>
    </row>
    <row r="2727" ht="13.5" customHeight="1">
      <c r="A2727" s="1" t="s">
        <v>11</v>
      </c>
      <c r="B2727" s="1" t="s">
        <v>13715</v>
      </c>
      <c r="C2727" s="1" t="s">
        <v>13716</v>
      </c>
      <c r="D2727" s="1" t="s">
        <v>13717</v>
      </c>
      <c r="E2727" s="1" t="s">
        <v>13718</v>
      </c>
      <c r="F2727" s="1" t="s">
        <v>13719</v>
      </c>
      <c r="G2727" s="1" t="s">
        <v>13720</v>
      </c>
      <c r="H2727" s="1" t="str">
        <f>IFERROR(__xludf.DUMMYFUNCTION("GOOGLETRANSLATE(D2727,""EN"",""JA"")"),"カッパ軽鎖/ラムダ軽鎖")</f>
        <v>カッパ軽鎖/ラムダ軽鎖</v>
      </c>
      <c r="I2727" s="1" t="str">
        <f>IFERROR(__xludf.DUMMYFUNCTION("GOOGLETRANSLATE(E2727,""EN"",""JA"")"),"カッパラムダ比; カッパ軽鎖/ラムダ軽鎖")</f>
        <v>カッパラムダ比; カッパ軽鎖/ラムダ軽鎖</v>
      </c>
      <c r="J2727" s="1" t="str">
        <f>IFERROR(__xludf.DUMMYFUNCTION("GOOGLETRANSLATE(F2727,""EN"",""JA"")"),"生物標本中のカッパ軽鎖総量とラムダ軽鎖総量の相対測定値（比率）。")</f>
        <v>生物標本中のカッパ軽鎖総量とラムダ軽鎖総量の相対測定値（比率）。</v>
      </c>
      <c r="K2727" s="1" t="str">
        <f>IFERROR(__xludf.DUMMYFUNCTION("GOOGLETRANSLATE(G2727,""EN"",""JA"")"),"カッパ軽鎖とラムダ軽鎖の比の測定")</f>
        <v>カッパ軽鎖とラムダ軽鎖の比の測定</v>
      </c>
    </row>
    <row r="2728" ht="13.5" customHeight="1">
      <c r="A2728" s="1" t="s">
        <v>11</v>
      </c>
      <c r="B2728" s="1" t="s">
        <v>13721</v>
      </c>
      <c r="C2728" s="1" t="s">
        <v>13722</v>
      </c>
      <c r="D2728" s="1" t="s">
        <v>13723</v>
      </c>
      <c r="E2728" s="1" t="s">
        <v>13723</v>
      </c>
      <c r="F2728" s="1" t="s">
        <v>13724</v>
      </c>
      <c r="G2728" s="1" t="s">
        <v>13725</v>
      </c>
      <c r="H2728" s="1" t="str">
        <f>IFERROR(__xludf.DUMMYFUNCTION("GOOGLETRANSLATE(D2728,""EN"",""JA"")"),"カッパ Lt チェーン、フリー/ラムダ Lt チェーン、フリー")</f>
        <v>カッパ Lt チェーン、フリー/ラムダ Lt チェーン、フリー</v>
      </c>
      <c r="I2728" s="1" t="str">
        <f>IFERROR(__xludf.DUMMYFUNCTION("GOOGLETRANSLATE(E2728,""EN"",""JA"")"),"カッパ Lt チェーン、フリー/ラムダ Lt チェーン、フリー")</f>
        <v>カッパ Lt チェーン、フリー/ラムダ Lt チェーン、フリー</v>
      </c>
      <c r="J2728" s="1" t="str">
        <f>IFERROR(__xludf.DUMMYFUNCTION("GOOGLETRANSLATE(F2728,""EN"",""JA"")"),"生物標本中の遊離カッパ軽鎖と遊離ラムダ軽鎖の相対的な測定値（比率またはパーセンテージ）。")</f>
        <v>生物標本中の遊離カッパ軽鎖と遊離ラムダ軽鎖の相対的な測定値（比率またはパーセンテージ）。</v>
      </c>
      <c r="K2728" s="1" t="str">
        <f>IFERROR(__xludf.DUMMYFUNCTION("GOOGLETRANSLATE(G2728,""EN"",""JA"")"),"遊離κ軽鎖と遊離λ軽鎖の比の測定")</f>
        <v>遊離κ軽鎖と遊離λ軽鎖の比の測定</v>
      </c>
    </row>
    <row r="2729" ht="13.5" customHeight="1">
      <c r="A2729" s="1" t="s">
        <v>67</v>
      </c>
      <c r="B2729" s="1" t="s">
        <v>13726</v>
      </c>
      <c r="C2729" s="1" t="s">
        <v>13727</v>
      </c>
      <c r="D2729" s="1" t="s">
        <v>13728</v>
      </c>
      <c r="E2729" s="1" t="s">
        <v>13728</v>
      </c>
      <c r="F2729" s="1" t="s">
        <v>13729</v>
      </c>
      <c r="G2729" s="1" t="s">
        <v>13730</v>
      </c>
      <c r="H2729" s="1" t="str">
        <f>IFERROR(__xludf.DUMMYFUNCTION("GOOGLETRANSLATE(D2729,""EN"",""JA"")"),"クレブシエラ")</f>
        <v>クレブシエラ</v>
      </c>
      <c r="I2729" s="1" t="str">
        <f>IFERROR(__xludf.DUMMYFUNCTION("GOOGLETRANSLATE(E2729,""EN"",""JA"")"),"クレブシエラ")</f>
        <v>クレブシエラ</v>
      </c>
      <c r="J2729" s="1" t="str">
        <f>IFERROR(__xludf.DUMMYFUNCTION("GOOGLETRANSLATE(F2729,""EN"",""JA"")"),"生物標本において、種レベルには割り当てられていないが、クレブシエラ属レベルに割り当てられている生物の測定値。")</f>
        <v>生物標本において、種レベルには割り当てられていないが、クレブシエラ属レベルに割り当てられている生物の測定値。</v>
      </c>
      <c r="K2729" s="1" t="str">
        <f>IFERROR(__xludf.DUMMYFUNCTION("GOOGLETRANSLATE(G2729,""EN"",""JA"")"),"クレブシエラ測定")</f>
        <v>クレブシエラ測定</v>
      </c>
    </row>
    <row r="2730" ht="13.5" customHeight="1">
      <c r="A2730" s="1" t="s">
        <v>11</v>
      </c>
      <c r="B2730" s="1" t="s">
        <v>13731</v>
      </c>
      <c r="C2730" s="1" t="s">
        <v>13732</v>
      </c>
      <c r="D2730" s="1" t="s">
        <v>13733</v>
      </c>
      <c r="E2730" s="1" t="s">
        <v>13733</v>
      </c>
      <c r="F2730" s="1" t="s">
        <v>13734</v>
      </c>
      <c r="G2730" s="1" t="s">
        <v>13735</v>
      </c>
      <c r="H2730" s="1" t="str">
        <f>IFERROR(__xludf.DUMMYFUNCTION("GOOGLETRANSLATE(D2730,""EN"",""JA"")"),"カリクレイン-2")</f>
        <v>カリクレイン-2</v>
      </c>
      <c r="I2730" s="1" t="str">
        <f>IFERROR(__xludf.DUMMYFUNCTION("GOOGLETRANSLATE(E2730,""EN"",""JA"")"),"カリクレイン-2")</f>
        <v>カリクレイン-2</v>
      </c>
      <c r="J2730" s="1" t="str">
        <f>IFERROR(__xludf.DUMMYFUNCTION("GOOGLETRANSLATE(F2730,""EN"",""JA"")"),"生物標本中のカリクレイン-2の測定。")</f>
        <v>生物標本中のカリクレイン-2の測定。</v>
      </c>
      <c r="K2730" s="1" t="str">
        <f>IFERROR(__xludf.DUMMYFUNCTION("GOOGLETRANSLATE(G2730,""EN"",""JA"")"),"カリクレイン-2測定")</f>
        <v>カリクレイン-2測定</v>
      </c>
    </row>
    <row r="2731" ht="13.5" customHeight="1">
      <c r="A2731" s="1" t="s">
        <v>11</v>
      </c>
      <c r="B2731" s="1" t="s">
        <v>13736</v>
      </c>
      <c r="C2731" s="1" t="s">
        <v>13737</v>
      </c>
      <c r="D2731" s="1" t="s">
        <v>13738</v>
      </c>
      <c r="E2731" s="1" t="s">
        <v>13739</v>
      </c>
      <c r="F2731" s="1" t="s">
        <v>13740</v>
      </c>
      <c r="G2731" s="1" t="s">
        <v>13741</v>
      </c>
      <c r="H2731" s="1" t="str">
        <f>IFERROR(__xludf.DUMMYFUNCTION("GOOGLETRANSLATE(D2731,""EN"",""JA"")"),"カリクレイン-5")</f>
        <v>カリクレイン-5</v>
      </c>
      <c r="I2731" s="1" t="str">
        <f>IFERROR(__xludf.DUMMYFUNCTION("GOOGLETRANSLATE(E2731,""EN"",""JA"")"),"カリクレイン関連ペプチダーゼ 5;カリクレイン-5;カリクレイン様タンパク質 2; KLK-L2")</f>
        <v>カリクレイン関連ペプチダーゼ 5;カリクレイン-5;カリクレイン様タンパク質 2; KLK-L2</v>
      </c>
      <c r="J2731" s="1" t="str">
        <f>IFERROR(__xludf.DUMMYFUNCTION("GOOGLETRANSLATE(F2731,""EN"",""JA"")"),"生物標本中のカリクレイン-5の測定。")</f>
        <v>生物標本中のカリクレイン-5の測定。</v>
      </c>
      <c r="K2731" s="1" t="str">
        <f>IFERROR(__xludf.DUMMYFUNCTION("GOOGLETRANSLATE(G2731,""EN"",""JA"")"),"カリクレイン-5測定")</f>
        <v>カリクレイン-5測定</v>
      </c>
    </row>
    <row r="2732" ht="13.5" customHeight="1">
      <c r="A2732" s="1" t="s">
        <v>11</v>
      </c>
      <c r="B2732" s="1" t="s">
        <v>13742</v>
      </c>
      <c r="C2732" s="1" t="s">
        <v>13743</v>
      </c>
      <c r="D2732" s="1" t="s">
        <v>13744</v>
      </c>
      <c r="E2732" s="1" t="s">
        <v>13745</v>
      </c>
      <c r="F2732" s="1" t="s">
        <v>13746</v>
      </c>
      <c r="G2732" s="1" t="s">
        <v>13747</v>
      </c>
      <c r="H2732" s="1" t="str">
        <f>IFERROR(__xludf.DUMMYFUNCTION("GOOGLETRANSLATE(D2732,""EN"",""JA"")"),"カリクレイン-7")</f>
        <v>カリクレイン-7</v>
      </c>
      <c r="I2732" s="1" t="str">
        <f>IFERROR(__xludf.DUMMYFUNCTION("GOOGLETRANSLATE(E2732,""EN"",""JA"")"),"カリクレイン関連ペプチダーゼ 7;カリクレイン-7;セリンプロテアーゼ 6")</f>
        <v>カリクレイン関連ペプチダーゼ 7;カリクレイン-7;セリンプロテアーゼ 6</v>
      </c>
      <c r="J2732" s="1" t="str">
        <f>IFERROR(__xludf.DUMMYFUNCTION("GOOGLETRANSLATE(F2732,""EN"",""JA"")"),"生物標本中のカリクレイン-7の測定。")</f>
        <v>生物標本中のカリクレイン-7の測定。</v>
      </c>
      <c r="K2732" s="1" t="str">
        <f>IFERROR(__xludf.DUMMYFUNCTION("GOOGLETRANSLATE(G2732,""EN"",""JA"")"),"カリクレイン7測定")</f>
        <v>カリクレイン7測定</v>
      </c>
    </row>
    <row r="2733" ht="13.5" customHeight="1">
      <c r="A2733" s="1" t="s">
        <v>11</v>
      </c>
      <c r="B2733" s="1" t="s">
        <v>13748</v>
      </c>
      <c r="C2733" s="1" t="s">
        <v>13749</v>
      </c>
      <c r="D2733" s="1" t="s">
        <v>13750</v>
      </c>
      <c r="E2733" s="1" t="s">
        <v>13750</v>
      </c>
      <c r="F2733" s="1" t="s">
        <v>13751</v>
      </c>
      <c r="G2733" s="1" t="s">
        <v>13752</v>
      </c>
      <c r="H2733" s="1" t="str">
        <f>IFERROR(__xludf.DUMMYFUNCTION("GOOGLETRANSLATE(D2733,""EN"",""JA"")"),"クロトー")</f>
        <v>クロトー</v>
      </c>
      <c r="I2733" s="1" t="str">
        <f>IFERROR(__xludf.DUMMYFUNCTION("GOOGLETRANSLATE(E2733,""EN"",""JA"")"),"クロトー")</f>
        <v>クロトー</v>
      </c>
      <c r="J2733" s="1" t="str">
        <f>IFERROR(__xludf.DUMMYFUNCTION("GOOGLETRANSLATE(F2733,""EN"",""JA"")"),"生物標本中のクロトータンパク質の総量の測定。")</f>
        <v>生物標本中のクロトータンパク質の総量の測定。</v>
      </c>
      <c r="K2733" s="1" t="str">
        <f>IFERROR(__xludf.DUMMYFUNCTION("GOOGLETRANSLATE(G2733,""EN"",""JA"")"),"クロトータンパク質測定")</f>
        <v>クロトータンパク質測定</v>
      </c>
    </row>
    <row r="2734" ht="13.5" customHeight="1">
      <c r="A2734" s="1" t="s">
        <v>129</v>
      </c>
      <c r="B2734" s="1" t="s">
        <v>13753</v>
      </c>
      <c r="C2734" s="1" t="s">
        <v>13754</v>
      </c>
      <c r="D2734" s="1" t="s">
        <v>13755</v>
      </c>
      <c r="E2734" s="1" t="s">
        <v>13755</v>
      </c>
      <c r="F2734" s="1" t="s">
        <v>13756</v>
      </c>
      <c r="G2734" s="1" t="s">
        <v>13757</v>
      </c>
      <c r="H2734" s="1" t="str">
        <f>IFERROR(__xludf.DUMMYFUNCTION("GOOGLETRANSLATE(D2734,""EN"",""JA"")"),"膝からかかとまでの長さ")</f>
        <v>膝からかかとまでの長さ</v>
      </c>
      <c r="I2734" s="1" t="str">
        <f>IFERROR(__xludf.DUMMYFUNCTION("GOOGLETRANSLATE(E2734,""EN"",""JA"")"),"膝からかかとまでの長さ")</f>
        <v>膝からかかとまでの長さ</v>
      </c>
      <c r="J2734" s="1" t="str">
        <f>IFERROR(__xludf.DUMMYFUNCTION("GOOGLETRANSLATE(F2734,""EN"",""JA"")"),"膝の頂点からかかとの底までの下腿の長さの測定値。この測定は、ニーモメーターまたはノギスを用いて行うことができます。(NCI)")</f>
        <v>膝の頂点からかかとの底までの下腿の長さの測定値。この測定は、ニーモメーターまたはノギスを用いて行うことができます。(NCI)</v>
      </c>
      <c r="K2734" s="1" t="str">
        <f>IFERROR(__xludf.DUMMYFUNCTION("GOOGLETRANSLATE(G2734,""EN"",""JA"")"),"膝からかかとまでの長さの測定")</f>
        <v>膝からかかとまでの長さの測定</v>
      </c>
    </row>
    <row r="2735" ht="13.5" customHeight="1">
      <c r="A2735" s="1" t="s">
        <v>67</v>
      </c>
      <c r="B2735" s="1" t="s">
        <v>13758</v>
      </c>
      <c r="C2735" s="1" t="s">
        <v>13759</v>
      </c>
      <c r="D2735" s="1" t="s">
        <v>13760</v>
      </c>
      <c r="E2735" s="1" t="s">
        <v>13760</v>
      </c>
      <c r="F2735" s="1" t="s">
        <v>13761</v>
      </c>
      <c r="G2735" s="1" t="s">
        <v>13762</v>
      </c>
      <c r="H2735" s="1" t="str">
        <f>IFERROR(__xludf.DUMMYFUNCTION("GOOGLETRANSLATE(D2735,""EN"",""JA"")"),"クレブシエラ・オキシトカ")</f>
        <v>クレブシエラ・オキシトカ</v>
      </c>
      <c r="I2735" s="1" t="str">
        <f>IFERROR(__xludf.DUMMYFUNCTION("GOOGLETRANSLATE(E2735,""EN"",""JA"")"),"クレブシエラ・オキシトカ")</f>
        <v>クレブシエラ・オキシトカ</v>
      </c>
      <c r="J2735" s="1" t="str">
        <f>IFERROR(__xludf.DUMMYFUNCTION("GOOGLETRANSLATE(F2735,""EN"",""JA"")"),"生物標本中のクレブシエラ・オキシトカの測定。")</f>
        <v>生物標本中のクレブシエラ・オキシトカの測定。</v>
      </c>
      <c r="K2735" s="1" t="str">
        <f>IFERROR(__xludf.DUMMYFUNCTION("GOOGLETRANSLATE(G2735,""EN"",""JA"")"),"クレブシエラ・オキシトカ測定")</f>
        <v>クレブシエラ・オキシトカ測定</v>
      </c>
    </row>
    <row r="2736" ht="13.5" customHeight="1">
      <c r="A2736" s="1" t="s">
        <v>67</v>
      </c>
      <c r="B2736" s="1" t="s">
        <v>13763</v>
      </c>
      <c r="C2736" s="1" t="s">
        <v>13764</v>
      </c>
      <c r="D2736" s="1" t="s">
        <v>13765</v>
      </c>
      <c r="E2736" s="1" t="s">
        <v>13765</v>
      </c>
      <c r="F2736" s="1" t="s">
        <v>13766</v>
      </c>
      <c r="G2736" s="1" t="s">
        <v>13767</v>
      </c>
      <c r="H2736" s="1" t="str">
        <f>IFERROR(__xludf.DUMMYFUNCTION("GOOGLETRANSLATE(D2736,""EN"",""JA"")"),"クレブシエラ・オキシトカDNA")</f>
        <v>クレブシエラ・オキシトカDNA</v>
      </c>
      <c r="I2736" s="1" t="str">
        <f>IFERROR(__xludf.DUMMYFUNCTION("GOOGLETRANSLATE(E2736,""EN"",""JA"")"),"クレブシエラ・オキシトカDNA")</f>
        <v>クレブシエラ・オキシトカDNA</v>
      </c>
      <c r="J2736" s="1" t="str">
        <f>IFERROR(__xludf.DUMMYFUNCTION("GOOGLETRANSLATE(F2736,""EN"",""JA"")"),"生物標本中の Klebsiella oxytoca DNA の測定。")</f>
        <v>生物標本中の Klebsiella oxytoca DNA の測定。</v>
      </c>
      <c r="K2736" s="1" t="str">
        <f>IFERROR(__xludf.DUMMYFUNCTION("GOOGLETRANSLATE(G2736,""EN"",""JA"")"),"クレブシエラ・オキシトカDNA測定")</f>
        <v>クレブシエラ・オキシトカDNA測定</v>
      </c>
    </row>
    <row r="2737" ht="13.5" customHeight="1">
      <c r="A2737" s="1" t="s">
        <v>67</v>
      </c>
      <c r="B2737" s="1" t="s">
        <v>13768</v>
      </c>
      <c r="C2737" s="1" t="s">
        <v>13769</v>
      </c>
      <c r="D2737" s="1" t="s">
        <v>13770</v>
      </c>
      <c r="E2737" s="1" t="s">
        <v>13770</v>
      </c>
      <c r="F2737" s="1" t="s">
        <v>13771</v>
      </c>
      <c r="G2737" s="1" t="s">
        <v>13772</v>
      </c>
      <c r="H2737" s="1" t="str">
        <f>IFERROR(__xludf.DUMMYFUNCTION("GOOGLETRANSLATE(D2737,""EN"",""JA"")"),"クレブシエラ・ニューモニエ")</f>
        <v>クレブシエラ・ニューモニエ</v>
      </c>
      <c r="I2737" s="1" t="str">
        <f>IFERROR(__xludf.DUMMYFUNCTION("GOOGLETRANSLATE(E2737,""EN"",""JA"")"),"クレブシエラ・ニューモニエ")</f>
        <v>クレブシエラ・ニューモニエ</v>
      </c>
      <c r="J2737" s="1" t="str">
        <f>IFERROR(__xludf.DUMMYFUNCTION("GOOGLETRANSLATE(F2737,""EN"",""JA"")"),"生物標本中の肺炎桿菌の測定。")</f>
        <v>生物標本中の肺炎桿菌の測定。</v>
      </c>
      <c r="K2737" s="1" t="str">
        <f>IFERROR(__xludf.DUMMYFUNCTION("GOOGLETRANSLATE(G2737,""EN"",""JA"")"),"クレブシエラ・ニューモニエ測定")</f>
        <v>クレブシエラ・ニューモニエ測定</v>
      </c>
    </row>
    <row r="2738" ht="13.5" customHeight="1">
      <c r="A2738" s="1" t="s">
        <v>67</v>
      </c>
      <c r="B2738" s="1" t="s">
        <v>13773</v>
      </c>
      <c r="C2738" s="1" t="s">
        <v>13774</v>
      </c>
      <c r="D2738" s="1" t="s">
        <v>13775</v>
      </c>
      <c r="E2738" s="1" t="s">
        <v>13775</v>
      </c>
      <c r="F2738" s="1" t="s">
        <v>13776</v>
      </c>
      <c r="G2738" s="1" t="s">
        <v>13777</v>
      </c>
      <c r="H2738" s="1" t="str">
        <f>IFERROR(__xludf.DUMMYFUNCTION("GOOGLETRANSLATE(D2738,""EN"",""JA"")"),"クレブシエラ・ニューモニエDNA")</f>
        <v>クレブシエラ・ニューモニエDNA</v>
      </c>
      <c r="I2738" s="1" t="str">
        <f>IFERROR(__xludf.DUMMYFUNCTION("GOOGLETRANSLATE(E2738,""EN"",""JA"")"),"クレブシエラ・ニューモニエDNA")</f>
        <v>クレブシエラ・ニューモニエDNA</v>
      </c>
      <c r="J2738" s="1" t="str">
        <f>IFERROR(__xludf.DUMMYFUNCTION("GOOGLETRANSLATE(F2738,""EN"",""JA"")"),"生物標本中のクレブシエラ・ニューモニエ DNA の測定。")</f>
        <v>生物標本中のクレブシエラ・ニューモニエ DNA の測定。</v>
      </c>
      <c r="K2738" s="1" t="str">
        <f>IFERROR(__xludf.DUMMYFUNCTION("GOOGLETRANSLATE(G2738,""EN"",""JA"")"),"クレブシエラ・ニューモニエDNA測定")</f>
        <v>クレブシエラ・ニューモニエDNA測定</v>
      </c>
    </row>
    <row r="2739" ht="13.5" customHeight="1">
      <c r="A2739" s="1" t="s">
        <v>11</v>
      </c>
      <c r="B2739" s="1" t="s">
        <v>13778</v>
      </c>
      <c r="C2739" s="1" t="s">
        <v>13779</v>
      </c>
      <c r="D2739" s="1" t="s">
        <v>13780</v>
      </c>
      <c r="E2739" s="1" t="s">
        <v>13780</v>
      </c>
      <c r="F2739" s="1" t="s">
        <v>13781</v>
      </c>
      <c r="G2739" s="1" t="s">
        <v>13782</v>
      </c>
      <c r="H2739" s="1" t="str">
        <f>IFERROR(__xludf.DUMMYFUNCTION("GOOGLETRANSLATE(D2739,""EN"",""JA"")"),"巨核球")</f>
        <v>巨核球</v>
      </c>
      <c r="I2739" s="1" t="str">
        <f>IFERROR(__xludf.DUMMYFUNCTION("GOOGLETRANSLATE(E2739,""EN"",""JA"")"),"巨核球")</f>
        <v>巨核球</v>
      </c>
      <c r="J2739" s="1" t="str">
        <f>IFERROR(__xludf.DUMMYFUNCTION("GOOGLETRANSLATE(F2739,""EN"",""JA"")"),"生物標本単位あたりの巨核球数の測定値。")</f>
        <v>生物標本単位あたりの巨核球数の測定値。</v>
      </c>
      <c r="K2739" s="1" t="str">
        <f>IFERROR(__xludf.DUMMYFUNCTION("GOOGLETRANSLATE(G2739,""EN"",""JA"")"),"巨核球数")</f>
        <v>巨核球数</v>
      </c>
    </row>
    <row r="2740" ht="13.5" customHeight="1">
      <c r="A2740" s="1" t="s">
        <v>11</v>
      </c>
      <c r="B2740" s="1" t="s">
        <v>13783</v>
      </c>
      <c r="C2740" s="1" t="s">
        <v>13784</v>
      </c>
      <c r="D2740" s="1" t="s">
        <v>13785</v>
      </c>
      <c r="E2740" s="1" t="s">
        <v>13785</v>
      </c>
      <c r="F2740" s="1" t="s">
        <v>13786</v>
      </c>
      <c r="G2740" s="1" t="s">
        <v>13787</v>
      </c>
      <c r="H2740" s="1" t="str">
        <f>IFERROR(__xludf.DUMMYFUNCTION("GOOGLETRANSLATE(D2740,""EN"",""JA"")"),"巨核球/総細胞数")</f>
        <v>巨核球/総細胞数</v>
      </c>
      <c r="I2740" s="1" t="str">
        <f>IFERROR(__xludf.DUMMYFUNCTION("GOOGLETRANSLATE(E2740,""EN"",""JA"")"),"巨核球/総細胞数")</f>
        <v>巨核球/総細胞数</v>
      </c>
      <c r="J2740" s="1" t="str">
        <f>IFERROR(__xludf.DUMMYFUNCTION("GOOGLETRANSLATE(F2740,""EN"",""JA"")"),"生物学的標本（骨髄標本など）内の総細胞数に対する巨核球数の相対的な測定値（比率またはパーセンテージ）。")</f>
        <v>生物学的標本（骨髄標本など）内の総細胞数に対する巨核球数の相対的な測定値（比率またはパーセンテージ）。</v>
      </c>
      <c r="K2740" s="1" t="str">
        <f>IFERROR(__xludf.DUMMYFUNCTION("GOOGLETRANSLATE(G2740,""EN"",""JA"")"),"巨核球と全細胞比の測定")</f>
        <v>巨核球と全細胞比の測定</v>
      </c>
    </row>
    <row r="2741" ht="13.5" customHeight="1">
      <c r="A2741" s="1" t="s">
        <v>11</v>
      </c>
      <c r="B2741" s="1" t="s">
        <v>13788</v>
      </c>
      <c r="C2741" s="1" t="s">
        <v>13789</v>
      </c>
      <c r="D2741" s="1" t="s">
        <v>13790</v>
      </c>
      <c r="E2741" s="1" t="s">
        <v>13790</v>
      </c>
      <c r="F2741" s="1" t="s">
        <v>13791</v>
      </c>
      <c r="G2741" s="1" t="s">
        <v>13792</v>
      </c>
      <c r="H2741" s="1" t="str">
        <f>IFERROR(__xludf.DUMMYFUNCTION("GOOGLETRANSLATE(D2741,""EN"",""JA"")"),"巨核球/白血球")</f>
        <v>巨核球/白血球</v>
      </c>
      <c r="I2741" s="1" t="str">
        <f>IFERROR(__xludf.DUMMYFUNCTION("GOOGLETRANSLATE(E2741,""EN"",""JA"")"),"巨核球/白血球")</f>
        <v>巨核球/白血球</v>
      </c>
      <c r="J2741" s="1" t="str">
        <f>IFERROR(__xludf.DUMMYFUNCTION("GOOGLETRANSLATE(F2741,""EN"",""JA"")"),"生物標本中の白血球に対する巨核球の相対的な測定値（比率またはパーセンテージ）。")</f>
        <v>生物標本中の白血球に対する巨核球の相対的な測定値（比率またはパーセンテージ）。</v>
      </c>
      <c r="K2741" s="1" t="str">
        <f>IFERROR(__xludf.DUMMYFUNCTION("GOOGLETRANSLATE(G2741,""EN"",""JA"")"),"巨核球と白血球の比率測定")</f>
        <v>巨核球と白血球の比率測定</v>
      </c>
    </row>
    <row r="2742" ht="13.5" customHeight="1">
      <c r="A2742" s="1" t="s">
        <v>134</v>
      </c>
      <c r="B2742" s="1" t="s">
        <v>13793</v>
      </c>
      <c r="C2742" s="1" t="s">
        <v>13794</v>
      </c>
      <c r="D2742" s="1" t="s">
        <v>13795</v>
      </c>
      <c r="E2742" s="1" t="s">
        <v>13795</v>
      </c>
      <c r="F2742" s="1" t="s">
        <v>13796</v>
      </c>
      <c r="G2742" s="1" t="s">
        <v>13797</v>
      </c>
      <c r="H2742" s="1" t="str">
        <f>IFERROR(__xludf.DUMMYFUNCTION("GOOGLETRANSLATE(D2742,""EN"",""JA"")"),"ケラチノサイト")</f>
        <v>ケラチノサイト</v>
      </c>
      <c r="I2742" s="1" t="str">
        <f>IFERROR(__xludf.DUMMYFUNCTION("GOOGLETRANSLATE(E2742,""EN"",""JA"")"),"ケラチノサイト")</f>
        <v>ケラチノサイト</v>
      </c>
      <c r="J2742" s="1" t="str">
        <f>IFERROR(__xludf.DUMMYFUNCTION("GOOGLETRANSLATE(F2742,""EN"",""JA"")"),"生物標本中のケラチノサイトの測定。")</f>
        <v>生物標本中のケラチノサイトの測定。</v>
      </c>
      <c r="K2742" s="1" t="str">
        <f>IFERROR(__xludf.DUMMYFUNCTION("GOOGLETRANSLATE(G2742,""EN"",""JA"")"),"ケラチノサイト測定")</f>
        <v>ケラチノサイト測定</v>
      </c>
    </row>
    <row r="2743" ht="13.5" customHeight="1">
      <c r="A2743" s="1" t="s">
        <v>11</v>
      </c>
      <c r="B2743" s="1" t="s">
        <v>13798</v>
      </c>
      <c r="C2743" s="1" t="s">
        <v>13799</v>
      </c>
      <c r="D2743" s="1" t="s">
        <v>13800</v>
      </c>
      <c r="E2743" s="1" t="s">
        <v>13800</v>
      </c>
      <c r="F2743" s="1" t="s">
        <v>13801</v>
      </c>
      <c r="G2743" s="1" t="s">
        <v>13802</v>
      </c>
      <c r="H2743" s="1" t="str">
        <f>IFERROR(__xludf.DUMMYFUNCTION("GOOGLETRANSLATE(D2743,""EN"",""JA"")"),"11-ケトアンドロステロン")</f>
        <v>11-ケトアンドロステロン</v>
      </c>
      <c r="I2743" s="1" t="str">
        <f>IFERROR(__xludf.DUMMYFUNCTION("GOOGLETRANSLATE(E2743,""EN"",""JA"")"),"11-ケトアンドロステロン")</f>
        <v>11-ケトアンドロステロン</v>
      </c>
      <c r="J2743" s="1" t="str">
        <f>IFERROR(__xludf.DUMMYFUNCTION("GOOGLETRANSLATE(F2743,""EN"",""JA"")"),"生物標本中の 11-ケトアンドロステロンの測定。")</f>
        <v>生物標本中の 11-ケトアンドロステロンの測定。</v>
      </c>
      <c r="K2743" s="1" t="str">
        <f>IFERROR(__xludf.DUMMYFUNCTION("GOOGLETRANSLATE(G2743,""EN"",""JA"")"),"11-ケトアンドロステロン測定")</f>
        <v>11-ケトアンドロステロン測定</v>
      </c>
    </row>
    <row r="2744" ht="13.5" customHeight="1">
      <c r="A2744" s="1" t="s">
        <v>11</v>
      </c>
      <c r="B2744" s="1" t="s">
        <v>13803</v>
      </c>
      <c r="C2744" s="1" t="s">
        <v>13804</v>
      </c>
      <c r="D2744" s="1" t="s">
        <v>13805</v>
      </c>
      <c r="E2744" s="1" t="s">
        <v>13805</v>
      </c>
      <c r="F2744" s="1" t="s">
        <v>13806</v>
      </c>
      <c r="G2744" s="1" t="s">
        <v>13807</v>
      </c>
      <c r="H2744" s="1" t="str">
        <f>IFERROR(__xludf.DUMMYFUNCTION("GOOGLETRANSLATE(D2744,""EN"",""JA"")"),"ケトン体排泄率")</f>
        <v>ケトン体排泄率</v>
      </c>
      <c r="I2744" s="1" t="str">
        <f>IFERROR(__xludf.DUMMYFUNCTION("GOOGLETRANSLATE(E2744,""EN"",""JA"")"),"ケトン体排泄率")</f>
        <v>ケトン体排泄率</v>
      </c>
      <c r="J2744" s="1" t="str">
        <f>IFERROR(__xludf.DUMMYFUNCTION("GOOGLETRANSLATE(F2744,""EN"",""JA"")"),"定義された期間（例：1 時間）にわたって生物学的標本から排出されるケトン体の量の測定。")</f>
        <v>定義された期間（例：1 時間）にわたって生物学的標本から排出されるケトン体の量の測定。</v>
      </c>
      <c r="K2744" s="1" t="str">
        <f>IFERROR(__xludf.DUMMYFUNCTION("GOOGLETRANSLATE(G2744,""EN"",""JA"")"),"ケトン体排泄率測定")</f>
        <v>ケトン体排泄率測定</v>
      </c>
    </row>
    <row r="2745" ht="13.5" customHeight="1">
      <c r="A2745" s="1" t="s">
        <v>11</v>
      </c>
      <c r="B2745" s="1" t="s">
        <v>13808</v>
      </c>
      <c r="C2745" s="1" t="s">
        <v>13809</v>
      </c>
      <c r="D2745" s="1" t="s">
        <v>13810</v>
      </c>
      <c r="E2745" s="1" t="s">
        <v>13810</v>
      </c>
      <c r="F2745" s="1" t="s">
        <v>13811</v>
      </c>
      <c r="G2745" s="1" t="s">
        <v>13812</v>
      </c>
      <c r="H2745" s="1" t="str">
        <f>IFERROR(__xludf.DUMMYFUNCTION("GOOGLETRANSLATE(D2745,""EN"",""JA"")"),"11-ケトエチオコラノロン")</f>
        <v>11-ケトエチオコラノロン</v>
      </c>
      <c r="I2745" s="1" t="str">
        <f>IFERROR(__xludf.DUMMYFUNCTION("GOOGLETRANSLATE(E2745,""EN"",""JA"")"),"11-ケトエチオコラノロン")</f>
        <v>11-ケトエチオコラノロン</v>
      </c>
      <c r="J2745" s="1" t="str">
        <f>IFERROR(__xludf.DUMMYFUNCTION("GOOGLETRANSLATE(F2745,""EN"",""JA"")"),"生物標本中の 11-ケトエチオコラノロンの測定。")</f>
        <v>生物標本中の 11-ケトエチオコラノロンの測定。</v>
      </c>
      <c r="K2745" s="1" t="str">
        <f>IFERROR(__xludf.DUMMYFUNCTION("GOOGLETRANSLATE(G2745,""EN"",""JA"")"),"11-ケトエチオコラノロン測定")</f>
        <v>11-ケトエチオコラノロン測定</v>
      </c>
    </row>
    <row r="2746" ht="13.5" customHeight="1">
      <c r="A2746" s="1" t="s">
        <v>11</v>
      </c>
      <c r="B2746" s="1" t="s">
        <v>13813</v>
      </c>
      <c r="C2746" s="1" t="s">
        <v>13814</v>
      </c>
      <c r="D2746" s="1" t="s">
        <v>13815</v>
      </c>
      <c r="E2746" s="1" t="s">
        <v>13815</v>
      </c>
      <c r="F2746" s="1" t="s">
        <v>13816</v>
      </c>
      <c r="G2746" s="1" t="s">
        <v>13817</v>
      </c>
      <c r="H2746" s="1" t="str">
        <f>IFERROR(__xludf.DUMMYFUNCTION("GOOGLETRANSLATE(D2746,""EN"",""JA"")"),"17-ケトジェニックステロイド")</f>
        <v>17-ケトジェニックステロイド</v>
      </c>
      <c r="I2746" s="1" t="str">
        <f>IFERROR(__xludf.DUMMYFUNCTION("GOOGLETRANSLATE(E2746,""EN"",""JA"")"),"17-ケトジェニックステロイド")</f>
        <v>17-ケトジェニックステロイド</v>
      </c>
      <c r="J2746" s="1" t="str">
        <f>IFERROR(__xludf.DUMMYFUNCTION("GOOGLETRANSLATE(F2746,""EN"",""JA"")"),"生物学的標本中の 17 種類のケトジェニックステロイドの総量の測定。")</f>
        <v>生物学的標本中の 17 種類のケトジェニックステロイドの総量の測定。</v>
      </c>
      <c r="K2746" s="1" t="str">
        <f>IFERROR(__xludf.DUMMYFUNCTION("GOOGLETRANSLATE(G2746,""EN"",""JA"")"),"17-ケトジェニックステロイド測定")</f>
        <v>17-ケトジェニックステロイド測定</v>
      </c>
    </row>
    <row r="2747" ht="13.5" customHeight="1">
      <c r="A2747" s="1" t="s">
        <v>11</v>
      </c>
      <c r="B2747" s="1" t="s">
        <v>13818</v>
      </c>
      <c r="C2747" s="1" t="s">
        <v>13819</v>
      </c>
      <c r="D2747" s="1" t="s">
        <v>13820</v>
      </c>
      <c r="E2747" s="1" t="s">
        <v>13820</v>
      </c>
      <c r="F2747" s="1" t="s">
        <v>13821</v>
      </c>
      <c r="G2747" s="1" t="s">
        <v>13822</v>
      </c>
      <c r="H2747" s="1" t="str">
        <f>IFERROR(__xludf.DUMMYFUNCTION("GOOGLETRANSLATE(D2747,""EN"",""JA"")"),"ケトイソロイシン")</f>
        <v>ケトイソロイシン</v>
      </c>
      <c r="I2747" s="1" t="str">
        <f>IFERROR(__xludf.DUMMYFUNCTION("GOOGLETRANSLATE(E2747,""EN"",""JA"")"),"ケトイソロイシン")</f>
        <v>ケトイソロイシン</v>
      </c>
      <c r="J2747" s="1" t="str">
        <f>IFERROR(__xludf.DUMMYFUNCTION("GOOGLETRANSLATE(F2747,""EN"",""JA"")"),"生物標本中のケトイソロイシンの測定。")</f>
        <v>生物標本中のケトイソロイシンの測定。</v>
      </c>
      <c r="K2747" s="1" t="str">
        <f>IFERROR(__xludf.DUMMYFUNCTION("GOOGLETRANSLATE(G2747,""EN"",""JA"")"),"ケトイソロイシン測定")</f>
        <v>ケトイソロイシン測定</v>
      </c>
    </row>
    <row r="2748" ht="13.5" customHeight="1">
      <c r="A2748" s="1" t="s">
        <v>11</v>
      </c>
      <c r="B2748" s="1" t="s">
        <v>13823</v>
      </c>
      <c r="C2748" s="1" t="s">
        <v>13824</v>
      </c>
      <c r="D2748" s="1" t="s">
        <v>13825</v>
      </c>
      <c r="E2748" s="1" t="s">
        <v>13825</v>
      </c>
      <c r="F2748" s="1" t="s">
        <v>13826</v>
      </c>
      <c r="G2748" s="1" t="s">
        <v>13827</v>
      </c>
      <c r="H2748" s="1" t="str">
        <f>IFERROR(__xludf.DUMMYFUNCTION("GOOGLETRANSLATE(D2748,""EN"",""JA"")"),"ケトロイシン")</f>
        <v>ケトロイシン</v>
      </c>
      <c r="I2748" s="1" t="str">
        <f>IFERROR(__xludf.DUMMYFUNCTION("GOOGLETRANSLATE(E2748,""EN"",""JA"")"),"ケトロイシン")</f>
        <v>ケトロイシン</v>
      </c>
      <c r="J2748" s="1" t="str">
        <f>IFERROR(__xludf.DUMMYFUNCTION("GOOGLETRANSLATE(F2748,""EN"",""JA"")"),"生物標本中のケロイシンの測定。")</f>
        <v>生物標本中のケロイシンの測定。</v>
      </c>
      <c r="K2748" s="1" t="str">
        <f>IFERROR(__xludf.DUMMYFUNCTION("GOOGLETRANSLATE(G2748,""EN"",""JA"")"),"ケトロイシン測定")</f>
        <v>ケトロイシン測定</v>
      </c>
    </row>
    <row r="2749" ht="13.5" customHeight="1">
      <c r="A2749" s="1" t="s">
        <v>11</v>
      </c>
      <c r="B2749" s="1" t="s">
        <v>13828</v>
      </c>
      <c r="C2749" s="1" t="s">
        <v>13829</v>
      </c>
      <c r="D2749" s="1" t="s">
        <v>13830</v>
      </c>
      <c r="E2749" s="1" t="s">
        <v>13830</v>
      </c>
      <c r="F2749" s="1" t="s">
        <v>13831</v>
      </c>
      <c r="G2749" s="1" t="s">
        <v>13832</v>
      </c>
      <c r="H2749" s="1" t="str">
        <f>IFERROR(__xludf.DUMMYFUNCTION("GOOGLETRANSLATE(D2749,""EN"",""JA"")"),"17-ケトステロイド")</f>
        <v>17-ケトステロイド</v>
      </c>
      <c r="I2749" s="1" t="str">
        <f>IFERROR(__xludf.DUMMYFUNCTION("GOOGLETRANSLATE(E2749,""EN"",""JA"")"),"17-ケトステロイド")</f>
        <v>17-ケトステロイド</v>
      </c>
      <c r="J2749" s="1" t="str">
        <f>IFERROR(__xludf.DUMMYFUNCTION("GOOGLETRANSLATE(F2749,""EN"",""JA"")"),"生物標本中の 17-ケトステロイドの総量の測定。")</f>
        <v>生物標本中の 17-ケトステロイドの総量の測定。</v>
      </c>
      <c r="K2749" s="1" t="str">
        <f>IFERROR(__xludf.DUMMYFUNCTION("GOOGLETRANSLATE(G2749,""EN"",""JA"")"),"17-ケトステロイド測定")</f>
        <v>17-ケトステロイド測定</v>
      </c>
    </row>
    <row r="2750" ht="13.5" customHeight="1">
      <c r="A2750" s="1" t="s">
        <v>11</v>
      </c>
      <c r="B2750" s="1" t="s">
        <v>13833</v>
      </c>
      <c r="C2750" s="1" t="s">
        <v>13834</v>
      </c>
      <c r="D2750" s="1" t="s">
        <v>13835</v>
      </c>
      <c r="E2750" s="1" t="s">
        <v>13835</v>
      </c>
      <c r="F2750" s="1" t="s">
        <v>13836</v>
      </c>
      <c r="G2750" s="1" t="s">
        <v>13837</v>
      </c>
      <c r="H2750" s="1" t="str">
        <f>IFERROR(__xludf.DUMMYFUNCTION("GOOGLETRANSLATE(D2750,""EN"",""JA"")"),"ケトバリン")</f>
        <v>ケトバリン</v>
      </c>
      <c r="I2750" s="1" t="str">
        <f>IFERROR(__xludf.DUMMYFUNCTION("GOOGLETRANSLATE(E2750,""EN"",""JA"")"),"ケトバリン")</f>
        <v>ケトバリン</v>
      </c>
      <c r="J2750" s="1" t="str">
        <f>IFERROR(__xludf.DUMMYFUNCTION("GOOGLETRANSLATE(F2750,""EN"",""JA"")"),"生物標本中のケトバリンの測定。")</f>
        <v>生物標本中のケトバリンの測定。</v>
      </c>
      <c r="K2750" s="1" t="str">
        <f>IFERROR(__xludf.DUMMYFUNCTION("GOOGLETRANSLATE(G2750,""EN"",""JA"")"),"ケトバリン測定")</f>
        <v>ケトバリン測定</v>
      </c>
    </row>
    <row r="2751" ht="13.5" customHeight="1">
      <c r="A2751" s="1" t="s">
        <v>11</v>
      </c>
      <c r="B2751" s="1" t="s">
        <v>13838</v>
      </c>
      <c r="C2751" s="1" t="s">
        <v>13839</v>
      </c>
      <c r="D2751" s="1" t="s">
        <v>13840</v>
      </c>
      <c r="E2751" s="1" t="s">
        <v>13840</v>
      </c>
      <c r="F2751" s="1" t="s">
        <v>13841</v>
      </c>
      <c r="G2751" s="1" t="s">
        <v>13842</v>
      </c>
      <c r="H2751" s="1" t="str">
        <f>IFERROR(__xludf.DUMMYFUNCTION("GOOGLETRANSLATE(D2751,""EN"",""JA"")"),"クルロフ細胞")</f>
        <v>クルロフ細胞</v>
      </c>
      <c r="I2751" s="1" t="str">
        <f>IFERROR(__xludf.DUMMYFUNCTION("GOOGLETRANSLATE(E2751,""EN"",""JA"")"),"クルロフ細胞")</f>
        <v>クルロフ細胞</v>
      </c>
      <c r="J2751" s="1" t="str">
        <f>IFERROR(__xludf.DUMMYFUNCTION("GOOGLETRANSLATE(F2751,""EN"",""JA"")"),"特定の属のテンジクネズミ科の生物標本に含まれる、大きな分泌顆粒を含む免疫細胞の測定。")</f>
        <v>特定の属のテンジクネズミ科の生物標本に含まれる、大きな分泌顆粒を含む免疫細胞の測定。</v>
      </c>
      <c r="K2751" s="1" t="str">
        <f>IFERROR(__xludf.DUMMYFUNCTION("GOOGLETRANSLATE(G2751,""EN"",""JA"")"),"クルロフ細胞測定")</f>
        <v>クルロフ細胞測定</v>
      </c>
    </row>
    <row r="2752" ht="13.5" customHeight="1">
      <c r="A2752" s="1" t="s">
        <v>67</v>
      </c>
      <c r="B2752" s="1" t="s">
        <v>13843</v>
      </c>
      <c r="C2752" s="1" t="s">
        <v>13844</v>
      </c>
      <c r="D2752" s="1" t="s">
        <v>13845</v>
      </c>
      <c r="E2752" s="1" t="s">
        <v>13845</v>
      </c>
      <c r="F2752" s="1" t="s">
        <v>13846</v>
      </c>
      <c r="G2752" s="1" t="s">
        <v>13847</v>
      </c>
      <c r="H2752" s="1" t="str">
        <f>IFERROR(__xludf.DUMMYFUNCTION("GOOGLETRANSLATE(D2752,""EN"",""JA"")"),"クレブシエラ・バリコラ")</f>
        <v>クレブシエラ・バリコラ</v>
      </c>
      <c r="I2752" s="1" t="str">
        <f>IFERROR(__xludf.DUMMYFUNCTION("GOOGLETRANSLATE(E2752,""EN"",""JA"")"),"クレブシエラ・バリコラ")</f>
        <v>クレブシエラ・バリコラ</v>
      </c>
      <c r="J2752" s="1" t="str">
        <f>IFERROR(__xludf.DUMMYFUNCTION("GOOGLETRANSLATE(F2752,""EN"",""JA"")"),"生物標本中の Klebsiella variicola の測定。")</f>
        <v>生物標本中の Klebsiella variicola の測定。</v>
      </c>
      <c r="K2752" s="1" t="str">
        <f>IFERROR(__xludf.DUMMYFUNCTION("GOOGLETRANSLATE(G2752,""EN"",""JA"")"),"クレブシエラ・バリコラ測定")</f>
        <v>クレブシエラ・バリコラ測定</v>
      </c>
    </row>
    <row r="2753" ht="13.5" customHeight="1">
      <c r="A2753" s="1" t="s">
        <v>11</v>
      </c>
      <c r="B2753" s="1" t="s">
        <v>13848</v>
      </c>
      <c r="C2753" s="1" t="s">
        <v>13849</v>
      </c>
      <c r="D2753" s="1" t="s">
        <v>13850</v>
      </c>
      <c r="E2753" s="1" t="s">
        <v>13850</v>
      </c>
      <c r="F2753" s="1" t="s">
        <v>13851</v>
      </c>
      <c r="G2753" s="1" t="s">
        <v>13852</v>
      </c>
      <c r="H2753" s="1" t="str">
        <f>IFERROR(__xludf.DUMMYFUNCTION("GOOGLETRANSLATE(D2753,""EN"",""JA"")"),"キヌレニン")</f>
        <v>キヌレニン</v>
      </c>
      <c r="I2753" s="1" t="str">
        <f>IFERROR(__xludf.DUMMYFUNCTION("GOOGLETRANSLATE(E2753,""EN"",""JA"")"),"キヌレニン")</f>
        <v>キヌレニン</v>
      </c>
      <c r="J2753" s="1" t="str">
        <f>IFERROR(__xludf.DUMMYFUNCTION("GOOGLETRANSLATE(F2753,""EN"",""JA"")"),"生物標本中のキヌレニンの測定。")</f>
        <v>生物標本中のキヌレニンの測定。</v>
      </c>
      <c r="K2753" s="1" t="str">
        <f>IFERROR(__xludf.DUMMYFUNCTION("GOOGLETRANSLATE(G2753,""EN"",""JA"")"),"キヌレニン測定")</f>
        <v>キヌレニン測定</v>
      </c>
    </row>
    <row r="2754" ht="13.5" customHeight="1">
      <c r="A2754" s="1" t="s">
        <v>176</v>
      </c>
      <c r="B2754" s="1" t="s">
        <v>13853</v>
      </c>
      <c r="C2754" s="1" t="s">
        <v>13854</v>
      </c>
      <c r="D2754" s="1" t="s">
        <v>13855</v>
      </c>
      <c r="E2754" s="1" t="s">
        <v>13856</v>
      </c>
      <c r="F2754" s="1" t="s">
        <v>13857</v>
      </c>
      <c r="G2754" s="1" t="s">
        <v>13858</v>
      </c>
      <c r="H2754" s="1" t="str">
        <f>IFERROR(__xludf.DUMMYFUNCTION("GOOGLETRANSLATE(D2754,""EN"",""JA"")"),"乳酸/クレアチン")</f>
        <v>乳酸/クレアチン</v>
      </c>
      <c r="I2754" s="1" t="str">
        <f>IFERROR(__xludf.DUMMYFUNCTION("GOOGLETRANSLATE(E2754,""EN"",""JA"")"),"乳酸/クレアチン; 乳酸/クレアチン")</f>
        <v>乳酸/クレアチン; 乳酸/クレアチン</v>
      </c>
      <c r="J2754" s="1" t="str">
        <f>IFERROR(__xludf.DUMMYFUNCTION("GOOGLETRANSLATE(F2754,""EN"",""JA"")"),"生物学的標本中の乳酸とクレアチンの相対的な測定値（比率またはパーセンテージ）。")</f>
        <v>生物学的標本中の乳酸とクレアチンの相対的な測定値（比率またはパーセンテージ）。</v>
      </c>
      <c r="K2754" s="1" t="str">
        <f>IFERROR(__xludf.DUMMYFUNCTION("GOOGLETRANSLATE(G2754,""EN"",""JA"")"),"乳酸とクレアチンの比率測定")</f>
        <v>乳酸とクレアチンの比率測定</v>
      </c>
    </row>
    <row r="2755" ht="13.5" customHeight="1">
      <c r="A2755" s="1" t="s">
        <v>11</v>
      </c>
      <c r="B2755" s="1" t="s">
        <v>13859</v>
      </c>
      <c r="C2755" s="1" t="s">
        <v>13860</v>
      </c>
      <c r="D2755" s="1" t="s">
        <v>13861</v>
      </c>
      <c r="E2755" s="1" t="s">
        <v>13861</v>
      </c>
      <c r="F2755" s="1" t="s">
        <v>13862</v>
      </c>
      <c r="G2755" s="1" t="s">
        <v>13863</v>
      </c>
      <c r="H2755" s="1" t="str">
        <f>IFERROR(__xludf.DUMMYFUNCTION("GOOGLETRANSLATE(D2755,""EN"",""JA"")"),"ラコサミド")</f>
        <v>ラコサミド</v>
      </c>
      <c r="I2755" s="1" t="str">
        <f>IFERROR(__xludf.DUMMYFUNCTION("GOOGLETRANSLATE(E2755,""EN"",""JA"")"),"ラコサミド")</f>
        <v>ラコサミド</v>
      </c>
      <c r="J2755" s="1" t="str">
        <f>IFERROR(__xludf.DUMMYFUNCTION("GOOGLETRANSLATE(F2755,""EN"",""JA"")"),"生物標本中のラコサミドの測定。")</f>
        <v>生物標本中のラコサミドの測定。</v>
      </c>
      <c r="K2755" s="1" t="str">
        <f>IFERROR(__xludf.DUMMYFUNCTION("GOOGLETRANSLATE(G2755,""EN"",""JA"")"),"ラコサミド測定")</f>
        <v>ラコサミド測定</v>
      </c>
    </row>
    <row r="2756" ht="13.5" customHeight="1">
      <c r="A2756" s="1" t="s">
        <v>11</v>
      </c>
      <c r="B2756" s="1" t="s">
        <v>13864</v>
      </c>
      <c r="C2756" s="1" t="s">
        <v>13865</v>
      </c>
      <c r="D2756" s="1" t="s">
        <v>13866</v>
      </c>
      <c r="E2756" s="1" t="s">
        <v>13867</v>
      </c>
      <c r="F2756" s="1" t="s">
        <v>13868</v>
      </c>
      <c r="G2756" s="1" t="s">
        <v>13869</v>
      </c>
      <c r="H2756" s="1" t="str">
        <f>IFERROR(__xludf.DUMMYFUNCTION("GOOGLETRANSLATE(D2756,""EN"",""JA"")"),"乳酸")</f>
        <v>乳酸</v>
      </c>
      <c r="I2756" s="1" t="str">
        <f>IFERROR(__xludf.DUMMYFUNCTION("GOOGLETRANSLATE(E2756,""EN"",""JA"")"),"2-ヒドロキシプロパン酸; 乳酸塩; 乳酸")</f>
        <v>2-ヒドロキシプロパン酸; 乳酸塩; 乳酸</v>
      </c>
      <c r="J2756" s="1" t="str">
        <f>IFERROR(__xludf.DUMMYFUNCTION("GOOGLETRANSLATE(F2756,""EN"",""JA"")"),"生物標本中の乳酸の測定。")</f>
        <v>生物標本中の乳酸の測定。</v>
      </c>
      <c r="K2756" s="1" t="str">
        <f>IFERROR(__xludf.DUMMYFUNCTION("GOOGLETRANSLATE(G2756,""EN"",""JA"")"),"乳酸測定")</f>
        <v>乳酸測定</v>
      </c>
    </row>
    <row r="2757" ht="13.5" customHeight="1">
      <c r="A2757" s="1" t="s">
        <v>67</v>
      </c>
      <c r="B2757" s="1" t="s">
        <v>13870</v>
      </c>
      <c r="C2757" s="1" t="s">
        <v>13871</v>
      </c>
      <c r="D2757" s="1" t="s">
        <v>13872</v>
      </c>
      <c r="E2757" s="1" t="s">
        <v>13872</v>
      </c>
      <c r="F2757" s="1" t="s">
        <v>13873</v>
      </c>
      <c r="G2757" s="1" t="s">
        <v>13874</v>
      </c>
      <c r="H2757" s="1" t="str">
        <f>IFERROR(__xludf.DUMMYFUNCTION("GOOGLETRANSLATE(D2757,""EN"",""JA"")"),"乳酸菌")</f>
        <v>乳酸菌</v>
      </c>
      <c r="I2757" s="1" t="str">
        <f>IFERROR(__xludf.DUMMYFUNCTION("GOOGLETRANSLATE(E2757,""EN"",""JA"")"),"乳酸菌")</f>
        <v>乳酸菌</v>
      </c>
      <c r="J2757" s="1" t="str">
        <f>IFERROR(__xludf.DUMMYFUNCTION("GOOGLETRANSLATE(F2757,""EN"",""JA"")"),"生物標本において、種レベルには割り当てられていないが、ラクトバチルス属レベルに割り当てられている微生物の測定値。")</f>
        <v>生物標本において、種レベルには割り当てられていないが、ラクトバチルス属レベルに割り当てられている微生物の測定値。</v>
      </c>
      <c r="K2757" s="1" t="str">
        <f>IFERROR(__xludf.DUMMYFUNCTION("GOOGLETRANSLATE(G2757,""EN"",""JA"")"),"乳酸菌測定")</f>
        <v>乳酸菌測定</v>
      </c>
    </row>
    <row r="2758" ht="13.5" customHeight="1">
      <c r="A2758" s="1" t="s">
        <v>11</v>
      </c>
      <c r="B2758" s="1" t="s">
        <v>13875</v>
      </c>
      <c r="C2758" s="1" t="s">
        <v>13876</v>
      </c>
      <c r="D2758" s="1" t="s">
        <v>13877</v>
      </c>
      <c r="E2758" s="1" t="s">
        <v>13877</v>
      </c>
      <c r="F2758" s="1" t="s">
        <v>13878</v>
      </c>
      <c r="G2758" s="1" t="s">
        <v>13879</v>
      </c>
      <c r="H2758" s="1" t="str">
        <f>IFERROR(__xludf.DUMMYFUNCTION("GOOGLETRANSLATE(D2758,""EN"",""JA"")"),"乳糖")</f>
        <v>乳糖</v>
      </c>
      <c r="I2758" s="1" t="str">
        <f>IFERROR(__xludf.DUMMYFUNCTION("GOOGLETRANSLATE(E2758,""EN"",""JA"")"),"乳糖")</f>
        <v>乳糖</v>
      </c>
      <c r="J2758" s="1" t="str">
        <f>IFERROR(__xludf.DUMMYFUNCTION("GOOGLETRANSLATE(F2758,""EN"",""JA"")"),"生物標本中の乳糖の測定。")</f>
        <v>生物標本中の乳糖の測定。</v>
      </c>
      <c r="K2758" s="1" t="str">
        <f>IFERROR(__xludf.DUMMYFUNCTION("GOOGLETRANSLATE(G2758,""EN"",""JA"")"),"乳糖測定")</f>
        <v>乳糖測定</v>
      </c>
    </row>
    <row r="2759" ht="13.5" customHeight="1">
      <c r="A2759" s="1" t="s">
        <v>11</v>
      </c>
      <c r="B2759" s="1" t="s">
        <v>13880</v>
      </c>
      <c r="C2759" s="1" t="s">
        <v>13881</v>
      </c>
      <c r="D2759" s="1" t="s">
        <v>13882</v>
      </c>
      <c r="E2759" s="1" t="s">
        <v>13882</v>
      </c>
      <c r="F2759" s="1" t="s">
        <v>13883</v>
      </c>
      <c r="G2759" s="1" t="s">
        <v>13884</v>
      </c>
      <c r="H2759" s="1" t="str">
        <f>IFERROR(__xludf.DUMMYFUNCTION("GOOGLETRANSLATE(D2759,""EN"",""JA"")"),"ラクツロース")</f>
        <v>ラクツロース</v>
      </c>
      <c r="I2759" s="1" t="str">
        <f>IFERROR(__xludf.DUMMYFUNCTION("GOOGLETRANSLATE(E2759,""EN"",""JA"")"),"ラクツロース")</f>
        <v>ラクツロース</v>
      </c>
      <c r="J2759" s="1" t="str">
        <f>IFERROR(__xludf.DUMMYFUNCTION("GOOGLETRANSLATE(F2759,""EN"",""JA"")"),"生物標本中のラクツロースの測定。")</f>
        <v>生物標本中のラクツロースの測定。</v>
      </c>
      <c r="K2759" s="1" t="str">
        <f>IFERROR(__xludf.DUMMYFUNCTION("GOOGLETRANSLATE(G2759,""EN"",""JA"")"),"ラクツロース測定")</f>
        <v>ラクツロース測定</v>
      </c>
    </row>
    <row r="2760" ht="13.5" customHeight="1">
      <c r="A2760" s="1" t="s">
        <v>11</v>
      </c>
      <c r="B2760" s="1" t="s">
        <v>13885</v>
      </c>
      <c r="C2760" s="1" t="s">
        <v>13886</v>
      </c>
      <c r="D2760" s="1" t="s">
        <v>13887</v>
      </c>
      <c r="E2760" s="1" t="s">
        <v>13888</v>
      </c>
      <c r="F2760" s="1" t="s">
        <v>13889</v>
      </c>
      <c r="G2760" s="1" t="s">
        <v>13890</v>
      </c>
      <c r="H2760" s="1" t="str">
        <f>IFERROR(__xludf.DUMMYFUNCTION("GOOGLETRANSLATE(D2760,""EN"",""JA"")"),"可溶性リンパ球活性化遺伝子3")</f>
        <v>可溶性リンパ球活性化遺伝子3</v>
      </c>
      <c r="I2760" s="1" t="str">
        <f>IFERROR(__xludf.DUMMYFUNCTION("GOOGLETRANSLATE(E2760,""EN"",""JA"")"),"可溶性CD223抗原; 可溶性LAG-3; 可溶性リンパ球活性化遺伝子3タンパク質; 可溶性リンパ球活性化遺伝子3")</f>
        <v>可溶性CD223抗原; 可溶性LAG-3; 可溶性リンパ球活性化遺伝子3タンパク質; 可溶性リンパ球活性化遺伝子3</v>
      </c>
      <c r="J2760" s="1" t="str">
        <f>IFERROR(__xludf.DUMMYFUNCTION("GOOGLETRANSLATE(F2760,""EN"",""JA"")"),"生物標本中の可溶性リンパ球活性化遺伝子 3 タンパク質の測定。")</f>
        <v>生物標本中の可溶性リンパ球活性化遺伝子 3 タンパク質の測定。</v>
      </c>
      <c r="K2760" s="1" t="str">
        <f>IFERROR(__xludf.DUMMYFUNCTION("GOOGLETRANSLATE(G2760,""EN"",""JA"")"),"可溶性リンパ球活性化遺伝子3の測定")</f>
        <v>可溶性リンパ球活性化遺伝子3の測定</v>
      </c>
    </row>
    <row r="2761" ht="13.5" customHeight="1">
      <c r="A2761" s="1" t="s">
        <v>11</v>
      </c>
      <c r="B2761" s="1" t="s">
        <v>13891</v>
      </c>
      <c r="C2761" s="1" t="s">
        <v>13892</v>
      </c>
      <c r="D2761" s="1" t="s">
        <v>13893</v>
      </c>
      <c r="E2761" s="1" t="s">
        <v>13893</v>
      </c>
      <c r="F2761" s="1" t="s">
        <v>13894</v>
      </c>
      <c r="G2761" s="1" t="s">
        <v>13895</v>
      </c>
      <c r="H2761" s="1" t="str">
        <f>IFERROR(__xludf.DUMMYFUNCTION("GOOGLETRANSLATE(D2761,""EN"",""JA"")"),"リポアラビノマンナン")</f>
        <v>リポアラビノマンナン</v>
      </c>
      <c r="I2761" s="1" t="str">
        <f>IFERROR(__xludf.DUMMYFUNCTION("GOOGLETRANSLATE(E2761,""EN"",""JA"")"),"リポアラビノマンナン")</f>
        <v>リポアラビノマンナン</v>
      </c>
      <c r="J2761" s="1" t="str">
        <f>IFERROR(__xludf.DUMMYFUNCTION("GOOGLETRANSLATE(F2761,""EN"",""JA"")"),"生物標本中のリポアラビノマンナンの測定。")</f>
        <v>生物標本中のリポアラビノマンナンの測定。</v>
      </c>
      <c r="K2761" s="1" t="str">
        <f>IFERROR(__xludf.DUMMYFUNCTION("GOOGLETRANSLATE(G2761,""EN"",""JA"")"),"リポアラビノマンナン測定")</f>
        <v>リポアラビノマンナン測定</v>
      </c>
    </row>
    <row r="2762" ht="13.5" customHeight="1">
      <c r="A2762" s="1" t="s">
        <v>11</v>
      </c>
      <c r="B2762" s="1" t="s">
        <v>13896</v>
      </c>
      <c r="C2762" s="1" t="s">
        <v>13897</v>
      </c>
      <c r="D2762" s="1" t="s">
        <v>13898</v>
      </c>
      <c r="E2762" s="1" t="s">
        <v>13899</v>
      </c>
      <c r="F2762" s="1" t="s">
        <v>13900</v>
      </c>
      <c r="G2762" s="1" t="s">
        <v>13901</v>
      </c>
      <c r="H2762" s="1" t="str">
        <f>IFERROR(__xludf.DUMMYFUNCTION("GOOGLETRANSLATE(D2762,""EN"",""JA"")"),"リソソーム関連膜タンパク質2")</f>
        <v>リソソーム関連膜タンパク質2</v>
      </c>
      <c r="I2762" s="1" t="str">
        <f>IFERROR(__xludf.DUMMYFUNCTION("GOOGLETRANSLATE(E2762,""EN"",""JA"")"),"リソソーム関連膜タンパク質2; リソソーム膜関連タンパク質2; リソソーム関連膜タンパク質2; 可溶性CD107b")</f>
        <v>リソソーム関連膜タンパク質2; リソソーム膜関連タンパク質2; リソソーム関連膜タンパク質2; 可溶性CD107b</v>
      </c>
      <c r="J2762" s="1" t="str">
        <f>IFERROR(__xludf.DUMMYFUNCTION("GOOGLETRANSLATE(F2762,""EN"",""JA"")"),"生物標本中に存在するリソソーム関連膜タンパク質 2 の測定。")</f>
        <v>生物標本中に存在するリソソーム関連膜タンパク質 2 の測定。</v>
      </c>
      <c r="K2762" s="1" t="str">
        <f>IFERROR(__xludf.DUMMYFUNCTION("GOOGLETRANSLATE(G2762,""EN"",""JA"")"),"リソソーム関連膜タンパク質2の測定")</f>
        <v>リソソーム関連膜タンパク質2の測定</v>
      </c>
    </row>
    <row r="2763" ht="13.5" customHeight="1">
      <c r="A2763" s="1" t="s">
        <v>870</v>
      </c>
      <c r="B2763" s="1" t="s">
        <v>13902</v>
      </c>
      <c r="C2763" s="1" t="s">
        <v>13903</v>
      </c>
      <c r="D2763" s="1" t="s">
        <v>13904</v>
      </c>
      <c r="E2763" s="1" t="s">
        <v>13904</v>
      </c>
      <c r="F2763" s="1" t="s">
        <v>13905</v>
      </c>
      <c r="G2763" s="1" t="s">
        <v>13906</v>
      </c>
      <c r="H2763" s="1" t="str">
        <f>IFERROR(__xludf.DUMMYFUNCTION("GOOGLETRANSLATE(D2763,""EN"",""JA"")"),"ラムダz")</f>
        <v>ラムダz</v>
      </c>
      <c r="I2763" s="1" t="str">
        <f>IFERROR(__xludf.DUMMYFUNCTION("GOOGLETRANSLATE(E2763,""EN"",""JA"")"),"ラムダz")</f>
        <v>ラムダz</v>
      </c>
      <c r="J2763" s="1" t="str">
        <f>IFERROR(__xludf.DUMMYFUNCTION("GOOGLETRANSLATE(F2763,""EN"",""JA"")"),"曲線の末端（対数線形）部分に関連付けられた一次速度定数。")</f>
        <v>曲線の末端（対数線形）部分に関連付けられた一次速度定数。</v>
      </c>
      <c r="K2763" s="1" t="str">
        <f>IFERROR(__xludf.DUMMYFUNCTION("GOOGLETRANSLATE(G2763,""EN"",""JA"")"),"ラムダZ")</f>
        <v>ラムダZ</v>
      </c>
    </row>
    <row r="2764" ht="13.5" customHeight="1">
      <c r="A2764" s="1" t="s">
        <v>870</v>
      </c>
      <c r="B2764" s="1" t="s">
        <v>13907</v>
      </c>
      <c r="C2764" s="1" t="s">
        <v>13908</v>
      </c>
      <c r="D2764" s="1" t="s">
        <v>13909</v>
      </c>
      <c r="E2764" s="1" t="s">
        <v>13909</v>
      </c>
      <c r="F2764" s="1" t="s">
        <v>13910</v>
      </c>
      <c r="G2764" s="1" t="s">
        <v>13911</v>
      </c>
      <c r="H2764" s="1" t="str">
        <f>IFERROR(__xludf.DUMMYFUNCTION("GOOGLETRANSLATE(D2764,""EN"",""JA"")"),"ハーフライフ ラムダz")</f>
        <v>ハーフライフ ラムダz</v>
      </c>
      <c r="I2764" s="1" t="str">
        <f>IFERROR(__xludf.DUMMYFUNCTION("GOOGLETRANSLATE(E2764,""EN"",""JA"")"),"ハーフライフ ラムダz")</f>
        <v>ハーフライフ ラムダz</v>
      </c>
      <c r="J2764" s="1" t="str">
        <f>IFERROR(__xludf.DUMMYFUNCTION("GOOGLETRANSLATE(F2764,""EN"",""JA"")"),"末端半減期。")</f>
        <v>末端半減期。</v>
      </c>
      <c r="K2764" s="1" t="str">
        <f>IFERROR(__xludf.DUMMYFUNCTION("GOOGLETRANSLATE(G2764,""EN"",""JA"")"),"終末半減期")</f>
        <v>終末半減期</v>
      </c>
    </row>
    <row r="2765" ht="13.5" customHeight="1">
      <c r="A2765" s="1" t="s">
        <v>870</v>
      </c>
      <c r="B2765" s="1" t="s">
        <v>13912</v>
      </c>
      <c r="C2765" s="1" t="s">
        <v>13913</v>
      </c>
      <c r="D2765" s="1" t="s">
        <v>13914</v>
      </c>
      <c r="E2765" s="1" t="s">
        <v>13914</v>
      </c>
      <c r="F2765" s="1" t="s">
        <v>13915</v>
      </c>
      <c r="G2765" s="1" t="s">
        <v>13916</v>
      </c>
      <c r="H2765" s="1" t="str">
        <f>IFERROR(__xludf.DUMMYFUNCTION("GOOGLETRANSLATE(D2765,""EN"",""JA"")"),"ラムダz下限")</f>
        <v>ラムダz下限</v>
      </c>
      <c r="I2765" s="1" t="str">
        <f>IFERROR(__xludf.DUMMYFUNCTION("GOOGLETRANSLATE(E2765,""EN"",""JA"")"),"ラムダz下限")</f>
        <v>ラムダz下限</v>
      </c>
      <c r="J2765" s="1" t="str">
        <f>IFERROR(__xludf.DUMMYFUNCTION("GOOGLETRANSLATE(F2765,""EN"",""JA"")"),"Lambda z の計算に含める値の時間の下限。")</f>
        <v>Lambda z の計算に含める値の時間の下限。</v>
      </c>
      <c r="K2765" s="1" t="str">
        <f>IFERROR(__xludf.DUMMYFUNCTION("GOOGLETRANSLATE(G2765,""EN"",""JA"")"),"ラムダZ時間下限")</f>
        <v>ラムダZ時間下限</v>
      </c>
    </row>
    <row r="2766" ht="13.5" customHeight="1">
      <c r="A2766" s="1" t="s">
        <v>870</v>
      </c>
      <c r="B2766" s="1" t="s">
        <v>13917</v>
      </c>
      <c r="C2766" s="1" t="s">
        <v>13918</v>
      </c>
      <c r="D2766" s="1" t="s">
        <v>13919</v>
      </c>
      <c r="E2766" s="1" t="s">
        <v>13919</v>
      </c>
      <c r="F2766" s="1" t="s">
        <v>13920</v>
      </c>
      <c r="G2766" s="1" t="s">
        <v>13919</v>
      </c>
      <c r="H2766" s="1" t="str">
        <f>IFERROR(__xludf.DUMMYFUNCTION("GOOGLETRANSLATE(D2766,""EN"",""JA"")"),"ラムダz下限TAU")</f>
        <v>ラムダz下限TAU</v>
      </c>
      <c r="I2766" s="1" t="str">
        <f>IFERROR(__xludf.DUMMYFUNCTION("GOOGLETRANSLATE(E2766,""EN"",""JA"")"),"ラムダz下限TAU")</f>
        <v>ラムダz下限TAU</v>
      </c>
      <c r="J2766" s="1" t="str">
        <f>IFERROR(__xludf.DUMMYFUNCTION("GOOGLETRANSLATE(F2766,""EN"",""JA"")"),"投与間隔内で計算される Lambda z の計算に含める値の時間の下限。")</f>
        <v>投与間隔内で計算される Lambda z の計算に含める値の時間の下限。</v>
      </c>
      <c r="K2766" s="1" t="str">
        <f>IFERROR(__xludf.DUMMYFUNCTION("GOOGLETRANSLATE(G2766,""EN"",""JA"")"),"ラムダz下限TAU")</f>
        <v>ラムダz下限TAU</v>
      </c>
    </row>
    <row r="2767" ht="13.5" customHeight="1">
      <c r="A2767" s="1" t="s">
        <v>870</v>
      </c>
      <c r="B2767" s="1" t="s">
        <v>13921</v>
      </c>
      <c r="C2767" s="1" t="s">
        <v>13922</v>
      </c>
      <c r="D2767" s="1" t="s">
        <v>13923</v>
      </c>
      <c r="E2767" s="1" t="s">
        <v>13923</v>
      </c>
      <c r="F2767" s="1" t="s">
        <v>13924</v>
      </c>
      <c r="G2767" s="1" t="s">
        <v>13925</v>
      </c>
      <c r="H2767" s="1" t="str">
        <f>IFERROR(__xludf.DUMMYFUNCTION("GOOGLETRANSLATE(D2767,""EN"",""JA"")"),"ラムダzの点の数")</f>
        <v>ラムダzの点の数</v>
      </c>
      <c r="I2767" s="1" t="str">
        <f>IFERROR(__xludf.DUMMYFUNCTION("GOOGLETRANSLATE(E2767,""EN"",""JA"")"),"ラムダzの点の数")</f>
        <v>ラムダzの点の数</v>
      </c>
      <c r="J2767" s="1" t="str">
        <f>IFERROR(__xludf.DUMMYFUNCTION("GOOGLETRANSLATE(F2767,""EN"",""JA"")"),"Lambda z の計算に使用される時間点の数。")</f>
        <v>Lambda z の計算に使用される時間点の数。</v>
      </c>
      <c r="K2767" s="1" t="str">
        <f>IFERROR(__xludf.DUMMYFUNCTION("GOOGLETRANSLATE(G2767,""EN"",""JA"")"),"ラムダZタイムポイントの合計")</f>
        <v>ラムダZタイムポイントの合計</v>
      </c>
    </row>
    <row r="2768" ht="13.5" customHeight="1">
      <c r="A2768" s="1" t="s">
        <v>870</v>
      </c>
      <c r="B2768" s="1" t="s">
        <v>13926</v>
      </c>
      <c r="C2768" s="1" t="s">
        <v>13927</v>
      </c>
      <c r="D2768" s="1" t="s">
        <v>13928</v>
      </c>
      <c r="E2768" s="1" t="s">
        <v>13928</v>
      </c>
      <c r="F2768" s="1" t="s">
        <v>13929</v>
      </c>
      <c r="G2768" s="1" t="s">
        <v>13928</v>
      </c>
      <c r="H2768" s="1" t="str">
        <f>IFERROR(__xludf.DUMMYFUNCTION("GOOGLETRANSLATE(D2768,""EN"",""JA"")"),"ラムダzTAUの点の数")</f>
        <v>ラムダzTAUの点の数</v>
      </c>
      <c r="I2768" s="1" t="str">
        <f>IFERROR(__xludf.DUMMYFUNCTION("GOOGLETRANSLATE(E2768,""EN"",""JA"")"),"ラムダzTAUの点の数")</f>
        <v>ラムダzTAUの点の数</v>
      </c>
      <c r="J2768" s="1" t="str">
        <f>IFERROR(__xludf.DUMMYFUNCTION("GOOGLETRANSLATE(F2768,""EN"",""JA"")"),"投与間隔で決定される Lambda z の計算に使用される時間点の数。")</f>
        <v>投与間隔で決定される Lambda z の計算に使用される時間点の数。</v>
      </c>
      <c r="K2768" s="1" t="str">
        <f>IFERROR(__xludf.DUMMYFUNCTION("GOOGLETRANSLATE(G2768,""EN"",""JA"")"),"ラムダzTAUの点の数")</f>
        <v>ラムダzTAUの点の数</v>
      </c>
    </row>
    <row r="2769" ht="13.5" customHeight="1">
      <c r="A2769" s="1" t="s">
        <v>870</v>
      </c>
      <c r="B2769" s="1" t="s">
        <v>13930</v>
      </c>
      <c r="C2769" s="1" t="s">
        <v>13931</v>
      </c>
      <c r="D2769" s="1" t="s">
        <v>13932</v>
      </c>
      <c r="E2769" s="1" t="s">
        <v>13932</v>
      </c>
      <c r="F2769" s="1" t="s">
        <v>13933</v>
      </c>
      <c r="G2769" s="1" t="s">
        <v>13934</v>
      </c>
      <c r="H2769" s="1" t="str">
        <f>IFERROR(__xludf.DUMMYFUNCTION("GOOGLETRANSLATE(D2769,""EN"",""JA"")"),"ラムダzスパン")</f>
        <v>ラムダzスパン</v>
      </c>
      <c r="I2769" s="1" t="str">
        <f>IFERROR(__xludf.DUMMYFUNCTION("GOOGLETRANSLATE(E2769,""EN"",""JA"")"),"ラムダzスパン")</f>
        <v>ラムダzスパン</v>
      </c>
      <c r="J2769" s="1" t="str">
        <f>IFERROR(__xludf.DUMMYFUNCTION("GOOGLETRANSLATE(F2769,""EN"",""JA"")"),"終末期回帰分析で用いられるデータポイントがカバーする時間間隔を半減期で割った値。これにより、終末期の持続期間が半減期の数で表されます。")</f>
        <v>終末期回帰分析で用いられるデータポイントがカバーする時間間隔を半減期で割った値。これにより、終末期の持続期間が半減期の数で表されます。</v>
      </c>
      <c r="K2769" s="1" t="str">
        <f>IFERROR(__xludf.DUMMYFUNCTION("GOOGLETRANSLATE(G2769,""EN"",""JA"")"),"ラムダZスパン")</f>
        <v>ラムダZスパン</v>
      </c>
    </row>
    <row r="2770" ht="13.5" customHeight="1">
      <c r="A2770" s="1" t="s">
        <v>870</v>
      </c>
      <c r="B2770" s="1" t="s">
        <v>13935</v>
      </c>
      <c r="C2770" s="1" t="s">
        <v>13936</v>
      </c>
      <c r="D2770" s="1" t="s">
        <v>13937</v>
      </c>
      <c r="E2770" s="1" t="s">
        <v>13937</v>
      </c>
      <c r="F2770" s="1" t="s">
        <v>13938</v>
      </c>
      <c r="G2770" s="1" t="s">
        <v>13937</v>
      </c>
      <c r="H2770" s="1" t="str">
        <f>IFERROR(__xludf.DUMMYFUNCTION("GOOGLETRANSLATE(D2770,""EN"",""JA"")"),"ラムダzタウ")</f>
        <v>ラムダzタウ</v>
      </c>
      <c r="I2770" s="1" t="str">
        <f>IFERROR(__xludf.DUMMYFUNCTION("GOOGLETRANSLATE(E2770,""EN"",""JA"")"),"ラムダzタウ")</f>
        <v>ラムダzタウ</v>
      </c>
      <c r="J2770" s="1" t="str">
        <f>IFERROR(__xludf.DUMMYFUNCTION("GOOGLETRANSLATE(F2770,""EN"",""JA"")"),"投与間隔内で計算された、曲線の末端（対数線形）部分に関連付けられた一次速度定数。")</f>
        <v>投与間隔内で計算された、曲線の末端（対数線形）部分に関連付けられた一次速度定数。</v>
      </c>
      <c r="K2770" s="1" t="str">
        <f>IFERROR(__xludf.DUMMYFUNCTION("GOOGLETRANSLATE(G2770,""EN"",""JA"")"),"ラムダzタウ")</f>
        <v>ラムダzタウ</v>
      </c>
    </row>
    <row r="2771" ht="13.5" customHeight="1">
      <c r="A2771" s="1" t="s">
        <v>870</v>
      </c>
      <c r="B2771" s="1" t="s">
        <v>13939</v>
      </c>
      <c r="C2771" s="1" t="s">
        <v>13940</v>
      </c>
      <c r="D2771" s="1" t="s">
        <v>13941</v>
      </c>
      <c r="E2771" s="1" t="s">
        <v>13941</v>
      </c>
      <c r="F2771" s="1" t="s">
        <v>13942</v>
      </c>
      <c r="G2771" s="1" t="s">
        <v>13943</v>
      </c>
      <c r="H2771" s="1" t="str">
        <f>IFERROR(__xludf.DUMMYFUNCTION("GOOGLETRANSLATE(D2771,""EN"",""JA"")"),"ラムダz上限")</f>
        <v>ラムダz上限</v>
      </c>
      <c r="I2771" s="1" t="str">
        <f>IFERROR(__xludf.DUMMYFUNCTION("GOOGLETRANSLATE(E2771,""EN"",""JA"")"),"ラムダz上限")</f>
        <v>ラムダz上限</v>
      </c>
      <c r="J2771" s="1" t="str">
        <f>IFERROR(__xludf.DUMMYFUNCTION("GOOGLETRANSLATE(F2771,""EN"",""JA"")"),"Lambda z の計算に含める値の時間の上限。")</f>
        <v>Lambda z の計算に含める値の時間の上限。</v>
      </c>
      <c r="K2771" s="1" t="str">
        <f>IFERROR(__xludf.DUMMYFUNCTION("GOOGLETRANSLATE(G2771,""EN"",""JA"")"),"ラムダZ時間上限")</f>
        <v>ラムダZ時間上限</v>
      </c>
    </row>
    <row r="2772" ht="13.5" customHeight="1">
      <c r="A2772" s="1" t="s">
        <v>870</v>
      </c>
      <c r="B2772" s="1" t="s">
        <v>13944</v>
      </c>
      <c r="C2772" s="1" t="s">
        <v>13945</v>
      </c>
      <c r="D2772" s="1" t="s">
        <v>13946</v>
      </c>
      <c r="E2772" s="1" t="s">
        <v>13946</v>
      </c>
      <c r="F2772" s="1" t="s">
        <v>13947</v>
      </c>
      <c r="G2772" s="1" t="s">
        <v>13946</v>
      </c>
      <c r="H2772" s="1" t="str">
        <f>IFERROR(__xludf.DUMMYFUNCTION("GOOGLETRANSLATE(D2772,""EN"",""JA"")"),"ラムダz上限TAU")</f>
        <v>ラムダz上限TAU</v>
      </c>
      <c r="I2772" s="1" t="str">
        <f>IFERROR(__xludf.DUMMYFUNCTION("GOOGLETRANSLATE(E2772,""EN"",""JA"")"),"ラムダz上限TAU")</f>
        <v>ラムダz上限TAU</v>
      </c>
      <c r="J2772" s="1" t="str">
        <f>IFERROR(__xludf.DUMMYFUNCTION("GOOGLETRANSLATE(F2772,""EN"",""JA"")"),"投与間隔内で計算される Lambda z の計算に含める値の時間の上限。")</f>
        <v>投与間隔内で計算される Lambda z の計算に含める値の時間の上限。</v>
      </c>
      <c r="K2772" s="1" t="str">
        <f>IFERROR(__xludf.DUMMYFUNCTION("GOOGLETRANSLATE(G2772,""EN"",""JA"")"),"ラムダz上限TAU")</f>
        <v>ラムダz上限TAU</v>
      </c>
    </row>
    <row r="2773" ht="13.5" customHeight="1">
      <c r="A2773" s="1" t="s">
        <v>11</v>
      </c>
      <c r="B2773" s="1" t="s">
        <v>13948</v>
      </c>
      <c r="C2773" s="1" t="s">
        <v>13949</v>
      </c>
      <c r="D2773" s="1" t="s">
        <v>13950</v>
      </c>
      <c r="E2773" s="1" t="s">
        <v>13951</v>
      </c>
      <c r="F2773" s="1" t="s">
        <v>13952</v>
      </c>
      <c r="G2773" s="1" t="s">
        <v>13953</v>
      </c>
      <c r="H2773" s="1" t="str">
        <f>IFERROR(__xludf.DUMMYFUNCTION("GOOGLETRANSLATE(D2773,""EN"",""JA"")"),"ロイシンアミノペプチダーゼ")</f>
        <v>ロイシンアミノペプチダーゼ</v>
      </c>
      <c r="I2773" s="1" t="str">
        <f>IFERROR(__xludf.DUMMYFUNCTION("GOOGLETRANSLATE(E2773,""EN"",""JA"")"),"細胞質アミノペプチダーゼ; LAP3; ロイシンアミノペプチダーゼ; ロイシンアミノペプチダーゼ3; ロイシルアミノペプチダーゼ")</f>
        <v>細胞質アミノペプチダーゼ; LAP3; ロイシンアミノペプチダーゼ; ロイシンアミノペプチダーゼ3; ロイシルアミノペプチダーゼ</v>
      </c>
      <c r="J2773" s="1" t="str">
        <f>IFERROR(__xludf.DUMMYFUNCTION("GOOGLETRANSLATE(F2773,""EN"",""JA"")"),"生物学的標本中に存在するロイシンアミノペプチダーゼの総量の測定。")</f>
        <v>生物学的標本中に存在するロイシンアミノペプチダーゼの総量の測定。</v>
      </c>
      <c r="K2773" s="1" t="str">
        <f>IFERROR(__xludf.DUMMYFUNCTION("GOOGLETRANSLATE(G2773,""EN"",""JA"")"),"ロイシンアミノペプチダーゼ測定")</f>
        <v>ロイシンアミノペプチダーゼ測定</v>
      </c>
    </row>
    <row r="2774" ht="13.5" customHeight="1">
      <c r="A2774" s="1" t="s">
        <v>11</v>
      </c>
      <c r="B2774" s="1" t="s">
        <v>13954</v>
      </c>
      <c r="C2774" s="1" t="s">
        <v>13955</v>
      </c>
      <c r="D2774" s="1" t="s">
        <v>13956</v>
      </c>
      <c r="E2774" s="1" t="s">
        <v>13956</v>
      </c>
      <c r="F2774" s="1" t="s">
        <v>13957</v>
      </c>
      <c r="G2774" s="1" t="s">
        <v>13958</v>
      </c>
      <c r="H2774" s="1" t="str">
        <f>IFERROR(__xludf.DUMMYFUNCTION("GOOGLETRANSLATE(D2774,""EN"",""JA"")"),"LDLアポリポタンパク質B")</f>
        <v>LDLアポリポタンパク質B</v>
      </c>
      <c r="I2774" s="1" t="str">
        <f>IFERROR(__xludf.DUMMYFUNCTION("GOOGLETRANSLATE(E2774,""EN"",""JA"")"),"LDLアポリポタンパク質B")</f>
        <v>LDLアポリポタンパク質B</v>
      </c>
      <c r="J2774" s="1" t="str">
        <f>IFERROR(__xludf.DUMMYFUNCTION("GOOGLETRANSLATE(F2774,""EN"",""JA"")"),"生物標本の低密度リポタンパク質分画中のアポリポタンパク質 B の測定。")</f>
        <v>生物標本の低密度リポタンパク質分画中のアポリポタンパク質 B の測定。</v>
      </c>
      <c r="K2774" s="1" t="str">
        <f>IFERROR(__xludf.DUMMYFUNCTION("GOOGLETRANSLATE(G2774,""EN"",""JA"")"),"LDL分画アポリプロテインB測定")</f>
        <v>LDL分画アポリプロテインB測定</v>
      </c>
    </row>
    <row r="2775" ht="13.5" customHeight="1">
      <c r="A2775" s="1" t="s">
        <v>129</v>
      </c>
      <c r="B2775" s="1" t="s">
        <v>13959</v>
      </c>
      <c r="C2775" s="1" t="s">
        <v>13960</v>
      </c>
      <c r="D2775" s="1" t="s">
        <v>13961</v>
      </c>
      <c r="E2775" s="1" t="s">
        <v>13961</v>
      </c>
      <c r="F2775" s="1" t="s">
        <v>13962</v>
      </c>
      <c r="G2775" s="1" t="s">
        <v>13961</v>
      </c>
      <c r="H2775" s="1" t="str">
        <f>IFERROR(__xludf.DUMMYFUNCTION("GOOGLETRANSLATE(D2775,""EN"",""JA"")"),"除脂肪体重")</f>
        <v>除脂肪体重</v>
      </c>
      <c r="I2775" s="1" t="str">
        <f>IFERROR(__xludf.DUMMYFUNCTION("GOOGLETRANSLATE(E2775,""EN"",""JA"")"),"除脂肪体重")</f>
        <v>除脂肪体重</v>
      </c>
      <c r="J2775" s="1" t="str">
        <f>IFERROR(__xludf.DUMMYFUNCTION("GOOGLETRANSLATE(F2775,""EN"",""JA"")"),"個人のすべての臓器と組織の重量から体脂肪の重量を差し引いたもの。")</f>
        <v>個人のすべての臓器と組織の重量から体脂肪の重量を差し引いたもの。</v>
      </c>
      <c r="K2775" s="1" t="str">
        <f>IFERROR(__xludf.DUMMYFUNCTION("GOOGLETRANSLATE(G2775,""EN"",""JA"")"),"除脂肪体重")</f>
        <v>除脂肪体重</v>
      </c>
    </row>
    <row r="2776" ht="13.5" customHeight="1">
      <c r="A2776" s="1" t="s">
        <v>129</v>
      </c>
      <c r="B2776" s="1" t="s">
        <v>13963</v>
      </c>
      <c r="C2776" s="1" t="s">
        <v>13964</v>
      </c>
      <c r="D2776" s="1" t="s">
        <v>13965</v>
      </c>
      <c r="E2776" s="1" t="s">
        <v>13965</v>
      </c>
      <c r="F2776" s="1" t="s">
        <v>13966</v>
      </c>
      <c r="G2776" s="1" t="s">
        <v>13965</v>
      </c>
      <c r="H2776" s="1" t="str">
        <f>IFERROR(__xludf.DUMMYFUNCTION("GOOGLETRANSLATE(D2776,""EN"",""JA"")"),"除脂肪体重と全身体重の比率")</f>
        <v>除脂肪体重と全身体重の比率</v>
      </c>
      <c r="I2776" s="1" t="str">
        <f>IFERROR(__xludf.DUMMYFUNCTION("GOOGLETRANSLATE(E2776,""EN"",""JA"")"),"除脂肪体重と全身体重の比率")</f>
        <v>除脂肪体重と全身体重の比率</v>
      </c>
      <c r="J2776" s="1" t="str">
        <f>IFERROR(__xludf.DUMMYFUNCTION("GOOGLETRANSLATE(F2776,""EN"",""JA"")"),"個人の体重全体重に対する除脂肪体重の割合。除脂肪体重は、体重全体重から体脂肪を差し引いて算出されます。")</f>
        <v>個人の体重全体重に対する除脂肪体重の割合。除脂肪体重は、体重全体重から体脂肪を差し引いて算出されます。</v>
      </c>
      <c r="K2776" s="1" t="str">
        <f>IFERROR(__xludf.DUMMYFUNCTION("GOOGLETRANSLATE(G2776,""EN"",""JA"")"),"除脂肪体重と全身体重の比率")</f>
        <v>除脂肪体重と全身体重の比率</v>
      </c>
    </row>
    <row r="2777" ht="13.5" customHeight="1">
      <c r="A2777" s="1" t="s">
        <v>90</v>
      </c>
      <c r="B2777" s="1" t="s">
        <v>13967</v>
      </c>
      <c r="C2777" s="1" t="s">
        <v>13968</v>
      </c>
      <c r="D2777" s="1" t="s">
        <v>13969</v>
      </c>
      <c r="E2777" s="1" t="s">
        <v>13970</v>
      </c>
      <c r="F2777" s="1" t="s">
        <v>13971</v>
      </c>
      <c r="G2777" s="1" t="s">
        <v>13972</v>
      </c>
      <c r="H2777" s="1" t="str">
        <f>IFERROR(__xludf.DUMMYFUNCTION("GOOGLETRANSLATE(D2777,""EN"",""JA"")"),"最大交差秒直径、EVD")</f>
        <v>最大交差秒直径、EVD</v>
      </c>
      <c r="I2777" s="1" t="str">
        <f>IFERROR(__xludf.DUMMYFUNCTION("GOOGLETRANSLATE(E2777,""EN"",""JA"")"),"最大断面積直径、EVD; 最大断面積直径、心室拡張末期")</f>
        <v>最大断面積直径、EVD; 最大断面積直径、心室拡張末期</v>
      </c>
      <c r="J2777" s="1" t="str">
        <f>IFERROR(__xludf.DUMMYFUNCTION("GOOGLETRANSLATE(F2777,""EN"",""JA"")"),"心室拡張期末期に測定された血管構造の最大断面直径。")</f>
        <v>心室拡張期末期に測定された血管構造の最大断面直径。</v>
      </c>
      <c r="K2777" s="1" t="str">
        <f>IFERROR(__xludf.DUMMYFUNCTION("GOOGLETRANSLATE(G2777,""EN"",""JA"")"),"心室拡張期末期の最大断面直径")</f>
        <v>心室拡張期末期の最大断面直径</v>
      </c>
    </row>
    <row r="2778" ht="13.5" customHeight="1">
      <c r="A2778" s="1" t="s">
        <v>11</v>
      </c>
      <c r="B2778" s="1" t="s">
        <v>13973</v>
      </c>
      <c r="C2778" s="1" t="s">
        <v>13974</v>
      </c>
      <c r="D2778" s="1" t="s">
        <v>13975</v>
      </c>
      <c r="E2778" s="1" t="s">
        <v>13976</v>
      </c>
      <c r="F2778" s="1" t="s">
        <v>13977</v>
      </c>
      <c r="G2778" s="1" t="s">
        <v>13978</v>
      </c>
      <c r="H2778" s="1" t="str">
        <f>IFERROR(__xludf.DUMMYFUNCTION("GOOGLETRANSLATE(D2778,""EN"",""JA"")"),"リトコール酸化合物")</f>
        <v>リトコール酸化合物</v>
      </c>
      <c r="I2778" s="1" t="str">
        <f>IFERROR(__xludf.DUMMYFUNCTION("GOOGLETRANSLATE(E2778,""EN"",""JA"")"),"リトコール酸化合物; リトコール酸化合物")</f>
        <v>リトコール酸化合物; リトコール酸化合物</v>
      </c>
      <c r="J2778" s="1" t="str">
        <f>IFERROR(__xludf.DUMMYFUNCTION("GOOGLETRANSLATE(F2778,""EN"",""JA"")"),"生物標本中のリトコール酸、グリコリトコール酸、タウロリトコール酸の測定。")</f>
        <v>生物標本中のリトコール酸、グリコリトコール酸、タウロリトコール酸の測定。</v>
      </c>
      <c r="K2778" s="1" t="str">
        <f>IFERROR(__xludf.DUMMYFUNCTION("GOOGLETRANSLATE(G2778,""EN"",""JA"")"),"リトコール酸化合物の測定")</f>
        <v>リトコール酸化合物の測定</v>
      </c>
    </row>
    <row r="2779" ht="13.5" customHeight="1">
      <c r="A2779" s="1" t="s">
        <v>11</v>
      </c>
      <c r="B2779" s="1" t="s">
        <v>13979</v>
      </c>
      <c r="C2779" s="1" t="s">
        <v>13980</v>
      </c>
      <c r="D2779" s="1" t="s">
        <v>13981</v>
      </c>
      <c r="E2779" s="1" t="s">
        <v>13982</v>
      </c>
      <c r="F2779" s="1" t="s">
        <v>13983</v>
      </c>
      <c r="G2779" s="1" t="s">
        <v>13984</v>
      </c>
      <c r="H2779" s="1" t="str">
        <f>IFERROR(__xludf.DUMMYFUNCTION("GOOGLETRANSLATE(D2779,""EN"",""JA"")"),"リトコール酸")</f>
        <v>リトコール酸</v>
      </c>
      <c r="I2779" s="1" t="str">
        <f>IFERROR(__xludf.DUMMYFUNCTION("GOOGLETRANSLATE(E2779,""EN"",""JA"")"),"リトコール酸")</f>
        <v>リトコール酸</v>
      </c>
      <c r="J2779" s="1" t="str">
        <f>IFERROR(__xludf.DUMMYFUNCTION("GOOGLETRANSLATE(F2779,""EN"",""JA"")"),"生物標本中のリトコール酸の測定。")</f>
        <v>生物標本中のリトコール酸の測定。</v>
      </c>
      <c r="K2779" s="1" t="str">
        <f>IFERROR(__xludf.DUMMYFUNCTION("GOOGLETRANSLATE(G2779,""EN"",""JA"")"),"リトコール酸測定")</f>
        <v>リトコール酸測定</v>
      </c>
    </row>
    <row r="2780" ht="13.5" customHeight="1">
      <c r="A2780" s="1" t="s">
        <v>580</v>
      </c>
      <c r="B2780" s="1" t="s">
        <v>13985</v>
      </c>
      <c r="C2780" s="1" t="s">
        <v>13986</v>
      </c>
      <c r="D2780" s="1" t="s">
        <v>13987</v>
      </c>
      <c r="E2780" s="1" t="s">
        <v>13987</v>
      </c>
      <c r="F2780" s="1" t="s">
        <v>13988</v>
      </c>
      <c r="G2780" s="1" t="s">
        <v>13987</v>
      </c>
      <c r="H2780" s="1" t="str">
        <f>IFERROR(__xludf.DUMMYFUNCTION("GOOGLETRANSLATE(D2780,""EN"",""JA"")"),"肺クリアランス指数")</f>
        <v>肺クリアランス指数</v>
      </c>
      <c r="I2780" s="1" t="str">
        <f>IFERROR(__xludf.DUMMYFUNCTION("GOOGLETRANSLATE(E2780,""EN"",""JA"")"),"肺クリアランス指数")</f>
        <v>肺クリアランス指数</v>
      </c>
      <c r="J2780" s="1" t="str">
        <f>IFERROR(__xludf.DUMMYFUNCTION("GOOGLETRANSLATE(F2780,""EN"",""JA"")"),"ウォッシュアウト開始時の肺の空気量（機能的残気量）を、事前に定義されたエンドポイントまでトレーサーを除去するためにリサイクルする必要がある回数の代表的な測定値。")</f>
        <v>ウォッシュアウト開始時の肺の空気量（機能的残気量）を、事前に定義されたエンドポイントまでトレーサーを除去するためにリサイクルする必要がある回数の代表的な測定値。</v>
      </c>
      <c r="K2780" s="1" t="str">
        <f>IFERROR(__xludf.DUMMYFUNCTION("GOOGLETRANSLATE(G2780,""EN"",""JA"")"),"肺クリアランス指数")</f>
        <v>肺クリアランス指数</v>
      </c>
    </row>
    <row r="2781" ht="13.5" customHeight="1">
      <c r="A2781" s="1" t="s">
        <v>580</v>
      </c>
      <c r="B2781" s="1" t="s">
        <v>13989</v>
      </c>
      <c r="C2781" s="1" t="s">
        <v>13990</v>
      </c>
      <c r="D2781" s="1" t="s">
        <v>13991</v>
      </c>
      <c r="E2781" s="1" t="s">
        <v>13992</v>
      </c>
      <c r="F2781" s="1" t="s">
        <v>13993</v>
      </c>
      <c r="G2781" s="1" t="s">
        <v>13994</v>
      </c>
      <c r="H2781" s="1" t="str">
        <f>IFERROR(__xludf.DUMMYFUNCTION("GOOGLETRANSLATE(D2781,""EN"",""JA"")"),"LCIから2.5%の初期濃度まで")</f>
        <v>LCIから2.5%の初期濃度まで</v>
      </c>
      <c r="I2781" s="1" t="str">
        <f>IFERROR(__xludf.DUMMYFUNCTION("GOOGLETRANSLATE(E2781,""EN"",""JA"")"),"LCI 初期濃度の 1/40 まで; LCI 初期濃度の 2.5% まで; 肺クリアランス指数 初期濃度の 1/40 まで; 肺クリアランス指数 初期濃度の 2.5% まで")</f>
        <v>LCI 初期濃度の 1/40 まで; LCI 初期濃度の 2.5% まで; 肺クリアランス指数 初期濃度の 1/40 まで; 肺クリアランス指数 初期濃度の 2.5% まで</v>
      </c>
      <c r="J2781" s="1" t="str">
        <f>IFERROR(__xludf.DUMMYFUNCTION("GOOGLETRANSLATE(F2781,""EN"",""JA"")"),"洗浄開始時の肺の空気量（機能的残留気量）をリサイクルしてトレーサーを初期濃度の 2.5%（または 40 分の 1）まで下げる必要がある回数を表す代表的な測定値。")</f>
        <v>洗浄開始時の肺の空気量（機能的残留気量）をリサイクルしてトレーサーを初期濃度の 2.5%（または 40 分の 1）まで下げる必要がある回数を表す代表的な測定値。</v>
      </c>
      <c r="K2781" s="1" t="str">
        <f>IFERROR(__xludf.DUMMYFUNCTION("GOOGLETRANSLATE(G2781,""EN"",""JA"")"),"初期濃度2.5%までの肺クリアランス指数")</f>
        <v>初期濃度2.5%までの肺クリアランス指数</v>
      </c>
    </row>
    <row r="2782" ht="13.5" customHeight="1">
      <c r="A2782" s="1" t="s">
        <v>580</v>
      </c>
      <c r="B2782" s="1" t="s">
        <v>13995</v>
      </c>
      <c r="C2782" s="1" t="s">
        <v>13996</v>
      </c>
      <c r="D2782" s="1" t="s">
        <v>13997</v>
      </c>
      <c r="E2782" s="1" t="s">
        <v>13998</v>
      </c>
      <c r="F2782" s="1" t="s">
        <v>13999</v>
      </c>
      <c r="G2782" s="1" t="s">
        <v>14000</v>
      </c>
      <c r="H2782" s="1" t="str">
        <f>IFERROR(__xludf.DUMMYFUNCTION("GOOGLETRANSLATE(D2782,""EN"",""JA"")"),"LCIから5%の初期濃度")</f>
        <v>LCIから5%の初期濃度</v>
      </c>
      <c r="I2782" s="1" t="str">
        <f>IFERROR(__xludf.DUMMYFUNCTION("GOOGLETRANSLATE(E2782,""EN"",""JA"")"),"初期濃度の1/20に対するLCI; 初期濃度の5%に対するLCI; 初期濃度の1/20に対する肺クリアランス指数; 初期濃度の5%に対する肺クリアランス指数")</f>
        <v>初期濃度の1/20に対するLCI; 初期濃度の5%に対するLCI; 初期濃度の1/20に対する肺クリアランス指数; 初期濃度の5%に対する肺クリアランス指数</v>
      </c>
      <c r="J2782" s="1" t="str">
        <f>IFERROR(__xludf.DUMMYFUNCTION("GOOGLETRANSLATE(F2782,""EN"",""JA"")"),"洗浄開始時の肺の空気量（機能的残留気量）をリサイクルしてトレーサーを初期濃度の 5%（または 1/20）まで下げる必要がある回数を表す代表的な測定値。")</f>
        <v>洗浄開始時の肺の空気量（機能的残留気量）をリサイクルしてトレーサーを初期濃度の 5%（または 1/20）まで下げる必要がある回数を表す代表的な測定値。</v>
      </c>
      <c r="K2782" s="1" t="str">
        <f>IFERROR(__xludf.DUMMYFUNCTION("GOOGLETRANSLATE(G2782,""EN"",""JA"")"),"初期濃度5%までの肺クリアランス指数")</f>
        <v>初期濃度5%までの肺クリアランス指数</v>
      </c>
    </row>
    <row r="2783" ht="13.5" customHeight="1">
      <c r="A2783" s="1" t="s">
        <v>90</v>
      </c>
      <c r="B2783" s="1" t="s">
        <v>14001</v>
      </c>
      <c r="C2783" s="1" t="s">
        <v>14002</v>
      </c>
      <c r="D2783" s="1" t="s">
        <v>14003</v>
      </c>
      <c r="E2783" s="1" t="s">
        <v>14004</v>
      </c>
      <c r="F2783" s="1" t="s">
        <v>14005</v>
      </c>
      <c r="G2783" s="1" t="s">
        <v>14006</v>
      </c>
      <c r="H2783" s="1" t="str">
        <f>IFERROR(__xludf.DUMMYFUNCTION("GOOGLETRANSLATE(D2783,""EN"",""JA"")"),"グラフト内の最も重篤な狭窄部位")</f>
        <v>グラフト内の最も重篤な狭窄部位</v>
      </c>
      <c r="I2783" s="1" t="str">
        <f>IFERROR(__xludf.DUMMYFUNCTION("GOOGLETRANSLATE(E2783,""EN"",""JA"")"),"グラフト内の最も重度の狭窄部位; グラフト内の最も重度の狭窄部位")</f>
        <v>グラフト内の最も重度の狭窄部位; グラフト内の最も重度の狭窄部位</v>
      </c>
      <c r="J2783" s="1" t="str">
        <f>IFERROR(__xludf.DUMMYFUNCTION("GOOGLETRANSLATE(F2783,""EN"",""JA"")"),"移植片の中で最も狭窄がひどい部分。")</f>
        <v>移植片の中で最も狭窄がひどい部分。</v>
      </c>
      <c r="K2783" s="1" t="str">
        <f>IFERROR(__xludf.DUMMYFUNCTION("GOOGLETRANSLATE(G2783,""EN"",""JA"")"),"グラフト内の最も重度の狭窄部位")</f>
        <v>グラフト内の最も重度の狭窄部位</v>
      </c>
    </row>
    <row r="2784" ht="13.5" customHeight="1">
      <c r="A2784" s="1" t="s">
        <v>134</v>
      </c>
      <c r="B2784" s="1" t="s">
        <v>14007</v>
      </c>
      <c r="C2784" s="1" t="s">
        <v>14008</v>
      </c>
      <c r="D2784" s="1" t="s">
        <v>14009</v>
      </c>
      <c r="E2784" s="1" t="s">
        <v>14010</v>
      </c>
      <c r="F2784" s="1" t="s">
        <v>14011</v>
      </c>
      <c r="G2784" s="1" t="s">
        <v>14012</v>
      </c>
      <c r="H2784" s="1" t="str">
        <f>IFERROR(__xludf.DUMMYFUNCTION("GOOGLETRANSLATE(D2784,""EN"",""JA"")"),"リポカリン-2")</f>
        <v>リポカリン-2</v>
      </c>
      <c r="I2784" s="1" t="str">
        <f>IFERROR(__xludf.DUMMYFUNCTION("GOOGLETRANSLATE(E2784,""EN"",""JA"")"),"リポカリン-2; 好中球ゼラチナーゼ関連リポカリン; NGAL; 癌遺伝子 24p3")</f>
        <v>リポカリン-2; 好中球ゼラチナーゼ関連リポカリン; NGAL; 癌遺伝子 24p3</v>
      </c>
      <c r="J2784" s="1" t="str">
        <f>IFERROR(__xludf.DUMMYFUNCTION("GOOGLETRANSLATE(F2784,""EN"",""JA"")"),"生物標本中のリポカリン-2の測定。")</f>
        <v>生物標本中のリポカリン-2の測定。</v>
      </c>
      <c r="K2784" s="1" t="str">
        <f>IFERROR(__xludf.DUMMYFUNCTION("GOOGLETRANSLATE(G2784,""EN"",""JA"")"),"リポカリン-2測定")</f>
        <v>リポカリン-2測定</v>
      </c>
    </row>
    <row r="2785" ht="13.5" customHeight="1">
      <c r="A2785" s="1" t="s">
        <v>11</v>
      </c>
      <c r="B2785" s="1" t="s">
        <v>14007</v>
      </c>
      <c r="C2785" s="1" t="s">
        <v>14008</v>
      </c>
      <c r="D2785" s="1" t="s">
        <v>14009</v>
      </c>
      <c r="E2785" s="1" t="s">
        <v>14010</v>
      </c>
      <c r="F2785" s="1" t="s">
        <v>14011</v>
      </c>
      <c r="G2785" s="1" t="s">
        <v>14012</v>
      </c>
      <c r="H2785" s="1" t="str">
        <f>IFERROR(__xludf.DUMMYFUNCTION("GOOGLETRANSLATE(D2785,""EN"",""JA"")"),"リポカリン-2")</f>
        <v>リポカリン-2</v>
      </c>
      <c r="I2785" s="1" t="str">
        <f>IFERROR(__xludf.DUMMYFUNCTION("GOOGLETRANSLATE(E2785,""EN"",""JA"")"),"リポカリン-2; 好中球ゼラチナーゼ関連リポカリン; NGAL; 癌遺伝子 24p3")</f>
        <v>リポカリン-2; 好中球ゼラチナーゼ関連リポカリン; NGAL; 癌遺伝子 24p3</v>
      </c>
      <c r="J2785" s="1" t="str">
        <f>IFERROR(__xludf.DUMMYFUNCTION("GOOGLETRANSLATE(F2785,""EN"",""JA"")"),"生物標本中のリポカリン-2の測定。")</f>
        <v>生物標本中のリポカリン-2の測定。</v>
      </c>
      <c r="K2785" s="1" t="str">
        <f>IFERROR(__xludf.DUMMYFUNCTION("GOOGLETRANSLATE(G2785,""EN"",""JA"")"),"リポカリン-2測定")</f>
        <v>リポカリン-2測定</v>
      </c>
    </row>
    <row r="2786" ht="13.5" customHeight="1">
      <c r="A2786" s="1" t="s">
        <v>11</v>
      </c>
      <c r="B2786" s="1" t="s">
        <v>14013</v>
      </c>
      <c r="C2786" s="1" t="s">
        <v>14014</v>
      </c>
      <c r="D2786" s="1" t="s">
        <v>14015</v>
      </c>
      <c r="E2786" s="1" t="s">
        <v>14016</v>
      </c>
      <c r="F2786" s="1" t="s">
        <v>14017</v>
      </c>
      <c r="G2786" s="1" t="s">
        <v>14018</v>
      </c>
      <c r="H2786" s="1" t="str">
        <f>IFERROR(__xludf.DUMMYFUNCTION("GOOGLETRANSLATE(D2786,""EN"",""JA"")"),"リポカリン-2/クレアチニン")</f>
        <v>リポカリン-2/クレアチニン</v>
      </c>
      <c r="I2786" s="1" t="str">
        <f>IFERROR(__xludf.DUMMYFUNCTION("GOOGLETRANSLATE(E2786,""EN"",""JA"")"),"リポカリン-2/クレアチニン; 好中球ゼラチナーゼ関連リポカリン/クレアチニン; NGAL/クレアチニン")</f>
        <v>リポカリン-2/クレアチニン; 好中球ゼラチナーゼ関連リポカリン/クレアチニン; NGAL/クレアチニン</v>
      </c>
      <c r="J2786" s="1" t="str">
        <f>IFERROR(__xludf.DUMMYFUNCTION("GOOGLETRANSLATE(F2786,""EN"",""JA"")"),"サンプル中に存在するリポカリン 2 とクレアチニンの相対的な測定値 (比率またはパーセンテージ)。")</f>
        <v>サンプル中に存在するリポカリン 2 とクレアチニンの相対的な測定値 (比率またはパーセンテージ)。</v>
      </c>
      <c r="K2786" s="1" t="str">
        <f>IFERROR(__xludf.DUMMYFUNCTION("GOOGLETRANSLATE(G2786,""EN"",""JA"")"),"リポカリン2対クレアチニン比測定")</f>
        <v>リポカリン2対クレアチニン比測定</v>
      </c>
    </row>
    <row r="2787" ht="13.5" customHeight="1">
      <c r="A2787" s="1" t="s">
        <v>67</v>
      </c>
      <c r="B2787" s="1" t="s">
        <v>14019</v>
      </c>
      <c r="C2787" s="1" t="s">
        <v>14020</v>
      </c>
      <c r="D2787" s="1" t="s">
        <v>14021</v>
      </c>
      <c r="E2787" s="1" t="s">
        <v>14021</v>
      </c>
      <c r="F2787" s="1" t="s">
        <v>14022</v>
      </c>
      <c r="G2787" s="1" t="s">
        <v>14023</v>
      </c>
      <c r="H2787" s="1" t="str">
        <f>IFERROR(__xludf.DUMMYFUNCTION("GOOGLETRANSLATE(D2787,""EN"",""JA"")"),"ラクトバチルス・クリスパタス")</f>
        <v>ラクトバチルス・クリスパタス</v>
      </c>
      <c r="I2787" s="1" t="str">
        <f>IFERROR(__xludf.DUMMYFUNCTION("GOOGLETRANSLATE(E2787,""EN"",""JA"")"),"ラクトバチルス・クリスパタス")</f>
        <v>ラクトバチルス・クリスパタス</v>
      </c>
      <c r="J2787" s="1" t="str">
        <f>IFERROR(__xludf.DUMMYFUNCTION("GOOGLETRANSLATE(F2787,""EN"",""JA"")"),"生物標本中の Lactobacillus crispatus の測定。")</f>
        <v>生物標本中の Lactobacillus crispatus の測定。</v>
      </c>
      <c r="K2787" s="1" t="str">
        <f>IFERROR(__xludf.DUMMYFUNCTION("GOOGLETRANSLATE(G2787,""EN"",""JA"")"),"クリスパタス乳酸菌の測定")</f>
        <v>クリスパタス乳酸菌の測定</v>
      </c>
    </row>
    <row r="2788" ht="13.5" customHeight="1">
      <c r="A2788" s="1" t="s">
        <v>67</v>
      </c>
      <c r="B2788" s="1" t="s">
        <v>14024</v>
      </c>
      <c r="C2788" s="1" t="s">
        <v>14025</v>
      </c>
      <c r="D2788" s="1" t="s">
        <v>14026</v>
      </c>
      <c r="E2788" s="1" t="s">
        <v>14026</v>
      </c>
      <c r="F2788" s="1" t="s">
        <v>14027</v>
      </c>
      <c r="G2788" s="1" t="s">
        <v>14028</v>
      </c>
      <c r="H2788" s="1" t="str">
        <f>IFERROR(__xludf.DUMMYFUNCTION("GOOGLETRANSLATE(D2788,""EN"",""JA"")"),"ラクトバチルス・クリスパタスDNA")</f>
        <v>ラクトバチルス・クリスパタスDNA</v>
      </c>
      <c r="I2788" s="1" t="str">
        <f>IFERROR(__xludf.DUMMYFUNCTION("GOOGLETRANSLATE(E2788,""EN"",""JA"")"),"ラクトバチルス・クリスパタスDNA")</f>
        <v>ラクトバチルス・クリスパタスDNA</v>
      </c>
      <c r="J2788" s="1" t="str">
        <f>IFERROR(__xludf.DUMMYFUNCTION("GOOGLETRANSLATE(F2788,""EN"",""JA"")"),"生物標本中の Lactobacillus crispatus DNA の測定。")</f>
        <v>生物標本中の Lactobacillus crispatus DNA の測定。</v>
      </c>
      <c r="K2788" s="1" t="str">
        <f>IFERROR(__xludf.DUMMYFUNCTION("GOOGLETRANSLATE(G2788,""EN"",""JA"")"),"ラクトバチルス・クリスパタスDNA測定")</f>
        <v>ラクトバチルス・クリスパタスDNA測定</v>
      </c>
    </row>
    <row r="2789" ht="13.5" customHeight="1">
      <c r="A2789" s="1" t="s">
        <v>11</v>
      </c>
      <c r="B2789" s="1" t="s">
        <v>14029</v>
      </c>
      <c r="C2789" s="1" t="s">
        <v>14030</v>
      </c>
      <c r="D2789" s="1" t="s">
        <v>14031</v>
      </c>
      <c r="E2789" s="1" t="s">
        <v>14032</v>
      </c>
      <c r="F2789" s="1" t="s">
        <v>14033</v>
      </c>
      <c r="G2789" s="1" t="s">
        <v>14034</v>
      </c>
      <c r="H2789" s="1" t="str">
        <f>IFERROR(__xludf.DUMMYFUNCTION("GOOGLETRANSLATE(D2789,""EN"",""JA"")"),"レシチン/スフィンゴミエリン")</f>
        <v>レシチン/スフィンゴミエリン</v>
      </c>
      <c r="I2789" s="1" t="str">
        <f>IFERROR(__xludf.DUMMYFUNCTION("GOOGLETRANSLATE(E2789,""EN"",""JA"")"),"レシチン/スフィンゴミエリン; LS比")</f>
        <v>レシチン/スフィンゴミエリン; LS比</v>
      </c>
      <c r="J2789" s="1" t="str">
        <f>IFERROR(__xludf.DUMMYFUNCTION("GOOGLETRANSLATE(F2789,""EN"",""JA"")"),"生物標本中のレシチンとスフィンゴミエリンの相対的な測定値（比率）。")</f>
        <v>生物標本中のレシチンとスフィンゴミエリンの相対的な測定値（比率）。</v>
      </c>
      <c r="K2789" s="1" t="str">
        <f>IFERROR(__xludf.DUMMYFUNCTION("GOOGLETRANSLATE(G2789,""EN"",""JA"")"),"レシチンとスフィンゴミエリン比の測定")</f>
        <v>レシチンとスフィンゴミエリン比の測定</v>
      </c>
    </row>
    <row r="2790" ht="13.5" customHeight="1">
      <c r="A2790" s="1" t="s">
        <v>11</v>
      </c>
      <c r="B2790" s="1" t="s">
        <v>14035</v>
      </c>
      <c r="C2790" s="1" t="s">
        <v>14036</v>
      </c>
      <c r="D2790" s="1" t="s">
        <v>14037</v>
      </c>
      <c r="E2790" s="1" t="s">
        <v>14037</v>
      </c>
      <c r="F2790" s="1" t="s">
        <v>14038</v>
      </c>
      <c r="G2790" s="1" t="s">
        <v>14039</v>
      </c>
      <c r="H2790" s="1" t="str">
        <f>IFERROR(__xludf.DUMMYFUNCTION("GOOGLETRANSLATE(D2790,""EN"",""JA"")"),"乳酸脱水素酵素")</f>
        <v>乳酸脱水素酵素</v>
      </c>
      <c r="I2790" s="1" t="str">
        <f>IFERROR(__xludf.DUMMYFUNCTION("GOOGLETRANSLATE(E2790,""EN"",""JA"")"),"乳酸脱水素酵素")</f>
        <v>乳酸脱水素酵素</v>
      </c>
      <c r="J2790" s="1" t="str">
        <f>IFERROR(__xludf.DUMMYFUNCTION("GOOGLETRANSLATE(F2790,""EN"",""JA"")"),"生物標本中の乳酸脱水素酵素の測定。")</f>
        <v>生物標本中の乳酸脱水素酵素の測定。</v>
      </c>
      <c r="K2790" s="1" t="str">
        <f>IFERROR(__xludf.DUMMYFUNCTION("GOOGLETRANSLATE(G2790,""EN"",""JA"")"),"乳酸脱水素酵素測定")</f>
        <v>乳酸脱水素酵素測定</v>
      </c>
    </row>
    <row r="2791" ht="13.5" customHeight="1">
      <c r="A2791" s="1" t="s">
        <v>11</v>
      </c>
      <c r="B2791" s="1" t="s">
        <v>14040</v>
      </c>
      <c r="C2791" s="1" t="s">
        <v>14041</v>
      </c>
      <c r="D2791" s="1" t="s">
        <v>14042</v>
      </c>
      <c r="E2791" s="1" t="s">
        <v>14042</v>
      </c>
      <c r="F2791" s="1" t="s">
        <v>14043</v>
      </c>
      <c r="G2791" s="1" t="s">
        <v>14044</v>
      </c>
      <c r="H2791" s="1" t="str">
        <f>IFERROR(__xludf.DUMMYFUNCTION("GOOGLETRANSLATE(D2791,""EN"",""JA"")"),"LDHアイソザイム1")</f>
        <v>LDHアイソザイム1</v>
      </c>
      <c r="I2791" s="1" t="str">
        <f>IFERROR(__xludf.DUMMYFUNCTION("GOOGLETRANSLATE(E2791,""EN"",""JA"")"),"LDHアイソザイム1")</f>
        <v>LDHアイソザイム1</v>
      </c>
      <c r="J2791" s="1" t="str">
        <f>IFERROR(__xludf.DUMMYFUNCTION("GOOGLETRANSLATE(F2791,""EN"",""JA"")"),"生物標本中の乳酸脱水素酵素アイソザイム 1 の測定。")</f>
        <v>生物標本中の乳酸脱水素酵素アイソザイム 1 の測定。</v>
      </c>
      <c r="K2791" s="1" t="str">
        <f>IFERROR(__xludf.DUMMYFUNCTION("GOOGLETRANSLATE(G2791,""EN"",""JA"")"),"乳酸脱水素酵素アイソザイム1の測定")</f>
        <v>乳酸脱水素酵素アイソザイム1の測定</v>
      </c>
    </row>
    <row r="2792" ht="13.5" customHeight="1">
      <c r="A2792" s="1" t="s">
        <v>11</v>
      </c>
      <c r="B2792" s="1" t="s">
        <v>14045</v>
      </c>
      <c r="C2792" s="1" t="s">
        <v>14046</v>
      </c>
      <c r="D2792" s="1" t="s">
        <v>14047</v>
      </c>
      <c r="E2792" s="1" t="s">
        <v>14047</v>
      </c>
      <c r="F2792" s="1" t="s">
        <v>14048</v>
      </c>
      <c r="G2792" s="1" t="s">
        <v>14049</v>
      </c>
      <c r="H2792" s="1" t="str">
        <f>IFERROR(__xludf.DUMMYFUNCTION("GOOGLETRANSLATE(D2792,""EN"",""JA"")"),"LDHアイソザイム1/LDH")</f>
        <v>LDHアイソザイム1/LDH</v>
      </c>
      <c r="I2792" s="1" t="str">
        <f>IFERROR(__xludf.DUMMYFUNCTION("GOOGLETRANSLATE(E2792,""EN"",""JA"")"),"LDHアイソザイム1/LDH")</f>
        <v>LDHアイソザイム1/LDH</v>
      </c>
      <c r="J2792" s="1" t="str">
        <f>IFERROR(__xludf.DUMMYFUNCTION("GOOGLETRANSLATE(F2792,""EN"",""JA"")"),"生物標本中の乳酸脱水素酵素アイソザイム 1 と総乳酸脱水素酵素の相対測定値 (比率またはパーセンテージ)。")</f>
        <v>生物標本中の乳酸脱水素酵素アイソザイム 1 と総乳酸脱水素酵素の相対測定値 (比率またはパーセンテージ)。</v>
      </c>
      <c r="K2792" s="1" t="str">
        <f>IFERROR(__xludf.DUMMYFUNCTION("GOOGLETRANSLATE(G2792,""EN"",""JA"")"),"LDHアイソザイム1とLDHの比測定")</f>
        <v>LDHアイソザイム1とLDHの比測定</v>
      </c>
    </row>
    <row r="2793" ht="13.5" customHeight="1">
      <c r="A2793" s="1" t="s">
        <v>11</v>
      </c>
      <c r="B2793" s="1" t="s">
        <v>14050</v>
      </c>
      <c r="C2793" s="1" t="s">
        <v>14051</v>
      </c>
      <c r="D2793" s="1" t="s">
        <v>14052</v>
      </c>
      <c r="E2793" s="1" t="s">
        <v>14052</v>
      </c>
      <c r="F2793" s="1" t="s">
        <v>14053</v>
      </c>
      <c r="G2793" s="1" t="s">
        <v>14054</v>
      </c>
      <c r="H2793" s="1" t="str">
        <f>IFERROR(__xludf.DUMMYFUNCTION("GOOGLETRANSLATE(D2793,""EN"",""JA"")"),"LDHアイソザイム2")</f>
        <v>LDHアイソザイム2</v>
      </c>
      <c r="I2793" s="1" t="str">
        <f>IFERROR(__xludf.DUMMYFUNCTION("GOOGLETRANSLATE(E2793,""EN"",""JA"")"),"LDHアイソザイム2")</f>
        <v>LDHアイソザイム2</v>
      </c>
      <c r="J2793" s="1" t="str">
        <f>IFERROR(__xludf.DUMMYFUNCTION("GOOGLETRANSLATE(F2793,""EN"",""JA"")"),"生物標本中の乳酸脱水素酵素アイソザイム 2 の測定。")</f>
        <v>生物標本中の乳酸脱水素酵素アイソザイム 2 の測定。</v>
      </c>
      <c r="K2793" s="1" t="str">
        <f>IFERROR(__xludf.DUMMYFUNCTION("GOOGLETRANSLATE(G2793,""EN"",""JA"")"),"乳酸脱水素酵素アイソザイム2の測定")</f>
        <v>乳酸脱水素酵素アイソザイム2の測定</v>
      </c>
    </row>
    <row r="2794" ht="13.5" customHeight="1">
      <c r="A2794" s="1" t="s">
        <v>11</v>
      </c>
      <c r="B2794" s="1" t="s">
        <v>14055</v>
      </c>
      <c r="C2794" s="1" t="s">
        <v>14056</v>
      </c>
      <c r="D2794" s="1" t="s">
        <v>14057</v>
      </c>
      <c r="E2794" s="1" t="s">
        <v>14057</v>
      </c>
      <c r="F2794" s="1" t="s">
        <v>14058</v>
      </c>
      <c r="G2794" s="1" t="s">
        <v>14059</v>
      </c>
      <c r="H2794" s="1" t="str">
        <f>IFERROR(__xludf.DUMMYFUNCTION("GOOGLETRANSLATE(D2794,""EN"",""JA"")"),"LDHアイソザイム2/LDH")</f>
        <v>LDHアイソザイム2/LDH</v>
      </c>
      <c r="I2794" s="1" t="str">
        <f>IFERROR(__xludf.DUMMYFUNCTION("GOOGLETRANSLATE(E2794,""EN"",""JA"")"),"LDHアイソザイム2/LDH")</f>
        <v>LDHアイソザイム2/LDH</v>
      </c>
      <c r="J2794" s="1" t="str">
        <f>IFERROR(__xludf.DUMMYFUNCTION("GOOGLETRANSLATE(F2794,""EN"",""JA"")"),"生物標本中の乳酸脱水素酵素アイソザイム 2 と総乳酸脱水素酵素の相対測定値 (比率またはパーセンテージ)。")</f>
        <v>生物標本中の乳酸脱水素酵素アイソザイム 2 と総乳酸脱水素酵素の相対測定値 (比率またはパーセンテージ)。</v>
      </c>
      <c r="K2794" s="1" t="str">
        <f>IFERROR(__xludf.DUMMYFUNCTION("GOOGLETRANSLATE(G2794,""EN"",""JA"")"),"LDHアイソザイム2とLDHの比率測定")</f>
        <v>LDHアイソザイム2とLDHの比率測定</v>
      </c>
    </row>
    <row r="2795" ht="13.5" customHeight="1">
      <c r="A2795" s="1" t="s">
        <v>11</v>
      </c>
      <c r="B2795" s="1" t="s">
        <v>14060</v>
      </c>
      <c r="C2795" s="1" t="s">
        <v>14061</v>
      </c>
      <c r="D2795" s="1" t="s">
        <v>14062</v>
      </c>
      <c r="E2795" s="1" t="s">
        <v>14062</v>
      </c>
      <c r="F2795" s="1" t="s">
        <v>14063</v>
      </c>
      <c r="G2795" s="1" t="s">
        <v>14064</v>
      </c>
      <c r="H2795" s="1" t="str">
        <f>IFERROR(__xludf.DUMMYFUNCTION("GOOGLETRANSLATE(D2795,""EN"",""JA"")"),"LDHアイソザイム3")</f>
        <v>LDHアイソザイム3</v>
      </c>
      <c r="I2795" s="1" t="str">
        <f>IFERROR(__xludf.DUMMYFUNCTION("GOOGLETRANSLATE(E2795,""EN"",""JA"")"),"LDHアイソザイム3")</f>
        <v>LDHアイソザイム3</v>
      </c>
      <c r="J2795" s="1" t="str">
        <f>IFERROR(__xludf.DUMMYFUNCTION("GOOGLETRANSLATE(F2795,""EN"",""JA"")"),"生物標本中の乳酸脱水素酵素アイソザイム 3 の測定。")</f>
        <v>生物標本中の乳酸脱水素酵素アイソザイム 3 の測定。</v>
      </c>
      <c r="K2795" s="1" t="str">
        <f>IFERROR(__xludf.DUMMYFUNCTION("GOOGLETRANSLATE(G2795,""EN"",""JA"")"),"乳酸脱水素酵素アイソザイム3の測定")</f>
        <v>乳酸脱水素酵素アイソザイム3の測定</v>
      </c>
    </row>
    <row r="2796" ht="13.5" customHeight="1">
      <c r="A2796" s="1" t="s">
        <v>11</v>
      </c>
      <c r="B2796" s="1" t="s">
        <v>14065</v>
      </c>
      <c r="C2796" s="1" t="s">
        <v>14066</v>
      </c>
      <c r="D2796" s="1" t="s">
        <v>14067</v>
      </c>
      <c r="E2796" s="1" t="s">
        <v>14067</v>
      </c>
      <c r="F2796" s="1" t="s">
        <v>14068</v>
      </c>
      <c r="G2796" s="1" t="s">
        <v>14069</v>
      </c>
      <c r="H2796" s="1" t="str">
        <f>IFERROR(__xludf.DUMMYFUNCTION("GOOGLETRANSLATE(D2796,""EN"",""JA"")"),"LDHアイソザイム3/LDH")</f>
        <v>LDHアイソザイム3/LDH</v>
      </c>
      <c r="I2796" s="1" t="str">
        <f>IFERROR(__xludf.DUMMYFUNCTION("GOOGLETRANSLATE(E2796,""EN"",""JA"")"),"LDHアイソザイム3/LDH")</f>
        <v>LDHアイソザイム3/LDH</v>
      </c>
      <c r="J2796" s="1" t="str">
        <f>IFERROR(__xludf.DUMMYFUNCTION("GOOGLETRANSLATE(F2796,""EN"",""JA"")"),"生物標本中の乳酸脱水素酵素アイソザイム 3 と総乳酸脱水素酵素の相対測定値 (比率またはパーセンテージ)。")</f>
        <v>生物標本中の乳酸脱水素酵素アイソザイム 3 と総乳酸脱水素酵素の相対測定値 (比率またはパーセンテージ)。</v>
      </c>
      <c r="K2796" s="1" t="str">
        <f>IFERROR(__xludf.DUMMYFUNCTION("GOOGLETRANSLATE(G2796,""EN"",""JA"")"),"LDHアイソザイム3とLDH比の測定")</f>
        <v>LDHアイソザイム3とLDH比の測定</v>
      </c>
    </row>
    <row r="2797" ht="13.5" customHeight="1">
      <c r="A2797" s="1" t="s">
        <v>11</v>
      </c>
      <c r="B2797" s="1" t="s">
        <v>14070</v>
      </c>
      <c r="C2797" s="1" t="s">
        <v>14071</v>
      </c>
      <c r="D2797" s="1" t="s">
        <v>14072</v>
      </c>
      <c r="E2797" s="1" t="s">
        <v>14072</v>
      </c>
      <c r="F2797" s="1" t="s">
        <v>14073</v>
      </c>
      <c r="G2797" s="1" t="s">
        <v>14074</v>
      </c>
      <c r="H2797" s="1" t="str">
        <f>IFERROR(__xludf.DUMMYFUNCTION("GOOGLETRANSLATE(D2797,""EN"",""JA"")"),"LDHアイソザイム4")</f>
        <v>LDHアイソザイム4</v>
      </c>
      <c r="I2797" s="1" t="str">
        <f>IFERROR(__xludf.DUMMYFUNCTION("GOOGLETRANSLATE(E2797,""EN"",""JA"")"),"LDHアイソザイム4")</f>
        <v>LDHアイソザイム4</v>
      </c>
      <c r="J2797" s="1" t="str">
        <f>IFERROR(__xludf.DUMMYFUNCTION("GOOGLETRANSLATE(F2797,""EN"",""JA"")"),"生物標本中の乳酸脱水素酵素アイソザイム 4 の測定。")</f>
        <v>生物標本中の乳酸脱水素酵素アイソザイム 4 の測定。</v>
      </c>
      <c r="K2797" s="1" t="str">
        <f>IFERROR(__xludf.DUMMYFUNCTION("GOOGLETRANSLATE(G2797,""EN"",""JA"")"),"乳酸脱水素酵素アイソザイム4の測定")</f>
        <v>乳酸脱水素酵素アイソザイム4の測定</v>
      </c>
    </row>
    <row r="2798" ht="13.5" customHeight="1">
      <c r="A2798" s="1" t="s">
        <v>11</v>
      </c>
      <c r="B2798" s="1" t="s">
        <v>14075</v>
      </c>
      <c r="C2798" s="1" t="s">
        <v>14076</v>
      </c>
      <c r="D2798" s="1" t="s">
        <v>14077</v>
      </c>
      <c r="E2798" s="1" t="s">
        <v>14077</v>
      </c>
      <c r="F2798" s="1" t="s">
        <v>14078</v>
      </c>
      <c r="G2798" s="1" t="s">
        <v>14079</v>
      </c>
      <c r="H2798" s="1" t="str">
        <f>IFERROR(__xludf.DUMMYFUNCTION("GOOGLETRANSLATE(D2798,""EN"",""JA"")"),"LDHアイソザイム4/LDH")</f>
        <v>LDHアイソザイム4/LDH</v>
      </c>
      <c r="I2798" s="1" t="str">
        <f>IFERROR(__xludf.DUMMYFUNCTION("GOOGLETRANSLATE(E2798,""EN"",""JA"")"),"LDHアイソザイム4/LDH")</f>
        <v>LDHアイソザイム4/LDH</v>
      </c>
      <c r="J2798" s="1" t="str">
        <f>IFERROR(__xludf.DUMMYFUNCTION("GOOGLETRANSLATE(F2798,""EN"",""JA"")"),"生物標本中の乳酸脱水素酵素アイソザイム 4 と総乳酸脱水素酵素の相対測定値 (比率またはパーセンテージ)。")</f>
        <v>生物標本中の乳酸脱水素酵素アイソザイム 4 と総乳酸脱水素酵素の相対測定値 (比率またはパーセンテージ)。</v>
      </c>
      <c r="K2798" s="1" t="str">
        <f>IFERROR(__xludf.DUMMYFUNCTION("GOOGLETRANSLATE(G2798,""EN"",""JA"")"),"LDHアイソザイム4とLDH比の測定")</f>
        <v>LDHアイソザイム4とLDH比の測定</v>
      </c>
    </row>
    <row r="2799" ht="13.5" customHeight="1">
      <c r="A2799" s="1" t="s">
        <v>11</v>
      </c>
      <c r="B2799" s="1" t="s">
        <v>14080</v>
      </c>
      <c r="C2799" s="1" t="s">
        <v>14081</v>
      </c>
      <c r="D2799" s="1" t="s">
        <v>14082</v>
      </c>
      <c r="E2799" s="1" t="s">
        <v>14082</v>
      </c>
      <c r="F2799" s="1" t="s">
        <v>14083</v>
      </c>
      <c r="G2799" s="1" t="s">
        <v>14084</v>
      </c>
      <c r="H2799" s="1" t="str">
        <f>IFERROR(__xludf.DUMMYFUNCTION("GOOGLETRANSLATE(D2799,""EN"",""JA"")"),"LDHアイソザイム5")</f>
        <v>LDHアイソザイム5</v>
      </c>
      <c r="I2799" s="1" t="str">
        <f>IFERROR(__xludf.DUMMYFUNCTION("GOOGLETRANSLATE(E2799,""EN"",""JA"")"),"LDHアイソザイム5")</f>
        <v>LDHアイソザイム5</v>
      </c>
      <c r="J2799" s="1" t="str">
        <f>IFERROR(__xludf.DUMMYFUNCTION("GOOGLETRANSLATE(F2799,""EN"",""JA"")"),"生物標本中の乳酸脱水素酵素アイソザイム 5 の測定。")</f>
        <v>生物標本中の乳酸脱水素酵素アイソザイム 5 の測定。</v>
      </c>
      <c r="K2799" s="1" t="str">
        <f>IFERROR(__xludf.DUMMYFUNCTION("GOOGLETRANSLATE(G2799,""EN"",""JA"")"),"乳酸脱水素酵素アイソザイム5の測定")</f>
        <v>乳酸脱水素酵素アイソザイム5の測定</v>
      </c>
    </row>
    <row r="2800" ht="13.5" customHeight="1">
      <c r="A2800" s="1" t="s">
        <v>11</v>
      </c>
      <c r="B2800" s="1" t="s">
        <v>14085</v>
      </c>
      <c r="C2800" s="1" t="s">
        <v>14086</v>
      </c>
      <c r="D2800" s="1" t="s">
        <v>14087</v>
      </c>
      <c r="E2800" s="1" t="s">
        <v>14087</v>
      </c>
      <c r="F2800" s="1" t="s">
        <v>14088</v>
      </c>
      <c r="G2800" s="1" t="s">
        <v>14089</v>
      </c>
      <c r="H2800" s="1" t="str">
        <f>IFERROR(__xludf.DUMMYFUNCTION("GOOGLETRANSLATE(D2800,""EN"",""JA"")"),"LDHアイソザイム5/LDH")</f>
        <v>LDHアイソザイム5/LDH</v>
      </c>
      <c r="I2800" s="1" t="str">
        <f>IFERROR(__xludf.DUMMYFUNCTION("GOOGLETRANSLATE(E2800,""EN"",""JA"")"),"LDHアイソザイム5/LDH")</f>
        <v>LDHアイソザイム5/LDH</v>
      </c>
      <c r="J2800" s="1" t="str">
        <f>IFERROR(__xludf.DUMMYFUNCTION("GOOGLETRANSLATE(F2800,""EN"",""JA"")"),"生物標本中の乳酸脱水素酵素アイソザイム 5 と総乳酸脱水素酵素の相対測定値 (比率またはパーセンテージ)。")</f>
        <v>生物標本中の乳酸脱水素酵素アイソザイム 5 と総乳酸脱水素酵素の相対測定値 (比率またはパーセンテージ)。</v>
      </c>
      <c r="K2800" s="1" t="str">
        <f>IFERROR(__xludf.DUMMYFUNCTION("GOOGLETRANSLATE(G2800,""EN"",""JA"")"),"LDHアイソザイム5とLDH比の測定")</f>
        <v>LDHアイソザイム5とLDH比の測定</v>
      </c>
    </row>
    <row r="2801" ht="13.5" customHeight="1">
      <c r="A2801" s="1" t="s">
        <v>11</v>
      </c>
      <c r="B2801" s="1" t="s">
        <v>14090</v>
      </c>
      <c r="C2801" s="1" t="s">
        <v>14091</v>
      </c>
      <c r="D2801" s="1" t="s">
        <v>14092</v>
      </c>
      <c r="E2801" s="1" t="s">
        <v>14092</v>
      </c>
      <c r="F2801" s="1" t="s">
        <v>14093</v>
      </c>
      <c r="G2801" s="1" t="s">
        <v>14094</v>
      </c>
      <c r="H2801" s="1" t="str">
        <f>IFERROR(__xludf.DUMMYFUNCTION("GOOGLETRANSLATE(D2801,""EN"",""JA"")"),"乳酸脱水素酵素/クレアチニン")</f>
        <v>乳酸脱水素酵素/クレアチニン</v>
      </c>
      <c r="I2801" s="1" t="str">
        <f>IFERROR(__xludf.DUMMYFUNCTION("GOOGLETRANSLATE(E2801,""EN"",""JA"")"),"乳酸脱水素酵素/クレアチニン")</f>
        <v>乳酸脱水素酵素/クレアチニン</v>
      </c>
      <c r="J2801" s="1" t="str">
        <f>IFERROR(__xludf.DUMMYFUNCTION("GOOGLETRANSLATE(F2801,""EN"",""JA"")"),"生物標本中の乳酸脱水素酵素とクレアチニンの相対的な測定値（比率またはパーセンテージ）。")</f>
        <v>生物標本中の乳酸脱水素酵素とクレアチニンの相対的な測定値（比率またはパーセンテージ）。</v>
      </c>
      <c r="K2801" s="1" t="str">
        <f>IFERROR(__xludf.DUMMYFUNCTION("GOOGLETRANSLATE(G2801,""EN"",""JA"")"),"乳酸脱水素酵素とクレアチニンの比率測定")</f>
        <v>乳酸脱水素酵素とクレアチニンの比率測定</v>
      </c>
    </row>
    <row r="2802" ht="13.5" customHeight="1">
      <c r="A2802" s="1" t="s">
        <v>11</v>
      </c>
      <c r="B2802" s="1" t="s">
        <v>14095</v>
      </c>
      <c r="C2802" s="1" t="s">
        <v>14096</v>
      </c>
      <c r="D2802" s="1" t="s">
        <v>14097</v>
      </c>
      <c r="E2802" s="1" t="s">
        <v>14097</v>
      </c>
      <c r="F2802" s="1" t="s">
        <v>14098</v>
      </c>
      <c r="G2802" s="1" t="s">
        <v>14097</v>
      </c>
      <c r="H2802" s="1" t="str">
        <f>IFERROR(__xludf.DUMMYFUNCTION("GOOGLETRANSLATE(D2802,""EN"",""JA"")"),"乳酸脱水素酵素排泄率")</f>
        <v>乳酸脱水素酵素排泄率</v>
      </c>
      <c r="I2802" s="1" t="str">
        <f>IFERROR(__xludf.DUMMYFUNCTION("GOOGLETRANSLATE(E2802,""EN"",""JA"")"),"乳酸脱水素酵素排泄率")</f>
        <v>乳酸脱水素酵素排泄率</v>
      </c>
      <c r="J2802" s="1" t="str">
        <f>IFERROR(__xludf.DUMMYFUNCTION("GOOGLETRANSLATE(F2802,""EN"",""JA"")"),"定義された時間（例：1 時間）にわたって生物学的標本中に排出される乳酸脱水素酵素の量を測定します。")</f>
        <v>定義された時間（例：1 時間）にわたって生物学的標本中に排出される乳酸脱水素酵素の量を測定します。</v>
      </c>
      <c r="K2802" s="1" t="str">
        <f>IFERROR(__xludf.DUMMYFUNCTION("GOOGLETRANSLATE(G2802,""EN"",""JA"")"),"乳酸脱水素酵素排泄率")</f>
        <v>乳酸脱水素酵素排泄率</v>
      </c>
    </row>
    <row r="2803" ht="13.5" customHeight="1">
      <c r="A2803" s="1" t="s">
        <v>233</v>
      </c>
      <c r="B2803" s="1" t="s">
        <v>14099</v>
      </c>
      <c r="C2803" s="1" t="s">
        <v>14100</v>
      </c>
      <c r="D2803" s="1" t="s">
        <v>14101</v>
      </c>
      <c r="E2803" s="1" t="s">
        <v>14101</v>
      </c>
      <c r="F2803" s="1" t="s">
        <v>14102</v>
      </c>
      <c r="G2803" s="1" t="s">
        <v>14101</v>
      </c>
      <c r="H2803" s="1" t="str">
        <f>IFERROR(__xludf.DUMMYFUNCTION("GOOGLETRANSLATE(D2803,""EN"",""JA"")"),"最長直径")</f>
        <v>最長直径</v>
      </c>
      <c r="I2803" s="1" t="str">
        <f>IFERROR(__xludf.DUMMYFUNCTION("GOOGLETRANSLATE(E2803,""EN"",""JA"")"),"最長直径")</f>
        <v>最長直径</v>
      </c>
      <c r="J2803" s="1" t="str">
        <f>IFERROR(__xludf.DUMMYFUNCTION("GOOGLETRANSLATE(F2803,""EN"",""JA"")"),"円形または回転楕円体の中心を通り、円周上の 2 点を結ぶ直線の最長の長さ。")</f>
        <v>円形または回転楕円体の中心を通り、円周上の 2 点を結ぶ直線の最長の長さ。</v>
      </c>
      <c r="K2803" s="1" t="str">
        <f>IFERROR(__xludf.DUMMYFUNCTION("GOOGLETRANSLATE(G2803,""EN"",""JA"")"),"最長直径")</f>
        <v>最長直径</v>
      </c>
    </row>
    <row r="2804" ht="13.5" customHeight="1">
      <c r="A2804" s="1" t="s">
        <v>1997</v>
      </c>
      <c r="B2804" s="1" t="s">
        <v>14099</v>
      </c>
      <c r="C2804" s="1" t="s">
        <v>14100</v>
      </c>
      <c r="D2804" s="1" t="s">
        <v>14101</v>
      </c>
      <c r="E2804" s="1" t="s">
        <v>14101</v>
      </c>
      <c r="F2804" s="1" t="s">
        <v>14102</v>
      </c>
      <c r="G2804" s="1" t="s">
        <v>14101</v>
      </c>
      <c r="H2804" s="1" t="str">
        <f>IFERROR(__xludf.DUMMYFUNCTION("GOOGLETRANSLATE(D2804,""EN"",""JA"")"),"最長直径")</f>
        <v>最長直径</v>
      </c>
      <c r="I2804" s="1" t="str">
        <f>IFERROR(__xludf.DUMMYFUNCTION("GOOGLETRANSLATE(E2804,""EN"",""JA"")"),"最長直径")</f>
        <v>最長直径</v>
      </c>
      <c r="J2804" s="1" t="str">
        <f>IFERROR(__xludf.DUMMYFUNCTION("GOOGLETRANSLATE(F2804,""EN"",""JA"")"),"円形または回転楕円体の中心を通り、円周上の 2 点を結ぶ直線の最長の長さ。")</f>
        <v>円形または回転楕円体の中心を通り、円周上の 2 点を結ぶ直線の最長の長さ。</v>
      </c>
      <c r="K2804" s="1" t="str">
        <f>IFERROR(__xludf.DUMMYFUNCTION("GOOGLETRANSLATE(G2804,""EN"",""JA"")"),"最長直径")</f>
        <v>最長直径</v>
      </c>
    </row>
    <row r="2805" ht="13.5" customHeight="1">
      <c r="A2805" s="1" t="s">
        <v>11</v>
      </c>
      <c r="B2805" s="1" t="s">
        <v>14103</v>
      </c>
      <c r="C2805" s="1" t="s">
        <v>14104</v>
      </c>
      <c r="D2805" s="1" t="s">
        <v>14105</v>
      </c>
      <c r="E2805" s="1" t="s">
        <v>14105</v>
      </c>
      <c r="F2805" s="1" t="s">
        <v>14106</v>
      </c>
      <c r="G2805" s="1" t="s">
        <v>14107</v>
      </c>
      <c r="H2805" s="1" t="str">
        <f>IFERROR(__xludf.DUMMYFUNCTION("GOOGLETRANSLATE(D2805,""EN"",""JA"")"),"LDLコレステロール")</f>
        <v>LDLコレステロール</v>
      </c>
      <c r="I2805" s="1" t="str">
        <f>IFERROR(__xludf.DUMMYFUNCTION("GOOGLETRANSLATE(E2805,""EN"",""JA"")"),"LDLコレステロール")</f>
        <v>LDLコレステロール</v>
      </c>
      <c r="J2805" s="1" t="str">
        <f>IFERROR(__xludf.DUMMYFUNCTION("GOOGLETRANSLATE(F2805,""EN"",""JA"")"),"生物標本中の低密度リポタンパク質コレステロールの測定。")</f>
        <v>生物標本中の低密度リポタンパク質コレステロールの測定。</v>
      </c>
      <c r="K2805" s="1" t="str">
        <f>IFERROR(__xludf.DUMMYFUNCTION("GOOGLETRANSLATE(G2805,""EN"",""JA"")"),"低密度リポタンパク質コレステロール測定")</f>
        <v>低密度リポタンパク質コレステロール測定</v>
      </c>
    </row>
    <row r="2806" ht="13.5" customHeight="1">
      <c r="A2806" s="1" t="s">
        <v>11</v>
      </c>
      <c r="B2806" s="1" t="s">
        <v>14108</v>
      </c>
      <c r="C2806" s="1" t="s">
        <v>14109</v>
      </c>
      <c r="D2806" s="1" t="s">
        <v>14110</v>
      </c>
      <c r="E2806" s="1" t="s">
        <v>14110</v>
      </c>
      <c r="F2806" s="1" t="s">
        <v>14111</v>
      </c>
      <c r="G2806" s="1" t="s">
        <v>14112</v>
      </c>
      <c r="H2806" s="1" t="str">
        <f>IFERROR(__xludf.DUMMYFUNCTION("GOOGLETRANSLATE(D2806,""EN"",""JA"")"),"LDLコレステロール/HDLコレステロール")</f>
        <v>LDLコレステロール/HDLコレステロール</v>
      </c>
      <c r="I2806" s="1" t="str">
        <f>IFERROR(__xludf.DUMMYFUNCTION("GOOGLETRANSLATE(E2806,""EN"",""JA"")"),"LDLコレステロール/HDLコレステロール")</f>
        <v>LDLコレステロール/HDLコレステロール</v>
      </c>
      <c r="J2806" s="1" t="str">
        <f>IFERROR(__xludf.DUMMYFUNCTION("GOOGLETRANSLATE(F2806,""EN"",""JA"")"),"生物標本中の低密度リポタンパク質コレステロールと高密度リポタンパク質コレステロールの相対的な測定値（比率）。")</f>
        <v>生物標本中の低密度リポタンパク質コレステロールと高密度リポタンパク質コレステロールの相対的な測定値（比率）。</v>
      </c>
      <c r="K2806" s="1" t="str">
        <f>IFERROR(__xludf.DUMMYFUNCTION("GOOGLETRANSLATE(G2806,""EN"",""JA"")"),"LDLコレステロールとHDLコレステロールの比測定")</f>
        <v>LDLコレステロールとHDLコレステロールの比測定</v>
      </c>
    </row>
    <row r="2807" ht="13.5" customHeight="1">
      <c r="A2807" s="1" t="s">
        <v>11</v>
      </c>
      <c r="B2807" s="1" t="s">
        <v>14113</v>
      </c>
      <c r="C2807" s="1" t="s">
        <v>14114</v>
      </c>
      <c r="D2807" s="1" t="s">
        <v>14115</v>
      </c>
      <c r="E2807" s="1" t="s">
        <v>14115</v>
      </c>
      <c r="F2807" s="1" t="s">
        <v>14116</v>
      </c>
      <c r="G2807" s="1" t="s">
        <v>14117</v>
      </c>
      <c r="H2807" s="1" t="str">
        <f>IFERROR(__xludf.DUMMYFUNCTION("GOOGLETRANSLATE(D2807,""EN"",""JA"")"),"酸化LDLコレステロール")</f>
        <v>酸化LDLコレステロール</v>
      </c>
      <c r="I2807" s="1" t="str">
        <f>IFERROR(__xludf.DUMMYFUNCTION("GOOGLETRANSLATE(E2807,""EN"",""JA"")"),"酸化LDLコレステロール")</f>
        <v>酸化LDLコレステロール</v>
      </c>
      <c r="J2807" s="1" t="str">
        <f>IFERROR(__xludf.DUMMYFUNCTION("GOOGLETRANSLATE(F2807,""EN"",""JA"")"),"生物標本中の酸化低密度リポタンパク質コレステロールの測定。")</f>
        <v>生物標本中の酸化低密度リポタンパク質コレステロールの測定。</v>
      </c>
      <c r="K2807" s="1" t="str">
        <f>IFERROR(__xludf.DUMMYFUNCTION("GOOGLETRANSLATE(G2807,""EN"",""JA"")"),"酸化LDLコレステロール測定")</f>
        <v>酸化LDLコレステロール測定</v>
      </c>
    </row>
    <row r="2808" ht="13.5" customHeight="1">
      <c r="A2808" s="1" t="s">
        <v>11</v>
      </c>
      <c r="B2808" s="1" t="s">
        <v>14118</v>
      </c>
      <c r="C2808" s="1" t="s">
        <v>14119</v>
      </c>
      <c r="D2808" s="1" t="s">
        <v>14120</v>
      </c>
      <c r="E2808" s="1" t="s">
        <v>14120</v>
      </c>
      <c r="F2808" s="1" t="s">
        <v>14121</v>
      </c>
      <c r="G2808" s="1" t="s">
        <v>14122</v>
      </c>
      <c r="H2808" s="1" t="str">
        <f>IFERROR(__xludf.DUMMYFUNCTION("GOOGLETRANSLATE(D2808,""EN"",""JA"")"),"LDL粒子")</f>
        <v>LDL粒子</v>
      </c>
      <c r="I2808" s="1" t="str">
        <f>IFERROR(__xludf.DUMMYFUNCTION("GOOGLETRANSLATE(E2808,""EN"",""JA"")"),"LDL粒子")</f>
        <v>LDL粒子</v>
      </c>
      <c r="J2808" s="1" t="str">
        <f>IFERROR(__xludf.DUMMYFUNCTION("GOOGLETRANSLATE(F2808,""EN"",""JA"")"),"生物学的標本中の総 LDL 粒子の濃度の測定。")</f>
        <v>生物学的標本中の総 LDL 粒子の濃度の測定。</v>
      </c>
      <c r="K2808" s="1" t="str">
        <f>IFERROR(__xludf.DUMMYFUNCTION("GOOGLETRANSLATE(G2808,""EN"",""JA"")"),"LDL粒子測定")</f>
        <v>LDL粒子測定</v>
      </c>
    </row>
    <row r="2809" ht="13.5" customHeight="1">
      <c r="A2809" s="1" t="s">
        <v>11</v>
      </c>
      <c r="B2809" s="1" t="s">
        <v>14123</v>
      </c>
      <c r="C2809" s="1" t="s">
        <v>14124</v>
      </c>
      <c r="D2809" s="1" t="s">
        <v>14125</v>
      </c>
      <c r="E2809" s="1" t="s">
        <v>14125</v>
      </c>
      <c r="F2809" s="1" t="s">
        <v>14126</v>
      </c>
      <c r="G2809" s="1" t="s">
        <v>14125</v>
      </c>
      <c r="H2809" s="1" t="str">
        <f>IFERROR(__xludf.DUMMYFUNCTION("GOOGLETRANSLATE(D2809,""EN"",""JA"")"),"LDLサブタイプパターン")</f>
        <v>LDLサブタイプパターン</v>
      </c>
      <c r="I2809" s="1" t="str">
        <f>IFERROR(__xludf.DUMMYFUNCTION("GOOGLETRANSLATE(E2809,""EN"",""JA"")"),"LDLサブタイプパターン")</f>
        <v>LDLサブタイプパターン</v>
      </c>
      <c r="J2809" s="1" t="str">
        <f>IFERROR(__xludf.DUMMYFUNCTION("GOOGLETRANSLATE(F2809,""EN"",""JA"")"),"生物標本中の低密度リポタンパク質粒子パターンの説明 (サイズと密度に基づいた LDL 粒子の量の解釈)。")</f>
        <v>生物標本中の低密度リポタンパク質粒子パターンの説明 (サイズと密度に基づいた LDL 粒子の量の解釈)。</v>
      </c>
      <c r="K2809" s="1" t="str">
        <f>IFERROR(__xludf.DUMMYFUNCTION("GOOGLETRANSLATE(G2809,""EN"",""JA"")"),"LDLサブタイプパターン")</f>
        <v>LDLサブタイプパターン</v>
      </c>
    </row>
    <row r="2810" ht="13.5" customHeight="1">
      <c r="A2810" s="1" t="s">
        <v>11</v>
      </c>
      <c r="B2810" s="1" t="s">
        <v>14127</v>
      </c>
      <c r="C2810" s="1" t="s">
        <v>14128</v>
      </c>
      <c r="D2810" s="1" t="s">
        <v>14129</v>
      </c>
      <c r="E2810" s="1" t="s">
        <v>14129</v>
      </c>
      <c r="F2810" s="1" t="s">
        <v>14130</v>
      </c>
      <c r="G2810" s="1" t="s">
        <v>14131</v>
      </c>
      <c r="H2810" s="1" t="str">
        <f>IFERROR(__xludf.DUMMYFUNCTION("GOOGLETRANSLATE(D2810,""EN"",""JA"")"),"LDL粒子サイズ")</f>
        <v>LDL粒子サイズ</v>
      </c>
      <c r="I2810" s="1" t="str">
        <f>IFERROR(__xludf.DUMMYFUNCTION("GOOGLETRANSLATE(E2810,""EN"",""JA"")"),"LDL粒子サイズ")</f>
        <v>LDL粒子サイズ</v>
      </c>
      <c r="J2810" s="1" t="str">
        <f>IFERROR(__xludf.DUMMYFUNCTION("GOOGLETRANSLATE(F2810,""EN"",""JA"")"),"生物標本中の低密度リポタンパク質の平均粒子サイズの測定。")</f>
        <v>生物標本中の低密度リポタンパク質の平均粒子サイズの測定。</v>
      </c>
      <c r="K2810" s="1" t="str">
        <f>IFERROR(__xludf.DUMMYFUNCTION("GOOGLETRANSLATE(G2810,""EN"",""JA"")"),"LDL粒子サイズ測定")</f>
        <v>LDL粒子サイズ測定</v>
      </c>
    </row>
    <row r="2811" ht="13.5" customHeight="1">
      <c r="A2811" s="1" t="s">
        <v>11</v>
      </c>
      <c r="B2811" s="1" t="s">
        <v>14132</v>
      </c>
      <c r="C2811" s="1" t="s">
        <v>14133</v>
      </c>
      <c r="D2811" s="1" t="s">
        <v>14134</v>
      </c>
      <c r="E2811" s="1" t="s">
        <v>14134</v>
      </c>
      <c r="F2811" s="1" t="s">
        <v>14135</v>
      </c>
      <c r="G2811" s="1" t="s">
        <v>14136</v>
      </c>
      <c r="H2811" s="1" t="str">
        <f>IFERROR(__xludf.DUMMYFUNCTION("GOOGLETRANSLATE(D2811,""EN"",""JA"")"),"LDLトリグリセリド")</f>
        <v>LDLトリグリセリド</v>
      </c>
      <c r="I2811" s="1" t="str">
        <f>IFERROR(__xludf.DUMMYFUNCTION("GOOGLETRANSLATE(E2811,""EN"",""JA"")"),"LDLトリグリセリド")</f>
        <v>LDLトリグリセリド</v>
      </c>
      <c r="J2811" s="1" t="str">
        <f>IFERROR(__xludf.DUMMYFUNCTION("GOOGLETRANSLATE(F2811,""EN"",""JA"")"),"生物標本中の低密度リポタンパク質トリグリセリドの測定。")</f>
        <v>生物標本中の低密度リポタンパク質トリグリセリドの測定。</v>
      </c>
      <c r="K2811" s="1" t="str">
        <f>IFERROR(__xludf.DUMMYFUNCTION("GOOGLETRANSLATE(G2811,""EN"",""JA"")"),"LDLトリグリセリド測定")</f>
        <v>LDLトリグリセリド測定</v>
      </c>
    </row>
    <row r="2812" ht="13.5" customHeight="1">
      <c r="A2812" s="1" t="s">
        <v>601</v>
      </c>
      <c r="B2812" s="1" t="s">
        <v>14137</v>
      </c>
      <c r="C2812" s="1" t="s">
        <v>14138</v>
      </c>
      <c r="D2812" s="1" t="s">
        <v>14139</v>
      </c>
      <c r="E2812" s="1" t="s">
        <v>14139</v>
      </c>
      <c r="F2812" s="1" t="s">
        <v>14140</v>
      </c>
      <c r="G2812" s="1" t="s">
        <v>14139</v>
      </c>
      <c r="H2812" s="1" t="str">
        <f>IFERROR(__xludf.DUMMYFUNCTION("GOOGLETRANSLATE(D2812,""EN"",""JA"")"),"禁酒期間の最長")</f>
        <v>禁酒期間の最長</v>
      </c>
      <c r="I2812" s="1" t="str">
        <f>IFERROR(__xludf.DUMMYFUNCTION("GOOGLETRANSLATE(E2812,""EN"",""JA"")"),"禁酒期間の最長")</f>
        <v>禁酒期間の最長</v>
      </c>
      <c r="J2812" s="1" t="str">
        <f>IFERROR(__xludf.DUMMYFUNCTION("GOOGLETRANSLATE(F2812,""EN"",""JA"")"),"個人が活動を控えていた最長時間。")</f>
        <v>個人が活動を控えていた最長時間。</v>
      </c>
      <c r="K2812" s="1" t="str">
        <f>IFERROR(__xludf.DUMMYFUNCTION("GOOGLETRANSLATE(G2812,""EN"",""JA"")"),"禁酒期間の最長")</f>
        <v>禁酒期間の最長</v>
      </c>
    </row>
    <row r="2813" ht="13.5" customHeight="1">
      <c r="A2813" s="1" t="s">
        <v>11</v>
      </c>
      <c r="B2813" s="1" t="s">
        <v>14141</v>
      </c>
      <c r="C2813" s="1" t="s">
        <v>14142</v>
      </c>
      <c r="D2813" s="1" t="s">
        <v>14143</v>
      </c>
      <c r="E2813" s="1" t="s">
        <v>14144</v>
      </c>
      <c r="F2813" s="1" t="s">
        <v>14145</v>
      </c>
      <c r="G2813" s="1" t="s">
        <v>14146</v>
      </c>
      <c r="H2813" s="1" t="str">
        <f>IFERROR(__xludf.DUMMYFUNCTION("GOOGLETRANSLATE(D2813,""EN"",""JA"")"),"鉛")</f>
        <v>鉛</v>
      </c>
      <c r="I2813" s="1" t="str">
        <f>IFERROR(__xludf.DUMMYFUNCTION("GOOGLETRANSLATE(E2813,""EN"",""JA"")"),"鉛; Pb")</f>
        <v>鉛; Pb</v>
      </c>
      <c r="J2813" s="1" t="str">
        <f>IFERROR(__xludf.DUMMYFUNCTION("GOOGLETRANSLATE(F2813,""EN"",""JA"")"),"標本内の鉛の測定。")</f>
        <v>標本内の鉛の測定。</v>
      </c>
      <c r="K2813" s="1" t="str">
        <f>IFERROR(__xludf.DUMMYFUNCTION("GOOGLETRANSLATE(G2813,""EN"",""JA"")"),"リード測定")</f>
        <v>リード測定</v>
      </c>
    </row>
    <row r="2814" ht="13.5" customHeight="1">
      <c r="A2814" s="1" t="s">
        <v>1034</v>
      </c>
      <c r="B2814" s="1" t="s">
        <v>14147</v>
      </c>
      <c r="C2814" s="1" t="s">
        <v>14148</v>
      </c>
      <c r="D2814" s="1" t="s">
        <v>14149</v>
      </c>
      <c r="E2814" s="1" t="s">
        <v>14149</v>
      </c>
      <c r="F2814" s="1" t="s">
        <v>14150</v>
      </c>
      <c r="G2814" s="1" t="s">
        <v>14149</v>
      </c>
      <c r="H2814" s="1" t="str">
        <f>IFERROR(__xludf.DUMMYFUNCTION("GOOGLETRANSLATE(D2814,""EN"",""JA"")"),"リーンマス")</f>
        <v>リーンマス</v>
      </c>
      <c r="I2814" s="1" t="str">
        <f>IFERROR(__xludf.DUMMYFUNCTION("GOOGLETRANSLATE(E2814,""EN"",""JA"")"),"リーンマス")</f>
        <v>リーンマス</v>
      </c>
      <c r="J2814" s="1" t="str">
        <f>IFERROR(__xludf.DUMMYFUNCTION("GOOGLETRANSLATE(F2814,""EN"",""JA"")"),"体の一部または全体の重量から、その体の一部または全体に関連する脂肪の重量を差し引いた値。")</f>
        <v>体の一部または全体の重量から、その体の一部または全体に関連する脂肪の重量を差し引いた値。</v>
      </c>
      <c r="K2814" s="1" t="str">
        <f>IFERROR(__xludf.DUMMYFUNCTION("GOOGLETRANSLATE(G2814,""EN"",""JA"")"),"リーンマス")</f>
        <v>リーンマス</v>
      </c>
    </row>
    <row r="2815" ht="13.5" customHeight="1">
      <c r="A2815" s="1" t="s">
        <v>11</v>
      </c>
      <c r="B2815" s="1" t="s">
        <v>14151</v>
      </c>
      <c r="C2815" s="1" t="s">
        <v>14152</v>
      </c>
      <c r="D2815" s="1" t="s">
        <v>14153</v>
      </c>
      <c r="E2815" s="1" t="s">
        <v>14153</v>
      </c>
      <c r="F2815" s="1" t="s">
        <v>14154</v>
      </c>
      <c r="G2815" s="1" t="s">
        <v>14155</v>
      </c>
      <c r="H2815" s="1" t="str">
        <f>IFERROR(__xludf.DUMMYFUNCTION("GOOGLETRANSLATE(D2815,""EN"",""JA"")"),"未熟白血球")</f>
        <v>未熟白血球</v>
      </c>
      <c r="I2815" s="1" t="str">
        <f>IFERROR(__xludf.DUMMYFUNCTION("GOOGLETRANSLATE(E2815,""EN"",""JA"")"),"未熟白血球")</f>
        <v>未熟白血球</v>
      </c>
      <c r="J2815" s="1" t="str">
        <f>IFERROR(__xludf.DUMMYFUNCTION("GOOGLETRANSLATE(F2815,""EN"",""JA"")"),"生物標本中の未熟白血球の測定。")</f>
        <v>生物標本中の未熟白血球の測定。</v>
      </c>
      <c r="K2815" s="1" t="str">
        <f>IFERROR(__xludf.DUMMYFUNCTION("GOOGLETRANSLATE(G2815,""EN"",""JA"")"),"幼若白血球数")</f>
        <v>幼若白血球数</v>
      </c>
    </row>
    <row r="2816" ht="13.5" customHeight="1">
      <c r="A2816" s="1" t="s">
        <v>11</v>
      </c>
      <c r="B2816" s="1" t="s">
        <v>14156</v>
      </c>
      <c r="C2816" s="1" t="s">
        <v>14157</v>
      </c>
      <c r="D2816" s="1" t="s">
        <v>14158</v>
      </c>
      <c r="E2816" s="1" t="s">
        <v>14158</v>
      </c>
      <c r="F2816" s="1" t="s">
        <v>14159</v>
      </c>
      <c r="G2816" s="1" t="s">
        <v>14160</v>
      </c>
      <c r="H2816" s="1" t="str">
        <f>IFERROR(__xludf.DUMMYFUNCTION("GOOGLETRANSLATE(D2816,""EN"",""JA"")"),"幼若白血球/白血球")</f>
        <v>幼若白血球/白血球</v>
      </c>
      <c r="I2816" s="1" t="str">
        <f>IFERROR(__xludf.DUMMYFUNCTION("GOOGLETRANSLATE(E2816,""EN"",""JA"")"),"幼若白血球/白血球")</f>
        <v>幼若白血球/白血球</v>
      </c>
      <c r="J2816" s="1" t="str">
        <f>IFERROR(__xludf.DUMMYFUNCTION("GOOGLETRANSLATE(F2816,""EN"",""JA"")"),"生物標本中の白血球に対する未熟白血球の相対的な測定値（比率またはパーセンテージ）。")</f>
        <v>生物標本中の白血球に対する未熟白血球の相対的な測定値（比率またはパーセンテージ）。</v>
      </c>
      <c r="K2816" s="1" t="str">
        <f>IFERROR(__xludf.DUMMYFUNCTION("GOOGLETRANSLATE(G2816,""EN"",""JA"")"),"幼若白血球と白血球の比率測定")</f>
        <v>幼若白血球と白血球の比率測定</v>
      </c>
    </row>
    <row r="2817" ht="13.5" customHeight="1">
      <c r="A2817" s="1" t="s">
        <v>134</v>
      </c>
      <c r="B2817" s="1" t="s">
        <v>14161</v>
      </c>
      <c r="C2817" s="1" t="s">
        <v>14162</v>
      </c>
      <c r="D2817" s="1" t="s">
        <v>14163</v>
      </c>
      <c r="E2817" s="1" t="s">
        <v>14163</v>
      </c>
      <c r="F2817" s="1" t="s">
        <v>14164</v>
      </c>
      <c r="G2817" s="1" t="s">
        <v>14163</v>
      </c>
      <c r="H2817" s="1" t="str">
        <f>IFERROR(__xludf.DUMMYFUNCTION("GOOGLETRANSLATE(D2817,""EN"",""JA"")"),"長さ")</f>
        <v>長さ</v>
      </c>
      <c r="I2817" s="1" t="str">
        <f>IFERROR(__xludf.DUMMYFUNCTION("GOOGLETRANSLATE(E2817,""EN"",""JA"")"),"長さ")</f>
        <v>長さ</v>
      </c>
      <c r="J2817" s="1" t="str">
        <f>IFERROR(__xludf.DUMMYFUNCTION("GOOGLETRANSLATE(F2817,""EN"",""JA"")"),"何かの端から端までの空間の直線的な範囲、または何かの始まりから終わりまでの範囲。(NCI)")</f>
        <v>何かの端から端までの空間の直線的な範囲、または何かの始まりから終わりまでの範囲。(NCI)</v>
      </c>
      <c r="K2817" s="1" t="str">
        <f>IFERROR(__xludf.DUMMYFUNCTION("GOOGLETRANSLATE(G2817,""EN"",""JA"")"),"長さ")</f>
        <v>長さ</v>
      </c>
    </row>
    <row r="2818" ht="13.5" customHeight="1">
      <c r="A2818" s="1" t="s">
        <v>3094</v>
      </c>
      <c r="B2818" s="1" t="s">
        <v>14161</v>
      </c>
      <c r="C2818" s="1" t="s">
        <v>14162</v>
      </c>
      <c r="D2818" s="1" t="s">
        <v>14163</v>
      </c>
      <c r="E2818" s="1" t="s">
        <v>14163</v>
      </c>
      <c r="F2818" s="1" t="s">
        <v>14164</v>
      </c>
      <c r="G2818" s="1" t="s">
        <v>14163</v>
      </c>
      <c r="H2818" s="1" t="str">
        <f>IFERROR(__xludf.DUMMYFUNCTION("GOOGLETRANSLATE(D2818,""EN"",""JA"")"),"長さ")</f>
        <v>長さ</v>
      </c>
      <c r="I2818" s="1" t="str">
        <f>IFERROR(__xludf.DUMMYFUNCTION("GOOGLETRANSLATE(E2818,""EN"",""JA"")"),"長さ")</f>
        <v>長さ</v>
      </c>
      <c r="J2818" s="1" t="str">
        <f>IFERROR(__xludf.DUMMYFUNCTION("GOOGLETRANSLATE(F2818,""EN"",""JA"")"),"何かの端から端までの空間の直線的な範囲、または何かの始まりから終わりまでの範囲。(NCI)")</f>
        <v>何かの端から端までの空間の直線的な範囲、または何かの始まりから終わりまでの範囲。(NCI)</v>
      </c>
      <c r="K2818" s="1" t="str">
        <f>IFERROR(__xludf.DUMMYFUNCTION("GOOGLETRANSLATE(G2818,""EN"",""JA"")"),"長さ")</f>
        <v>長さ</v>
      </c>
    </row>
    <row r="2819" ht="13.5" customHeight="1">
      <c r="A2819" s="1" t="s">
        <v>397</v>
      </c>
      <c r="B2819" s="1" t="s">
        <v>14165</v>
      </c>
      <c r="C2819" s="1" t="s">
        <v>14162</v>
      </c>
      <c r="D2819" s="1" t="s">
        <v>14166</v>
      </c>
      <c r="E2819" s="1" t="s">
        <v>14166</v>
      </c>
      <c r="F2819" s="1" t="s">
        <v>14167</v>
      </c>
      <c r="G2819" s="1" t="s">
        <v>14166</v>
      </c>
      <c r="H2819" s="1" t="str">
        <f>IFERROR(__xludf.DUMMYFUNCTION("GOOGLETRANSLATE(D2819,""EN"",""JA"")"),"トライアル期間")</f>
        <v>トライアル期間</v>
      </c>
      <c r="I2819" s="1" t="str">
        <f>IFERROR(__xludf.DUMMYFUNCTION("GOOGLETRANSLATE(E2819,""EN"",""JA"")"),"トライアル期間")</f>
        <v>トライアル期間</v>
      </c>
      <c r="J2819" s="1" t="str">
        <f>IFERROR(__xludf.DUMMYFUNCTION("GOOGLETRANSLATE(F2819,""EN"",""JA"")"),"一人の被験者に対する予定の観察期間。")</f>
        <v>一人の被験者に対する予定の観察期間。</v>
      </c>
      <c r="K2819" s="1" t="str">
        <f>IFERROR(__xludf.DUMMYFUNCTION("GOOGLETRANSLATE(G2819,""EN"",""JA"")"),"トライアル期間")</f>
        <v>トライアル期間</v>
      </c>
    </row>
    <row r="2820" ht="13.5" customHeight="1">
      <c r="A2820" s="1" t="s">
        <v>90</v>
      </c>
      <c r="B2820" s="1" t="s">
        <v>14161</v>
      </c>
      <c r="C2820" s="1" t="s">
        <v>14162</v>
      </c>
      <c r="D2820" s="1" t="s">
        <v>14163</v>
      </c>
      <c r="E2820" s="1" t="s">
        <v>14163</v>
      </c>
      <c r="F2820" s="1" t="s">
        <v>14164</v>
      </c>
      <c r="G2820" s="1" t="s">
        <v>14163</v>
      </c>
      <c r="H2820" s="1" t="str">
        <f>IFERROR(__xludf.DUMMYFUNCTION("GOOGLETRANSLATE(D2820,""EN"",""JA"")"),"長さ")</f>
        <v>長さ</v>
      </c>
      <c r="I2820" s="1" t="str">
        <f>IFERROR(__xludf.DUMMYFUNCTION("GOOGLETRANSLATE(E2820,""EN"",""JA"")"),"長さ")</f>
        <v>長さ</v>
      </c>
      <c r="J2820" s="1" t="str">
        <f>IFERROR(__xludf.DUMMYFUNCTION("GOOGLETRANSLATE(F2820,""EN"",""JA"")"),"何かの端から端までの空間の直線的な範囲、または何かの始まりから終わりまでの範囲。(NCI)")</f>
        <v>何かの端から端までの空間の直線的な範囲、または何かの始まりから終わりまでの範囲。(NCI)</v>
      </c>
      <c r="K2820" s="1" t="str">
        <f>IFERROR(__xludf.DUMMYFUNCTION("GOOGLETRANSLATE(G2820,""EN"",""JA"")"),"長さ")</f>
        <v>長さ</v>
      </c>
    </row>
    <row r="2821" ht="13.5" customHeight="1">
      <c r="A2821" s="1" t="s">
        <v>1997</v>
      </c>
      <c r="B2821" s="1" t="s">
        <v>14168</v>
      </c>
      <c r="C2821" s="1" t="s">
        <v>14169</v>
      </c>
      <c r="D2821" s="1" t="s">
        <v>14170</v>
      </c>
      <c r="E2821" s="1" t="s">
        <v>14170</v>
      </c>
      <c r="F2821" s="1" t="s">
        <v>14171</v>
      </c>
      <c r="G2821" s="1" t="s">
        <v>14170</v>
      </c>
      <c r="H2821" s="1" t="str">
        <f>IFERROR(__xludf.DUMMYFUNCTION("GOOGLETRANSLATE(D2821,""EN"",""JA"")"),"レンズの状態")</f>
        <v>レンズの状態</v>
      </c>
      <c r="I2821" s="1" t="str">
        <f>IFERROR(__xludf.DUMMYFUNCTION("GOOGLETRANSLATE(E2821,""EN"",""JA"")"),"レンズの状態")</f>
        <v>レンズの状態</v>
      </c>
      <c r="J2821" s="1" t="str">
        <f>IFERROR(__xludf.DUMMYFUNCTION("GOOGLETRANSLATE(F2821,""EN"",""JA"")"),"眼の水晶体の状態。(NCI)")</f>
        <v>眼の水晶体の状態。(NCI)</v>
      </c>
      <c r="K2821" s="1" t="str">
        <f>IFERROR(__xludf.DUMMYFUNCTION("GOOGLETRANSLATE(G2821,""EN"",""JA"")"),"レンズの状態")</f>
        <v>レンズの状態</v>
      </c>
    </row>
    <row r="2822" ht="13.5" customHeight="1">
      <c r="A2822" s="1" t="s">
        <v>11</v>
      </c>
      <c r="B2822" s="1" t="s">
        <v>14172</v>
      </c>
      <c r="C2822" s="1" t="s">
        <v>14173</v>
      </c>
      <c r="D2822" s="1" t="s">
        <v>14174</v>
      </c>
      <c r="E2822" s="1" t="s">
        <v>14174</v>
      </c>
      <c r="F2822" s="1" t="s">
        <v>14175</v>
      </c>
      <c r="G2822" s="1" t="s">
        <v>14176</v>
      </c>
      <c r="H2822" s="1" t="str">
        <f>IFERROR(__xludf.DUMMYFUNCTION("GOOGLETRANSLATE(D2822,""EN"",""JA"")"),"レプチン")</f>
        <v>レプチン</v>
      </c>
      <c r="I2822" s="1" t="str">
        <f>IFERROR(__xludf.DUMMYFUNCTION("GOOGLETRANSLATE(E2822,""EN"",""JA"")"),"レプチン")</f>
        <v>レプチン</v>
      </c>
      <c r="J2822" s="1" t="str">
        <f>IFERROR(__xludf.DUMMYFUNCTION("GOOGLETRANSLATE(F2822,""EN"",""JA"")"),"生物学的標本中のレプチン ホルモンの測定。")</f>
        <v>生物学的標本中のレプチン ホルモンの測定。</v>
      </c>
      <c r="K2822" s="1" t="str">
        <f>IFERROR(__xludf.DUMMYFUNCTION("GOOGLETRANSLATE(G2822,""EN"",""JA"")"),"レプチン測定")</f>
        <v>レプチン測定</v>
      </c>
    </row>
    <row r="2823" ht="13.5" customHeight="1">
      <c r="A2823" s="1" t="s">
        <v>11</v>
      </c>
      <c r="B2823" s="1" t="s">
        <v>14177</v>
      </c>
      <c r="C2823" s="1" t="s">
        <v>14178</v>
      </c>
      <c r="D2823" s="1" t="s">
        <v>14179</v>
      </c>
      <c r="E2823" s="1" t="s">
        <v>14180</v>
      </c>
      <c r="F2823" s="1" t="s">
        <v>14181</v>
      </c>
      <c r="G2823" s="1" t="s">
        <v>14182</v>
      </c>
      <c r="H2823" s="1" t="str">
        <f>IFERROR(__xludf.DUMMYFUNCTION("GOOGLETRANSLATE(D2823,""EN"",""JA"")"),"レプチン受容体")</f>
        <v>レプチン受容体</v>
      </c>
      <c r="I2823" s="1" t="str">
        <f>IFERROR(__xludf.DUMMYFUNCTION("GOOGLETRANSLATE(E2823,""EN"",""JA"")"),"CD295; LEP-R; LEPR; レプチン受容体; OB受容体")</f>
        <v>CD295; LEP-R; LEPR; レプチン受容体; OB受容体</v>
      </c>
      <c r="J2823" s="1" t="str">
        <f>IFERROR(__xludf.DUMMYFUNCTION("GOOGLETRANSLATE(F2823,""EN"",""JA"")"),"生物標本中のレプチン受容体の測定。")</f>
        <v>生物標本中のレプチン受容体の測定。</v>
      </c>
      <c r="K2823" s="1" t="str">
        <f>IFERROR(__xludf.DUMMYFUNCTION("GOOGLETRANSLATE(G2823,""EN"",""JA"")"),"レプチン受容体測定")</f>
        <v>レプチン受容体測定</v>
      </c>
    </row>
    <row r="2824" ht="13.5" customHeight="1">
      <c r="A2824" s="1" t="s">
        <v>11</v>
      </c>
      <c r="B2824" s="1" t="s">
        <v>14183</v>
      </c>
      <c r="C2824" s="1" t="s">
        <v>14184</v>
      </c>
      <c r="D2824" s="1" t="s">
        <v>14185</v>
      </c>
      <c r="E2824" s="1" t="s">
        <v>14185</v>
      </c>
      <c r="F2824" s="1" t="s">
        <v>14186</v>
      </c>
      <c r="G2824" s="1" t="s">
        <v>14187</v>
      </c>
      <c r="H2824" s="1" t="str">
        <f>IFERROR(__xludf.DUMMYFUNCTION("GOOGLETRANSLATE(D2824,""EN"",""JA"")"),"レプトサイト")</f>
        <v>レプトサイト</v>
      </c>
      <c r="I2824" s="1" t="str">
        <f>IFERROR(__xludf.DUMMYFUNCTION("GOOGLETRANSLATE(E2824,""EN"",""JA"")"),"レプトサイト")</f>
        <v>レプトサイト</v>
      </c>
      <c r="J2824" s="1" t="str">
        <f>IFERROR(__xludf.DUMMYFUNCTION("GOOGLETRANSLATE(F2824,""EN"",""JA"")"),"生物標本中のレプトサイトの測定。")</f>
        <v>生物標本中のレプトサイトの測定。</v>
      </c>
      <c r="K2824" s="1" t="str">
        <f>IFERROR(__xludf.DUMMYFUNCTION("GOOGLETRANSLATE(G2824,""EN"",""JA"")"),"レプトサイト測定")</f>
        <v>レプトサイト測定</v>
      </c>
    </row>
    <row r="2825" ht="13.5" customHeight="1">
      <c r="A2825" s="1" t="s">
        <v>134</v>
      </c>
      <c r="B2825" s="1" t="s">
        <v>14188</v>
      </c>
      <c r="C2825" s="1" t="s">
        <v>14189</v>
      </c>
      <c r="D2825" s="1" t="s">
        <v>14190</v>
      </c>
      <c r="E2825" s="1" t="s">
        <v>14190</v>
      </c>
      <c r="F2825" s="1" t="s">
        <v>14191</v>
      </c>
      <c r="G2825" s="1" t="s">
        <v>14192</v>
      </c>
      <c r="H2825" s="1" t="str">
        <f>IFERROR(__xludf.DUMMYFUNCTION("GOOGLETRANSLATE(D2825,""EN"",""JA"")"),"白赤芽球症")</f>
        <v>白赤芽球症</v>
      </c>
      <c r="I2825" s="1" t="str">
        <f>IFERROR(__xludf.DUMMYFUNCTION("GOOGLETRANSLATE(E2825,""EN"",""JA"")"),"白赤芽球症")</f>
        <v>白赤芽球症</v>
      </c>
      <c r="J2825" s="1" t="str">
        <f>IFERROR(__xludf.DUMMYFUNCTION("GOOGLETRANSLATE(F2825,""EN"",""JA"")"),"生物標本における白血球赤芽球症の評価。")</f>
        <v>生物標本における白血球赤芽球症の評価。</v>
      </c>
      <c r="K2825" s="1" t="str">
        <f>IFERROR(__xludf.DUMMYFUNCTION("GOOGLETRANSLATE(G2825,""EN"",""JA"")"),"白血球症測定")</f>
        <v>白血球症測定</v>
      </c>
    </row>
    <row r="2826" ht="13.5" customHeight="1">
      <c r="A2826" s="1" t="s">
        <v>233</v>
      </c>
      <c r="B2826" s="1" t="s">
        <v>14193</v>
      </c>
      <c r="C2826" s="1" t="s">
        <v>14194</v>
      </c>
      <c r="D2826" s="1" t="s">
        <v>14195</v>
      </c>
      <c r="E2826" s="1" t="s">
        <v>14195</v>
      </c>
      <c r="F2826" s="1" t="s">
        <v>14196</v>
      </c>
      <c r="G2826" s="1" t="s">
        <v>14197</v>
      </c>
      <c r="H2826" s="1" t="str">
        <f>IFERROR(__xludf.DUMMYFUNCTION("GOOGLETRANSLATE(D2826,""EN"",""JA"")"),"病変の高度／強度")</f>
        <v>病変の高度／強度</v>
      </c>
      <c r="I2826" s="1" t="str">
        <f>IFERROR(__xludf.DUMMYFUNCTION("GOOGLETRANSLATE(E2826,""EN"",""JA"")"),"病変の高度／強度")</f>
        <v>病変の高度／強度</v>
      </c>
      <c r="J2826" s="1" t="str">
        <f>IFERROR(__xludf.DUMMYFUNCTION("GOOGLETRANSLATE(F2826,""EN"",""JA"")"),"身体の表面より高く盛り上がった病変の重症度を評価します。")</f>
        <v>身体の表面より高く盛り上がった病変の重症度を評価します。</v>
      </c>
      <c r="K2826" s="1" t="str">
        <f>IFERROR(__xludf.DUMMYFUNCTION("GOOGLETRANSLATE(G2826,""EN"",""JA"")"),"隆起病変の重症度")</f>
        <v>隆起病変の重症度</v>
      </c>
    </row>
    <row r="2827" ht="13.5" customHeight="1">
      <c r="A2827" s="1" t="s">
        <v>233</v>
      </c>
      <c r="B2827" s="1" t="s">
        <v>14198</v>
      </c>
      <c r="C2827" s="1" t="s">
        <v>14199</v>
      </c>
      <c r="D2827" s="1" t="s">
        <v>14200</v>
      </c>
      <c r="E2827" s="1" t="s">
        <v>14200</v>
      </c>
      <c r="F2827" s="1" t="s">
        <v>14201</v>
      </c>
      <c r="G2827" s="1" t="s">
        <v>14202</v>
      </c>
      <c r="H2827" s="1" t="str">
        <f>IFERROR(__xludf.DUMMYFUNCTION("GOOGLETRANSLATE(D2827,""EN"",""JA"")"),"病変の紅斑の重症度/強度")</f>
        <v>病変の紅斑の重症度/強度</v>
      </c>
      <c r="I2827" s="1" t="str">
        <f>IFERROR(__xludf.DUMMYFUNCTION("GOOGLETRANSLATE(E2827,""EN"",""JA"")"),"病変の紅斑の重症度/強度")</f>
        <v>病変の紅斑の重症度/強度</v>
      </c>
      <c r="J2827" s="1" t="str">
        <f>IFERROR(__xludf.DUMMYFUNCTION("GOOGLETRANSLATE(F2827,""EN"",""JA"")"),"赤く変色した病変の重症度を評価します。")</f>
        <v>赤く変色した病変の重症度を評価します。</v>
      </c>
      <c r="K2827" s="1" t="str">
        <f>IFERROR(__xludf.DUMMYFUNCTION("GOOGLETRANSLATE(G2827,""EN"",""JA"")"),"紅斑性病変の重症度")</f>
        <v>紅斑性病変の重症度</v>
      </c>
    </row>
    <row r="2828" ht="13.5" customHeight="1">
      <c r="A2828" s="1" t="s">
        <v>233</v>
      </c>
      <c r="B2828" s="1" t="s">
        <v>14203</v>
      </c>
      <c r="C2828" s="1" t="s">
        <v>14204</v>
      </c>
      <c r="D2828" s="1" t="s">
        <v>14205</v>
      </c>
      <c r="E2828" s="1" t="s">
        <v>14205</v>
      </c>
      <c r="F2828" s="1" t="s">
        <v>14206</v>
      </c>
      <c r="G2828" s="1" t="s">
        <v>14205</v>
      </c>
      <c r="H2828" s="1" t="str">
        <f>IFERROR(__xludf.DUMMYFUNCTION("GOOGLETRANSLATE(D2828,""EN"",""JA"")"),"病変不全指標")</f>
        <v>病変不全指標</v>
      </c>
      <c r="I2828" s="1" t="str">
        <f>IFERROR(__xludf.DUMMYFUNCTION("GOOGLETRANSLATE(E2828,""EN"",""JA"")"),"病変不全指標")</f>
        <v>病変不全指標</v>
      </c>
      <c r="J2828" s="1" t="str">
        <f>IFERROR(__xludf.DUMMYFUNCTION("GOOGLETRANSLATE(F2828,""EN"",""JA"")"),"病変不全が発生したかどうかを示す指標。")</f>
        <v>病変不全が発生したかどうかを示す指標。</v>
      </c>
      <c r="K2828" s="1" t="str">
        <f>IFERROR(__xludf.DUMMYFUNCTION("GOOGLETRANSLATE(G2828,""EN"",""JA"")"),"病変不全指標")</f>
        <v>病変不全指標</v>
      </c>
    </row>
    <row r="2829" ht="13.5" customHeight="1">
      <c r="A2829" s="1" t="s">
        <v>6439</v>
      </c>
      <c r="B2829" s="1" t="s">
        <v>14207</v>
      </c>
      <c r="C2829" s="1" t="s">
        <v>14208</v>
      </c>
      <c r="D2829" s="1" t="s">
        <v>14209</v>
      </c>
      <c r="E2829" s="1" t="s">
        <v>14209</v>
      </c>
      <c r="F2829" s="1" t="s">
        <v>14210</v>
      </c>
      <c r="G2829" s="1" t="s">
        <v>14209</v>
      </c>
      <c r="H2829" s="1" t="str">
        <f>IFERROR(__xludf.DUMMYFUNCTION("GOOGLETRANSLATE(D2829,""EN"",""JA"")"),"病変の特定")</f>
        <v>病変の特定</v>
      </c>
      <c r="I2829" s="1" t="str">
        <f>IFERROR(__xludf.DUMMYFUNCTION("GOOGLETRANSLATE(E2829,""EN"",""JA"")"),"病変の特定")</f>
        <v>病変の特定</v>
      </c>
      <c r="J2829" s="1" t="str">
        <f>IFERROR(__xludf.DUMMYFUNCTION("GOOGLETRANSLATE(F2829,""EN"",""JA"")"),"病変が特定され、特徴付けられていることを示す表示。")</f>
        <v>病変が特定され、特徴付けられていることを示す表示。</v>
      </c>
      <c r="K2829" s="1" t="str">
        <f>IFERROR(__xludf.DUMMYFUNCTION("GOOGLETRANSLATE(G2829,""EN"",""JA"")"),"病変の特定")</f>
        <v>病変の特定</v>
      </c>
    </row>
    <row r="2830" ht="13.5" customHeight="1">
      <c r="A2830" s="1" t="s">
        <v>233</v>
      </c>
      <c r="B2830" s="1" t="s">
        <v>14211</v>
      </c>
      <c r="C2830" s="1" t="s">
        <v>14212</v>
      </c>
      <c r="D2830" s="1" t="s">
        <v>14213</v>
      </c>
      <c r="E2830" s="1" t="s">
        <v>14213</v>
      </c>
      <c r="F2830" s="1" t="s">
        <v>14214</v>
      </c>
      <c r="G2830" s="1" t="s">
        <v>14213</v>
      </c>
      <c r="H2830" s="1" t="str">
        <f>IFERROR(__xludf.DUMMYFUNCTION("GOOGLETRANSLATE(D2830,""EN"",""JA"")"),"病変血行再建指標")</f>
        <v>病変血行再建指標</v>
      </c>
      <c r="I2830" s="1" t="str">
        <f>IFERROR(__xludf.DUMMYFUNCTION("GOOGLETRANSLATE(E2830,""EN"",""JA"")"),"病変血行再建指標")</f>
        <v>病変血行再建指標</v>
      </c>
      <c r="J2830" s="1" t="str">
        <f>IFERROR(__xludf.DUMMYFUNCTION("GOOGLETRANSLATE(F2830,""EN"",""JA"")"),"病変の再血行再建術が行われたかどうかを示す指標。")</f>
        <v>病変の再血行再建術が行われたかどうかを示す指標。</v>
      </c>
      <c r="K2830" s="1" t="str">
        <f>IFERROR(__xludf.DUMMYFUNCTION("GOOGLETRANSLATE(G2830,""EN"",""JA"")"),"病変血行再建指標")</f>
        <v>病変血行再建指標</v>
      </c>
    </row>
    <row r="2831" ht="13.5" customHeight="1">
      <c r="A2831" s="1" t="s">
        <v>233</v>
      </c>
      <c r="B2831" s="1" t="s">
        <v>14215</v>
      </c>
      <c r="C2831" s="1" t="s">
        <v>14216</v>
      </c>
      <c r="D2831" s="1" t="s">
        <v>14217</v>
      </c>
      <c r="E2831" s="1" t="s">
        <v>14217</v>
      </c>
      <c r="F2831" s="1" t="s">
        <v>14218</v>
      </c>
      <c r="G2831" s="1" t="s">
        <v>14217</v>
      </c>
      <c r="H2831" s="1" t="str">
        <f>IFERROR(__xludf.DUMMYFUNCTION("GOOGLETRANSLATE(D2831,""EN"",""JA"")"),"病変成功指標")</f>
        <v>病変成功指標</v>
      </c>
      <c r="I2831" s="1" t="str">
        <f>IFERROR(__xludf.DUMMYFUNCTION("GOOGLETRANSLATE(E2831,""EN"",""JA"")"),"病変成功指標")</f>
        <v>病変成功指標</v>
      </c>
      <c r="J2831" s="1" t="str">
        <f>IFERROR(__xludf.DUMMYFUNCTION("GOOGLETRANSLATE(F2831,""EN"",""JA"")"),"標的病変に対して実行された処置が成功したとみなされるかどうかの指標。")</f>
        <v>標的病変に対して実行された処置が成功したとみなされるかどうかの指標。</v>
      </c>
      <c r="K2831" s="1" t="str">
        <f>IFERROR(__xludf.DUMMYFUNCTION("GOOGLETRANSLATE(G2831,""EN"",""JA"")"),"病変成功指標")</f>
        <v>病変成功指標</v>
      </c>
    </row>
    <row r="2832" ht="13.5" customHeight="1">
      <c r="A2832" s="1" t="s">
        <v>233</v>
      </c>
      <c r="B2832" s="1" t="s">
        <v>14219</v>
      </c>
      <c r="C2832" s="1" t="s">
        <v>14220</v>
      </c>
      <c r="D2832" s="1" t="s">
        <v>14221</v>
      </c>
      <c r="E2832" s="1" t="s">
        <v>14221</v>
      </c>
      <c r="F2832" s="1" t="s">
        <v>14222</v>
      </c>
      <c r="G2832" s="1" t="s">
        <v>14223</v>
      </c>
      <c r="H2832" s="1" t="str">
        <f>IFERROR(__xludf.DUMMYFUNCTION("GOOGLETRANSLATE(D2832,""EN"",""JA"")"),"病変のスケーリングの重症度/強度")</f>
        <v>病変のスケーリングの重症度/強度</v>
      </c>
      <c r="I2832" s="1" t="str">
        <f>IFERROR(__xludf.DUMMYFUNCTION("GOOGLETRANSLATE(E2832,""EN"",""JA"")"),"病変のスケーリングの重症度/強度")</f>
        <v>病変のスケーリングの重症度/強度</v>
      </c>
      <c r="J2832" s="1" t="str">
        <f>IFERROR(__xludf.DUMMYFUNCTION("GOOGLETRANSLATE(F2832,""EN"",""JA"")"),"死んだ皮膚が剥がれ落ち、病変の角質層にケラチンが増加している病変の重症度を評価します。")</f>
        <v>死んだ皮膚が剥がれ落ち、病変の角質層にケラチンが増加している病変の重症度を評価します。</v>
      </c>
      <c r="K2832" s="1" t="str">
        <f>IFERROR(__xludf.DUMMYFUNCTION("GOOGLETRANSLATE(G2832,""EN"",""JA"")"),"鱗屑性病変の重症度")</f>
        <v>鱗屑性病変の重症度</v>
      </c>
    </row>
    <row r="2833" ht="13.5" customHeight="1">
      <c r="A2833" s="1" t="s">
        <v>233</v>
      </c>
      <c r="B2833" s="1" t="s">
        <v>14224</v>
      </c>
      <c r="C2833" s="1" t="s">
        <v>14225</v>
      </c>
      <c r="D2833" s="1" t="s">
        <v>14226</v>
      </c>
      <c r="E2833" s="1" t="s">
        <v>14226</v>
      </c>
      <c r="F2833" s="1" t="s">
        <v>14227</v>
      </c>
      <c r="G2833" s="1" t="s">
        <v>14226</v>
      </c>
      <c r="H2833" s="1" t="str">
        <f>IFERROR(__xludf.DUMMYFUNCTION("GOOGLETRANSLATE(D2833,""EN"",""JA"")"),"病変の厚さ")</f>
        <v>病変の厚さ</v>
      </c>
      <c r="I2833" s="1" t="str">
        <f>IFERROR(__xludf.DUMMYFUNCTION("GOOGLETRANSLATE(E2833,""EN"",""JA"")"),"病変の厚さ")</f>
        <v>病変の厚さ</v>
      </c>
      <c r="J2833" s="1" t="str">
        <f>IFERROR(__xludf.DUMMYFUNCTION("GOOGLETRANSLATE(F2833,""EN"",""JA"")"),"病変の 2 つの反対側の表面間の距離の測定値。")</f>
        <v>病変の 2 つの反対側の表面間の距離の測定値。</v>
      </c>
      <c r="K2833" s="1" t="str">
        <f>IFERROR(__xludf.DUMMYFUNCTION("GOOGLETRANSLATE(G2833,""EN"",""JA"")"),"病変の厚さ")</f>
        <v>病変の厚さ</v>
      </c>
    </row>
    <row r="2834" ht="13.5" customHeight="1">
      <c r="A2834" s="1" t="s">
        <v>11</v>
      </c>
      <c r="B2834" s="1" t="s">
        <v>14228</v>
      </c>
      <c r="C2834" s="1" t="s">
        <v>14229</v>
      </c>
      <c r="D2834" s="1" t="s">
        <v>14230</v>
      </c>
      <c r="E2834" s="1" t="s">
        <v>14230</v>
      </c>
      <c r="F2834" s="1" t="s">
        <v>14231</v>
      </c>
      <c r="G2834" s="1" t="s">
        <v>14232</v>
      </c>
      <c r="H2834" s="1" t="str">
        <f>IFERROR(__xludf.DUMMYFUNCTION("GOOGLETRANSLATE(D2834,""EN"",""JA"")"),"ロイシン")</f>
        <v>ロイシン</v>
      </c>
      <c r="I2834" s="1" t="str">
        <f>IFERROR(__xludf.DUMMYFUNCTION("GOOGLETRANSLATE(E2834,""EN"",""JA"")"),"ロイシン")</f>
        <v>ロイシン</v>
      </c>
      <c r="J2834" s="1" t="str">
        <f>IFERROR(__xludf.DUMMYFUNCTION("GOOGLETRANSLATE(F2834,""EN"",""JA"")"),"生物標本中のロイシンの測定。")</f>
        <v>生物標本中のロイシンの測定。</v>
      </c>
      <c r="K2834" s="1" t="str">
        <f>IFERROR(__xludf.DUMMYFUNCTION("GOOGLETRANSLATE(G2834,""EN"",""JA"")"),"ロイシン測定")</f>
        <v>ロイシン測定</v>
      </c>
    </row>
    <row r="2835" ht="13.5" customHeight="1">
      <c r="A2835" s="1" t="s">
        <v>134</v>
      </c>
      <c r="B2835" s="1" t="s">
        <v>14233</v>
      </c>
      <c r="C2835" s="1" t="s">
        <v>14234</v>
      </c>
      <c r="D2835" s="1" t="s">
        <v>14235</v>
      </c>
      <c r="E2835" s="1" t="s">
        <v>14236</v>
      </c>
      <c r="F2835" s="1" t="s">
        <v>14237</v>
      </c>
      <c r="G2835" s="1" t="s">
        <v>14238</v>
      </c>
      <c r="H2835" s="1" t="str">
        <f>IFERROR(__xludf.DUMMYFUNCTION("GOOGLETRANSLATE(D2835,""EN"",""JA"")"),"リンパ球抗原T1/Leu-1")</f>
        <v>リンパ球抗原T1/Leu-1</v>
      </c>
      <c r="I2835" s="1" t="str">
        <f>IFERROR(__xludf.DUMMYFUNCTION("GOOGLETRANSLATE(E2835,""EN"",""JA"")"),"CD5; LEU1; リンパ球抗原T1/Leu-1; T細胞表面糖タンパク質CD5")</f>
        <v>CD5; LEU1; リンパ球抗原T1/Leu-1; T細胞表面糖タンパク質CD5</v>
      </c>
      <c r="J2835" s="1" t="str">
        <f>IFERROR(__xludf.DUMMYFUNCTION("GOOGLETRANSLATE(F2835,""EN"",""JA"")"),"生物標本中のリンパ球抗原 T1/Leu-1 の測定。")</f>
        <v>生物標本中のリンパ球抗原 T1/Leu-1 の測定。</v>
      </c>
      <c r="K2835" s="1" t="str">
        <f>IFERROR(__xludf.DUMMYFUNCTION("GOOGLETRANSLATE(G2835,""EN"",""JA"")"),"T細胞表面糖タンパク質CD5測定")</f>
        <v>T細胞表面糖タンパク質CD5測定</v>
      </c>
    </row>
    <row r="2836" ht="13.5" customHeight="1">
      <c r="A2836" s="1" t="s">
        <v>134</v>
      </c>
      <c r="B2836" s="1" t="s">
        <v>14239</v>
      </c>
      <c r="C2836" s="1" t="s">
        <v>14240</v>
      </c>
      <c r="D2836" s="1" t="s">
        <v>14241</v>
      </c>
      <c r="E2836" s="1" t="s">
        <v>14242</v>
      </c>
      <c r="F2836" s="1" t="s">
        <v>14243</v>
      </c>
      <c r="G2836" s="1" t="s">
        <v>14244</v>
      </c>
      <c r="H2836" s="1" t="str">
        <f>IFERROR(__xludf.DUMMYFUNCTION("GOOGLETRANSLATE(D2836,""EN"",""JA"")"),"膜貫通4ドメインA1")</f>
        <v>膜貫通4ドメインA1</v>
      </c>
      <c r="I2836" s="1" t="str">
        <f>IFERROR(__xludf.DUMMYFUNCTION("GOOGLETRANSLATE(E2836,""EN"",""JA"")"),"CD20; LEU-16; 白血球表面抗原 Leu-16; 膜貫通4ドメイン A1")</f>
        <v>CD20; LEU-16; 白血球表面抗原 Leu-16; 膜貫通4ドメイン A1</v>
      </c>
      <c r="J2836" s="1" t="str">
        <f>IFERROR(__xludf.DUMMYFUNCTION("GOOGLETRANSLATE(F2836,""EN"",""JA"")"),"生物標本中の膜貫通型 4 ドメイン A1 タンパク質の測定。")</f>
        <v>生物標本中の膜貫通型 4 ドメイン A1 タンパク質の測定。</v>
      </c>
      <c r="K2836" s="1" t="str">
        <f>IFERROR(__xludf.DUMMYFUNCTION("GOOGLETRANSLATE(G2836,""EN"",""JA"")"),"膜貫通4ドメインA1測定")</f>
        <v>膜貫通4ドメインA1測定</v>
      </c>
    </row>
    <row r="2837" ht="13.5" customHeight="1">
      <c r="A2837" s="1" t="s">
        <v>134</v>
      </c>
      <c r="B2837" s="1" t="s">
        <v>14245</v>
      </c>
      <c r="C2837" s="1" t="s">
        <v>14246</v>
      </c>
      <c r="D2837" s="1" t="s">
        <v>14247</v>
      </c>
      <c r="E2837" s="1" t="s">
        <v>14248</v>
      </c>
      <c r="F2837" s="1" t="s">
        <v>14249</v>
      </c>
      <c r="G2837" s="1" t="s">
        <v>14250</v>
      </c>
      <c r="H2837" s="1" t="str">
        <f>IFERROR(__xludf.DUMMYFUNCTION("GOOGLETRANSLATE(D2837,""EN"",""JA"")"),"T細胞表面抗原T4/Leu-3")</f>
        <v>T細胞表面抗原T4/Leu-3</v>
      </c>
      <c r="I2837" s="1" t="str">
        <f>IFERROR(__xludf.DUMMYFUNCTION("GOOGLETRANSLATE(E2837,""EN"",""JA"")"),"CD4; CD4分子; Leu-3; T細胞表面抗原T4/Leu-3")</f>
        <v>CD4; CD4分子; Leu-3; T細胞表面抗原T4/Leu-3</v>
      </c>
      <c r="J2837" s="1" t="str">
        <f>IFERROR(__xludf.DUMMYFUNCTION("GOOGLETRANSLATE(F2837,""EN"",""JA"")"),"生物学的標本中の T 細胞表面抗原 T4/Leu-3 の測定。")</f>
        <v>生物学的標本中の T 細胞表面抗原 T4/Leu-3 の測定。</v>
      </c>
      <c r="K2837" s="1" t="str">
        <f>IFERROR(__xludf.DUMMYFUNCTION("GOOGLETRANSLATE(G2837,""EN"",""JA"")"),"T細胞表面糖タンパク質CD4測定")</f>
        <v>T細胞表面糖タンパク質CD4測定</v>
      </c>
    </row>
    <row r="2838" ht="13.5" customHeight="1">
      <c r="A2838" s="1" t="s">
        <v>11</v>
      </c>
      <c r="B2838" s="1" t="s">
        <v>14251</v>
      </c>
      <c r="C2838" s="1" t="s">
        <v>14252</v>
      </c>
      <c r="D2838" s="1" t="s">
        <v>14253</v>
      </c>
      <c r="E2838" s="1" t="s">
        <v>14253</v>
      </c>
      <c r="F2838" s="1" t="s">
        <v>14254</v>
      </c>
      <c r="G2838" s="1" t="s">
        <v>14255</v>
      </c>
      <c r="H2838" s="1" t="str">
        <f>IFERROR(__xludf.DUMMYFUNCTION("GOOGLETRANSLATE(D2838,""EN"",""JA"")"),"白血球エステラーゼ")</f>
        <v>白血球エステラーゼ</v>
      </c>
      <c r="I2838" s="1" t="str">
        <f>IFERROR(__xludf.DUMMYFUNCTION("GOOGLETRANSLATE(E2838,""EN"",""JA"")"),"白血球エステラーゼ")</f>
        <v>白血球エステラーゼ</v>
      </c>
      <c r="J2838" s="1" t="str">
        <f>IFERROR(__xludf.DUMMYFUNCTION("GOOGLETRANSLATE(F2838,""EN"",""JA"")"),"生物標本中の白血球の存在を示す酵素の測定値。")</f>
        <v>生物標本中の白血球の存在を示す酵素の測定値。</v>
      </c>
      <c r="K2838" s="1" t="str">
        <f>IFERROR(__xludf.DUMMYFUNCTION("GOOGLETRANSLATE(G2838,""EN"",""JA"")"),"白血球エステラーゼ測定")</f>
        <v>白血球エステラーゼ測定</v>
      </c>
    </row>
    <row r="2839" ht="13.5" customHeight="1">
      <c r="A2839" s="1" t="s">
        <v>11</v>
      </c>
      <c r="B2839" s="1" t="s">
        <v>14256</v>
      </c>
      <c r="C2839" s="1" t="s">
        <v>14257</v>
      </c>
      <c r="D2839" s="1" t="s">
        <v>14258</v>
      </c>
      <c r="E2839" s="1" t="s">
        <v>14259</v>
      </c>
      <c r="F2839" s="1" t="s">
        <v>14260</v>
      </c>
      <c r="G2839" s="1" t="s">
        <v>14261</v>
      </c>
      <c r="H2839" s="1" t="str">
        <f>IFERROR(__xludf.DUMMYFUNCTION("GOOGLETRANSLATE(D2839,""EN"",""JA"")"),"白血病細胞")</f>
        <v>白血病細胞</v>
      </c>
      <c r="I2839" s="1" t="str">
        <f>IFERROR(__xludf.DUMMYFUNCTION("GOOGLETRANSLATE(E2839,""EN"",""JA"")"),"白血病細胞; 残存白血病細胞")</f>
        <v>白血病細胞; 残存白血病細胞</v>
      </c>
      <c r="J2839" s="1" t="str">
        <f>IFERROR(__xludf.DUMMYFUNCTION("GOOGLETRANSLATE(F2839,""EN"",""JA"")"),"生物標本中の白血病細胞の測定。")</f>
        <v>生物標本中の白血病細胞の測定。</v>
      </c>
      <c r="K2839" s="1" t="str">
        <f>IFERROR(__xludf.DUMMYFUNCTION("GOOGLETRANSLATE(G2839,""EN"",""JA"")"),"白血病細胞の測定")</f>
        <v>白血病細胞の測定</v>
      </c>
    </row>
    <row r="2840" ht="13.5" customHeight="1">
      <c r="A2840" s="1" t="s">
        <v>11</v>
      </c>
      <c r="B2840" s="1" t="s">
        <v>14262</v>
      </c>
      <c r="C2840" s="1" t="s">
        <v>14263</v>
      </c>
      <c r="D2840" s="1" t="s">
        <v>14264</v>
      </c>
      <c r="E2840" s="1" t="s">
        <v>14265</v>
      </c>
      <c r="F2840" s="1" t="s">
        <v>14266</v>
      </c>
      <c r="G2840" s="1" t="s">
        <v>14267</v>
      </c>
      <c r="H2840" s="1" t="str">
        <f>IFERROR(__xludf.DUMMYFUNCTION("GOOGLETRANSLATE(D2840,""EN"",""JA"")"),"核赤血球補正白血球")</f>
        <v>核赤血球補正白血球</v>
      </c>
      <c r="I2840" s="1" t="str">
        <f>IFERROR(__xludf.DUMMYFUNCTION("GOOGLETRANSLATE(E2840,""EN"",""JA"")"),"有核赤血球を補正した白血球；有核赤血球を補正した白血球")</f>
        <v>有核赤血球を補正した白血球；有核赤血球を補正した白血球</v>
      </c>
      <c r="J2840" s="1" t="str">
        <f>IFERROR(__xludf.DUMMYFUNCTION("GOOGLETRANSLATE(F2840,""EN"",""JA"")"),"生物標本中の有核赤血球を補正した白血球の測定値。")</f>
        <v>生物標本中の有核赤血球を補正した白血球の測定値。</v>
      </c>
      <c r="K2840" s="1" t="str">
        <f>IFERROR(__xludf.DUMMYFUNCTION("GOOGLETRANSLATE(G2840,""EN"",""JA"")"),"有核赤血球数補正後の白血球数")</f>
        <v>有核赤血球数補正後の白血球数</v>
      </c>
    </row>
    <row r="2841" ht="13.5" customHeight="1">
      <c r="A2841" s="1" t="s">
        <v>134</v>
      </c>
      <c r="B2841" s="1" t="s">
        <v>14268</v>
      </c>
      <c r="C2841" s="1" t="s">
        <v>14269</v>
      </c>
      <c r="D2841" s="1" t="s">
        <v>14270</v>
      </c>
      <c r="E2841" s="1" t="s">
        <v>14270</v>
      </c>
      <c r="F2841" s="1" t="s">
        <v>14271</v>
      </c>
      <c r="G2841" s="1" t="s">
        <v>14272</v>
      </c>
      <c r="H2841" s="1" t="str">
        <f>IFERROR(__xludf.DUMMYFUNCTION("GOOGLETRANSLATE(D2841,""EN"",""JA"")"),"リンパ球機能関連抗原1")</f>
        <v>リンパ球機能関連抗原1</v>
      </c>
      <c r="I2841" s="1" t="str">
        <f>IFERROR(__xludf.DUMMYFUNCTION("GOOGLETRANSLATE(E2841,""EN"",""JA"")"),"リンパ球機能関連抗原1")</f>
        <v>リンパ球機能関連抗原1</v>
      </c>
      <c r="J2841" s="1" t="str">
        <f>IFERROR(__xludf.DUMMYFUNCTION("GOOGLETRANSLATE(F2841,""EN"",""JA"")"),"生物学的標本中のリンパ球機能関連抗原 1 の測定。")</f>
        <v>生物学的標本中のリンパ球機能関連抗原 1 の測定。</v>
      </c>
      <c r="K2841" s="1" t="str">
        <f>IFERROR(__xludf.DUMMYFUNCTION("GOOGLETRANSLATE(G2841,""EN"",""JA"")"),"リンパ球機能関連抗原1測定")</f>
        <v>リンパ球機能関連抗原1測定</v>
      </c>
    </row>
    <row r="2842" ht="13.5" customHeight="1">
      <c r="A2842" s="1" t="s">
        <v>90</v>
      </c>
      <c r="B2842" s="1" t="s">
        <v>14273</v>
      </c>
      <c r="C2842" s="1" t="s">
        <v>14274</v>
      </c>
      <c r="D2842" s="1" t="s">
        <v>14275</v>
      </c>
      <c r="E2842" s="1" t="s">
        <v>14275</v>
      </c>
      <c r="F2842" s="1" t="s">
        <v>14276</v>
      </c>
      <c r="G2842" s="1" t="s">
        <v>14275</v>
      </c>
      <c r="H2842" s="1" t="str">
        <f>IFERROR(__xludf.DUMMYFUNCTION("GOOGLETRANSLATE(D2842,""EN"",""JA"")"),"後期ガドリニウム増強")</f>
        <v>後期ガドリニウム増強</v>
      </c>
      <c r="I2842" s="1" t="str">
        <f>IFERROR(__xludf.DUMMYFUNCTION("GOOGLETRANSLATE(E2842,""EN"",""JA"")"),"後期ガドリニウム増強")</f>
        <v>後期ガドリニウム増強</v>
      </c>
      <c r="J2842" s="1" t="str">
        <f>IFERROR(__xludf.DUMMYFUNCTION("GOOGLETRANSLATE(F2842,""EN"",""JA"")"),"細胞外空間が拡大した組織におけるガドリニウム系造影剤の蓄積と相対的過剰濃度の遅延現象。これは細胞外マトリックスを拡張する条件によって引き起こされる場合もあれば、頻度は低いが、")</f>
        <v>細胞外空間が拡大した組織におけるガドリニウム系造影剤の蓄積と相対的過剰濃度の遅延現象。これは細胞外マトリックスを拡張する条件によって引き起こされる場合もあれば、頻度は低いが、</v>
      </c>
      <c r="K2842" s="1" t="str">
        <f>IFERROR(__xludf.DUMMYFUNCTION("GOOGLETRANSLATE(G2842,""EN"",""JA"")"),"後期ガドリニウム増強")</f>
        <v>後期ガドリニウム増強</v>
      </c>
    </row>
    <row r="2843" ht="13.5" customHeight="1">
      <c r="A2843" s="1" t="s">
        <v>90</v>
      </c>
      <c r="B2843" s="1" t="s">
        <v>14277</v>
      </c>
      <c r="C2843" s="1" t="s">
        <v>14278</v>
      </c>
      <c r="D2843" s="1" t="s">
        <v>14279</v>
      </c>
      <c r="E2843" s="1" t="s">
        <v>14279</v>
      </c>
      <c r="F2843" s="1" t="s">
        <v>14280</v>
      </c>
      <c r="G2843" s="1" t="s">
        <v>14279</v>
      </c>
      <c r="H2843" s="1" t="str">
        <f>IFERROR(__xludf.DUMMYFUNCTION("GOOGLETRANSLATE(D2843,""EN"",""JA"")"),"後期ガドリニウム増強率")</f>
        <v>後期ガドリニウム増強率</v>
      </c>
      <c r="I2843" s="1" t="str">
        <f>IFERROR(__xludf.DUMMYFUNCTION("GOOGLETRANSLATE(E2843,""EN"",""JA"")"),"後期ガドリニウム増強率")</f>
        <v>後期ガドリニウム増強率</v>
      </c>
      <c r="J2843" s="1" t="str">
        <f>IFERROR(__xludf.DUMMYFUNCTION("GOOGLETRANSLATE(F2843,""EN"",""JA"")"),"後期ガドリニウム増強の特徴を示す領域の割合。")</f>
        <v>後期ガドリニウム増強の特徴を示す領域の割合。</v>
      </c>
      <c r="K2843" s="1" t="str">
        <f>IFERROR(__xludf.DUMMYFUNCTION("GOOGLETRANSLATE(G2843,""EN"",""JA"")"),"後期ガドリニウム増強率")</f>
        <v>後期ガドリニウム増強率</v>
      </c>
    </row>
    <row r="2844" ht="13.5" customHeight="1">
      <c r="A2844" s="1" t="s">
        <v>90</v>
      </c>
      <c r="B2844" s="1" t="s">
        <v>14281</v>
      </c>
      <c r="C2844" s="1" t="s">
        <v>14282</v>
      </c>
      <c r="D2844" s="1" t="s">
        <v>14283</v>
      </c>
      <c r="E2844" s="1" t="s">
        <v>14284</v>
      </c>
      <c r="F2844" s="1" t="s">
        <v>14285</v>
      </c>
      <c r="G2844" s="1" t="s">
        <v>14286</v>
      </c>
      <c r="H2844" s="1" t="str">
        <f>IFERROR(__xludf.DUMMYFUNCTION("GOOGLETRANSLATE(D2844,""EN"",""JA"")"),"後期ガドリニウム増強セグメントCT")</f>
        <v>後期ガドリニウム増強セグメントCT</v>
      </c>
      <c r="I2844" s="1" t="str">
        <f>IFERROR(__xludf.DUMMYFUNCTION("GOOGLETRANSLATE(E2844,""EN"",""JA"")"),"後期ガドリニウム増強セグメントカウント；後期ガドリニウム増強セグメントCT")</f>
        <v>後期ガドリニウム増強セグメントカウント；後期ガドリニウム増強セグメントCT</v>
      </c>
      <c r="J2844" s="1" t="str">
        <f>IFERROR(__xludf.DUMMYFUNCTION("GOOGLETRANSLATE(F2844,""EN"",""JA"")"),"後期ガドリニウム増強の特徴を示すセグメントの数。")</f>
        <v>後期ガドリニウム増強の特徴を示すセグメントの数。</v>
      </c>
      <c r="K2844" s="1" t="str">
        <f>IFERROR(__xludf.DUMMYFUNCTION("GOOGLETRANSLATE(G2844,""EN"",""JA"")"),"後期ガドリニウム増強セグメント数")</f>
        <v>後期ガドリニウム増強セグメント数</v>
      </c>
    </row>
    <row r="2845" ht="13.5" customHeight="1">
      <c r="A2845" s="1" t="s">
        <v>1997</v>
      </c>
      <c r="B2845" s="1" t="s">
        <v>14287</v>
      </c>
      <c r="C2845" s="1" t="s">
        <v>14288</v>
      </c>
      <c r="D2845" s="1" t="s">
        <v>14289</v>
      </c>
      <c r="E2845" s="1" t="s">
        <v>14289</v>
      </c>
      <c r="F2845" s="1" t="s">
        <v>14290</v>
      </c>
      <c r="G2845" s="1" t="s">
        <v>14289</v>
      </c>
      <c r="H2845" s="1" t="str">
        <f>IFERROR(__xludf.DUMMYFUNCTION("GOOGLETRANSLATE(D2845,""EN"",""JA"")"),"光感知インジケーター")</f>
        <v>光感知インジケーター</v>
      </c>
      <c r="I2845" s="1" t="str">
        <f>IFERROR(__xludf.DUMMYFUNCTION("GOOGLETRANSLATE(E2845,""EN"",""JA"")"),"光感知インジケーター")</f>
        <v>光感知インジケーター</v>
      </c>
      <c r="J2845" s="1" t="str">
        <f>IFERROR(__xludf.DUMMYFUNCTION("GOOGLETRANSLATE(F2845,""EN"",""JA"")"),"被験者が目の前に直接置かれた光源からの光を知覚できるかどうかを示す指標。")</f>
        <v>被験者が目の前に直接置かれた光源からの光を知覚できるかどうかを示す指標。</v>
      </c>
      <c r="K2845" s="1" t="str">
        <f>IFERROR(__xludf.DUMMYFUNCTION("GOOGLETRANSLATE(G2845,""EN"",""JA"")"),"光感知インジケーター")</f>
        <v>光感知インジケーター</v>
      </c>
    </row>
    <row r="2846" ht="13.5" customHeight="1">
      <c r="A2846" s="1" t="s">
        <v>11</v>
      </c>
      <c r="B2846" s="1" t="s">
        <v>14291</v>
      </c>
      <c r="C2846" s="1" t="s">
        <v>14292</v>
      </c>
      <c r="D2846" s="1" t="s">
        <v>14293</v>
      </c>
      <c r="E2846" s="1" t="s">
        <v>14293</v>
      </c>
      <c r="F2846" s="1" t="s">
        <v>14294</v>
      </c>
      <c r="G2846" s="1" t="s">
        <v>14295</v>
      </c>
      <c r="H2846" s="1" t="str">
        <f>IFERROR(__xludf.DUMMYFUNCTION("GOOGLETRANSLATE(D2846,""EN"",""JA"")"),"大きな未染色細胞/白血球")</f>
        <v>大きな未染色細胞/白血球</v>
      </c>
      <c r="I2846" s="1" t="str">
        <f>IFERROR(__xludf.DUMMYFUNCTION("GOOGLETRANSLATE(E2846,""EN"",""JA"")"),"大きな未染色細胞/白血球")</f>
        <v>大きな未染色細胞/白血球</v>
      </c>
      <c r="J2846" s="1" t="str">
        <f>IFERROR(__xludf.DUMMYFUNCTION("GOOGLETRANSLATE(F2846,""EN"",""JA"")"),"生物標本中の白血球に対する大きな染色されていない細胞の相対的な測定値 (比率またはパーセンテージ)。")</f>
        <v>生物標本中の白血球に対する大きな染色されていない細胞の相対的な測定値 (比率またはパーセンテージ)。</v>
      </c>
      <c r="K2846" s="1" t="str">
        <f>IFERROR(__xludf.DUMMYFUNCTION("GOOGLETRANSLATE(G2846,""EN"",""JA"")"),"大型無染色細胞と白血球の比率測定")</f>
        <v>大型無染色細胞と白血球の比率測定</v>
      </c>
    </row>
    <row r="2847" ht="13.5" customHeight="1">
      <c r="A2847" s="1" t="s">
        <v>90</v>
      </c>
      <c r="B2847" s="1" t="s">
        <v>14296</v>
      </c>
      <c r="C2847" s="1" t="s">
        <v>14297</v>
      </c>
      <c r="D2847" s="1" t="s">
        <v>14298</v>
      </c>
      <c r="E2847" s="1" t="s">
        <v>14299</v>
      </c>
      <c r="F2847" s="1" t="s">
        <v>14300</v>
      </c>
      <c r="G2847" s="1" t="s">
        <v>14301</v>
      </c>
      <c r="H2847" s="1" t="str">
        <f>IFERROR(__xludf.DUMMYFUNCTION("GOOGLETRANSLATE(D2847,""EN"",""JA"")"),"最大断面厚さ")</f>
        <v>最大断面厚さ</v>
      </c>
      <c r="I2847" s="1" t="str">
        <f>IFERROR(__xludf.DUMMYFUNCTION("GOOGLETRANSLATE(E2847,""EN"",""JA"")"),"最大断面厚さ; 最大断面厚さ")</f>
        <v>最大断面厚さ; 最大断面厚さ</v>
      </c>
      <c r="J2847" s="1" t="str">
        <f>IFERROR(__xludf.DUMMYFUNCTION("GOOGLETRANSLATE(F2847,""EN"",""JA"")"),"組織の最大断面厚さの評価。")</f>
        <v>組織の最大断面厚さの評価。</v>
      </c>
      <c r="K2847" s="1" t="str">
        <f>IFERROR(__xludf.DUMMYFUNCTION("GOOGLETRANSLATE(G2847,""EN"",""JA"")"),"最大断面厚さ")</f>
        <v>最大断面厚さ</v>
      </c>
    </row>
    <row r="2848" ht="13.5" customHeight="1">
      <c r="A2848" s="1" t="s">
        <v>11</v>
      </c>
      <c r="B2848" s="1" t="s">
        <v>14302</v>
      </c>
      <c r="C2848" s="1" t="s">
        <v>14303</v>
      </c>
      <c r="D2848" s="1" t="s">
        <v>14304</v>
      </c>
      <c r="E2848" s="1" t="s">
        <v>14304</v>
      </c>
      <c r="F2848" s="1" t="s">
        <v>14305</v>
      </c>
      <c r="G2848" s="1" t="s">
        <v>14306</v>
      </c>
      <c r="H2848" s="1" t="str">
        <f>IFERROR(__xludf.DUMMYFUNCTION("GOOGLETRANSLATE(D2848,""EN"",""JA"")"),"染色されていない大きな細胞")</f>
        <v>染色されていない大きな細胞</v>
      </c>
      <c r="I2848" s="1" t="str">
        <f>IFERROR(__xludf.DUMMYFUNCTION("GOOGLETRANSLATE(E2848,""EN"",""JA"")"),"染色されていない大きな細胞")</f>
        <v>染色されていない大きな細胞</v>
      </c>
      <c r="J2848" s="1" t="str">
        <f>IFERROR(__xludf.DUMMYFUNCTION("GOOGLETRANSLATE(F2848,""EN"",""JA"")"),"生物学的標本中に存在する、さらに特徴付けることができない（すなわち、大型リンパ球、ウイルス細胞、または幹細胞として）大型のペルオキシダーゼ陰性細胞の測定値。")</f>
        <v>生物学的標本中に存在する、さらに特徴付けることができない（すなわち、大型リンパ球、ウイルス細胞、または幹細胞として）大型のペルオキシダーゼ陰性細胞の測定値。</v>
      </c>
      <c r="K2848" s="1" t="str">
        <f>IFERROR(__xludf.DUMMYFUNCTION("GOOGLETRANSLATE(G2848,""EN"",""JA"")"),"染色されていない細胞数が多い")</f>
        <v>染色されていない細胞数が多い</v>
      </c>
    </row>
    <row r="2849" ht="13.5" customHeight="1">
      <c r="A2849" s="1" t="s">
        <v>11</v>
      </c>
      <c r="B2849" s="1" t="s">
        <v>14307</v>
      </c>
      <c r="C2849" s="1" t="s">
        <v>14308</v>
      </c>
      <c r="D2849" s="1" t="s">
        <v>14309</v>
      </c>
      <c r="E2849" s="1" t="s">
        <v>14310</v>
      </c>
      <c r="F2849" s="1" t="s">
        <v>14311</v>
      </c>
      <c r="G2849" s="1" t="s">
        <v>14312</v>
      </c>
      <c r="H2849" s="1" t="str">
        <f>IFERROR(__xludf.DUMMYFUNCTION("GOOGLETRANSLATE(D2849,""EN"",""JA"")"),"黄体形成ホルモン")</f>
        <v>黄体形成ホルモン</v>
      </c>
      <c r="I2849" s="1" t="str">
        <f>IFERROR(__xludf.DUMMYFUNCTION("GOOGLETRANSLATE(E2849,""EN"",""JA"")"),"黄体形成ホルモン；ルトロピン")</f>
        <v>黄体形成ホルモン；ルトロピン</v>
      </c>
      <c r="J2849" s="1" t="str">
        <f>IFERROR(__xludf.DUMMYFUNCTION("GOOGLETRANSLATE(F2849,""EN"",""JA"")"),"生物標本中の黄体形成ホルモンの測定。")</f>
        <v>生物標本中の黄体形成ホルモンの測定。</v>
      </c>
      <c r="K2849" s="1" t="str">
        <f>IFERROR(__xludf.DUMMYFUNCTION("GOOGLETRANSLATE(G2849,""EN"",""JA"")"),"黄体形成ホルモン測定")</f>
        <v>黄体形成ホルモン測定</v>
      </c>
    </row>
    <row r="2850" ht="13.5" customHeight="1">
      <c r="A2850" s="1" t="s">
        <v>11</v>
      </c>
      <c r="B2850" s="1" t="s">
        <v>14313</v>
      </c>
      <c r="C2850" s="1" t="s">
        <v>14314</v>
      </c>
      <c r="D2850" s="1" t="s">
        <v>14315</v>
      </c>
      <c r="E2850" s="1" t="s">
        <v>14315</v>
      </c>
      <c r="F2850" s="1" t="s">
        <v>14316</v>
      </c>
      <c r="G2850" s="1" t="s">
        <v>14317</v>
      </c>
      <c r="H2850" s="1" t="str">
        <f>IFERROR(__xludf.DUMMYFUNCTION("GOOGLETRANSLATE(D2850,""EN"",""JA"")"),"白血病阻害因子")</f>
        <v>白血病阻害因子</v>
      </c>
      <c r="I2850" s="1" t="str">
        <f>IFERROR(__xludf.DUMMYFUNCTION("GOOGLETRANSLATE(E2850,""EN"",""JA"")"),"白血病阻害因子")</f>
        <v>白血病阻害因子</v>
      </c>
      <c r="J2850" s="1" t="str">
        <f>IFERROR(__xludf.DUMMYFUNCTION("GOOGLETRANSLATE(F2850,""EN"",""JA"")"),"生物標本中の白血病阻害因子の測定。")</f>
        <v>生物標本中の白血病阻害因子の測定。</v>
      </c>
      <c r="K2850" s="1" t="str">
        <f>IFERROR(__xludf.DUMMYFUNCTION("GOOGLETRANSLATE(G2850,""EN"",""JA"")"),"白血病阻害因子測定")</f>
        <v>白血病阻害因子測定</v>
      </c>
    </row>
    <row r="2851" ht="13.5" customHeight="1">
      <c r="A2851" s="1" t="s">
        <v>11</v>
      </c>
      <c r="B2851" s="1" t="s">
        <v>14318</v>
      </c>
      <c r="C2851" s="1" t="s">
        <v>14319</v>
      </c>
      <c r="D2851" s="1" t="s">
        <v>14320</v>
      </c>
      <c r="E2851" s="1" t="s">
        <v>14321</v>
      </c>
      <c r="F2851" s="1" t="s">
        <v>14322</v>
      </c>
      <c r="G2851" s="1" t="s">
        <v>14323</v>
      </c>
      <c r="H2851" s="1" t="str">
        <f>IFERROR(__xludf.DUMMYFUNCTION("GOOGLETRANSLATE(D2851,""EN"",""JA"")"),"胃リパーゼ")</f>
        <v>胃リパーゼ</v>
      </c>
      <c r="I2851" s="1" t="str">
        <f>IFERROR(__xludf.DUMMYFUNCTION("GOOGLETRANSLATE(E2851,""EN"",""JA"")"),"胃トリアシルグリセロールリパーゼ; 胃リパーゼ; LIPF")</f>
        <v>胃トリアシルグリセロールリパーゼ; 胃リパーゼ; LIPF</v>
      </c>
      <c r="J2851" s="1" t="str">
        <f>IFERROR(__xludf.DUMMYFUNCTION("GOOGLETRANSLATE(F2851,""EN"",""JA"")"),"生物標本中の胃トリアシルグリセロールリパーゼの測定。")</f>
        <v>生物標本中の胃トリアシルグリセロールリパーゼの測定。</v>
      </c>
      <c r="K2851" s="1" t="str">
        <f>IFERROR(__xludf.DUMMYFUNCTION("GOOGLETRANSLATE(G2851,""EN"",""JA"")"),"胃リパーゼ測定")</f>
        <v>胃リパーゼ測定</v>
      </c>
    </row>
    <row r="2852" ht="13.5" customHeight="1">
      <c r="A2852" s="1" t="s">
        <v>11</v>
      </c>
      <c r="B2852" s="1" t="s">
        <v>14324</v>
      </c>
      <c r="C2852" s="1" t="s">
        <v>14325</v>
      </c>
      <c r="D2852" s="1" t="s">
        <v>14326</v>
      </c>
      <c r="E2852" s="1" t="s">
        <v>14327</v>
      </c>
      <c r="F2852" s="1" t="s">
        <v>14328</v>
      </c>
      <c r="G2852" s="1" t="s">
        <v>14329</v>
      </c>
      <c r="H2852" s="1" t="str">
        <f>IFERROR(__xludf.DUMMYFUNCTION("GOOGLETRANSLATE(D2852,""EN"",""JA"")"),"肝臓リパーゼ")</f>
        <v>肝臓リパーゼ</v>
      </c>
      <c r="I2852" s="1" t="str">
        <f>IFERROR(__xludf.DUMMYFUNCTION("GOOGLETRANSLATE(E2852,""EN"",""JA"")"),"肝臓トリアシルグリセロールリパーゼ; 肝臓リパーゼ; LIPH")</f>
        <v>肝臓トリアシルグリセロールリパーゼ; 肝臓リパーゼ; LIPH</v>
      </c>
      <c r="J2852" s="1" t="str">
        <f>IFERROR(__xludf.DUMMYFUNCTION("GOOGLETRANSLATE(F2852,""EN"",""JA"")"),"生物標本中の肝臓トリアシルグリセロールリパーゼの測定。")</f>
        <v>生物標本中の肝臓トリアシルグリセロールリパーゼの測定。</v>
      </c>
      <c r="K2852" s="1" t="str">
        <f>IFERROR(__xludf.DUMMYFUNCTION("GOOGLETRANSLATE(G2852,""EN"",""JA"")"),"肝臓トリアシルグリセロールリパーゼ測定")</f>
        <v>肝臓トリアシルグリセロールリパーゼ測定</v>
      </c>
    </row>
    <row r="2853" ht="13.5" customHeight="1">
      <c r="A2853" s="1" t="s">
        <v>11</v>
      </c>
      <c r="B2853" s="1" t="s">
        <v>14330</v>
      </c>
      <c r="C2853" s="1" t="s">
        <v>14331</v>
      </c>
      <c r="D2853" s="1" t="s">
        <v>14332</v>
      </c>
      <c r="E2853" s="1" t="s">
        <v>14333</v>
      </c>
      <c r="F2853" s="1" t="s">
        <v>14334</v>
      </c>
      <c r="G2853" s="1" t="s">
        <v>14335</v>
      </c>
      <c r="H2853" s="1" t="str">
        <f>IFERROR(__xludf.DUMMYFUNCTION("GOOGLETRANSLATE(D2853,""EN"",""JA"")"),"膵臓リパーゼ")</f>
        <v>膵臓リパーゼ</v>
      </c>
      <c r="I2853" s="1" t="str">
        <f>IFERROR(__xludf.DUMMYFUNCTION("GOOGLETRANSLATE(E2853,""EN"",""JA"")"),"膵リパーゼ; 膵トリアシルグリセロールリパーゼ; PNLIP")</f>
        <v>膵リパーゼ; 膵トリアシルグリセロールリパーゼ; PNLIP</v>
      </c>
      <c r="J2853" s="1" t="str">
        <f>IFERROR(__xludf.DUMMYFUNCTION("GOOGLETRANSLATE(F2853,""EN"",""JA"")"),"生物標本中の膵臓トリアシルグリセロールリパーゼの測定。")</f>
        <v>生物標本中の膵臓トリアシルグリセロールリパーゼの測定。</v>
      </c>
      <c r="K2853" s="1" t="str">
        <f>IFERROR(__xludf.DUMMYFUNCTION("GOOGLETRANSLATE(G2853,""EN"",""JA"")"),"膵リパーゼ測定")</f>
        <v>膵リパーゼ測定</v>
      </c>
    </row>
    <row r="2854" ht="13.5" customHeight="1">
      <c r="A2854" s="1" t="s">
        <v>11</v>
      </c>
      <c r="B2854" s="1" t="s">
        <v>14336</v>
      </c>
      <c r="C2854" s="1" t="s">
        <v>14337</v>
      </c>
      <c r="D2854" s="1" t="s">
        <v>14338</v>
      </c>
      <c r="E2854" s="1" t="s">
        <v>14339</v>
      </c>
      <c r="F2854" s="1" t="s">
        <v>14340</v>
      </c>
      <c r="G2854" s="1" t="s">
        <v>14341</v>
      </c>
      <c r="H2854" s="1" t="str">
        <f>IFERROR(__xludf.DUMMYFUNCTION("GOOGLETRANSLATE(D2854,""EN"",""JA"")"),"リパーゼ")</f>
        <v>リパーゼ</v>
      </c>
      <c r="I2854" s="1" t="str">
        <f>IFERROR(__xludf.DUMMYFUNCTION("GOOGLETRANSLATE(E2854,""EN"",""JA"")"),"リパーゼ; 総リパーゼ; トリアシルグリセロールリパーゼ")</f>
        <v>リパーゼ; 総リパーゼ; トリアシルグリセロールリパーゼ</v>
      </c>
      <c r="J2854" s="1" t="str">
        <f>IFERROR(__xludf.DUMMYFUNCTION("GOOGLETRANSLATE(F2854,""EN"",""JA"")"),"生物標本中の総トリアシルグリセロールリパーゼの測定。")</f>
        <v>生物標本中の総トリアシルグリセロールリパーゼの測定。</v>
      </c>
      <c r="K2854" s="1" t="str">
        <f>IFERROR(__xludf.DUMMYFUNCTION("GOOGLETRANSLATE(G2854,""EN"",""JA"")"),"リパーゼ測定")</f>
        <v>リパーゼ測定</v>
      </c>
    </row>
    <row r="2855" ht="13.5" customHeight="1">
      <c r="A2855" s="1" t="s">
        <v>11</v>
      </c>
      <c r="B2855" s="1" t="s">
        <v>14342</v>
      </c>
      <c r="C2855" s="1" t="s">
        <v>14343</v>
      </c>
      <c r="D2855" s="1" t="s">
        <v>14344</v>
      </c>
      <c r="E2855" s="1" t="s">
        <v>14345</v>
      </c>
      <c r="F2855" s="1" t="s">
        <v>14346</v>
      </c>
      <c r="G2855" s="1" t="s">
        <v>14347</v>
      </c>
      <c r="H2855" s="1" t="str">
        <f>IFERROR(__xludf.DUMMYFUNCTION("GOOGLETRANSLATE(D2855,""EN"",""JA"")"),"リパーゼ、リソソーム酸")</f>
        <v>リパーゼ、リソソーム酸</v>
      </c>
      <c r="I2855" s="1" t="str">
        <f>IFERROR(__xludf.DUMMYFUNCTION("GOOGLETRANSLATE(E2855,""EN"",""JA"")"),"酸性コレステロールエステル加水分解酵素; LAL; LIPA; リソソーム酸リパーゼ; リソソームリパーゼ")</f>
        <v>酸性コレステロールエステル加水分解酵素; LAL; LIPA; リソソーム酸リパーゼ; リソソームリパーゼ</v>
      </c>
      <c r="J2855" s="1" t="str">
        <f>IFERROR(__xludf.DUMMYFUNCTION("GOOGLETRANSLATE(F2855,""EN"",""JA"")"),"生物標本中のリソソーム酸性リパーゼの測定。")</f>
        <v>生物標本中のリソソーム酸性リパーゼの測定。</v>
      </c>
      <c r="K2855" s="1" t="str">
        <f>IFERROR(__xludf.DUMMYFUNCTION("GOOGLETRANSLATE(G2855,""EN"",""JA"")"),"リソソーム酸性リパーゼ測定")</f>
        <v>リソソーム酸性リパーゼ測定</v>
      </c>
    </row>
    <row r="2856" ht="13.5" customHeight="1">
      <c r="A2856" s="1" t="s">
        <v>11</v>
      </c>
      <c r="B2856" s="1" t="s">
        <v>14348</v>
      </c>
      <c r="C2856" s="1" t="s">
        <v>14349</v>
      </c>
      <c r="D2856" s="1" t="s">
        <v>14350</v>
      </c>
      <c r="E2856" s="1" t="s">
        <v>14351</v>
      </c>
      <c r="F2856" s="1" t="s">
        <v>14352</v>
      </c>
      <c r="G2856" s="1" t="s">
        <v>14350</v>
      </c>
      <c r="H2856" s="1" t="str">
        <f>IFERROR(__xludf.DUMMYFUNCTION("GOOGLETRANSLATE(D2856,""EN"",""JA"")"),"脂質指数")</f>
        <v>脂質指数</v>
      </c>
      <c r="I2856" s="1" t="str">
        <f>IFERROR(__xludf.DUMMYFUNCTION("GOOGLETRANSLATE(E2856,""EN"",""JA"")"),"脂肪血症; 脂肪血症指数")</f>
        <v>脂肪血症; 脂肪血症指数</v>
      </c>
      <c r="J2856" s="1" t="str">
        <f>IFERROR(__xludf.DUMMYFUNCTION("GOOGLETRANSLATE(F2856,""EN"",""JA"")"),"生物標本中の脂質の異常に高い濃度の測定値。")</f>
        <v>生物標本中の脂質の異常に高い濃度の測定値。</v>
      </c>
      <c r="K2856" s="1" t="str">
        <f>IFERROR(__xludf.DUMMYFUNCTION("GOOGLETRANSLATE(G2856,""EN"",""JA"")"),"脂質指数")</f>
        <v>脂質指数</v>
      </c>
    </row>
    <row r="2857" ht="13.5" customHeight="1">
      <c r="A2857" s="1" t="s">
        <v>11</v>
      </c>
      <c r="B2857" s="1" t="s">
        <v>14353</v>
      </c>
      <c r="C2857" s="1" t="s">
        <v>14354</v>
      </c>
      <c r="D2857" s="1" t="s">
        <v>14355</v>
      </c>
      <c r="E2857" s="1" t="s">
        <v>14356</v>
      </c>
      <c r="F2857" s="1" t="s">
        <v>14357</v>
      </c>
      <c r="G2857" s="1" t="s">
        <v>14358</v>
      </c>
      <c r="H2857" s="1" t="str">
        <f>IFERROR(__xludf.DUMMYFUNCTION("GOOGLETRANSLATE(D2857,""EN"",""JA"")"),"脂質")</f>
        <v>脂質</v>
      </c>
      <c r="I2857" s="1" t="str">
        <f>IFERROR(__xludf.DUMMYFUNCTION("GOOGLETRANSLATE(E2857,""EN"",""JA"")"),"脂質; 総脂質")</f>
        <v>脂質; 総脂質</v>
      </c>
      <c r="J2857" s="1" t="str">
        <f>IFERROR(__xludf.DUMMYFUNCTION("GOOGLETRANSLATE(F2857,""EN"",""JA"")"),"生物標本中の総脂質（コレステロール、リポタンパク質、トリグリセリド）の測定値。")</f>
        <v>生物標本中の総脂質（コレステロール、リポタンパク質、トリグリセリド）の測定値。</v>
      </c>
      <c r="K2857" s="1" t="str">
        <f>IFERROR(__xludf.DUMMYFUNCTION("GOOGLETRANSLATE(G2857,""EN"",""JA"")"),"脂質測定")</f>
        <v>脂質測定</v>
      </c>
    </row>
    <row r="2858" ht="13.5" customHeight="1">
      <c r="A2858" s="1" t="s">
        <v>11</v>
      </c>
      <c r="B2858" s="1" t="s">
        <v>14359</v>
      </c>
      <c r="C2858" s="1" t="s">
        <v>14360</v>
      </c>
      <c r="D2858" s="1" t="s">
        <v>14361</v>
      </c>
      <c r="E2858" s="1" t="s">
        <v>14361</v>
      </c>
      <c r="F2858" s="1" t="s">
        <v>14362</v>
      </c>
      <c r="G2858" s="1" t="s">
        <v>14363</v>
      </c>
      <c r="H2858" s="1" t="str">
        <f>IFERROR(__xludf.DUMMYFUNCTION("GOOGLETRANSLATE(D2858,""EN"",""JA"")"),"液状化時間")</f>
        <v>液状化時間</v>
      </c>
      <c r="I2858" s="1" t="str">
        <f>IFERROR(__xludf.DUMMYFUNCTION("GOOGLETRANSLATE(E2858,""EN"",""JA"")"),"液状化時間")</f>
        <v>液状化時間</v>
      </c>
      <c r="J2858" s="1" t="str">
        <f>IFERROR(__xludf.DUMMYFUNCTION("GOOGLETRANSLATE(F2858,""EN"",""JA"")"),"ゼラチン状または半固体の物質が液体に変化するのにかかる時間を測定します。")</f>
        <v>ゼラチン状または半固体の物質が液体に変化するのにかかる時間を測定します。</v>
      </c>
      <c r="K2858" s="1" t="str">
        <f>IFERROR(__xludf.DUMMYFUNCTION("GOOGLETRANSLATE(G2858,""EN"",""JA"")"),"液状化時間測定")</f>
        <v>液状化時間測定</v>
      </c>
    </row>
    <row r="2859" ht="13.5" customHeight="1">
      <c r="A2859" s="1" t="s">
        <v>11</v>
      </c>
      <c r="B2859" s="1" t="s">
        <v>14364</v>
      </c>
      <c r="C2859" s="1" t="s">
        <v>14365</v>
      </c>
      <c r="D2859" s="1" t="s">
        <v>14366</v>
      </c>
      <c r="E2859" s="1" t="s">
        <v>14366</v>
      </c>
      <c r="F2859" s="1" t="s">
        <v>14367</v>
      </c>
      <c r="G2859" s="1" t="s">
        <v>14368</v>
      </c>
      <c r="H2859" s="1" t="str">
        <f>IFERROR(__xludf.DUMMYFUNCTION("GOOGLETRANSLATE(D2859,""EN"",""JA"")"),"リチウム")</f>
        <v>リチウム</v>
      </c>
      <c r="I2859" s="1" t="str">
        <f>IFERROR(__xludf.DUMMYFUNCTION("GOOGLETRANSLATE(E2859,""EN"",""JA"")"),"リチウム")</f>
        <v>リチウム</v>
      </c>
      <c r="J2859" s="1" t="str">
        <f>IFERROR(__xludf.DUMMYFUNCTION("GOOGLETRANSLATE(F2859,""EN"",""JA"")"),"生物標本中のリチウムの測定。")</f>
        <v>生物標本中のリチウムの測定。</v>
      </c>
      <c r="K2859" s="1" t="str">
        <f>IFERROR(__xludf.DUMMYFUNCTION("GOOGLETRANSLATE(G2859,""EN"",""JA"")"),"リチウム測定")</f>
        <v>リチウム測定</v>
      </c>
    </row>
    <row r="2860" ht="13.5" customHeight="1">
      <c r="A2860" s="1" t="s">
        <v>1342</v>
      </c>
      <c r="B2860" s="1" t="s">
        <v>14369</v>
      </c>
      <c r="C2860" s="1" t="s">
        <v>14370</v>
      </c>
      <c r="D2860" s="1" t="s">
        <v>14371</v>
      </c>
      <c r="E2860" s="1" t="s">
        <v>14371</v>
      </c>
      <c r="F2860" s="1" t="s">
        <v>14372</v>
      </c>
      <c r="G2860" s="1" t="s">
        <v>14373</v>
      </c>
      <c r="H2860" s="1" t="str">
        <f>IFERROR(__xludf.DUMMYFUNCTION("GOOGLETRANSLATE(D2860,""EN"",""JA"")"),"肝臓反応")</f>
        <v>肝臓反応</v>
      </c>
      <c r="I2860" s="1" t="str">
        <f>IFERROR(__xludf.DUMMYFUNCTION("GOOGLETRANSLATE(E2860,""EN"",""JA"")"),"肝臓反応")</f>
        <v>肝臓反応</v>
      </c>
      <c r="J2860" s="1" t="str">
        <f>IFERROR(__xludf.DUMMYFUNCTION("GOOGLETRANSLATE(F2860,""EN"",""JA"")"),"肝臓内での治療に対する疾患反応の評価。")</f>
        <v>肝臓内での治療に対する疾患反応の評価。</v>
      </c>
      <c r="K2860" s="1" t="str">
        <f>IFERROR(__xludf.DUMMYFUNCTION("GOOGLETRANSLATE(G2860,""EN"",""JA"")"),"肝臓における疾患反応")</f>
        <v>肝臓における疾患反応</v>
      </c>
    </row>
    <row r="2861" ht="13.5" customHeight="1">
      <c r="A2861" s="1" t="s">
        <v>67</v>
      </c>
      <c r="B2861" s="1" t="s">
        <v>14374</v>
      </c>
      <c r="C2861" s="1" t="s">
        <v>14375</v>
      </c>
      <c r="D2861" s="1" t="s">
        <v>14376</v>
      </c>
      <c r="E2861" s="1" t="s">
        <v>14376</v>
      </c>
      <c r="F2861" s="1" t="s">
        <v>14377</v>
      </c>
      <c r="G2861" s="1" t="s">
        <v>14378</v>
      </c>
      <c r="H2861" s="1" t="str">
        <f>IFERROR(__xludf.DUMMYFUNCTION("GOOGLETRANSLATE(D2861,""EN"",""JA"")"),"ラクトバチルス・ジェンセニ")</f>
        <v>ラクトバチルス・ジェンセニ</v>
      </c>
      <c r="I2861" s="1" t="str">
        <f>IFERROR(__xludf.DUMMYFUNCTION("GOOGLETRANSLATE(E2861,""EN"",""JA"")"),"ラクトバチルス・ジェンセニ")</f>
        <v>ラクトバチルス・ジェンセニ</v>
      </c>
      <c r="J2861" s="1" t="str">
        <f>IFERROR(__xludf.DUMMYFUNCTION("GOOGLETRANSLATE(F2861,""EN"",""JA"")"),"生物標本中の Lactobacillus jensenii の測定。")</f>
        <v>生物標本中の Lactobacillus jensenii の測定。</v>
      </c>
      <c r="K2861" s="1" t="str">
        <f>IFERROR(__xludf.DUMMYFUNCTION("GOOGLETRANSLATE(G2861,""EN"",""JA"")"),"ラクトバチルス・ジェンセニ測定")</f>
        <v>ラクトバチルス・ジェンセニ測定</v>
      </c>
    </row>
    <row r="2862" ht="13.5" customHeight="1">
      <c r="A2862" s="1" t="s">
        <v>11</v>
      </c>
      <c r="B2862" s="1" t="s">
        <v>14379</v>
      </c>
      <c r="C2862" s="1" t="s">
        <v>14380</v>
      </c>
      <c r="D2862" s="1" t="s">
        <v>14381</v>
      </c>
      <c r="E2862" s="1" t="s">
        <v>14382</v>
      </c>
      <c r="F2862" s="1" t="s">
        <v>14383</v>
      </c>
      <c r="G2862" s="1" t="s">
        <v>14384</v>
      </c>
      <c r="H2862" s="1" t="str">
        <f>IFERROR(__xludf.DUMMYFUNCTION("GOOGLETRANSLATE(D2862,""EN"",""JA"")"),"ラムダ軽鎖、遊離")</f>
        <v>ラムダ軽鎖、遊離</v>
      </c>
      <c r="I2862" s="1" t="str">
        <f>IFERROR(__xludf.DUMMYFUNCTION("GOOGLETRANSLATE(E2862,""EN"",""JA"")"),"ベンス・ジョーンズ、ラムダ；ラムダ軽鎖、遊離")</f>
        <v>ベンス・ジョーンズ、ラムダ；ラムダ軽鎖、遊離</v>
      </c>
      <c r="J2862" s="1" t="str">
        <f>IFERROR(__xludf.DUMMYFUNCTION("GOOGLETRANSLATE(F2862,""EN"",""JA"")"),"生物標本中の遊離ラムダ軽鎖の測定。")</f>
        <v>生物標本中の遊離ラムダ軽鎖の測定。</v>
      </c>
      <c r="K2862" s="1" t="str">
        <f>IFERROR(__xludf.DUMMYFUNCTION("GOOGLETRANSLATE(G2862,""EN"",""JA"")"),"遊離ラムダ軽鎖測定")</f>
        <v>遊離ラムダ軽鎖測定</v>
      </c>
    </row>
    <row r="2863" ht="13.5" customHeight="1">
      <c r="A2863" s="1" t="s">
        <v>90</v>
      </c>
      <c r="B2863" s="1" t="s">
        <v>14385</v>
      </c>
      <c r="C2863" s="1" t="s">
        <v>14386</v>
      </c>
      <c r="D2863" s="1" t="s">
        <v>14387</v>
      </c>
      <c r="E2863" s="1" t="s">
        <v>14387</v>
      </c>
      <c r="F2863" s="1" t="s">
        <v>14388</v>
      </c>
      <c r="G2863" s="1" t="s">
        <v>14389</v>
      </c>
      <c r="H2863" s="1" t="str">
        <f>IFERROR(__xludf.DUMMYFUNCTION("GOOGLETRANSLATE(D2863,""EN"",""JA"")"),"後期ルーメンロス")</f>
        <v>後期ルーメンロス</v>
      </c>
      <c r="I2863" s="1" t="str">
        <f>IFERROR(__xludf.DUMMYFUNCTION("GOOGLETRANSLATE(E2863,""EN"",""JA"")"),"後期ルーメンロス")</f>
        <v>後期ルーメンロス</v>
      </c>
      <c r="J2863" s="1" t="str">
        <f>IFERROR(__xludf.DUMMYFUNCTION("GOOGLETRANSLATE(F2863,""EN"",""JA"")"),"インデックス手術直後に評価された平均最小内腔径 (MLD) とフォローアップ血管造影で評価された MLD の差。")</f>
        <v>インデックス手術直後に評価された平均最小内腔径 (MLD) とフォローアップ血管造影で評価された MLD の差。</v>
      </c>
      <c r="K2863" s="1" t="str">
        <f>IFERROR(__xludf.DUMMYFUNCTION("GOOGLETRANSLATE(G2863,""EN"",""JA"")"),"遅延ルーメン損失測定")</f>
        <v>遅延ルーメン損失測定</v>
      </c>
    </row>
    <row r="2864" ht="13.5" customHeight="1">
      <c r="A2864" s="1" t="s">
        <v>67</v>
      </c>
      <c r="B2864" s="1" t="s">
        <v>14390</v>
      </c>
      <c r="C2864" s="1" t="s">
        <v>14391</v>
      </c>
      <c r="D2864" s="1" t="s">
        <v>14392</v>
      </c>
      <c r="E2864" s="1" t="s">
        <v>14392</v>
      </c>
      <c r="F2864" s="1" t="s">
        <v>14393</v>
      </c>
      <c r="G2864" s="1" t="s">
        <v>14394</v>
      </c>
      <c r="H2864" s="1" t="str">
        <f>IFERROR(__xludf.DUMMYFUNCTION("GOOGLETRANSLATE(D2864,""EN"",""JA"")"),"レジオネラ・ロングビーチDNA")</f>
        <v>レジオネラ・ロングビーチDNA</v>
      </c>
      <c r="I2864" s="1" t="str">
        <f>IFERROR(__xludf.DUMMYFUNCTION("GOOGLETRANSLATE(E2864,""EN"",""JA"")"),"レジオネラ・ロングビーチDNA")</f>
        <v>レジオネラ・ロングビーチDNA</v>
      </c>
      <c r="J2864" s="1" t="str">
        <f>IFERROR(__xludf.DUMMYFUNCTION("GOOGLETRANSLATE(F2864,""EN"",""JA"")"),"生物標本中の Legionella longbeachae DNA の測定。")</f>
        <v>生物標本中の Legionella longbeachae DNA の測定。</v>
      </c>
      <c r="K2864" s="1" t="str">
        <f>IFERROR(__xludf.DUMMYFUNCTION("GOOGLETRANSLATE(G2864,""EN"",""JA"")"),"レジオネラ・ロングビーチ DNA 測定")</f>
        <v>レジオネラ・ロングビーチ DNA 測定</v>
      </c>
    </row>
    <row r="2865" ht="13.5" customHeight="1">
      <c r="A2865" s="1" t="s">
        <v>11</v>
      </c>
      <c r="B2865" s="1" t="s">
        <v>14395</v>
      </c>
      <c r="C2865" s="1" t="s">
        <v>14396</v>
      </c>
      <c r="D2865" s="1" t="s">
        <v>14397</v>
      </c>
      <c r="E2865" s="1" t="s">
        <v>14397</v>
      </c>
      <c r="F2865" s="1" t="s">
        <v>14398</v>
      </c>
      <c r="G2865" s="1" t="s">
        <v>14399</v>
      </c>
      <c r="H2865" s="1" t="str">
        <f>IFERROR(__xludf.DUMMYFUNCTION("GOOGLETRANSLATE(D2865,""EN"",""JA"")"),"ラムダ軽鎖")</f>
        <v>ラムダ軽鎖</v>
      </c>
      <c r="I2865" s="1" t="str">
        <f>IFERROR(__xludf.DUMMYFUNCTION("GOOGLETRANSLATE(E2865,""EN"",""JA"")"),"ラムダ軽鎖")</f>
        <v>ラムダ軽鎖</v>
      </c>
      <c r="J2865" s="1" t="str">
        <f>IFERROR(__xludf.DUMMYFUNCTION("GOOGLETRANSLATE(F2865,""EN"",""JA"")"),"生物標本中のラムダ軽鎖の総数の測定。")</f>
        <v>生物標本中のラムダ軽鎖の総数の測定。</v>
      </c>
      <c r="K2865" s="1" t="str">
        <f>IFERROR(__xludf.DUMMYFUNCTION("GOOGLETRANSLATE(G2865,""EN"",""JA"")"),"ラムダ軽鎖測定")</f>
        <v>ラムダ軽鎖測定</v>
      </c>
    </row>
    <row r="2866" ht="13.5" customHeight="1">
      <c r="A2866" s="1" t="s">
        <v>233</v>
      </c>
      <c r="B2866" s="1" t="s">
        <v>14400</v>
      </c>
      <c r="C2866" s="1" t="s">
        <v>14401</v>
      </c>
      <c r="D2866" s="1" t="s">
        <v>14402</v>
      </c>
      <c r="E2866" s="1" t="s">
        <v>14402</v>
      </c>
      <c r="F2866" s="1" t="s">
        <v>14403</v>
      </c>
      <c r="G2866" s="1" t="s">
        <v>14402</v>
      </c>
      <c r="H2866" s="1" t="str">
        <f>IFERROR(__xludf.DUMMYFUNCTION("GOOGLETRANSLATE(D2866,""EN"",""JA"")"),"四肢不全インジケーター")</f>
        <v>四肢不全インジケーター</v>
      </c>
      <c r="I2866" s="1" t="str">
        <f>IFERROR(__xludf.DUMMYFUNCTION("GOOGLETRANSLATE(E2866,""EN"",""JA"")"),"四肢不全インジケーター")</f>
        <v>四肢不全インジケーター</v>
      </c>
      <c r="J2866" s="1" t="str">
        <f>IFERROR(__xludf.DUMMYFUNCTION("GOOGLETRANSLATE(F2866,""EN"",""JA"")"),"四肢の機能不全が発生したかどうかを示す指標。")</f>
        <v>四肢の機能不全が発生したかどうかを示す指標。</v>
      </c>
      <c r="K2866" s="1" t="str">
        <f>IFERROR(__xludf.DUMMYFUNCTION("GOOGLETRANSLATE(G2866,""EN"",""JA"")"),"四肢不全インジケーター")</f>
        <v>四肢不全インジケーター</v>
      </c>
    </row>
    <row r="2867" ht="13.5" customHeight="1">
      <c r="A2867" s="1" t="s">
        <v>6439</v>
      </c>
      <c r="B2867" s="1" t="s">
        <v>14404</v>
      </c>
      <c r="C2867" s="1" t="s">
        <v>14405</v>
      </c>
      <c r="D2867" s="1" t="s">
        <v>14406</v>
      </c>
      <c r="E2867" s="1" t="s">
        <v>14406</v>
      </c>
      <c r="F2867" s="1" t="s">
        <v>14407</v>
      </c>
      <c r="G2867" s="1" t="s">
        <v>14408</v>
      </c>
      <c r="H2867" s="1" t="str">
        <f>IFERROR(__xludf.DUMMYFUNCTION("GOOGLETRANSLATE(D2867,""EN"",""JA"")"),"四肢病変の特定")</f>
        <v>四肢病変の特定</v>
      </c>
      <c r="I2867" s="1" t="str">
        <f>IFERROR(__xludf.DUMMYFUNCTION("GOOGLETRANSLATE(E2867,""EN"",""JA"")"),"四肢病変の特定")</f>
        <v>四肢病変の特定</v>
      </c>
      <c r="J2867" s="1" t="str">
        <f>IFERROR(__xludf.DUMMYFUNCTION("GOOGLETRANSLATE(F2867,""EN"",""JA"")"),"病変を含む四肢が選択され、特徴付けられたことを示します。")</f>
        <v>病変を含む四肢が選択され、特徴付けられたことを示します。</v>
      </c>
      <c r="K2867" s="1" t="str">
        <f>IFERROR(__xludf.DUMMYFUNCTION("GOOGLETRANSLATE(G2867,""EN"",""JA"")"),"四肢関連病変の特定")</f>
        <v>四肢関連病変の特定</v>
      </c>
    </row>
    <row r="2868" ht="13.5" customHeight="1">
      <c r="A2868" s="1" t="s">
        <v>233</v>
      </c>
      <c r="B2868" s="1" t="s">
        <v>14409</v>
      </c>
      <c r="C2868" s="1" t="s">
        <v>14410</v>
      </c>
      <c r="D2868" s="1" t="s">
        <v>14411</v>
      </c>
      <c r="E2868" s="1" t="s">
        <v>14411</v>
      </c>
      <c r="F2868" s="1" t="s">
        <v>14412</v>
      </c>
      <c r="G2868" s="1" t="s">
        <v>14411</v>
      </c>
      <c r="H2868" s="1" t="str">
        <f>IFERROR(__xludf.DUMMYFUNCTION("GOOGLETRANSLATE(D2868,""EN"",""JA"")"),"検査したリンパ節の数")</f>
        <v>検査したリンパ節の数</v>
      </c>
      <c r="I2868" s="1" t="str">
        <f>IFERROR(__xludf.DUMMYFUNCTION("GOOGLETRANSLATE(E2868,""EN"",""JA"")"),"検査したリンパ節の数")</f>
        <v>検査したリンパ節の数</v>
      </c>
      <c r="J2868" s="1" t="str">
        <f>IFERROR(__xludf.DUMMYFUNCTION("GOOGLETRANSLATE(F2868,""EN"",""JA"")"),"検査されたリンパ節の数。")</f>
        <v>検査されたリンパ節の数。</v>
      </c>
      <c r="K2868" s="1" t="str">
        <f>IFERROR(__xludf.DUMMYFUNCTION("GOOGLETRANSLATE(G2868,""EN"",""JA"")"),"検査したリンパ節の数")</f>
        <v>検査したリンパ節の数</v>
      </c>
    </row>
    <row r="2869" ht="13.5" customHeight="1">
      <c r="A2869" s="1" t="s">
        <v>233</v>
      </c>
      <c r="B2869" s="1" t="s">
        <v>14413</v>
      </c>
      <c r="C2869" s="1" t="s">
        <v>14414</v>
      </c>
      <c r="D2869" s="1" t="s">
        <v>14415</v>
      </c>
      <c r="E2869" s="1" t="s">
        <v>14415</v>
      </c>
      <c r="F2869" s="1" t="s">
        <v>14416</v>
      </c>
      <c r="G2869" s="1" t="s">
        <v>14415</v>
      </c>
      <c r="H2869" s="1" t="str">
        <f>IFERROR(__xludf.DUMMYFUNCTION("GOOGLETRANSLATE(D2869,""EN"",""JA"")"),"陽性リンパ節の数")</f>
        <v>陽性リンパ節の数</v>
      </c>
      <c r="I2869" s="1" t="str">
        <f>IFERROR(__xludf.DUMMYFUNCTION("GOOGLETRANSLATE(E2869,""EN"",""JA"")"),"陽性リンパ節の数")</f>
        <v>陽性リンパ節の数</v>
      </c>
      <c r="J2869" s="1" t="str">
        <f>IFERROR(__xludf.DUMMYFUNCTION("GOOGLETRANSLATE(F2869,""EN"",""JA"")"),"疾患の存在が陽性であった対象リンパ節の数。")</f>
        <v>疾患の存在が陽性であった対象リンパ節の数。</v>
      </c>
      <c r="K2869" s="1" t="str">
        <f>IFERROR(__xludf.DUMMYFUNCTION("GOOGLETRANSLATE(G2869,""EN"",""JA"")"),"陽性リンパ節の数")</f>
        <v>陽性リンパ節の数</v>
      </c>
    </row>
    <row r="2870" ht="13.5" customHeight="1">
      <c r="A2870" s="1" t="s">
        <v>67</v>
      </c>
      <c r="B2870" s="1" t="s">
        <v>14417</v>
      </c>
      <c r="C2870" s="1" t="s">
        <v>14418</v>
      </c>
      <c r="D2870" s="1" t="s">
        <v>14419</v>
      </c>
      <c r="E2870" s="1" t="s">
        <v>14419</v>
      </c>
      <c r="F2870" s="1" t="s">
        <v>14420</v>
      </c>
      <c r="G2870" s="1" t="s">
        <v>14421</v>
      </c>
      <c r="H2870" s="1" t="str">
        <f>IFERROR(__xludf.DUMMYFUNCTION("GOOGLETRANSLATE(D2870,""EN"",""JA"")"),"リステリア・モノサイトゲネス")</f>
        <v>リステリア・モノサイトゲネス</v>
      </c>
      <c r="I2870" s="1" t="str">
        <f>IFERROR(__xludf.DUMMYFUNCTION("GOOGLETRANSLATE(E2870,""EN"",""JA"")"),"リステリア・モノサイトゲネス")</f>
        <v>リステリア・モノサイトゲネス</v>
      </c>
      <c r="J2870" s="1" t="str">
        <f>IFERROR(__xludf.DUMMYFUNCTION("GOOGLETRANSLATE(F2870,""EN"",""JA"")"),"生物標本中のリステリア・モノサイトゲネスの測定。")</f>
        <v>生物標本中のリステリア・モノサイトゲネスの測定。</v>
      </c>
      <c r="K2870" s="1" t="str">
        <f>IFERROR(__xludf.DUMMYFUNCTION("GOOGLETRANSLATE(G2870,""EN"",""JA"")"),"リステリア・モノサイトゲネス測定")</f>
        <v>リステリア・モノサイトゲネス測定</v>
      </c>
    </row>
    <row r="2871" ht="13.5" customHeight="1">
      <c r="A2871" s="1" t="s">
        <v>11</v>
      </c>
      <c r="B2871" s="1" t="s">
        <v>14422</v>
      </c>
      <c r="C2871" s="1" t="s">
        <v>14423</v>
      </c>
      <c r="D2871" s="1" t="s">
        <v>14424</v>
      </c>
      <c r="E2871" s="1" t="s">
        <v>14425</v>
      </c>
      <c r="F2871" s="1" t="s">
        <v>14426</v>
      </c>
      <c r="G2871" s="1" t="s">
        <v>14427</v>
      </c>
      <c r="H2871" s="1" t="str">
        <f>IFERROR(__xludf.DUMMYFUNCTION("GOOGLETRANSLATE(D2871,""EN"",""JA"")"),"LAMP2/GAPDH")</f>
        <v>LAMP2/GAPDH</v>
      </c>
      <c r="I2871" s="1" t="str">
        <f>IFERROR(__xludf.DUMMYFUNCTION("GOOGLETRANSLATE(E2871,""EN"",""JA"")"),"LAMP2/GAPDH; リソソーム関連膜タンパク質2/グリセルアルデヒド-3-リン酸脱水素酵素")</f>
        <v>LAMP2/GAPDH; リソソーム関連膜タンパク質2/グリセルアルデヒド-3-リン酸脱水素酵素</v>
      </c>
      <c r="J2871" s="1" t="str">
        <f>IFERROR(__xludf.DUMMYFUNCTION("GOOGLETRANSLATE(F2871,""EN"",""JA"")"),"生物標本中のリソソーム関連膜タンパク質 2 とグリセルアルデヒド-3-リン酸デヒドロゲナーゼの相対測定値 (比率)。")</f>
        <v>生物標本中のリソソーム関連膜タンパク質 2 とグリセルアルデヒド-3-リン酸デヒドロゲナーゼの相対測定値 (比率)。</v>
      </c>
      <c r="K2871" s="1" t="str">
        <f>IFERROR(__xludf.DUMMYFUNCTION("GOOGLETRANSLATE(G2871,""EN"",""JA"")"),"リソソーム関連膜タンパク質2とグリセルアルデヒド-3-リン酸脱水素酵素の比率測定")</f>
        <v>リソソーム関連膜タンパク質2とグリセルアルデヒド-3-リン酸脱水素酵素の比率測定</v>
      </c>
    </row>
    <row r="2872" ht="13.5" customHeight="1">
      <c r="A2872" s="1" t="s">
        <v>160</v>
      </c>
      <c r="B2872" s="1" t="s">
        <v>14428</v>
      </c>
      <c r="C2872" s="1" t="s">
        <v>14429</v>
      </c>
      <c r="D2872" s="1" t="s">
        <v>14430</v>
      </c>
      <c r="E2872" s="1" t="s">
        <v>14430</v>
      </c>
      <c r="F2872" s="1" t="s">
        <v>14431</v>
      </c>
      <c r="G2872" s="1" t="s">
        <v>14432</v>
      </c>
      <c r="H2872" s="1" t="str">
        <f>IFERROR(__xludf.DUMMYFUNCTION("GOOGLETRANSLATE(D2872,""EN"",""JA"")"),"LMPからの経過時間")</f>
        <v>LMPからの経過時間</v>
      </c>
      <c r="I2872" s="1" t="str">
        <f>IFERROR(__xludf.DUMMYFUNCTION("GOOGLETRANSLATE(E2872,""EN"",""JA"")"),"LMPからの経過時間")</f>
        <v>LMPからの経過時間</v>
      </c>
      <c r="J2872" s="1" t="str">
        <f>IFERROR(__xludf.DUMMYFUNCTION("GOOGLETRANSLATE(F2872,""EN"",""JA"")"),"個人の最後の月経からの期間。")</f>
        <v>個人の最後の月経からの期間。</v>
      </c>
      <c r="K2872" s="1" t="str">
        <f>IFERROR(__xludf.DUMMYFUNCTION("GOOGLETRANSLATE(G2872,""EN"",""JA"")"),"前回の月経からの経過時間")</f>
        <v>前回の月経からの経過時間</v>
      </c>
    </row>
    <row r="2873" ht="13.5" customHeight="1">
      <c r="A2873" s="1" t="s">
        <v>160</v>
      </c>
      <c r="B2873" s="1" t="s">
        <v>14433</v>
      </c>
      <c r="C2873" s="1" t="s">
        <v>14434</v>
      </c>
      <c r="D2873" s="1" t="s">
        <v>14435</v>
      </c>
      <c r="E2873" s="1" t="s">
        <v>14435</v>
      </c>
      <c r="F2873" s="1" t="s">
        <v>14436</v>
      </c>
      <c r="G2873" s="1" t="s">
        <v>14437</v>
      </c>
      <c r="H2873" s="1" t="str">
        <f>IFERROR(__xludf.DUMMYFUNCTION("GOOGLETRANSLATE(D2873,""EN"",""JA"")"),"最終月経開始日")</f>
        <v>最終月経開始日</v>
      </c>
      <c r="I2873" s="1" t="str">
        <f>IFERROR(__xludf.DUMMYFUNCTION("GOOGLETRANSLATE(E2873,""EN"",""JA"")"),"最終月経開始日")</f>
        <v>最終月経開始日</v>
      </c>
      <c r="J2873" s="1" t="str">
        <f>IFERROR(__xludf.DUMMYFUNCTION("GOOGLETRANSLATE(F2873,""EN"",""JA"")"),"最新の月経周期の初日の日付。")</f>
        <v>最新の月経周期の初日の日付。</v>
      </c>
      <c r="K2873" s="1" t="str">
        <f>IFERROR(__xludf.DUMMYFUNCTION("GOOGLETRANSLATE(G2873,""EN"",""JA"")"),"最終月経")</f>
        <v>最終月経</v>
      </c>
    </row>
    <row r="2874" ht="13.5" customHeight="1">
      <c r="A2874" s="1" t="s">
        <v>134</v>
      </c>
      <c r="B2874" s="1" t="s">
        <v>14438</v>
      </c>
      <c r="C2874" s="1" t="s">
        <v>14439</v>
      </c>
      <c r="D2874" s="1" t="s">
        <v>14440</v>
      </c>
      <c r="E2874" s="1" t="s">
        <v>14440</v>
      </c>
      <c r="F2874" s="1" t="s">
        <v>14441</v>
      </c>
      <c r="G2874" s="1" t="s">
        <v>14442</v>
      </c>
      <c r="H2874" s="1" t="str">
        <f>IFERROR(__xludf.DUMMYFUNCTION("GOOGLETRANSLATE(D2874,""EN"",""JA"")"),"リンパ節被膜外転移")</f>
        <v>リンパ節被膜外転移</v>
      </c>
      <c r="I2874" s="1" t="str">
        <f>IFERROR(__xludf.DUMMYFUNCTION("GOOGLETRANSLATE(E2874,""EN"",""JA"")"),"リンパ節被膜外転移")</f>
        <v>リンパ節被膜外転移</v>
      </c>
      <c r="J2874" s="1" t="str">
        <f>IFERROR(__xludf.DUMMYFUNCTION("GOOGLETRANSLATE(F2874,""EN"",""JA"")"),"生物学的標本における腫瘍によるリンパ節被膜外拡散の評価。")</f>
        <v>生物学的標本における腫瘍によるリンパ節被膜外拡散の評価。</v>
      </c>
      <c r="K2874" s="1" t="str">
        <f>IFERROR(__xludf.DUMMYFUNCTION("GOOGLETRANSLATE(G2874,""EN"",""JA"")"),"リンパ節被膜外転移評価")</f>
        <v>リンパ節被膜外転移評価</v>
      </c>
    </row>
    <row r="2875" ht="13.5" customHeight="1">
      <c r="A2875" s="1" t="s">
        <v>601</v>
      </c>
      <c r="B2875" s="1" t="s">
        <v>14443</v>
      </c>
      <c r="C2875" s="1" t="s">
        <v>14444</v>
      </c>
      <c r="D2875" s="1" t="s">
        <v>14445</v>
      </c>
      <c r="E2875" s="1" t="s">
        <v>14445</v>
      </c>
      <c r="F2875" s="1" t="s">
        <v>14446</v>
      </c>
      <c r="G2875" s="1" t="s">
        <v>14445</v>
      </c>
      <c r="H2875" s="1" t="str">
        <f>IFERROR(__xludf.DUMMYFUNCTION("GOOGLETRANSLATE(D2875,""EN"",""JA"")"),"主な言語")</f>
        <v>主な言語</v>
      </c>
      <c r="I2875" s="1" t="str">
        <f>IFERROR(__xludf.DUMMYFUNCTION("GOOGLETRANSLATE(E2875,""EN"",""JA"")"),"主な言語")</f>
        <v>主な言語</v>
      </c>
      <c r="J2875" s="1" t="str">
        <f>IFERROR(__xludf.DUMMYFUNCTION("GOOGLETRANSLATE(F2875,""EN"",""JA"")"),"対象者が最も頻繁にまたは主に話す主な言語。")</f>
        <v>対象者が最も頻繁にまたは主に話す主な言語。</v>
      </c>
      <c r="K2875" s="1" t="str">
        <f>IFERROR(__xludf.DUMMYFUNCTION("GOOGLETRANSLATE(G2875,""EN"",""JA"")"),"主な言語")</f>
        <v>主な言語</v>
      </c>
    </row>
    <row r="2876" ht="13.5" customHeight="1">
      <c r="A2876" s="1" t="s">
        <v>601</v>
      </c>
      <c r="B2876" s="1" t="s">
        <v>14447</v>
      </c>
      <c r="C2876" s="1" t="s">
        <v>14448</v>
      </c>
      <c r="D2876" s="1" t="s">
        <v>14449</v>
      </c>
      <c r="E2876" s="1" t="s">
        <v>14449</v>
      </c>
      <c r="F2876" s="1" t="s">
        <v>14450</v>
      </c>
      <c r="G2876" s="1" t="s">
        <v>14449</v>
      </c>
      <c r="H2876" s="1" t="str">
        <f>IFERROR(__xludf.DUMMYFUNCTION("GOOGLETRANSLATE(D2876,""EN"",""JA"")"),"第二言語")</f>
        <v>第二言語</v>
      </c>
      <c r="I2876" s="1" t="str">
        <f>IFERROR(__xludf.DUMMYFUNCTION("GOOGLETRANSLATE(E2876,""EN"",""JA"")"),"第二言語")</f>
        <v>第二言語</v>
      </c>
      <c r="J2876" s="1" t="str">
        <f>IFERROR(__xludf.DUMMYFUNCTION("GOOGLETRANSLATE(F2876,""EN"",""JA"")"),"対象者が話すが、主要言語とはみなされない追加の言語。")</f>
        <v>対象者が話すが、主要言語とはみなされない追加の言語。</v>
      </c>
      <c r="K2876" s="1" t="str">
        <f>IFERROR(__xludf.DUMMYFUNCTION("GOOGLETRANSLATE(G2876,""EN"",""JA"")"),"第二言語")</f>
        <v>第二言語</v>
      </c>
    </row>
    <row r="2877" ht="13.5" customHeight="1">
      <c r="A2877" s="1" t="s">
        <v>134</v>
      </c>
      <c r="B2877" s="1" t="s">
        <v>14451</v>
      </c>
      <c r="C2877" s="1" t="s">
        <v>14452</v>
      </c>
      <c r="D2877" s="1" t="s">
        <v>14453</v>
      </c>
      <c r="E2877" s="1" t="s">
        <v>14454</v>
      </c>
      <c r="F2877" s="1" t="s">
        <v>14455</v>
      </c>
      <c r="G2877" s="1" t="s">
        <v>14453</v>
      </c>
      <c r="H2877" s="1" t="str">
        <f>IFERROR(__xludf.DUMMYFUNCTION("GOOGLETRANSLATE(D2877,""EN"",""JA"")"),"リンパ節転移指標")</f>
        <v>リンパ節転移指標</v>
      </c>
      <c r="I2877" s="1" t="str">
        <f>IFERROR(__xludf.DUMMYFUNCTION("GOOGLETRANSLATE(E2877,""EN"",""JA"")"),"リンパ節転移指標；リンパ節転移陽性指標")</f>
        <v>リンパ節転移指標；リンパ節転移陽性指標</v>
      </c>
      <c r="J2877" s="1" t="str">
        <f>IFERROR(__xludf.DUMMYFUNCTION("GOOGLETRANSLATE(F2877,""EN"",""JA"")"),"リンパ節に癌が存在するかどうかを示すもの。")</f>
        <v>リンパ節に癌が存在するかどうかを示すもの。</v>
      </c>
      <c r="K2877" s="1" t="str">
        <f>IFERROR(__xludf.DUMMYFUNCTION("GOOGLETRANSLATE(G2877,""EN"",""JA"")"),"リンパ節転移指標")</f>
        <v>リンパ節転移指標</v>
      </c>
    </row>
    <row r="2878" ht="13.5" customHeight="1">
      <c r="A2878" s="1" t="s">
        <v>134</v>
      </c>
      <c r="B2878" s="1" t="s">
        <v>14456</v>
      </c>
      <c r="C2878" s="1" t="s">
        <v>14457</v>
      </c>
      <c r="D2878" s="1" t="s">
        <v>14458</v>
      </c>
      <c r="E2878" s="1" t="s">
        <v>14459</v>
      </c>
      <c r="F2878" s="1" t="s">
        <v>14460</v>
      </c>
      <c r="G2878" s="1" t="s">
        <v>14461</v>
      </c>
      <c r="H2878" s="1" t="str">
        <f>IFERROR(__xludf.DUMMYFUNCTION("GOOGLETRANSLATE(D2878,""EN"",""JA"")"),"転移リンパ節の数")</f>
        <v>転移リンパ節の数</v>
      </c>
      <c r="I2878" s="1" t="str">
        <f>IFERROR(__xludf.DUMMYFUNCTION("GOOGLETRANSLATE(E2878,""EN"",""JA"")"),"転移リンパ節数；腫瘍細胞陽性リンパ節数")</f>
        <v>転移リンパ節数；腫瘍細胞陽性リンパ節数</v>
      </c>
      <c r="J2878" s="1" t="str">
        <f>IFERROR(__xludf.DUMMYFUNCTION("GOOGLETRANSLATE(F2878,""EN"",""JA"")"),"腫瘍細胞を含むリンパ節の総数の測定値。")</f>
        <v>腫瘍細胞を含むリンパ節の総数の測定値。</v>
      </c>
      <c r="K2878" s="1" t="str">
        <f>IFERROR(__xludf.DUMMYFUNCTION("GOOGLETRANSLATE(G2878,""EN"",""JA"")"),"腫瘍細胞が関与するリンパ節の数")</f>
        <v>腫瘍細胞が関与するリンパ節の数</v>
      </c>
    </row>
    <row r="2879" ht="13.5" customHeight="1">
      <c r="A2879" s="1" t="s">
        <v>233</v>
      </c>
      <c r="B2879" s="1" t="s">
        <v>14462</v>
      </c>
      <c r="C2879" s="1" t="s">
        <v>14463</v>
      </c>
      <c r="D2879" s="1" t="s">
        <v>14464</v>
      </c>
      <c r="E2879" s="1" t="s">
        <v>14464</v>
      </c>
      <c r="F2879" s="1" t="s">
        <v>14465</v>
      </c>
      <c r="G2879" s="1" t="s">
        <v>14464</v>
      </c>
      <c r="H2879" s="1" t="str">
        <f>IFERROR(__xludf.DUMMYFUNCTION("GOOGLETRANSLATE(D2879,""EN"",""JA"")"),"リンパ節の状態")</f>
        <v>リンパ節の状態</v>
      </c>
      <c r="I2879" s="1" t="str">
        <f>IFERROR(__xludf.DUMMYFUNCTION("GOOGLETRANSLATE(E2879,""EN"",""JA"")"),"リンパ節の状態")</f>
        <v>リンパ節の状態</v>
      </c>
      <c r="J2879" s="1" t="str">
        <f>IFERROR(__xludf.DUMMYFUNCTION("GOOGLETRANSLATE(F2879,""EN"",""JA"")"),"特定の時点におけるリンパ節の状態。")</f>
        <v>特定の時点におけるリンパ節の状態。</v>
      </c>
      <c r="K2879" s="1" t="str">
        <f>IFERROR(__xludf.DUMMYFUNCTION("GOOGLETRANSLATE(G2879,""EN"",""JA"")"),"リンパ節の状態")</f>
        <v>リンパ節の状態</v>
      </c>
    </row>
    <row r="2880" ht="13.5" customHeight="1">
      <c r="A2880" s="1" t="s">
        <v>134</v>
      </c>
      <c r="B2880" s="1" t="s">
        <v>14462</v>
      </c>
      <c r="C2880" s="1" t="s">
        <v>14463</v>
      </c>
      <c r="D2880" s="1" t="s">
        <v>14464</v>
      </c>
      <c r="E2880" s="1" t="s">
        <v>14464</v>
      </c>
      <c r="F2880" s="1" t="s">
        <v>14465</v>
      </c>
      <c r="G2880" s="1" t="s">
        <v>14464</v>
      </c>
      <c r="H2880" s="1" t="str">
        <f>IFERROR(__xludf.DUMMYFUNCTION("GOOGLETRANSLATE(D2880,""EN"",""JA"")"),"リンパ節の状態")</f>
        <v>リンパ節の状態</v>
      </c>
      <c r="I2880" s="1" t="str">
        <f>IFERROR(__xludf.DUMMYFUNCTION("GOOGLETRANSLATE(E2880,""EN"",""JA"")"),"リンパ節の状態")</f>
        <v>リンパ節の状態</v>
      </c>
      <c r="J2880" s="1" t="str">
        <f>IFERROR(__xludf.DUMMYFUNCTION("GOOGLETRANSLATE(F2880,""EN"",""JA"")"),"特定の時点におけるリンパ節の状態。")</f>
        <v>特定の時点におけるリンパ節の状態。</v>
      </c>
      <c r="K2880" s="1" t="str">
        <f>IFERROR(__xludf.DUMMYFUNCTION("GOOGLETRANSLATE(G2880,""EN"",""JA"")"),"リンパ節の状態")</f>
        <v>リンパ節の状態</v>
      </c>
    </row>
    <row r="2881" ht="13.5" customHeight="1">
      <c r="A2881" s="1" t="s">
        <v>134</v>
      </c>
      <c r="B2881" s="1" t="s">
        <v>14466</v>
      </c>
      <c r="C2881" s="1" t="s">
        <v>14467</v>
      </c>
      <c r="D2881" s="1" t="s">
        <v>14468</v>
      </c>
      <c r="E2881" s="1" t="s">
        <v>14468</v>
      </c>
      <c r="F2881" s="1" t="s">
        <v>14469</v>
      </c>
      <c r="G2881" s="1" t="s">
        <v>14470</v>
      </c>
      <c r="H2881" s="1" t="str">
        <f>IFERROR(__xludf.DUMMYFUNCTION("GOOGLETRANSLATE(D2881,""EN"",""JA"")"),"小葉性炎症")</f>
        <v>小葉性炎症</v>
      </c>
      <c r="I2881" s="1" t="str">
        <f>IFERROR(__xludf.DUMMYFUNCTION("GOOGLETRANSLATE(E2881,""EN"",""JA"")"),"小葉性炎症")</f>
        <v>小葉性炎症</v>
      </c>
      <c r="J2881" s="1" t="str">
        <f>IFERROR(__xludf.DUMMYFUNCTION("GOOGLETRANSLATE(F2881,""EN"",""JA"")"),"生物標本における小葉性炎症の評価。")</f>
        <v>生物標本における小葉性炎症の評価。</v>
      </c>
      <c r="K2881" s="1" t="str">
        <f>IFERROR(__xludf.DUMMYFUNCTION("GOOGLETRANSLATE(G2881,""EN"",""JA"")"),"小葉性炎症の評価")</f>
        <v>小葉性炎症の評価</v>
      </c>
    </row>
    <row r="2882" ht="13.5" customHeight="1">
      <c r="A2882" s="1" t="s">
        <v>580</v>
      </c>
      <c r="B2882" s="1" t="s">
        <v>14471</v>
      </c>
      <c r="C2882" s="1" t="s">
        <v>14472</v>
      </c>
      <c r="D2882" s="1" t="s">
        <v>14473</v>
      </c>
      <c r="E2882" s="1" t="s">
        <v>14473</v>
      </c>
      <c r="F2882" s="1" t="s">
        <v>14474</v>
      </c>
      <c r="G2882" s="1" t="s">
        <v>14473</v>
      </c>
      <c r="H2882" s="1" t="str">
        <f>IFERROR(__xludf.DUMMYFUNCTION("GOOGLETRANSLATE(D2882,""EN"",""JA"")"),"葉容積")</f>
        <v>葉容積</v>
      </c>
      <c r="I2882" s="1" t="str">
        <f>IFERROR(__xludf.DUMMYFUNCTION("GOOGLETRANSLATE(E2882,""EN"",""JA"")"),"葉容積")</f>
        <v>葉容積</v>
      </c>
      <c r="J2882" s="1" t="str">
        <f>IFERROR(__xludf.DUMMYFUNCTION("GOOGLETRANSLATE(F2882,""EN"",""JA"")"),"呼吸周期中の特定の時点における肺葉内のガスの総量。")</f>
        <v>呼吸周期中の特定の時点における肺葉内のガスの総量。</v>
      </c>
      <c r="K2882" s="1" t="str">
        <f>IFERROR(__xludf.DUMMYFUNCTION("GOOGLETRANSLATE(G2882,""EN"",""JA"")"),"葉容積")</f>
        <v>葉容積</v>
      </c>
    </row>
    <row r="2883" ht="13.5" customHeight="1">
      <c r="A2883" s="1" t="s">
        <v>580</v>
      </c>
      <c r="B2883" s="1" t="s">
        <v>14475</v>
      </c>
      <c r="C2883" s="1" t="s">
        <v>14476</v>
      </c>
      <c r="D2883" s="1" t="s">
        <v>14477</v>
      </c>
      <c r="E2883" s="1" t="s">
        <v>14477</v>
      </c>
      <c r="F2883" s="1" t="s">
        <v>14478</v>
      </c>
      <c r="G2883" s="1" t="s">
        <v>14477</v>
      </c>
      <c r="H2883" s="1" t="str">
        <f>IFERROR(__xludf.DUMMYFUNCTION("GOOGLETRANSLATE(D2883,""EN"",""JA"")"),"予測される肺葉容積の割合")</f>
        <v>予測される肺葉容積の割合</v>
      </c>
      <c r="I2883" s="1" t="str">
        <f>IFERROR(__xludf.DUMMYFUNCTION("GOOGLETRANSLATE(E2883,""EN"",""JA"")"),"予測される肺葉容積の割合")</f>
        <v>予測される肺葉容積の割合</v>
      </c>
      <c r="J2883" s="1" t="str">
        <f>IFERROR(__xludf.DUMMYFUNCTION("GOOGLETRANSLATE(F2883,""EN"",""JA"")"),"呼吸周期中の特定の時点における肺葉内のガスの総量（予測される正常値の割合）。")</f>
        <v>呼吸周期中の特定の時点における肺葉内のガスの総量（予測される正常値の割合）。</v>
      </c>
      <c r="K2883" s="1" t="str">
        <f>IFERROR(__xludf.DUMMYFUNCTION("GOOGLETRANSLATE(G2883,""EN"",""JA"")"),"予測される肺葉容積の割合")</f>
        <v>予測される肺葉容積の割合</v>
      </c>
    </row>
    <row r="2884" ht="13.5" customHeight="1">
      <c r="A2884" s="1" t="s">
        <v>842</v>
      </c>
      <c r="B2884" s="1" t="s">
        <v>14479</v>
      </c>
      <c r="C2884" s="1" t="s">
        <v>14480</v>
      </c>
      <c r="D2884" s="1" t="s">
        <v>14481</v>
      </c>
      <c r="E2884" s="1" t="s">
        <v>14481</v>
      </c>
      <c r="F2884" s="1" t="s">
        <v>14482</v>
      </c>
      <c r="G2884" s="1" t="s">
        <v>14481</v>
      </c>
      <c r="H2884" s="1" t="str">
        <f>IFERROR(__xludf.DUMMYFUNCTION("GOOGLETRANSLATE(D2884,""EN"",""JA"")"),"死亡場所")</f>
        <v>死亡場所</v>
      </c>
      <c r="I2884" s="1" t="str">
        <f>IFERROR(__xludf.DUMMYFUNCTION("GOOGLETRANSLATE(E2884,""EN"",""JA"")"),"死亡場所")</f>
        <v>死亡場所</v>
      </c>
      <c r="J2884" s="1" t="str">
        <f>IFERROR(__xludf.DUMMYFUNCTION("GOOGLETRANSLATE(F2884,""EN"",""JA"")"),"対象者が居住しなくなった物理的な場所。")</f>
        <v>対象者が居住しなくなった物理的な場所。</v>
      </c>
      <c r="K2884" s="1" t="str">
        <f>IFERROR(__xludf.DUMMYFUNCTION("GOOGLETRANSLATE(G2884,""EN"",""JA"")"),"死亡場所")</f>
        <v>死亡場所</v>
      </c>
    </row>
    <row r="2885" ht="13.5" customHeight="1">
      <c r="A2885" s="1" t="s">
        <v>1997</v>
      </c>
      <c r="B2885" s="1" t="s">
        <v>14483</v>
      </c>
      <c r="C2885" s="1" t="s">
        <v>14484</v>
      </c>
      <c r="D2885" s="1" t="s">
        <v>14485</v>
      </c>
      <c r="E2885" s="1" t="s">
        <v>14485</v>
      </c>
      <c r="F2885" s="1" t="s">
        <v>14486</v>
      </c>
      <c r="G2885" s="1" t="s">
        <v>14485</v>
      </c>
      <c r="H2885" s="1" t="str">
        <f>IFERROR(__xludf.DUMMYFUNCTION("GOOGLETRANSLATE(D2885,""EN"",""JA"")"),"ログスコア")</f>
        <v>ログスコア</v>
      </c>
      <c r="I2885" s="1" t="str">
        <f>IFERROR(__xludf.DUMMYFUNCTION("GOOGLETRANSLATE(E2885,""EN"",""JA"")"),"ログスコア")</f>
        <v>ログスコア</v>
      </c>
      <c r="J2885" s="1" t="str">
        <f>IFERROR(__xludf.DUMMYFUNCTION("GOOGLETRANSLATE(F2885,""EN"",""JA"")"),"パフォーマンス、機能、品質、または能力を測定するための対数スケール上の数値または数値の範囲。")</f>
        <v>パフォーマンス、機能、品質、または能力を測定するための対数スケール上の数値または数値の範囲。</v>
      </c>
      <c r="K2885" s="1" t="str">
        <f>IFERROR(__xludf.DUMMYFUNCTION("GOOGLETRANSLATE(G2885,""EN"",""JA"")"),"ログスコア")</f>
        <v>ログスコア</v>
      </c>
    </row>
    <row r="2886" ht="13.5" customHeight="1">
      <c r="A2886" s="1" t="s">
        <v>11</v>
      </c>
      <c r="B2886" s="1" t="s">
        <v>14487</v>
      </c>
      <c r="C2886" s="1" t="s">
        <v>14488</v>
      </c>
      <c r="D2886" s="1" t="s">
        <v>14489</v>
      </c>
      <c r="E2886" s="1" t="s">
        <v>14489</v>
      </c>
      <c r="F2886" s="1" t="s">
        <v>14490</v>
      </c>
      <c r="G2886" s="1" t="s">
        <v>14491</v>
      </c>
      <c r="H2886" s="1" t="str">
        <f>IFERROR(__xludf.DUMMYFUNCTION("GOOGLETRANSLATE(D2886,""EN"",""JA"")"),"ロプラゾラム")</f>
        <v>ロプラゾラム</v>
      </c>
      <c r="I2886" s="1" t="str">
        <f>IFERROR(__xludf.DUMMYFUNCTION("GOOGLETRANSLATE(E2886,""EN"",""JA"")"),"ロプラゾラム")</f>
        <v>ロプラゾラム</v>
      </c>
      <c r="J2886" s="1" t="str">
        <f>IFERROR(__xludf.DUMMYFUNCTION("GOOGLETRANSLATE(F2886,""EN"",""JA"")"),"生物標本中のロプラゾラムの測定。")</f>
        <v>生物標本中のロプラゾラムの測定。</v>
      </c>
      <c r="K2886" s="1" t="str">
        <f>IFERROR(__xludf.DUMMYFUNCTION("GOOGLETRANSLATE(G2886,""EN"",""JA"")"),"ロプラゾラム測定")</f>
        <v>ロプラゾラム測定</v>
      </c>
    </row>
    <row r="2887" ht="13.5" customHeight="1">
      <c r="A2887" s="1" t="s">
        <v>7030</v>
      </c>
      <c r="B2887" s="1" t="s">
        <v>14492</v>
      </c>
      <c r="C2887" s="1" t="s">
        <v>14493</v>
      </c>
      <c r="D2887" s="1" t="s">
        <v>14494</v>
      </c>
      <c r="E2887" s="1" t="s">
        <v>14494</v>
      </c>
      <c r="F2887" s="1" t="s">
        <v>14495</v>
      </c>
      <c r="G2887" s="1" t="s">
        <v>14494</v>
      </c>
      <c r="H2887" s="1" t="str">
        <f>IFERROR(__xludf.DUMMYFUNCTION("GOOGLETRANSLATE(D2887,""EN"",""JA"")"),"損失額")</f>
        <v>損失額</v>
      </c>
      <c r="I2887" s="1" t="str">
        <f>IFERROR(__xludf.DUMMYFUNCTION("GOOGLETRANSLATE(E2887,""EN"",""JA"")"),"損失額")</f>
        <v>損失額</v>
      </c>
      <c r="J2887" s="1" t="str">
        <f>IFERROR(__xludf.DUMMYFUNCTION("GOOGLETRANSLATE(F2887,""EN"",""JA"")"),"紛失として報告された製品の数量。")</f>
        <v>紛失として報告された製品の数量。</v>
      </c>
      <c r="K2887" s="1" t="str">
        <f>IFERROR(__xludf.DUMMYFUNCTION("GOOGLETRANSLATE(G2887,""EN"",""JA"")"),"損失額")</f>
        <v>損失額</v>
      </c>
    </row>
    <row r="2888" ht="13.5" customHeight="1">
      <c r="A2888" s="1" t="s">
        <v>90</v>
      </c>
      <c r="B2888" s="1" t="s">
        <v>14496</v>
      </c>
      <c r="C2888" s="1" t="s">
        <v>14497</v>
      </c>
      <c r="D2888" s="1" t="s">
        <v>14498</v>
      </c>
      <c r="E2888" s="1" t="s">
        <v>14499</v>
      </c>
      <c r="F2888" s="1" t="s">
        <v>14500</v>
      </c>
      <c r="G2888" s="1" t="s">
        <v>14501</v>
      </c>
      <c r="H2888" s="1" t="str">
        <f>IFERROR(__xludf.DUMMYFUNCTION("GOOGLETRANSLATE(D2888,""EN"",""JA"")"),"縦方向の歪み")</f>
        <v>縦方向の歪み</v>
      </c>
      <c r="I2888" s="1" t="str">
        <f>IFERROR(__xludf.DUMMYFUNCTION("GOOGLETRANSLATE(E2888,""EN"",""JA"")"),"縦方向の変形、縦方向の短縮、縦方向のひずみ")</f>
        <v>縦方向の変形、縦方向の短縮、縦方向のひずみ</v>
      </c>
      <c r="J2888" s="1" t="str">
        <f>IFERROR(__xludf.DUMMYFUNCTION("GOOGLETRANSLATE(F2888,""EN"",""JA"")"),"心室または心房の長軸（基底から心尖まで）に沿った心筋の長さの変化の測定値。")</f>
        <v>心室または心房の長軸（基底から心尖まで）に沿った心筋の長さの変化の測定値。</v>
      </c>
      <c r="K2888" s="1" t="str">
        <f>IFERROR(__xludf.DUMMYFUNCTION("GOOGLETRANSLATE(G2888,""EN"",""JA"")"),"縦ひずみ測定")</f>
        <v>縦ひずみ測定</v>
      </c>
    </row>
    <row r="2889" ht="13.5" customHeight="1">
      <c r="A2889" s="1" t="s">
        <v>11</v>
      </c>
      <c r="B2889" s="1" t="s">
        <v>14502</v>
      </c>
      <c r="C2889" s="1" t="s">
        <v>14503</v>
      </c>
      <c r="D2889" s="1" t="s">
        <v>14504</v>
      </c>
      <c r="E2889" s="1" t="s">
        <v>14505</v>
      </c>
      <c r="F2889" s="1" t="s">
        <v>14506</v>
      </c>
      <c r="G2889" s="1" t="s">
        <v>14507</v>
      </c>
      <c r="H2889" s="1" t="str">
        <f>IFERROR(__xludf.DUMMYFUNCTION("GOOGLETRANSLATE(D2889,""EN"",""JA"")"),"レクチン様酸化LDL受容体-1")</f>
        <v>レクチン様酸化LDL受容体-1</v>
      </c>
      <c r="I2889" s="1" t="str">
        <f>IFERROR(__xludf.DUMMYFUNCTION("GOOGLETRANSLATE(E2889,""EN"",""JA"")"),"C型レクチンドメインファミリー8メンバーA; CLEC8A; レクチン様酸化LDL受容体-1; LOX-1; 酸化LDL受容体1; 酸化低密度リポタンパク質受容体1")</f>
        <v>C型レクチンドメインファミリー8メンバーA; CLEC8A; レクチン様酸化LDL受容体-1; LOX-1; 酸化LDL受容体1; 酸化低密度リポタンパク質受容体1</v>
      </c>
      <c r="J2889" s="1" t="str">
        <f>IFERROR(__xludf.DUMMYFUNCTION("GOOGLETRANSLATE(F2889,""EN"",""JA"")"),"生物標本中のレクチン様酸化 LDL 受容体 1 の測定。")</f>
        <v>生物標本中のレクチン様酸化 LDL 受容体 1 の測定。</v>
      </c>
      <c r="K2889" s="1" t="str">
        <f>IFERROR(__xludf.DUMMYFUNCTION("GOOGLETRANSLATE(G2889,""EN"",""JA"")"),"レクチン様酸化LDL受容体1の測定")</f>
        <v>レクチン様酸化LDL受容体1の測定</v>
      </c>
    </row>
    <row r="2890" ht="13.5" customHeight="1">
      <c r="A2890" s="1" t="s">
        <v>11</v>
      </c>
      <c r="B2890" s="1" t="s">
        <v>14508</v>
      </c>
      <c r="C2890" s="1" t="s">
        <v>14509</v>
      </c>
      <c r="D2890" s="1" t="s">
        <v>14510</v>
      </c>
      <c r="E2890" s="1" t="s">
        <v>14510</v>
      </c>
      <c r="F2890" s="1" t="s">
        <v>14511</v>
      </c>
      <c r="G2890" s="1" t="s">
        <v>14512</v>
      </c>
      <c r="H2890" s="1" t="str">
        <f>IFERROR(__xludf.DUMMYFUNCTION("GOOGLETRANSLATE(D2890,""EN"",""JA"")"),"ロキサピン")</f>
        <v>ロキサピン</v>
      </c>
      <c r="I2890" s="1" t="str">
        <f>IFERROR(__xludf.DUMMYFUNCTION("GOOGLETRANSLATE(E2890,""EN"",""JA"")"),"ロキサピン")</f>
        <v>ロキサピン</v>
      </c>
      <c r="J2890" s="1" t="str">
        <f>IFERROR(__xludf.DUMMYFUNCTION("GOOGLETRANSLATE(F2890,""EN"",""JA"")"),"生物標本中のロキサピンの測定。")</f>
        <v>生物標本中のロキサピンの測定。</v>
      </c>
      <c r="K2890" s="1" t="str">
        <f>IFERROR(__xludf.DUMMYFUNCTION("GOOGLETRANSLATE(G2890,""EN"",""JA"")"),"ロキサピン測定")</f>
        <v>ロキサピン測定</v>
      </c>
    </row>
    <row r="2891" ht="13.5" customHeight="1">
      <c r="A2891" s="1" t="s">
        <v>11</v>
      </c>
      <c r="B2891" s="1" t="s">
        <v>14513</v>
      </c>
      <c r="C2891" s="1" t="s">
        <v>14514</v>
      </c>
      <c r="D2891" s="1" t="s">
        <v>14515</v>
      </c>
      <c r="E2891" s="1" t="s">
        <v>14515</v>
      </c>
      <c r="F2891" s="1" t="s">
        <v>14516</v>
      </c>
      <c r="G2891" s="1" t="s">
        <v>14517</v>
      </c>
      <c r="H2891" s="1" t="str">
        <f>IFERROR(__xludf.DUMMYFUNCTION("GOOGLETRANSLATE(D2891,""EN"",""JA"")"),"リポタンパク質a")</f>
        <v>リポタンパク質a</v>
      </c>
      <c r="I2891" s="1" t="str">
        <f>IFERROR(__xludf.DUMMYFUNCTION("GOOGLETRANSLATE(E2891,""EN"",""JA"")"),"リポタンパク質a")</f>
        <v>リポタンパク質a</v>
      </c>
      <c r="J2891" s="1" t="str">
        <f>IFERROR(__xludf.DUMMYFUNCTION("GOOGLETRANSLATE(F2891,""EN"",""JA"")"),"生物標本中のリポタンパク質 a の測定。")</f>
        <v>生物標本中のリポタンパク質 a の測定。</v>
      </c>
      <c r="K2891" s="1" t="str">
        <f>IFERROR(__xludf.DUMMYFUNCTION("GOOGLETRANSLATE(G2891,""EN"",""JA"")"),"リポタンパク質aの測定")</f>
        <v>リポタンパク質aの測定</v>
      </c>
    </row>
    <row r="2892" ht="13.5" customHeight="1">
      <c r="A2892" s="1" t="s">
        <v>233</v>
      </c>
      <c r="B2892" s="1" t="s">
        <v>14518</v>
      </c>
      <c r="C2892" s="1" t="s">
        <v>14519</v>
      </c>
      <c r="D2892" s="1" t="s">
        <v>14520</v>
      </c>
      <c r="E2892" s="1" t="s">
        <v>14521</v>
      </c>
      <c r="F2892" s="1" t="s">
        <v>14522</v>
      </c>
      <c r="G2892" s="1" t="s">
        <v>14520</v>
      </c>
      <c r="H2892" s="1" t="str">
        <f>IFERROR(__xludf.DUMMYFUNCTION("GOOGLETRANSLATE(D2892,""EN"",""JA"")"),"最長垂線")</f>
        <v>最長垂線</v>
      </c>
      <c r="I2892" s="1" t="str">
        <f>IFERROR(__xludf.DUMMYFUNCTION("GOOGLETRANSLATE(E2892,""EN"",""JA"")"),"最長垂線; 短軸直径")</f>
        <v>最長垂線; 短軸直径</v>
      </c>
      <c r="J2892" s="1" t="str">
        <f>IFERROR(__xludf.DUMMYFUNCTION("GOOGLETRANSLATE(F2892,""EN"",""JA"")"),"特定の直線または平面に対して直角な物体または図形を通る、可能な限り最長の直線または平面。")</f>
        <v>特定の直線または平面に対して直角な物体または図形を通る、可能な限り最長の直線または平面。</v>
      </c>
      <c r="K2892" s="1" t="str">
        <f>IFERROR(__xludf.DUMMYFUNCTION("GOOGLETRANSLATE(G2892,""EN"",""JA"")"),"最長垂線")</f>
        <v>最長垂線</v>
      </c>
    </row>
    <row r="2893" ht="13.5" customHeight="1">
      <c r="A2893" s="1" t="s">
        <v>134</v>
      </c>
      <c r="B2893" s="1" t="s">
        <v>14523</v>
      </c>
      <c r="C2893" s="1" t="s">
        <v>14524</v>
      </c>
      <c r="D2893" s="1" t="s">
        <v>14525</v>
      </c>
      <c r="E2893" s="1" t="s">
        <v>14525</v>
      </c>
      <c r="F2893" s="1" t="s">
        <v>14526</v>
      </c>
      <c r="G2893" s="1" t="s">
        <v>14527</v>
      </c>
      <c r="H2893" s="1" t="str">
        <f>IFERROR(__xludf.DUMMYFUNCTION("GOOGLETRANSLATE(D2893,""EN"",""JA"")"),"大きな脂肪肉芽腫")</f>
        <v>大きな脂肪肉芽腫</v>
      </c>
      <c r="I2893" s="1" t="str">
        <f>IFERROR(__xludf.DUMMYFUNCTION("GOOGLETRANSLATE(E2893,""EN"",""JA"")"),"大きな脂肪肉芽腫")</f>
        <v>大きな脂肪肉芽腫</v>
      </c>
      <c r="J2893" s="1" t="str">
        <f>IFERROR(__xludf.DUMMYFUNCTION("GOOGLETRANSLATE(F2893,""EN"",""JA"")"),"生物標本における大きな脂肪肉芽腫の評価。")</f>
        <v>生物標本における大きな脂肪肉芽腫の評価。</v>
      </c>
      <c r="K2893" s="1" t="str">
        <f>IFERROR(__xludf.DUMMYFUNCTION("GOOGLETRANSLATE(G2893,""EN"",""JA"")"),"大きな脂肪肉芽腫の評価")</f>
        <v>大きな脂肪肉芽腫の評価</v>
      </c>
    </row>
    <row r="2894" ht="13.5" customHeight="1">
      <c r="A2894" s="1" t="s">
        <v>11</v>
      </c>
      <c r="B2894" s="1" t="s">
        <v>14528</v>
      </c>
      <c r="C2894" s="1" t="s">
        <v>14529</v>
      </c>
      <c r="D2894" s="1" t="s">
        <v>14530</v>
      </c>
      <c r="E2894" s="1" t="s">
        <v>14530</v>
      </c>
      <c r="F2894" s="1" t="s">
        <v>14531</v>
      </c>
      <c r="G2894" s="1" t="s">
        <v>14532</v>
      </c>
      <c r="H2894" s="1" t="str">
        <f>IFERROR(__xludf.DUMMYFUNCTION("GOOGLETRANSLATE(D2894,""EN"",""JA"")"),"リポタンパク質リパーゼ")</f>
        <v>リポタンパク質リパーゼ</v>
      </c>
      <c r="I2894" s="1" t="str">
        <f>IFERROR(__xludf.DUMMYFUNCTION("GOOGLETRANSLATE(E2894,""EN"",""JA"")"),"リポタンパク質リパーゼ")</f>
        <v>リポタンパク質リパーゼ</v>
      </c>
      <c r="J2894" s="1" t="str">
        <f>IFERROR(__xludf.DUMMYFUNCTION("GOOGLETRANSLATE(F2894,""EN"",""JA"")"),"生物標本中のリポタンパク質リパーゼの測定。")</f>
        <v>生物標本中のリポタンパク質リパーゼの測定。</v>
      </c>
      <c r="K2894" s="1" t="str">
        <f>IFERROR(__xludf.DUMMYFUNCTION("GOOGLETRANSLATE(G2894,""EN"",""JA"")"),"リポタンパク質リパーゼ測定")</f>
        <v>リポタンパク質リパーゼ測定</v>
      </c>
    </row>
    <row r="2895" ht="13.5" customHeight="1">
      <c r="A2895" s="1" t="s">
        <v>67</v>
      </c>
      <c r="B2895" s="1" t="s">
        <v>14533</v>
      </c>
      <c r="C2895" s="1" t="s">
        <v>14534</v>
      </c>
      <c r="D2895" s="1" t="s">
        <v>14535</v>
      </c>
      <c r="E2895" s="1" t="s">
        <v>14535</v>
      </c>
      <c r="F2895" s="1" t="s">
        <v>14536</v>
      </c>
      <c r="G2895" s="1" t="s">
        <v>14537</v>
      </c>
      <c r="H2895" s="1" t="str">
        <f>IFERROR(__xludf.DUMMYFUNCTION("GOOGLETRANSLATE(D2895,""EN"",""JA"")"),"レジオネラ・ニューモフィラ")</f>
        <v>レジオネラ・ニューモフィラ</v>
      </c>
      <c r="I2895" s="1" t="str">
        <f>IFERROR(__xludf.DUMMYFUNCTION("GOOGLETRANSLATE(E2895,""EN"",""JA"")"),"レジオネラ・ニューモフィラ")</f>
        <v>レジオネラ・ニューモフィラ</v>
      </c>
      <c r="J2895" s="1" t="str">
        <f>IFERROR(__xludf.DUMMYFUNCTION("GOOGLETRANSLATE(F2895,""EN"",""JA"")"),"生物標本中のレジオネラ・ニューモフィラの測定。")</f>
        <v>生物標本中のレジオネラ・ニューモフィラの測定。</v>
      </c>
      <c r="K2895" s="1" t="str">
        <f>IFERROR(__xludf.DUMMYFUNCTION("GOOGLETRANSLATE(G2895,""EN"",""JA"")"),"レジオネラ・ニューモフィラ測定")</f>
        <v>レジオネラ・ニューモフィラ測定</v>
      </c>
    </row>
    <row r="2896" ht="13.5" customHeight="1">
      <c r="A2896" s="1" t="s">
        <v>67</v>
      </c>
      <c r="B2896" s="1" t="s">
        <v>14538</v>
      </c>
      <c r="C2896" s="1" t="s">
        <v>14539</v>
      </c>
      <c r="D2896" s="1" t="s">
        <v>14540</v>
      </c>
      <c r="E2896" s="1" t="s">
        <v>14540</v>
      </c>
      <c r="F2896" s="1" t="s">
        <v>14541</v>
      </c>
      <c r="G2896" s="1" t="s">
        <v>14542</v>
      </c>
      <c r="H2896" s="1" t="str">
        <f>IFERROR(__xludf.DUMMYFUNCTION("GOOGLETRANSLATE(D2896,""EN"",""JA"")"),"レジオネラ・ニューモフィラ抗原")</f>
        <v>レジオネラ・ニューモフィラ抗原</v>
      </c>
      <c r="I2896" s="1" t="str">
        <f>IFERROR(__xludf.DUMMYFUNCTION("GOOGLETRANSLATE(E2896,""EN"",""JA"")"),"レジオネラ・ニューモフィラ抗原")</f>
        <v>レジオネラ・ニューモフィラ抗原</v>
      </c>
      <c r="J2896" s="1" t="str">
        <f>IFERROR(__xludf.DUMMYFUNCTION("GOOGLETRANSLATE(F2896,""EN"",""JA"")"),"生物標本中のレジオネラ・ニューモフィラ抗原の測定。")</f>
        <v>生物標本中のレジオネラ・ニューモフィラ抗原の測定。</v>
      </c>
      <c r="K2896" s="1" t="str">
        <f>IFERROR(__xludf.DUMMYFUNCTION("GOOGLETRANSLATE(G2896,""EN"",""JA"")"),"レジオネラ・ニューモフィラ抗原測定")</f>
        <v>レジオネラ・ニューモフィラ抗原測定</v>
      </c>
    </row>
    <row r="2897" ht="13.5" customHeight="1">
      <c r="A2897" s="1" t="s">
        <v>67</v>
      </c>
      <c r="B2897" s="1" t="s">
        <v>14543</v>
      </c>
      <c r="C2897" s="1" t="s">
        <v>14544</v>
      </c>
      <c r="D2897" s="1" t="s">
        <v>14545</v>
      </c>
      <c r="E2897" s="1" t="s">
        <v>14545</v>
      </c>
      <c r="F2897" s="1" t="s">
        <v>14546</v>
      </c>
      <c r="G2897" s="1" t="s">
        <v>14547</v>
      </c>
      <c r="H2897" s="1" t="str">
        <f>IFERROR(__xludf.DUMMYFUNCTION("GOOGLETRANSLATE(D2897,""EN"",""JA"")"),"レジオネラ・ニューモフィラDNA")</f>
        <v>レジオネラ・ニューモフィラDNA</v>
      </c>
      <c r="I2897" s="1" t="str">
        <f>IFERROR(__xludf.DUMMYFUNCTION("GOOGLETRANSLATE(E2897,""EN"",""JA"")"),"レジオネラ・ニューモフィラDNA")</f>
        <v>レジオネラ・ニューモフィラDNA</v>
      </c>
      <c r="J2897" s="1" t="str">
        <f>IFERROR(__xludf.DUMMYFUNCTION("GOOGLETRANSLATE(F2897,""EN"",""JA"")"),"生物標本中のレジオネラ・ニューモフィラ DNA の測定。")</f>
        <v>生物標本中のレジオネラ・ニューモフィラ DNA の測定。</v>
      </c>
      <c r="K2897" s="1" t="str">
        <f>IFERROR(__xludf.DUMMYFUNCTION("GOOGLETRANSLATE(G2897,""EN"",""JA"")"),"レジオネラ・ニューモフィラDNA測定")</f>
        <v>レジオネラ・ニューモフィラDNA測定</v>
      </c>
    </row>
    <row r="2898" ht="13.5" customHeight="1">
      <c r="A2898" s="1" t="s">
        <v>67</v>
      </c>
      <c r="B2898" s="1" t="s">
        <v>14548</v>
      </c>
      <c r="C2898" s="1" t="s">
        <v>14549</v>
      </c>
      <c r="D2898" s="1" t="s">
        <v>14550</v>
      </c>
      <c r="E2898" s="1" t="s">
        <v>14551</v>
      </c>
      <c r="F2898" s="1" t="s">
        <v>14552</v>
      </c>
      <c r="G2898" s="1" t="s">
        <v>14553</v>
      </c>
      <c r="H2898" s="1" t="str">
        <f>IFERROR(__xludf.DUMMYFUNCTION("GOOGLETRANSLATE(D2898,""EN"",""JA"")"),"レジオネラ・ニューモフィラSg1抗原")</f>
        <v>レジオネラ・ニューモフィラSg1抗原</v>
      </c>
      <c r="I2898" s="1" t="str">
        <f>IFERROR(__xludf.DUMMYFUNCTION("GOOGLETRANSLATE(E2898,""EN"",""JA"")"),"レジオネラ・ニューモフィラ血清群1抗原; レジオネラ・ニューモフィラSg 1抗原")</f>
        <v>レジオネラ・ニューモフィラ血清群1抗原; レジオネラ・ニューモフィラSg 1抗原</v>
      </c>
      <c r="J2898" s="1" t="str">
        <f>IFERROR(__xludf.DUMMYFUNCTION("GOOGLETRANSLATE(F2898,""EN"",""JA"")"),"生物標本中のレジオネラ・ニューモフィラ血清群 1 抗原の測定。")</f>
        <v>生物標本中のレジオネラ・ニューモフィラ血清群 1 抗原の測定。</v>
      </c>
      <c r="K2898" s="1" t="str">
        <f>IFERROR(__xludf.DUMMYFUNCTION("GOOGLETRANSLATE(G2898,""EN"",""JA"")"),"レジオネラ・ニューモフィラ血清群1抗原測定")</f>
        <v>レジオネラ・ニューモフィラ血清群1抗原測定</v>
      </c>
    </row>
    <row r="2899" ht="13.5" customHeight="1">
      <c r="A2899" s="1" t="s">
        <v>11</v>
      </c>
      <c r="B2899" s="1" t="s">
        <v>14554</v>
      </c>
      <c r="C2899" s="1" t="s">
        <v>14555</v>
      </c>
      <c r="D2899" s="1" t="s">
        <v>14556</v>
      </c>
      <c r="E2899" s="1" t="s">
        <v>14556</v>
      </c>
      <c r="F2899" s="1" t="s">
        <v>14557</v>
      </c>
      <c r="G2899" s="1" t="s">
        <v>14558</v>
      </c>
      <c r="H2899" s="1" t="str">
        <f>IFERROR(__xludf.DUMMYFUNCTION("GOOGLETRANSLATE(D2899,""EN"",""JA"")"),"リポタンパク質関連ホスホリパーゼA2")</f>
        <v>リポタンパク質関連ホスホリパーゼA2</v>
      </c>
      <c r="I2899" s="1" t="str">
        <f>IFERROR(__xludf.DUMMYFUNCTION("GOOGLETRANSLATE(E2899,""EN"",""JA"")"),"リポタンパク質関連ホスホリパーゼA2")</f>
        <v>リポタンパク質関連ホスホリパーゼA2</v>
      </c>
      <c r="J2899" s="1" t="str">
        <f>IFERROR(__xludf.DUMMYFUNCTION("GOOGLETRANSLATE(F2899,""EN"",""JA"")"),"生物標本中のリポタンパク質関連ホスホリパーゼ A2 の測定。")</f>
        <v>生物標本中のリポタンパク質関連ホスホリパーゼ A2 の測定。</v>
      </c>
      <c r="K2899" s="1" t="str">
        <f>IFERROR(__xludf.DUMMYFUNCTION("GOOGLETRANSLATE(G2899,""EN"",""JA"")"),"リポタンパク質関連ホスホリパーゼA2測定")</f>
        <v>リポタンパク質関連ホスホリパーゼA2測定</v>
      </c>
    </row>
    <row r="2900" ht="13.5" customHeight="1">
      <c r="A2900" s="1" t="s">
        <v>11</v>
      </c>
      <c r="B2900" s="1" t="s">
        <v>14559</v>
      </c>
      <c r="C2900" s="1" t="s">
        <v>14560</v>
      </c>
      <c r="D2900" s="1" t="s">
        <v>14561</v>
      </c>
      <c r="E2900" s="1" t="s">
        <v>14562</v>
      </c>
      <c r="F2900" s="1" t="s">
        <v>14563</v>
      </c>
      <c r="G2900" s="1" t="s">
        <v>14564</v>
      </c>
      <c r="H2900" s="1" t="str">
        <f>IFERROR(__xludf.DUMMYFUNCTION("GOOGLETRANSLATE(D2900,""EN"",""JA"")"),"ロイシンリッチアルファ2糖タンパク質1")</f>
        <v>ロイシンリッチアルファ2糖タンパク質1</v>
      </c>
      <c r="I2900" s="1" t="str">
        <f>IFERROR(__xludf.DUMMYFUNCTION("GOOGLETRANSLATE(E2900,""EN"",""JA"")"),"HMFT1766; ロイシンリッチアルファ2糖タンパク質1")</f>
        <v>HMFT1766; ロイシンリッチアルファ2糖タンパク質1</v>
      </c>
      <c r="J2900" s="1" t="str">
        <f>IFERROR(__xludf.DUMMYFUNCTION("GOOGLETRANSLATE(F2900,""EN"",""JA"")"),"生物標本中のロイシンを豊富に含むアルファ 2 糖タンパク質 1 の測定。")</f>
        <v>生物標本中のロイシンを豊富に含むアルファ 2 糖タンパク質 1 の測定。</v>
      </c>
      <c r="K2900" s="1" t="str">
        <f>IFERROR(__xludf.DUMMYFUNCTION("GOOGLETRANSLATE(G2900,""EN"",""JA"")"),"ロイシンリッチα-2-糖タンパク質1の測定")</f>
        <v>ロイシンリッチα-2-糖タンパク質1の測定</v>
      </c>
    </row>
    <row r="2901" ht="13.5" customHeight="1">
      <c r="A2901" s="1" t="s">
        <v>233</v>
      </c>
      <c r="B2901" s="1" t="s">
        <v>14565</v>
      </c>
      <c r="C2901" s="1" t="s">
        <v>14566</v>
      </c>
      <c r="D2901" s="1" t="s">
        <v>14567</v>
      </c>
      <c r="E2901" s="1" t="s">
        <v>14567</v>
      </c>
      <c r="F2901" s="1" t="s">
        <v>14568</v>
      </c>
      <c r="G2901" s="1" t="s">
        <v>14569</v>
      </c>
      <c r="H2901" s="1" t="str">
        <f>IFERROR(__xludf.DUMMYFUNCTION("GOOGLETRANSLATE(D2901,""EN"",""JA"")"),"病変リーバス虚血インジケーター")</f>
        <v>病変リーバス虚血インジケーター</v>
      </c>
      <c r="I2901" s="1" t="str">
        <f>IFERROR(__xludf.DUMMYFUNCTION("GOOGLETRANSLATE(E2901,""EN"",""JA"")"),"病変リーバス虚血インジケーター")</f>
        <v>病変リーバス虚血インジケーター</v>
      </c>
      <c r="J2901" s="1" t="str">
        <f>IFERROR(__xludf.DUMMYFUNCTION("GOOGLETRANSLATE(F2901,""EN"",""JA"")"),"病変の血行再建が行われる前に臨床的または機能的虚血が存在するかどうかを示します。")</f>
        <v>病変の血行再建が行われる前に臨床的または機能的虚血が存在するかどうかを示します。</v>
      </c>
      <c r="K2901" s="1" t="str">
        <f>IFERROR(__xludf.DUMMYFUNCTION("GOOGLETRANSLATE(G2901,""EN"",""JA"")"),"病変血行再建虚血指標")</f>
        <v>病変血行再建虚血指標</v>
      </c>
    </row>
    <row r="2902" ht="13.5" customHeight="1">
      <c r="A2902" s="1" t="s">
        <v>11</v>
      </c>
      <c r="B2902" s="1" t="s">
        <v>14570</v>
      </c>
      <c r="C2902" s="1" t="s">
        <v>14571</v>
      </c>
      <c r="D2902" s="1" t="s">
        <v>14572</v>
      </c>
      <c r="E2902" s="1" t="s">
        <v>14572</v>
      </c>
      <c r="F2902" s="1" t="s">
        <v>14573</v>
      </c>
      <c r="G2902" s="1" t="s">
        <v>14574</v>
      </c>
      <c r="H2902" s="1" t="str">
        <f>IFERROR(__xludf.DUMMYFUNCTION("GOOGLETRANSLATE(D2902,""EN"",""JA"")"),"ロルメタゼパム")</f>
        <v>ロルメタゼパム</v>
      </c>
      <c r="I2902" s="1" t="str">
        <f>IFERROR(__xludf.DUMMYFUNCTION("GOOGLETRANSLATE(E2902,""EN"",""JA"")"),"ロルメタゼパム")</f>
        <v>ロルメタゼパム</v>
      </c>
      <c r="J2902" s="1" t="str">
        <f>IFERROR(__xludf.DUMMYFUNCTION("GOOGLETRANSLATE(F2902,""EN"",""JA"")"),"生物標本中のロルメタゼパムの測定。")</f>
        <v>生物標本中のロルメタゼパムの測定。</v>
      </c>
      <c r="K2902" s="1" t="str">
        <f>IFERROR(__xludf.DUMMYFUNCTION("GOOGLETRANSLATE(G2902,""EN"",""JA"")"),"ロルメタゼパム測定")</f>
        <v>ロルメタゼパム測定</v>
      </c>
    </row>
    <row r="2903" ht="13.5" customHeight="1">
      <c r="A2903" s="1" t="s">
        <v>90</v>
      </c>
      <c r="B2903" s="1" t="s">
        <v>14575</v>
      </c>
      <c r="C2903" s="1" t="s">
        <v>14576</v>
      </c>
      <c r="D2903" s="1" t="s">
        <v>14577</v>
      </c>
      <c r="E2903" s="1" t="s">
        <v>14577</v>
      </c>
      <c r="F2903" s="1" t="s">
        <v>14578</v>
      </c>
      <c r="G2903" s="1" t="s">
        <v>14577</v>
      </c>
      <c r="H2903" s="1" t="str">
        <f>IFERROR(__xludf.DUMMYFUNCTION("GOOGLETRANSLATE(D2903,""EN"",""JA"")"),"病変再狭窄指標")</f>
        <v>病変再狭窄指標</v>
      </c>
      <c r="I2903" s="1" t="str">
        <f>IFERROR(__xludf.DUMMYFUNCTION("GOOGLETRANSLATE(E2903,""EN"",""JA"")"),"病変再狭窄指標")</f>
        <v>病変再狭窄指標</v>
      </c>
      <c r="J2903" s="1" t="str">
        <f>IFERROR(__xludf.DUMMYFUNCTION("GOOGLETRANSLATE(F2903,""EN"",""JA"")"),"以前の狭窄を治療した後に、病変部位が再び狭くなり、以前に治療した病変部位の直径が 50% を超える狭窄があるかどうかを示します。")</f>
        <v>以前の狭窄を治療した後に、病変部位が再び狭くなり、以前に治療した病変部位の直径が 50% を超える狭窄があるかどうかを示します。</v>
      </c>
      <c r="K2903" s="1" t="str">
        <f>IFERROR(__xludf.DUMMYFUNCTION("GOOGLETRANSLATE(G2903,""EN"",""JA"")"),"病変再狭窄指標")</f>
        <v>病変再狭窄指標</v>
      </c>
    </row>
    <row r="2904" ht="13.5" customHeight="1">
      <c r="A2904" s="1" t="s">
        <v>233</v>
      </c>
      <c r="B2904" s="1" t="s">
        <v>14579</v>
      </c>
      <c r="C2904" s="1" t="s">
        <v>14580</v>
      </c>
      <c r="D2904" s="1" t="s">
        <v>14581</v>
      </c>
      <c r="E2904" s="1" t="s">
        <v>14581</v>
      </c>
      <c r="F2904" s="1" t="s">
        <v>14582</v>
      </c>
      <c r="G2904" s="1" t="s">
        <v>14583</v>
      </c>
      <c r="H2904" s="1" t="str">
        <f>IFERROR(__xludf.DUMMYFUNCTION("GOOGLETRANSLATE(D2904,""EN"",""JA"")"),"病変リーバスの臨床指標")</f>
        <v>病変リーバスの臨床指標</v>
      </c>
      <c r="I2904" s="1" t="str">
        <f>IFERROR(__xludf.DUMMYFUNCTION("GOOGLETRANSLATE(E2904,""EN"",""JA"")"),"病変リーバスの臨床指標")</f>
        <v>病変リーバスの臨床指標</v>
      </c>
      <c r="J2904" s="1" t="str">
        <f>IFERROR(__xludf.DUMMYFUNCTION("GOOGLETRANSLATE(F2904,""EN"",""JA"")"),"病変の血行再建が行われる前に適切な臨床状況が存在していたかどうかを示します。")</f>
        <v>病変の血行再建が行われる前に適切な臨床状況が存在していたかどうかを示します。</v>
      </c>
      <c r="K2904" s="1" t="str">
        <f>IFERROR(__xludf.DUMMYFUNCTION("GOOGLETRANSLATE(G2904,""EN"",""JA"")"),"病変血行再建の臨床指標")</f>
        <v>病変血行再建の臨床指標</v>
      </c>
    </row>
    <row r="2905" ht="13.5" customHeight="1">
      <c r="A2905" s="1" t="s">
        <v>11</v>
      </c>
      <c r="B2905" s="1" t="s">
        <v>14584</v>
      </c>
      <c r="C2905" s="1" t="s">
        <v>14585</v>
      </c>
      <c r="D2905" s="1" t="s">
        <v>14586</v>
      </c>
      <c r="E2905" s="1" t="s">
        <v>14586</v>
      </c>
      <c r="F2905" s="1" t="s">
        <v>14587</v>
      </c>
      <c r="G2905" s="1" t="s">
        <v>14588</v>
      </c>
      <c r="H2905" s="1" t="str">
        <f>IFERROR(__xludf.DUMMYFUNCTION("GOOGLETRANSLATE(D2905,""EN"",""JA"")"),"ロラゼパム")</f>
        <v>ロラゼパム</v>
      </c>
      <c r="I2905" s="1" t="str">
        <f>IFERROR(__xludf.DUMMYFUNCTION("GOOGLETRANSLATE(E2905,""EN"",""JA"")"),"ロラゼパム")</f>
        <v>ロラゼパム</v>
      </c>
      <c r="J2905" s="1" t="str">
        <f>IFERROR(__xludf.DUMMYFUNCTION("GOOGLETRANSLATE(F2905,""EN"",""JA"")"),"生物学的標本中に存在するロラゼパムの測定。")</f>
        <v>生物学的標本中に存在するロラゼパムの測定。</v>
      </c>
      <c r="K2905" s="1" t="str">
        <f>IFERROR(__xludf.DUMMYFUNCTION("GOOGLETRANSLATE(G2905,""EN"",""JA"")"),"ロラゼパム測定")</f>
        <v>ロラゼパム測定</v>
      </c>
    </row>
    <row r="2906" ht="13.5" customHeight="1">
      <c r="A2906" s="1" t="s">
        <v>9590</v>
      </c>
      <c r="B2906" s="1" t="s">
        <v>14589</v>
      </c>
      <c r="C2906" s="1" t="s">
        <v>14590</v>
      </c>
      <c r="D2906" s="1" t="s">
        <v>14591</v>
      </c>
      <c r="E2906" s="1" t="s">
        <v>14592</v>
      </c>
      <c r="F2906" s="1" t="s">
        <v>14593</v>
      </c>
      <c r="G2906" s="1" t="s">
        <v>14591</v>
      </c>
      <c r="H2906" s="1" t="str">
        <f>IFERROR(__xludf.DUMMYFUNCTION("GOOGLETRANSLATE(D2906,""EN"",""JA"")"),"対象者の生存が確認された最終日")</f>
        <v>対象者の生存が確認された最終日</v>
      </c>
      <c r="I2906" s="1" t="str">
        <f>IFERROR(__xludf.DUMMYFUNCTION("GOOGLETRANSLATE(E2906,""EN"",""JA"")"),"最後に生存が確認された日付; 対象者の生存が確認された日付")</f>
        <v>最後に生存が確認された日付; 対象者の生存が確認された日付</v>
      </c>
      <c r="J2906" s="1" t="str">
        <f>IFERROR(__xludf.DUMMYFUNCTION("GOOGLETRANSLATE(F2906,""EN"",""JA"")"),"対象者が生存していたことが知られている最新の日付。")</f>
        <v>対象者が生存していたことが知られている最新の日付。</v>
      </c>
      <c r="K2906" s="1" t="str">
        <f>IFERROR(__xludf.DUMMYFUNCTION("GOOGLETRANSLATE(G2906,""EN"",""JA"")"),"対象者の生存が確認された最終日")</f>
        <v>対象者の生存が確認された最終日</v>
      </c>
    </row>
    <row r="2907" ht="13.5" customHeight="1">
      <c r="A2907" s="1" t="s">
        <v>11</v>
      </c>
      <c r="B2907" s="1" t="s">
        <v>14594</v>
      </c>
      <c r="C2907" s="1" t="s">
        <v>14595</v>
      </c>
      <c r="D2907" s="1" t="s">
        <v>14596</v>
      </c>
      <c r="E2907" s="1" t="s">
        <v>14597</v>
      </c>
      <c r="F2907" s="1" t="s">
        <v>14598</v>
      </c>
      <c r="G2907" s="1" t="s">
        <v>14599</v>
      </c>
      <c r="H2907" s="1" t="str">
        <f>IFERROR(__xludf.DUMMYFUNCTION("GOOGLETRANSLATE(D2907,""EN"",""JA"")"),"リゼルグ酸ジエチルアミド")</f>
        <v>リゼルグ酸ジエチルアミド</v>
      </c>
      <c r="I2907" s="1" t="str">
        <f>IFERROR(__xludf.DUMMYFUNCTION("GOOGLETRANSLATE(E2907,""EN"",""JA"")"),"酸; リゼルゲートジエチルアミド; リゼルグ酸ジエチルアミド")</f>
        <v>酸; リゼルゲートジエチルアミド; リゼルグ酸ジエチルアミド</v>
      </c>
      <c r="J2907" s="1" t="str">
        <f>IFERROR(__xludf.DUMMYFUNCTION("GOOGLETRANSLATE(F2907,""EN"",""JA"")"),"生物標本中のリゼルグ酸ジエチルアミン (LSD) の測定。")</f>
        <v>生物標本中のリゼルグ酸ジエチルアミン (LSD) の測定。</v>
      </c>
      <c r="K2907" s="1" t="str">
        <f>IFERROR(__xludf.DUMMYFUNCTION("GOOGLETRANSLATE(G2907,""EN"",""JA"")"),"リセルギド測定")</f>
        <v>リセルギド測定</v>
      </c>
    </row>
    <row r="2908" ht="13.5" customHeight="1">
      <c r="A2908" s="1" t="s">
        <v>11</v>
      </c>
      <c r="B2908" s="1" t="s">
        <v>14600</v>
      </c>
      <c r="C2908" s="1" t="s">
        <v>14601</v>
      </c>
      <c r="D2908" s="1" t="s">
        <v>14602</v>
      </c>
      <c r="E2908" s="1" t="s">
        <v>14603</v>
      </c>
      <c r="F2908" s="1" t="s">
        <v>14604</v>
      </c>
      <c r="G2908" s="1" t="s">
        <v>14605</v>
      </c>
      <c r="H2908" s="1" t="str">
        <f>IFERROR(__xludf.DUMMYFUNCTION("GOOGLETRANSLATE(D2908,""EN"",""JA"")"),"可溶性L-セレクチン")</f>
        <v>可溶性L-セレクチン</v>
      </c>
      <c r="I2908" s="1" t="str">
        <f>IFERROR(__xludf.DUMMYFUNCTION("GOOGLETRANSLATE(E2908,""EN"",""JA"")"),"sL-セレクチン; 可溶性CD62L; 可溶性L-セレクチン")</f>
        <v>sL-セレクチン; 可溶性CD62L; 可溶性L-セレクチン</v>
      </c>
      <c r="J2908" s="1" t="str">
        <f>IFERROR(__xludf.DUMMYFUNCTION("GOOGLETRANSLATE(F2908,""EN"",""JA"")"),"生物標本中の可溶性 L-セレクチンの測定。")</f>
        <v>生物標本中の可溶性 L-セレクチンの測定。</v>
      </c>
      <c r="K2908" s="1" t="str">
        <f>IFERROR(__xludf.DUMMYFUNCTION("GOOGLETRANSLATE(G2908,""EN"",""JA"")"),"可溶性L-セレクチン測定")</f>
        <v>可溶性L-セレクチン測定</v>
      </c>
    </row>
    <row r="2909" ht="13.5" customHeight="1">
      <c r="A2909" s="1" t="s">
        <v>67</v>
      </c>
      <c r="B2909" s="1" t="s">
        <v>14606</v>
      </c>
      <c r="C2909" s="1" t="s">
        <v>14607</v>
      </c>
      <c r="D2909" s="1" t="s">
        <v>14608</v>
      </c>
      <c r="E2909" s="1" t="s">
        <v>14608</v>
      </c>
      <c r="F2909" s="1" t="s">
        <v>14609</v>
      </c>
      <c r="G2909" s="1" t="s">
        <v>14610</v>
      </c>
      <c r="H2909" s="1" t="str">
        <f>IFERROR(__xludf.DUMMYFUNCTION("GOOGLETRANSLATE(D2909,""EN"",""JA"")"),"リステリア・モノサイトゲネスDNA")</f>
        <v>リステリア・モノサイトゲネスDNA</v>
      </c>
      <c r="I2909" s="1" t="str">
        <f>IFERROR(__xludf.DUMMYFUNCTION("GOOGLETRANSLATE(E2909,""EN"",""JA"")"),"リステリア・モノサイトゲネスDNA")</f>
        <v>リステリア・モノサイトゲネスDNA</v>
      </c>
      <c r="J2909" s="1" t="str">
        <f>IFERROR(__xludf.DUMMYFUNCTION("GOOGLETRANSLATE(F2909,""EN"",""JA"")"),"生物標本中のリステリア・モノサイトゲネス DNA の測定。")</f>
        <v>生物標本中のリステリア・モノサイトゲネス DNA の測定。</v>
      </c>
      <c r="K2909" s="1" t="str">
        <f>IFERROR(__xludf.DUMMYFUNCTION("GOOGLETRANSLATE(G2909,""EN"",""JA"")"),"リステリア・モノサイトゲネスDNA測定")</f>
        <v>リステリア・モノサイトゲネスDNA測定</v>
      </c>
    </row>
    <row r="2910" ht="13.5" customHeight="1">
      <c r="A2910" s="1" t="s">
        <v>11</v>
      </c>
      <c r="B2910" s="1" t="s">
        <v>14611</v>
      </c>
      <c r="C2910" s="1" t="s">
        <v>14612</v>
      </c>
      <c r="D2910" s="1" t="s">
        <v>14613</v>
      </c>
      <c r="E2910" s="1" t="s">
        <v>14614</v>
      </c>
      <c r="F2910" s="1" t="s">
        <v>14615</v>
      </c>
      <c r="G2910" s="1" t="s">
        <v>14616</v>
      </c>
      <c r="H2910" s="1" t="str">
        <f>IFERROR(__xludf.DUMMYFUNCTION("GOOGLETRANSLATE(D2910,""EN"",""JA"")"),"リンホトキシンアルファ")</f>
        <v>リンホトキシンアルファ</v>
      </c>
      <c r="I2910" s="1" t="str">
        <f>IFERROR(__xludf.DUMMYFUNCTION("GOOGLETRANSLATE(E2910,""EN"",""JA"")"),"リンホトキシンα、TNF-β、腫瘍壊死因子β")</f>
        <v>リンホトキシンα、TNF-β、腫瘍壊死因子β</v>
      </c>
      <c r="J2910" s="1" t="str">
        <f>IFERROR(__xludf.DUMMYFUNCTION("GOOGLETRANSLATE(F2910,""EN"",""JA"")"),"生物標本中のリンホトキシンアルファの測定。")</f>
        <v>生物標本中のリンホトキシンアルファの測定。</v>
      </c>
      <c r="K2910" s="1" t="str">
        <f>IFERROR(__xludf.DUMMYFUNCTION("GOOGLETRANSLATE(G2910,""EN"",""JA"")"),"リンホトキシンα測定")</f>
        <v>リンホトキシンα測定</v>
      </c>
    </row>
    <row r="2911" ht="13.5" customHeight="1">
      <c r="A2911" s="1" t="s">
        <v>11</v>
      </c>
      <c r="B2911" s="1" t="s">
        <v>14617</v>
      </c>
      <c r="C2911" s="1" t="s">
        <v>14618</v>
      </c>
      <c r="D2911" s="1" t="s">
        <v>14619</v>
      </c>
      <c r="E2911" s="1" t="s">
        <v>14619</v>
      </c>
      <c r="F2911" s="1" t="s">
        <v>14620</v>
      </c>
      <c r="G2911" s="1" t="s">
        <v>14621</v>
      </c>
      <c r="H2911" s="1" t="str">
        <f>IFERROR(__xludf.DUMMYFUNCTION("GOOGLETRANSLATE(D2911,""EN"",""JA"")"),"ロイコトリエンB4")</f>
        <v>ロイコトリエンB4</v>
      </c>
      <c r="I2911" s="1" t="str">
        <f>IFERROR(__xludf.DUMMYFUNCTION("GOOGLETRANSLATE(E2911,""EN"",""JA"")"),"ロイコトリエンB4")</f>
        <v>ロイコトリエンB4</v>
      </c>
      <c r="J2911" s="1" t="str">
        <f>IFERROR(__xludf.DUMMYFUNCTION("GOOGLETRANSLATE(F2911,""EN"",""JA"")"),"生物標本中のロイコトリエン B4 の測定。")</f>
        <v>生物標本中のロイコトリエン B4 の測定。</v>
      </c>
      <c r="K2911" s="1" t="str">
        <f>IFERROR(__xludf.DUMMYFUNCTION("GOOGLETRANSLATE(G2911,""EN"",""JA"")"),"ロイコトリエンB4測定")</f>
        <v>ロイコトリエンB4測定</v>
      </c>
    </row>
    <row r="2912" ht="13.5" customHeight="1">
      <c r="A2912" s="1" t="s">
        <v>11</v>
      </c>
      <c r="B2912" s="1" t="s">
        <v>14622</v>
      </c>
      <c r="C2912" s="1" t="s">
        <v>14623</v>
      </c>
      <c r="D2912" s="1" t="s">
        <v>14624</v>
      </c>
      <c r="E2912" s="1" t="s">
        <v>14624</v>
      </c>
      <c r="F2912" s="1" t="s">
        <v>14625</v>
      </c>
      <c r="G2912" s="1" t="s">
        <v>14626</v>
      </c>
      <c r="H2912" s="1" t="str">
        <f>IFERROR(__xludf.DUMMYFUNCTION("GOOGLETRANSLATE(D2912,""EN"",""JA"")"),"ロイコトリエンC4合成酵素")</f>
        <v>ロイコトリエンC4合成酵素</v>
      </c>
      <c r="I2912" s="1" t="str">
        <f>IFERROR(__xludf.DUMMYFUNCTION("GOOGLETRANSLATE(E2912,""EN"",""JA"")"),"ロイコトリエンC4合成酵素")</f>
        <v>ロイコトリエンC4合成酵素</v>
      </c>
      <c r="J2912" s="1" t="str">
        <f>IFERROR(__xludf.DUMMYFUNCTION("GOOGLETRANSLATE(F2912,""EN"",""JA"")"),"生物標本中のロイコトリエン C4 合成酵素の測定。")</f>
        <v>生物標本中のロイコトリエン C4 合成酵素の測定。</v>
      </c>
      <c r="K2912" s="1" t="str">
        <f>IFERROR(__xludf.DUMMYFUNCTION("GOOGLETRANSLATE(G2912,""EN"",""JA"")"),"ロイコトリエンC4合成酵素測定")</f>
        <v>ロイコトリエンC4合成酵素測定</v>
      </c>
    </row>
    <row r="2913" ht="13.5" customHeight="1">
      <c r="A2913" s="1" t="s">
        <v>11</v>
      </c>
      <c r="B2913" s="1" t="s">
        <v>14627</v>
      </c>
      <c r="C2913" s="1" t="s">
        <v>14628</v>
      </c>
      <c r="D2913" s="1" t="s">
        <v>14629</v>
      </c>
      <c r="E2913" s="1" t="s">
        <v>14629</v>
      </c>
      <c r="F2913" s="1" t="s">
        <v>14630</v>
      </c>
      <c r="G2913" s="1" t="s">
        <v>14631</v>
      </c>
      <c r="H2913" s="1" t="str">
        <f>IFERROR(__xludf.DUMMYFUNCTION("GOOGLETRANSLATE(D2913,""EN"",""JA"")"),"ロイコトリエンD4")</f>
        <v>ロイコトリエンD4</v>
      </c>
      <c r="I2913" s="1" t="str">
        <f>IFERROR(__xludf.DUMMYFUNCTION("GOOGLETRANSLATE(E2913,""EN"",""JA"")"),"ロイコトリエンD4")</f>
        <v>ロイコトリエンD4</v>
      </c>
      <c r="J2913" s="1" t="str">
        <f>IFERROR(__xludf.DUMMYFUNCTION("GOOGLETRANSLATE(F2913,""EN"",""JA"")"),"生物標本中のロイコトリエン D4 の測定。")</f>
        <v>生物標本中のロイコトリエン D4 の測定。</v>
      </c>
      <c r="K2913" s="1" t="str">
        <f>IFERROR(__xludf.DUMMYFUNCTION("GOOGLETRANSLATE(G2913,""EN"",""JA"")"),"ロイコトリエンD4測定")</f>
        <v>ロイコトリエンD4測定</v>
      </c>
    </row>
    <row r="2914" ht="13.5" customHeight="1">
      <c r="A2914" s="1" t="s">
        <v>11</v>
      </c>
      <c r="B2914" s="1" t="s">
        <v>14632</v>
      </c>
      <c r="C2914" s="1" t="s">
        <v>14633</v>
      </c>
      <c r="D2914" s="1" t="s">
        <v>14634</v>
      </c>
      <c r="E2914" s="1" t="s">
        <v>14634</v>
      </c>
      <c r="F2914" s="1" t="s">
        <v>14635</v>
      </c>
      <c r="G2914" s="1" t="s">
        <v>14636</v>
      </c>
      <c r="H2914" s="1" t="str">
        <f>IFERROR(__xludf.DUMMYFUNCTION("GOOGLETRANSLATE(D2914,""EN"",""JA"")"),"ロイコトリエンE4")</f>
        <v>ロイコトリエンE4</v>
      </c>
      <c r="I2914" s="1" t="str">
        <f>IFERROR(__xludf.DUMMYFUNCTION("GOOGLETRANSLATE(E2914,""EN"",""JA"")"),"ロイコトリエンE4")</f>
        <v>ロイコトリエンE4</v>
      </c>
      <c r="J2914" s="1" t="str">
        <f>IFERROR(__xludf.DUMMYFUNCTION("GOOGLETRANSLATE(F2914,""EN"",""JA"")"),"生物標本中のロイコトリエン E4 の測定。")</f>
        <v>生物標本中のロイコトリエン E4 の測定。</v>
      </c>
      <c r="K2914" s="1" t="str">
        <f>IFERROR(__xludf.DUMMYFUNCTION("GOOGLETRANSLATE(G2914,""EN"",""JA"")"),"ロイコトリエンE4測定")</f>
        <v>ロイコトリエンE4測定</v>
      </c>
    </row>
    <row r="2915" ht="13.5" customHeight="1">
      <c r="A2915" s="1" t="s">
        <v>11</v>
      </c>
      <c r="B2915" s="1" t="s">
        <v>14637</v>
      </c>
      <c r="C2915" s="1" t="s">
        <v>14638</v>
      </c>
      <c r="D2915" s="1" t="s">
        <v>14639</v>
      </c>
      <c r="E2915" s="1" t="s">
        <v>14640</v>
      </c>
      <c r="F2915" s="1" t="s">
        <v>14641</v>
      </c>
      <c r="G2915" s="1" t="s">
        <v>14642</v>
      </c>
      <c r="H2915" s="1" t="str">
        <f>IFERROR(__xludf.DUMMYFUNCTION("GOOGLETRANSLATE(D2915,""EN"",""JA"")"),"ラクトフェリン")</f>
        <v>ラクトフェリン</v>
      </c>
      <c r="I2915" s="1" t="str">
        <f>IFERROR(__xludf.DUMMYFUNCTION("GOOGLETRANSLATE(E2915,""EN"",""JA"")"),"ラクトフェリン; ラクトトランスフェリン")</f>
        <v>ラクトフェリン; ラクトトランスフェリン</v>
      </c>
      <c r="J2915" s="1" t="str">
        <f>IFERROR(__xludf.DUMMYFUNCTION("GOOGLETRANSLATE(F2915,""EN"",""JA"")"),"生物標本中のラクトフェリンの測定。")</f>
        <v>生物標本中のラクトフェリンの測定。</v>
      </c>
      <c r="K2915" s="1" t="str">
        <f>IFERROR(__xludf.DUMMYFUNCTION("GOOGLETRANSLATE(G2915,""EN"",""JA"")"),"ラクトフェリン測定")</f>
        <v>ラクトフェリン測定</v>
      </c>
    </row>
    <row r="2916" ht="13.5" customHeight="1">
      <c r="A2916" s="1" t="s">
        <v>129</v>
      </c>
      <c r="B2916" s="1" t="s">
        <v>14643</v>
      </c>
      <c r="C2916" s="1" t="s">
        <v>14644</v>
      </c>
      <c r="D2916" s="1" t="s">
        <v>14645</v>
      </c>
      <c r="E2916" s="1" t="s">
        <v>14645</v>
      </c>
      <c r="F2916" s="1" t="s">
        <v>14646</v>
      </c>
      <c r="G2916" s="1" t="s">
        <v>14647</v>
      </c>
      <c r="H2916" s="1" t="str">
        <f>IFERROR(__xludf.DUMMYFUNCTION("GOOGLETRANSLATE(D2916,""EN"",""JA"")"),"除脂肪組織量")</f>
        <v>除脂肪組織量</v>
      </c>
      <c r="I2916" s="1" t="str">
        <f>IFERROR(__xludf.DUMMYFUNCTION("GOOGLETRANSLATE(E2916,""EN"",""JA"")"),"除脂肪組織量")</f>
        <v>除脂肪組織量</v>
      </c>
      <c r="J2916" s="1" t="str">
        <f>IFERROR(__xludf.DUMMYFUNCTION("GOOGLETRANSLATE(F2916,""EN"",""JA"")"),"個人の組織の一部または全体の重量から、その組織の一部または全体の組織内の個人の体脂肪の重量を差し引いたもの。")</f>
        <v>個人の組織の一部または全体の重量から、その組織の一部または全体の組織内の個人の体脂肪の重量を差し引いたもの。</v>
      </c>
      <c r="K2916" s="1" t="str">
        <f>IFERROR(__xludf.DUMMYFUNCTION("GOOGLETRANSLATE(G2916,""EN"",""JA"")"),"除脂肪組織量測定")</f>
        <v>除脂肪組織量測定</v>
      </c>
    </row>
    <row r="2917" ht="13.5" customHeight="1">
      <c r="A2917" s="1" t="s">
        <v>11</v>
      </c>
      <c r="B2917" s="1" t="s">
        <v>14648</v>
      </c>
      <c r="C2917" s="1" t="s">
        <v>14649</v>
      </c>
      <c r="D2917" s="1" t="s">
        <v>14650</v>
      </c>
      <c r="E2917" s="1" t="s">
        <v>14650</v>
      </c>
      <c r="F2917" s="1" t="s">
        <v>14651</v>
      </c>
      <c r="G2917" s="1" t="s">
        <v>14652</v>
      </c>
      <c r="H2917" s="1" t="str">
        <f>IFERROR(__xludf.DUMMYFUNCTION("GOOGLETRANSLATE(D2917,""EN"",""JA"")"),"ルラシドン")</f>
        <v>ルラシドン</v>
      </c>
      <c r="I2917" s="1" t="str">
        <f>IFERROR(__xludf.DUMMYFUNCTION("GOOGLETRANSLATE(E2917,""EN"",""JA"")"),"ルラシドン")</f>
        <v>ルラシドン</v>
      </c>
      <c r="J2917" s="1" t="str">
        <f>IFERROR(__xludf.DUMMYFUNCTION("GOOGLETRANSLATE(F2917,""EN"",""JA"")"),"生物標本中のルラシドンの測定。")</f>
        <v>生物標本中のルラシドンの測定。</v>
      </c>
      <c r="K2917" s="1" t="str">
        <f>IFERROR(__xludf.DUMMYFUNCTION("GOOGLETRANSLATE(G2917,""EN"",""JA"")"),"ルラシドン測定")</f>
        <v>ルラシドン測定</v>
      </c>
    </row>
    <row r="2918" ht="13.5" customHeight="1">
      <c r="A2918" s="1" t="s">
        <v>90</v>
      </c>
      <c r="B2918" s="1" t="s">
        <v>14653</v>
      </c>
      <c r="C2918" s="1" t="s">
        <v>14654</v>
      </c>
      <c r="D2918" s="1" t="s">
        <v>14655</v>
      </c>
      <c r="E2918" s="1" t="s">
        <v>14655</v>
      </c>
      <c r="F2918" s="1" t="s">
        <v>14656</v>
      </c>
      <c r="G2918" s="1" t="s">
        <v>14655</v>
      </c>
      <c r="H2918" s="1" t="str">
        <f>IFERROR(__xludf.DUMMYFUNCTION("GOOGLETRANSLATE(D2918,""EN"",""JA"")"),"左室駆出率")</f>
        <v>左室駆出率</v>
      </c>
      <c r="I2918" s="1" t="str">
        <f>IFERROR(__xludf.DUMMYFUNCTION("GOOGLETRANSLATE(E2918,""EN"",""JA"")"),"左室駆出率")</f>
        <v>左室駆出率</v>
      </c>
      <c r="J2918" s="1" t="str">
        <f>IFERROR(__xludf.DUMMYFUNCTION("GOOGLETRANSLATE(F2918,""EN"",""JA"")"),"視覚的な推定または計算によって測定できる、収縮期中に駆出される左室拡張期末容積のパーセンテージまたは分数。")</f>
        <v>視覚的な推定または計算によって測定できる、収縮期中に駆出される左室拡張期末容積のパーセンテージまたは分数。</v>
      </c>
      <c r="K2918" s="1" t="str">
        <f>IFERROR(__xludf.DUMMYFUNCTION("GOOGLETRANSLATE(G2918,""EN"",""JA"")"),"左室駆出率")</f>
        <v>左室駆出率</v>
      </c>
    </row>
    <row r="2919" ht="13.5" customHeight="1">
      <c r="A2919" s="1" t="s">
        <v>90</v>
      </c>
      <c r="B2919" s="1" t="s">
        <v>14657</v>
      </c>
      <c r="C2919" s="1" t="s">
        <v>14658</v>
      </c>
      <c r="D2919" s="1" t="s">
        <v>14659</v>
      </c>
      <c r="E2919" s="1" t="s">
        <v>14660</v>
      </c>
      <c r="F2919" s="1" t="s">
        <v>14661</v>
      </c>
      <c r="G2919" s="1" t="s">
        <v>14662</v>
      </c>
      <c r="H2919" s="1" t="str">
        <f>IFERROR(__xludf.DUMMYFUNCTION("GOOGLETRANSLATE(D2919,""EN"",""JA"")"),"左室駆出率、Cal")</f>
        <v>左室駆出率、Cal</v>
      </c>
      <c r="I2919" s="1" t="str">
        <f>IFERROR(__xludf.DUMMYFUNCTION("GOOGLETRANSLATE(E2919,""EN"",""JA"")"),"左室駆出率、Cal; 左室駆出率、計算値")</f>
        <v>左室駆出率、Cal; 左室駆出率、計算値</v>
      </c>
      <c r="J2919" s="1" t="str">
        <f>IFERROR(__xludf.DUMMYFUNCTION("GOOGLETRANSLATE(F2919,""EN"",""JA"")"),"左室収縮期に左室から駆出される血液量の計算されたパーセントまたは分数。左室一回拍出量を左室拡張末期容積で割って計算されます。")</f>
        <v>左室収縮期に左室から駆出される血液量の計算されたパーセントまたは分数。左室一回拍出量を左室拡張末期容積で割って計算されます。</v>
      </c>
      <c r="K2919" s="1" t="str">
        <f>IFERROR(__xludf.DUMMYFUNCTION("GOOGLETRANSLATE(G2919,""EN"",""JA"")"),"左室駆出率の計算値")</f>
        <v>左室駆出率の計算値</v>
      </c>
    </row>
    <row r="2920" ht="13.5" customHeight="1">
      <c r="A2920" s="1" t="s">
        <v>90</v>
      </c>
      <c r="B2920" s="1" t="s">
        <v>14663</v>
      </c>
      <c r="C2920" s="1" t="s">
        <v>14664</v>
      </c>
      <c r="D2920" s="1" t="s">
        <v>14665</v>
      </c>
      <c r="E2920" s="1" t="s">
        <v>14666</v>
      </c>
      <c r="F2920" s="1" t="s">
        <v>14667</v>
      </c>
      <c r="G2920" s="1" t="s">
        <v>14668</v>
      </c>
      <c r="H2920" s="1" t="str">
        <f>IFERROR(__xludf.DUMMYFUNCTION("GOOGLETRANSLATE(D2920,""EN"",""JA"")"),"左心室駆出率、Est")</f>
        <v>左心室駆出率、Est</v>
      </c>
      <c r="I2920" s="1" t="str">
        <f>IFERROR(__xludf.DUMMYFUNCTION("GOOGLETRANSLATE(E2920,""EN"",""JA"")"),"左室駆出率（推定）; 左室駆出率（推定）")</f>
        <v>左室駆出率（推定）; 左室駆出率（推定）</v>
      </c>
      <c r="J2920" s="1" t="str">
        <f>IFERROR(__xludf.DUMMYFUNCTION("GOOGLETRANSLATE(F2920,""EN"",""JA"")"),"左心室収縮期に左心室から排出される血液量の割合または分率を視覚的に推定します。")</f>
        <v>左心室収縮期に左心室から排出される血液量の割合または分率を視覚的に推定します。</v>
      </c>
      <c r="K2920" s="1" t="str">
        <f>IFERROR(__xludf.DUMMYFUNCTION("GOOGLETRANSLATE(G2920,""EN"",""JA"")"),"推定左室駆出率")</f>
        <v>推定左室駆出率</v>
      </c>
    </row>
    <row r="2921" ht="13.5" customHeight="1">
      <c r="A2921" s="1" t="s">
        <v>90</v>
      </c>
      <c r="B2921" s="1" t="s">
        <v>14669</v>
      </c>
      <c r="C2921" s="1" t="s">
        <v>14670</v>
      </c>
      <c r="D2921" s="1" t="s">
        <v>14671</v>
      </c>
      <c r="E2921" s="1" t="s">
        <v>14672</v>
      </c>
      <c r="F2921" s="1" t="s">
        <v>14673</v>
      </c>
      <c r="G2921" s="1" t="s">
        <v>14674</v>
      </c>
      <c r="H2921" s="1" t="str">
        <f>IFERROR(__xludf.DUMMYFUNCTION("GOOGLETRANSLATE(D2921,""EN"",""JA"")"),"左室駆出率（INTP）")</f>
        <v>左室駆出率（INTP）</v>
      </c>
      <c r="I2921" s="1" t="str">
        <f>IFERROR(__xludf.DUMMYFUNCTION("GOOGLETRANSLATE(E2921,""EN"",""JA"")"),"左室駆出率の解釈; 左室駆出率 Intp")</f>
        <v>左室駆出率の解釈; 左室駆出率 Intp</v>
      </c>
      <c r="J2921" s="1" t="str">
        <f>IFERROR(__xludf.DUMMYFUNCTION("GOOGLETRANSLATE(F2921,""EN"",""JA"")"),"左室駆出率測定の意味の説明。")</f>
        <v>左室駆出率測定の意味の説明。</v>
      </c>
      <c r="K2921" s="1" t="str">
        <f>IFERROR(__xludf.DUMMYFUNCTION("GOOGLETRANSLATE(G2921,""EN"",""JA"")"),"左室駆出率の解釈")</f>
        <v>左室駆出率の解釈</v>
      </c>
    </row>
    <row r="2922" ht="13.5" customHeight="1">
      <c r="A2922" s="1" t="s">
        <v>11</v>
      </c>
      <c r="B2922" s="1" t="s">
        <v>14675</v>
      </c>
      <c r="C2922" s="1" t="s">
        <v>14676</v>
      </c>
      <c r="D2922" s="1" t="s">
        <v>14677</v>
      </c>
      <c r="E2922" s="1" t="s">
        <v>14677</v>
      </c>
      <c r="F2922" s="1" t="s">
        <v>14678</v>
      </c>
      <c r="G2922" s="1" t="s">
        <v>14677</v>
      </c>
      <c r="H2922" s="1" t="str">
        <f>IFERROR(__xludf.DUMMYFUNCTION("GOOGLETRANSLATE(D2922,""EN"",""JA"")"),"肝線維化スコア")</f>
        <v>肝線維化スコア</v>
      </c>
      <c r="I2922" s="1" t="str">
        <f>IFERROR(__xludf.DUMMYFUNCTION("GOOGLETRANSLATE(E2922,""EN"",""JA"")"),"肝線維化スコア")</f>
        <v>肝線維化スコア</v>
      </c>
      <c r="J2922" s="1" t="str">
        <f>IFERROR(__xludf.DUMMYFUNCTION("GOOGLETRANSLATE(F2922,""EN"",""JA"")"),"被験者の年齢や性別などの追加の人口統計学的要因を考慮し、複数の血液検査パラメータを評価することで肝臓病理を評価するスコアリング システム。")</f>
        <v>被験者の年齢や性別などの追加の人口統計学的要因を考慮し、複数の血液検査パラメータを評価することで肝臓病理を評価するスコアリング システム。</v>
      </c>
      <c r="K2922" s="1" t="str">
        <f>IFERROR(__xludf.DUMMYFUNCTION("GOOGLETRANSLATE(G2922,""EN"",""JA"")"),"肝線維化スコア")</f>
        <v>肝線維化スコア</v>
      </c>
    </row>
    <row r="2923" ht="13.5" customHeight="1">
      <c r="A2923" s="1" t="s">
        <v>90</v>
      </c>
      <c r="B2923" s="1" t="s">
        <v>14679</v>
      </c>
      <c r="C2923" s="1" t="s">
        <v>14680</v>
      </c>
      <c r="D2923" s="1" t="s">
        <v>14681</v>
      </c>
      <c r="E2923" s="1" t="s">
        <v>14681</v>
      </c>
      <c r="F2923" s="1" t="s">
        <v>14682</v>
      </c>
      <c r="G2923" s="1" t="s">
        <v>14683</v>
      </c>
      <c r="H2923" s="1" t="str">
        <f>IFERROR(__xludf.DUMMYFUNCTION("GOOGLETRANSLATE(D2923,""EN"",""JA"")"),"左室短縮率")</f>
        <v>左室短縮率</v>
      </c>
      <c r="I2923" s="1" t="str">
        <f>IFERROR(__xludf.DUMMYFUNCTION("GOOGLETRANSLATE(E2923,""EN"",""JA"")"),"左室短縮率")</f>
        <v>左室短縮率</v>
      </c>
      <c r="J2923" s="1" t="str">
        <f>IFERROR(__xludf.DUMMYFUNCTION("GOOGLETRANSLATE(F2923,""EN"",""JA"")"),"収縮末期から拡張末期にかけての拡張末期径の減少を、拡張末期径に対する割合で表す。左室短縮率の計算は以下の式に従って行う。")</f>
        <v>収縮末期から拡張末期にかけての拡張末期径の減少を、拡張末期径に対する割合で表す。左室短縮率の計算は以下の式に従って行う。</v>
      </c>
      <c r="K2923" s="1" t="str">
        <f>IFERROR(__xludf.DUMMYFUNCTION("GOOGLETRANSLATE(G2923,""EN"",""JA"")"),"左室短縮率測定")</f>
        <v>左室短縮率測定</v>
      </c>
    </row>
    <row r="2924" ht="13.5" customHeight="1">
      <c r="A2924" s="1" t="s">
        <v>90</v>
      </c>
      <c r="B2924" s="1" t="s">
        <v>14684</v>
      </c>
      <c r="C2924" s="1" t="s">
        <v>14685</v>
      </c>
      <c r="D2924" s="1" t="s">
        <v>14686</v>
      </c>
      <c r="E2924" s="1" t="s">
        <v>14686</v>
      </c>
      <c r="F2924" s="1" t="s">
        <v>14687</v>
      </c>
      <c r="G2924" s="1" t="s">
        <v>14688</v>
      </c>
      <c r="H2924" s="1" t="str">
        <f>IFERROR(__xludf.DUMMYFUNCTION("GOOGLETRANSLATE(D2924,""EN"",""JA"")"),"左心室重量（推定）")</f>
        <v>左心室重量（推定）</v>
      </c>
      <c r="I2924" s="1" t="str">
        <f>IFERROR(__xludf.DUMMYFUNCTION("GOOGLETRANSLATE(E2924,""EN"",""JA"")"),"左心室重量（推定）")</f>
        <v>左心室重量（推定）</v>
      </c>
      <c r="J2924" s="1" t="str">
        <f>IFERROR(__xludf.DUMMYFUNCTION("GOOGLETRANSLATE(F2924,""EN"",""JA"")"),"左心室の重量（グラム単位）は、心エコー検査による推定値と心筋比重などの定数を用いた式で推定されます。左心室重量は以下の式で推定されます。")</f>
        <v>左心室の重量（グラム単位）は、心エコー検査による推定値と心筋比重などの定数を用いた式で推定されます。左心室重量は以下の式で推定されます。</v>
      </c>
      <c r="K2924" s="1" t="str">
        <f>IFERROR(__xludf.DUMMYFUNCTION("GOOGLETRANSLATE(G2924,""EN"",""JA"")"),"左心室の推定質量")</f>
        <v>左心室の推定質量</v>
      </c>
    </row>
    <row r="2925" ht="13.5" customHeight="1">
      <c r="A2925" s="1" t="s">
        <v>90</v>
      </c>
      <c r="B2925" s="1" t="s">
        <v>14689</v>
      </c>
      <c r="C2925" s="1" t="s">
        <v>14690</v>
      </c>
      <c r="D2925" s="1" t="s">
        <v>14691</v>
      </c>
      <c r="E2925" s="1" t="s">
        <v>14691</v>
      </c>
      <c r="F2925" s="1" t="s">
        <v>14692</v>
      </c>
      <c r="G2925" s="1" t="s">
        <v>14691</v>
      </c>
      <c r="H2925" s="1" t="str">
        <f>IFERROR(__xludf.DUMMYFUNCTION("GOOGLETRANSLATE(D2925,""EN"",""JA"")"),"左室重量指数")</f>
        <v>左室重量指数</v>
      </c>
      <c r="I2925" s="1" t="str">
        <f>IFERROR(__xludf.DUMMYFUNCTION("GOOGLETRANSLATE(E2925,""EN"",""JA"")"),"左室重量指数")</f>
        <v>左室重量指数</v>
      </c>
      <c r="J2925" s="1" t="str">
        <f>IFERROR(__xludf.DUMMYFUNCTION("GOOGLETRANSLATE(F2925,""EN"",""JA"")"),"左心室重量を被験者の体表面積で割ったもの。")</f>
        <v>左心室重量を被験者の体表面積で割ったもの。</v>
      </c>
      <c r="K2925" s="1" t="str">
        <f>IFERROR(__xludf.DUMMYFUNCTION("GOOGLETRANSLATE(G2925,""EN"",""JA"")"),"左室重量指数")</f>
        <v>左室重量指数</v>
      </c>
    </row>
    <row r="2926" ht="13.5" customHeight="1">
      <c r="A2926" s="1" t="s">
        <v>90</v>
      </c>
      <c r="B2926" s="1" t="s">
        <v>14693</v>
      </c>
      <c r="C2926" s="1" t="s">
        <v>14694</v>
      </c>
      <c r="D2926" s="1" t="s">
        <v>14695</v>
      </c>
      <c r="E2926" s="1" t="s">
        <v>14696</v>
      </c>
      <c r="F2926" s="1" t="s">
        <v>14697</v>
      </c>
      <c r="G2926" s="1" t="s">
        <v>14698</v>
      </c>
      <c r="H2926" s="1" t="str">
        <f>IFERROR(__xludf.DUMMYFUNCTION("GOOGLETRANSLATE(D2926,""EN"",""JA"")"),"LVOTピーク速度")</f>
        <v>LVOTピーク速度</v>
      </c>
      <c r="I2926" s="1" t="str">
        <f>IFERROR(__xludf.DUMMYFUNCTION("GOOGLETRANSLATE(E2926,""EN"",""JA"")"),"左室流出路ピーク速度; LVOTピーク速度")</f>
        <v>左室流出路ピーク速度; LVOTピーク速度</v>
      </c>
      <c r="J2926" s="1" t="str">
        <f>IFERROR(__xludf.DUMMYFUNCTION("GOOGLETRANSLATE(F2926,""EN"",""JA"")"),"左室収縮期に左室流出路で測定される血流の最大速度の測定値。")</f>
        <v>左室収縮期に左室流出路で測定される血流の最大速度の測定値。</v>
      </c>
      <c r="K2926" s="1" t="str">
        <f>IFERROR(__xludf.DUMMYFUNCTION("GOOGLETRANSLATE(G2926,""EN"",""JA"")"),"左室流出路ピーク速度")</f>
        <v>左室流出路ピーク速度</v>
      </c>
    </row>
    <row r="2927" ht="13.5" customHeight="1">
      <c r="A2927" s="1" t="s">
        <v>90</v>
      </c>
      <c r="B2927" s="1" t="s">
        <v>14699</v>
      </c>
      <c r="C2927" s="1" t="s">
        <v>14700</v>
      </c>
      <c r="D2927" s="1" t="s">
        <v>14701</v>
      </c>
      <c r="E2927" s="1" t="s">
        <v>14702</v>
      </c>
      <c r="F2927" s="1" t="s">
        <v>14703</v>
      </c>
      <c r="G2927" s="1" t="s">
        <v>14704</v>
      </c>
      <c r="H2927" s="1" t="str">
        <f>IFERROR(__xludf.DUMMYFUNCTION("GOOGLETRANSLATE(D2927,""EN"",""JA"")"),"LVOT速度時間積分")</f>
        <v>LVOT速度時間積分</v>
      </c>
      <c r="I2927" s="1" t="str">
        <f>IFERROR(__xludf.DUMMYFUNCTION("GOOGLETRANSLATE(E2927,""EN"",""JA"")"),"左室流出路速度時間積分; LVOT速度時間積分")</f>
        <v>左室流出路速度時間積分; LVOT速度時間積分</v>
      </c>
      <c r="J2927" s="1" t="str">
        <f>IFERROR(__xludf.DUMMYFUNCTION("GOOGLETRANSLATE(F2927,""EN"",""JA"")"),"左室収縮期における左室流出路内のすべての瞬間流速の積分。")</f>
        <v>左室収縮期における左室流出路内のすべての瞬間流速の積分。</v>
      </c>
      <c r="K2927" s="1" t="str">
        <f>IFERROR(__xludf.DUMMYFUNCTION("GOOGLETRANSLATE(G2927,""EN"",""JA"")"),"左室流出路速度時間積分")</f>
        <v>左室流出路速度時間積分</v>
      </c>
    </row>
    <row r="2928" ht="13.5" customHeight="1">
      <c r="A2928" s="1" t="s">
        <v>11</v>
      </c>
      <c r="B2928" s="1" t="s">
        <v>14705</v>
      </c>
      <c r="C2928" s="1" t="s">
        <v>14706</v>
      </c>
      <c r="D2928" s="1" t="s">
        <v>14707</v>
      </c>
      <c r="E2928" s="1" t="s">
        <v>14707</v>
      </c>
      <c r="F2928" s="1" t="s">
        <v>14708</v>
      </c>
      <c r="G2928" s="1" t="s">
        <v>14709</v>
      </c>
      <c r="H2928" s="1" t="str">
        <f>IFERROR(__xludf.DUMMYFUNCTION("GOOGLETRANSLATE(D2928,""EN"",""JA"")"),"レボルファノール")</f>
        <v>レボルファノール</v>
      </c>
      <c r="I2928" s="1" t="str">
        <f>IFERROR(__xludf.DUMMYFUNCTION("GOOGLETRANSLATE(E2928,""EN"",""JA"")"),"レボルファノール")</f>
        <v>レボルファノール</v>
      </c>
      <c r="J2928" s="1" t="str">
        <f>IFERROR(__xludf.DUMMYFUNCTION("GOOGLETRANSLATE(F2928,""EN"",""JA"")"),"生物標本中のレボルファノールの測定。")</f>
        <v>生物標本中のレボルファノールの測定。</v>
      </c>
      <c r="K2928" s="1" t="str">
        <f>IFERROR(__xludf.DUMMYFUNCTION("GOOGLETRANSLATE(G2928,""EN"",""JA"")"),"レボルファノール測定")</f>
        <v>レボルファノール測定</v>
      </c>
    </row>
    <row r="2929" ht="13.5" customHeight="1">
      <c r="A2929" s="1" t="s">
        <v>601</v>
      </c>
      <c r="B2929" s="1" t="s">
        <v>14710</v>
      </c>
      <c r="C2929" s="1" t="s">
        <v>14711</v>
      </c>
      <c r="D2929" s="1" t="s">
        <v>14712</v>
      </c>
      <c r="E2929" s="1" t="s">
        <v>14712</v>
      </c>
      <c r="F2929" s="1" t="s">
        <v>14713</v>
      </c>
      <c r="G2929" s="1" t="s">
        <v>14712</v>
      </c>
      <c r="H2929" s="1" t="str">
        <f>IFERROR(__xludf.DUMMYFUNCTION("GOOGLETRANSLATE(D2929,""EN"",""JA"")"),"主題指標とともに生きる")</f>
        <v>主題指標とともに生きる</v>
      </c>
      <c r="I2929" s="1" t="str">
        <f>IFERROR(__xludf.DUMMYFUNCTION("GOOGLETRANSLATE(E2929,""EN"",""JA"")"),"主題指標とともに生きる")</f>
        <v>主題指標とともに生きる</v>
      </c>
      <c r="J2929" s="1" t="str">
        <f>IFERROR(__xludf.DUMMYFUNCTION("GOOGLETRANSLATE(F2929,""EN"",""JA"")"),"関連人物が対象者と同居しているかどうかを示します。(NCI)")</f>
        <v>関連人物が対象者と同居しているかどうかを示します。(NCI)</v>
      </c>
      <c r="K2929" s="1" t="str">
        <f>IFERROR(__xludf.DUMMYFUNCTION("GOOGLETRANSLATE(G2929,""EN"",""JA"")"),"主題指標とともに生きる")</f>
        <v>主題指標とともに生きる</v>
      </c>
    </row>
    <row r="2930" ht="13.5" customHeight="1">
      <c r="A2930" s="1" t="s">
        <v>11</v>
      </c>
      <c r="B2930" s="1" t="s">
        <v>14714</v>
      </c>
      <c r="C2930" s="1" t="s">
        <v>14715</v>
      </c>
      <c r="D2930" s="1" t="s">
        <v>14716</v>
      </c>
      <c r="E2930" s="1" t="s">
        <v>14716</v>
      </c>
      <c r="F2930" s="1" t="s">
        <v>14717</v>
      </c>
      <c r="G2930" s="1" t="s">
        <v>14718</v>
      </c>
      <c r="H2930" s="1" t="str">
        <f>IFERROR(__xludf.DUMMYFUNCTION("GOOGLETRANSLATE(D2930,""EN"",""JA"")"),"レベチラセタム")</f>
        <v>レベチラセタム</v>
      </c>
      <c r="I2930" s="1" t="str">
        <f>IFERROR(__xludf.DUMMYFUNCTION("GOOGLETRANSLATE(E2930,""EN"",""JA"")"),"レベチラセタム")</f>
        <v>レベチラセタム</v>
      </c>
      <c r="J2930" s="1" t="str">
        <f>IFERROR(__xludf.DUMMYFUNCTION("GOOGLETRANSLATE(F2930,""EN"",""JA"")"),"生物標本中のレベチラセタムの測定。")</f>
        <v>生物標本中のレベチラセタムの測定。</v>
      </c>
      <c r="K2930" s="1" t="str">
        <f>IFERROR(__xludf.DUMMYFUNCTION("GOOGLETRANSLATE(G2930,""EN"",""JA"")"),"レベチラセタム測定")</f>
        <v>レベチラセタム測定</v>
      </c>
    </row>
    <row r="2931" ht="13.5" customHeight="1">
      <c r="A2931" s="1" t="s">
        <v>11</v>
      </c>
      <c r="B2931" s="1" t="s">
        <v>14719</v>
      </c>
      <c r="C2931" s="1" t="s">
        <v>14720</v>
      </c>
      <c r="D2931" s="1" t="s">
        <v>14721</v>
      </c>
      <c r="E2931" s="1" t="s">
        <v>14722</v>
      </c>
      <c r="F2931" s="1" t="s">
        <v>14723</v>
      </c>
      <c r="G2931" s="1" t="s">
        <v>14724</v>
      </c>
      <c r="H2931" s="1" t="str">
        <f>IFERROR(__xludf.DUMMYFUNCTION("GOOGLETRANSLATE(D2931,""EN"",""JA"")"),"リンパ球抗原6E")</f>
        <v>リンパ球抗原6E</v>
      </c>
      <c r="I2931" s="1" t="str">
        <f>IFERROR(__xludf.DUMMYFUNCTION("GOOGLETRANSLATE(E2931,""EN"",""JA"")"),"リンパ球抗原6ファミリーメンバーE; リンパ球抗原6E")</f>
        <v>リンパ球抗原6ファミリーメンバーE; リンパ球抗原6E</v>
      </c>
      <c r="J2931" s="1" t="str">
        <f>IFERROR(__xludf.DUMMYFUNCTION("GOOGLETRANSLATE(F2931,""EN"",""JA"")"),"生物標本中のリンパ球抗原 6E の測定。")</f>
        <v>生物標本中のリンパ球抗原 6E の測定。</v>
      </c>
      <c r="K2931" s="1" t="str">
        <f>IFERROR(__xludf.DUMMYFUNCTION("GOOGLETRANSLATE(G2931,""EN"",""JA"")"),"リンパ球抗原6E測定")</f>
        <v>リンパ球抗原6E測定</v>
      </c>
    </row>
    <row r="2932" ht="13.5" customHeight="1">
      <c r="A2932" s="1" t="s">
        <v>134</v>
      </c>
      <c r="B2932" s="1" t="s">
        <v>14725</v>
      </c>
      <c r="C2932" s="1" t="s">
        <v>14726</v>
      </c>
      <c r="D2932" s="1" t="s">
        <v>14727</v>
      </c>
      <c r="E2932" s="1" t="s">
        <v>14728</v>
      </c>
      <c r="F2932" s="1" t="s">
        <v>14729</v>
      </c>
      <c r="G2932" s="1" t="s">
        <v>14730</v>
      </c>
      <c r="H2932" s="1" t="str">
        <f>IFERROR(__xludf.DUMMYFUNCTION("GOOGLETRANSLATE(D2932,""EN"",""JA"")"),"上皮内リンパ球/腸管上皮細胞")</f>
        <v>上皮内リンパ球/腸管上皮細胞</v>
      </c>
      <c r="I2932" s="1" t="str">
        <f>IFERROR(__xludf.DUMMYFUNCTION("GOOGLETRANSLATE(E2932,""EN"",""JA"")"),"上皮リンパ球/腸管上皮細胞; 上皮内リンパ球/腸管上皮細胞")</f>
        <v>上皮リンパ球/腸管上皮細胞; 上皮内リンパ球/腸管上皮細胞</v>
      </c>
      <c r="J2932" s="1" t="str">
        <f>IFERROR(__xludf.DUMMYFUNCTION("GOOGLETRANSLATE(F2932,""EN"",""JA"")"),"生物標本の上皮内の腸管上皮細胞に対するリンパ球の相対的な測定値（比率またはパーセンテージ）。")</f>
        <v>生物標本の上皮内の腸管上皮細胞に対するリンパ球の相対的な測定値（比率またはパーセンテージ）。</v>
      </c>
      <c r="K2932" s="1" t="str">
        <f>IFERROR(__xludf.DUMMYFUNCTION("GOOGLETRANSLATE(G2932,""EN"",""JA"")"),"上皮内リンパ球と腸管上皮細胞の比率測定")</f>
        <v>上皮内リンパ球と腸管上皮細胞の比率測定</v>
      </c>
    </row>
    <row r="2933" ht="13.5" customHeight="1">
      <c r="A2933" s="1" t="s">
        <v>134</v>
      </c>
      <c r="B2933" s="1" t="s">
        <v>14731</v>
      </c>
      <c r="C2933" s="1" t="s">
        <v>14732</v>
      </c>
      <c r="D2933" s="1" t="s">
        <v>14733</v>
      </c>
      <c r="E2933" s="1" t="s">
        <v>14733</v>
      </c>
      <c r="F2933" s="1" t="s">
        <v>14734</v>
      </c>
      <c r="G2933" s="1" t="s">
        <v>14735</v>
      </c>
      <c r="H2933" s="1" t="str">
        <f>IFERROR(__xludf.DUMMYFUNCTION("GOOGLETRANSLATE(D2933,""EN"",""JA"")"),"リンパ球")</f>
        <v>リンパ球</v>
      </c>
      <c r="I2933" s="1" t="str">
        <f>IFERROR(__xludf.DUMMYFUNCTION("GOOGLETRANSLATE(E2933,""EN"",""JA"")"),"リンパ球")</f>
        <v>リンパ球</v>
      </c>
      <c r="J2933" s="1" t="str">
        <f>IFERROR(__xludf.DUMMYFUNCTION("GOOGLETRANSLATE(F2933,""EN"",""JA"")"),"生物標本中のリンパ球の測定。")</f>
        <v>生物標本中のリンパ球の測定。</v>
      </c>
      <c r="K2933" s="1" t="str">
        <f>IFERROR(__xludf.DUMMYFUNCTION("GOOGLETRANSLATE(G2933,""EN"",""JA"")"),"リンパ球数")</f>
        <v>リンパ球数</v>
      </c>
    </row>
    <row r="2934" ht="13.5" customHeight="1">
      <c r="A2934" s="1" t="s">
        <v>11</v>
      </c>
      <c r="B2934" s="1" t="s">
        <v>14731</v>
      </c>
      <c r="C2934" s="1" t="s">
        <v>14732</v>
      </c>
      <c r="D2934" s="1" t="s">
        <v>14733</v>
      </c>
      <c r="E2934" s="1" t="s">
        <v>14733</v>
      </c>
      <c r="F2934" s="1" t="s">
        <v>14734</v>
      </c>
      <c r="G2934" s="1" t="s">
        <v>14735</v>
      </c>
      <c r="H2934" s="1" t="str">
        <f>IFERROR(__xludf.DUMMYFUNCTION("GOOGLETRANSLATE(D2934,""EN"",""JA"")"),"リンパ球")</f>
        <v>リンパ球</v>
      </c>
      <c r="I2934" s="1" t="str">
        <f>IFERROR(__xludf.DUMMYFUNCTION("GOOGLETRANSLATE(E2934,""EN"",""JA"")"),"リンパ球")</f>
        <v>リンパ球</v>
      </c>
      <c r="J2934" s="1" t="str">
        <f>IFERROR(__xludf.DUMMYFUNCTION("GOOGLETRANSLATE(F2934,""EN"",""JA"")"),"生物標本中のリンパ球の測定。")</f>
        <v>生物標本中のリンパ球の測定。</v>
      </c>
      <c r="K2934" s="1" t="str">
        <f>IFERROR(__xludf.DUMMYFUNCTION("GOOGLETRANSLATE(G2934,""EN"",""JA"")"),"リンパ球数")</f>
        <v>リンパ球数</v>
      </c>
    </row>
    <row r="2935" ht="13.5" customHeight="1">
      <c r="A2935" s="1" t="s">
        <v>11</v>
      </c>
      <c r="B2935" s="1" t="s">
        <v>14736</v>
      </c>
      <c r="C2935" s="1" t="s">
        <v>14737</v>
      </c>
      <c r="D2935" s="1" t="s">
        <v>14738</v>
      </c>
      <c r="E2935" s="1" t="s">
        <v>14738</v>
      </c>
      <c r="F2935" s="1" t="s">
        <v>14739</v>
      </c>
      <c r="G2935" s="1" t="s">
        <v>14740</v>
      </c>
      <c r="H2935" s="1" t="str">
        <f>IFERROR(__xludf.DUMMYFUNCTION("GOOGLETRANSLATE(D2935,""EN"",""JA"")"),"活性化リンパ球")</f>
        <v>活性化リンパ球</v>
      </c>
      <c r="I2935" s="1" t="str">
        <f>IFERROR(__xludf.DUMMYFUNCTION("GOOGLETRANSLATE(E2935,""EN"",""JA"")"),"活性化リンパ球")</f>
        <v>活性化リンパ球</v>
      </c>
      <c r="J2935" s="1" t="str">
        <f>IFERROR(__xludf.DUMMYFUNCTION("GOOGLETRANSLATE(F2935,""EN"",""JA"")"),"生物学的標本中の活性化リンパ球の総数の測定。")</f>
        <v>生物学的標本中の活性化リンパ球の総数の測定。</v>
      </c>
      <c r="K2935" s="1" t="str">
        <f>IFERROR(__xludf.DUMMYFUNCTION("GOOGLETRANSLATE(G2935,""EN"",""JA"")"),"活性化リンパ球測定")</f>
        <v>活性化リンパ球測定</v>
      </c>
    </row>
    <row r="2936" ht="13.5" customHeight="1">
      <c r="A2936" s="1" t="s">
        <v>11</v>
      </c>
      <c r="B2936" s="1" t="s">
        <v>14741</v>
      </c>
      <c r="C2936" s="1" t="s">
        <v>14742</v>
      </c>
      <c r="D2936" s="1" t="s">
        <v>14743</v>
      </c>
      <c r="E2936" s="1" t="s">
        <v>14744</v>
      </c>
      <c r="F2936" s="1" t="s">
        <v>14745</v>
      </c>
      <c r="G2936" s="1" t="s">
        <v>14746</v>
      </c>
      <c r="H2936" s="1" t="str">
        <f>IFERROR(__xludf.DUMMYFUNCTION("GOOGLETRANSLATE(D2936,""EN"",""JA"")"),"非定型リンパ球")</f>
        <v>非定型リンパ球</v>
      </c>
      <c r="I2936" s="1" t="str">
        <f>IFERROR(__xludf.DUMMYFUNCTION("GOOGLETRANSLATE(E2936,""EN"",""JA"")"),"非定型リンパ球、変異リンパ球、反応性リンパ球")</f>
        <v>非定型リンパ球、変異リンパ球、反応性リンパ球</v>
      </c>
      <c r="J2936" s="1" t="str">
        <f>IFERROR(__xludf.DUMMYFUNCTION("GOOGLETRANSLATE(F2936,""EN"",""JA"")"),"生物標本中の異型リンパ球の測定。")</f>
        <v>生物標本中の異型リンパ球の測定。</v>
      </c>
      <c r="K2936" s="1" t="str">
        <f>IFERROR(__xludf.DUMMYFUNCTION("GOOGLETRANSLATE(G2936,""EN"",""JA"")"),"異型リンパ球数")</f>
        <v>異型リンパ球数</v>
      </c>
    </row>
    <row r="2937" ht="13.5" customHeight="1">
      <c r="A2937" s="1" t="s">
        <v>11</v>
      </c>
      <c r="B2937" s="1" t="s">
        <v>14747</v>
      </c>
      <c r="C2937" s="1" t="s">
        <v>14748</v>
      </c>
      <c r="D2937" s="1" t="s">
        <v>14749</v>
      </c>
      <c r="E2937" s="1" t="s">
        <v>14750</v>
      </c>
      <c r="F2937" s="1" t="s">
        <v>14751</v>
      </c>
      <c r="G2937" s="1" t="s">
        <v>14752</v>
      </c>
      <c r="H2937" s="1" t="str">
        <f>IFERROR(__xludf.DUMMYFUNCTION("GOOGLETRANSLATE(D2937,""EN"",""JA"")"),"異型リンパ球/白血球")</f>
        <v>異型リンパ球/白血球</v>
      </c>
      <c r="I2937" s="1" t="str">
        <f>IFERROR(__xludf.DUMMYFUNCTION("GOOGLETRANSLATE(E2937,""EN"",""JA"")"),"非定型リンパ球/白血球; 変異リンパ球/白血球; 反応性リンパ球/白血球")</f>
        <v>非定型リンパ球/白血球; 変異リンパ球/白血球; 反応性リンパ球/白血球</v>
      </c>
      <c r="J2937" s="1" t="str">
        <f>IFERROR(__xludf.DUMMYFUNCTION("GOOGLETRANSLATE(F2937,""EN"",""JA"")"),"生物標本中の白血球に対する異型リンパ球の相対的な測定値（比率またはパーセンテージ）。")</f>
        <v>生物標本中の白血球に対する異型リンパ球の相対的な測定値（比率またはパーセンテージ）。</v>
      </c>
      <c r="K2937" s="1" t="str">
        <f>IFERROR(__xludf.DUMMYFUNCTION("GOOGLETRANSLATE(G2937,""EN"",""JA"")"),"非定型リンパ球対白血球比測定")</f>
        <v>非定型リンパ球対白血球比測定</v>
      </c>
    </row>
    <row r="2938" ht="13.5" customHeight="1">
      <c r="A2938" s="1" t="s">
        <v>11</v>
      </c>
      <c r="B2938" s="1" t="s">
        <v>14753</v>
      </c>
      <c r="C2938" s="1" t="s">
        <v>14754</v>
      </c>
      <c r="D2938" s="1" t="s">
        <v>14755</v>
      </c>
      <c r="E2938" s="1" t="s">
        <v>14756</v>
      </c>
      <c r="F2938" s="1" t="s">
        <v>14757</v>
      </c>
      <c r="G2938" s="1" t="s">
        <v>14758</v>
      </c>
      <c r="H2938" s="1" t="str">
        <f>IFERROR(__xludf.DUMMYFUNCTION("GOOGLETRANSLATE(D2938,""EN"",""JA"")"),"非定型リンパ球/リンパ球")</f>
        <v>非定型リンパ球/リンパ球</v>
      </c>
      <c r="I2938" s="1" t="str">
        <f>IFERROR(__xludf.DUMMYFUNCTION("GOOGLETRANSLATE(E2938,""EN"",""JA"")"),"異型リンパ球/リンパ球; 異型リンパ球/リンパ球; 反応性リンパ球/リンパ球; 変異リンパ球/リンパ球")</f>
        <v>異型リンパ球/リンパ球; 異型リンパ球/リンパ球; 反応性リンパ球/リンパ球; 変異リンパ球/リンパ球</v>
      </c>
      <c r="J2938" s="1" t="str">
        <f>IFERROR(__xludf.DUMMYFUNCTION("GOOGLETRANSLATE(F2938,""EN"",""JA"")"),"生物標本中のすべてのリンパ球に対する非定型リンパ球の相対的な測定値（比率またはパーセンテージ）。")</f>
        <v>生物標本中のすべてのリンパ球に対する非定型リンパ球の相対的な測定値（比率またはパーセンテージ）。</v>
      </c>
      <c r="K2938" s="1" t="str">
        <f>IFERROR(__xludf.DUMMYFUNCTION("GOOGLETRANSLATE(G2938,""EN"",""JA"")"),"反応性リンパ球対リンパ球比測定")</f>
        <v>反応性リンパ球対リンパ球比測定</v>
      </c>
    </row>
    <row r="2939" ht="13.5" customHeight="1">
      <c r="A2939" s="1" t="s">
        <v>134</v>
      </c>
      <c r="B2939" s="1" t="s">
        <v>14759</v>
      </c>
      <c r="C2939" s="1" t="s">
        <v>14760</v>
      </c>
      <c r="D2939" s="1" t="s">
        <v>14761</v>
      </c>
      <c r="E2939" s="1" t="s">
        <v>14761</v>
      </c>
      <c r="F2939" s="1" t="s">
        <v>14762</v>
      </c>
      <c r="G2939" s="1" t="s">
        <v>14763</v>
      </c>
      <c r="H2939" s="1" t="str">
        <f>IFERROR(__xludf.DUMMYFUNCTION("GOOGLETRANSLATE(D2939,""EN"",""JA"")"),"リンパ球/総細胞")</f>
        <v>リンパ球/総細胞</v>
      </c>
      <c r="I2939" s="1" t="str">
        <f>IFERROR(__xludf.DUMMYFUNCTION("GOOGLETRANSLATE(E2939,""EN"",""JA"")"),"リンパ球/総細胞")</f>
        <v>リンパ球/総細胞</v>
      </c>
      <c r="J2939" s="1" t="str">
        <f>IFERROR(__xludf.DUMMYFUNCTION("GOOGLETRANSLATE(F2939,""EN"",""JA"")"),"生物学的標本（骨髄標本など）内のリンパ球と総細胞の相対的な測定値（比率またはパーセンテージ）。")</f>
        <v>生物学的標本（骨髄標本など）内のリンパ球と総細胞の相対的な測定値（比率またはパーセンテージ）。</v>
      </c>
      <c r="K2939" s="1" t="str">
        <f>IFERROR(__xludf.DUMMYFUNCTION("GOOGLETRANSLATE(G2939,""EN"",""JA"")"),"リンパ球対総細胞比測定")</f>
        <v>リンパ球対総細胞比測定</v>
      </c>
    </row>
    <row r="2940" ht="13.5" customHeight="1">
      <c r="A2940" s="1" t="s">
        <v>11</v>
      </c>
      <c r="B2940" s="1" t="s">
        <v>14759</v>
      </c>
      <c r="C2940" s="1" t="s">
        <v>14760</v>
      </c>
      <c r="D2940" s="1" t="s">
        <v>14761</v>
      </c>
      <c r="E2940" s="1" t="s">
        <v>14761</v>
      </c>
      <c r="F2940" s="1" t="s">
        <v>14762</v>
      </c>
      <c r="G2940" s="1" t="s">
        <v>14763</v>
      </c>
      <c r="H2940" s="1" t="str">
        <f>IFERROR(__xludf.DUMMYFUNCTION("GOOGLETRANSLATE(D2940,""EN"",""JA"")"),"リンパ球/総細胞")</f>
        <v>リンパ球/総細胞</v>
      </c>
      <c r="I2940" s="1" t="str">
        <f>IFERROR(__xludf.DUMMYFUNCTION("GOOGLETRANSLATE(E2940,""EN"",""JA"")"),"リンパ球/総細胞")</f>
        <v>リンパ球/総細胞</v>
      </c>
      <c r="J2940" s="1" t="str">
        <f>IFERROR(__xludf.DUMMYFUNCTION("GOOGLETRANSLATE(F2940,""EN"",""JA"")"),"生物学的標本（骨髄標本など）内のリンパ球と総細胞の相対的な測定値（比率またはパーセンテージ）。")</f>
        <v>生物学的標本（骨髄標本など）内のリンパ球と総細胞の相対的な測定値（比率またはパーセンテージ）。</v>
      </c>
      <c r="K2940" s="1" t="str">
        <f>IFERROR(__xludf.DUMMYFUNCTION("GOOGLETRANSLATE(G2940,""EN"",""JA"")"),"リンパ球対総細胞比測定")</f>
        <v>リンパ球対総細胞比測定</v>
      </c>
    </row>
    <row r="2941" ht="13.5" customHeight="1">
      <c r="A2941" s="1" t="s">
        <v>11</v>
      </c>
      <c r="B2941" s="1" t="s">
        <v>14764</v>
      </c>
      <c r="C2941" s="1" t="s">
        <v>14765</v>
      </c>
      <c r="D2941" s="1" t="s">
        <v>14766</v>
      </c>
      <c r="E2941" s="1" t="s">
        <v>14766</v>
      </c>
      <c r="F2941" s="1" t="s">
        <v>14767</v>
      </c>
      <c r="G2941" s="1" t="s">
        <v>14768</v>
      </c>
      <c r="H2941" s="1" t="str">
        <f>IFERROR(__xludf.DUMMYFUNCTION("GOOGLETRANSLATE(D2941,""EN"",""JA"")"),"リンパ球、分裂")</f>
        <v>リンパ球、分裂</v>
      </c>
      <c r="I2941" s="1" t="str">
        <f>IFERROR(__xludf.DUMMYFUNCTION("GOOGLETRANSLATE(E2941,""EN"",""JA"")"),"リンパ球、分裂")</f>
        <v>リンパ球、分裂</v>
      </c>
      <c r="J2941" s="1" t="str">
        <f>IFERROR(__xludf.DUMMYFUNCTION("GOOGLETRANSLATE(F2941,""EN"",""JA"")"),"生物標本中の分裂リンパ球の測定。")</f>
        <v>生物標本中の分裂リンパ球の測定。</v>
      </c>
      <c r="K2941" s="1" t="str">
        <f>IFERROR(__xludf.DUMMYFUNCTION("GOOGLETRANSLATE(G2941,""EN"",""JA"")"),"分裂リンパ球数")</f>
        <v>分裂リンパ球数</v>
      </c>
    </row>
    <row r="2942" ht="13.5" customHeight="1">
      <c r="A2942" s="1" t="s">
        <v>11</v>
      </c>
      <c r="B2942" s="1" t="s">
        <v>14769</v>
      </c>
      <c r="C2942" s="1" t="s">
        <v>14770</v>
      </c>
      <c r="D2942" s="1" t="s">
        <v>14771</v>
      </c>
      <c r="E2942" s="1" t="s">
        <v>14771</v>
      </c>
      <c r="F2942" s="1" t="s">
        <v>14772</v>
      </c>
      <c r="G2942" s="1" t="s">
        <v>14773</v>
      </c>
      <c r="H2942" s="1" t="str">
        <f>IFERROR(__xludf.DUMMYFUNCTION("GOOGLETRANSLATE(D2942,""EN"",""JA"")"),"リンパ球、裂孔/白血球")</f>
        <v>リンパ球、裂孔/白血球</v>
      </c>
      <c r="I2942" s="1" t="str">
        <f>IFERROR(__xludf.DUMMYFUNCTION("GOOGLETRANSLATE(E2942,""EN"",""JA"")"),"リンパ球、裂孔/白血球")</f>
        <v>リンパ球、裂孔/白血球</v>
      </c>
      <c r="J2942" s="1" t="str">
        <f>IFERROR(__xludf.DUMMYFUNCTION("GOOGLETRANSLATE(F2942,""EN"",""JA"")"),"生物標本中の全白血球に対する分裂リンパ球の相対的な測定値（比率またはパーセンテージ）。")</f>
        <v>生物標本中の全白血球に対する分裂リンパ球の相対的な測定値（比率またはパーセンテージ）。</v>
      </c>
      <c r="K2942" s="1" t="str">
        <f>IFERROR(__xludf.DUMMYFUNCTION("GOOGLETRANSLATE(G2942,""EN"",""JA"")"),"裂リンパ球と白血球の比率測定")</f>
        <v>裂リンパ球と白血球の比率測定</v>
      </c>
    </row>
    <row r="2943" ht="13.5" customHeight="1">
      <c r="A2943" s="1" t="s">
        <v>11</v>
      </c>
      <c r="B2943" s="1" t="s">
        <v>14774</v>
      </c>
      <c r="C2943" s="1" t="s">
        <v>14775</v>
      </c>
      <c r="D2943" s="1" t="s">
        <v>14776</v>
      </c>
      <c r="E2943" s="1" t="s">
        <v>14776</v>
      </c>
      <c r="F2943" s="1" t="s">
        <v>14777</v>
      </c>
      <c r="G2943" s="1" t="s">
        <v>14778</v>
      </c>
      <c r="H2943" s="1" t="str">
        <f>IFERROR(__xludf.DUMMYFUNCTION("GOOGLETRANSLATE(D2943,""EN"",""JA"")"),"未熟リンパ球")</f>
        <v>未熟リンパ球</v>
      </c>
      <c r="I2943" s="1" t="str">
        <f>IFERROR(__xludf.DUMMYFUNCTION("GOOGLETRANSLATE(E2943,""EN"",""JA"")"),"未熟リンパ球")</f>
        <v>未熟リンパ球</v>
      </c>
      <c r="J2943" s="1" t="str">
        <f>IFERROR(__xludf.DUMMYFUNCTION("GOOGLETRANSLATE(F2943,""EN"",""JA"")"),"生物標本中の未熟リンパ球の測定。")</f>
        <v>生物標本中の未熟リンパ球の測定。</v>
      </c>
      <c r="K2943" s="1" t="str">
        <f>IFERROR(__xludf.DUMMYFUNCTION("GOOGLETRANSLATE(G2943,""EN"",""JA"")"),"未熟リンパ球測定")</f>
        <v>未熟リンパ球測定</v>
      </c>
    </row>
    <row r="2944" ht="13.5" customHeight="1">
      <c r="A2944" s="1" t="s">
        <v>11</v>
      </c>
      <c r="B2944" s="1" t="s">
        <v>14779</v>
      </c>
      <c r="C2944" s="1" t="s">
        <v>14780</v>
      </c>
      <c r="D2944" s="1" t="s">
        <v>14781</v>
      </c>
      <c r="E2944" s="1" t="s">
        <v>14781</v>
      </c>
      <c r="F2944" s="1" t="s">
        <v>14782</v>
      </c>
      <c r="G2944" s="1" t="s">
        <v>14783</v>
      </c>
      <c r="H2944" s="1" t="str">
        <f>IFERROR(__xludf.DUMMYFUNCTION("GOOGLETRANSLATE(D2944,""EN"",""JA"")"),"未熟リンパ球/白血球")</f>
        <v>未熟リンパ球/白血球</v>
      </c>
      <c r="I2944" s="1" t="str">
        <f>IFERROR(__xludf.DUMMYFUNCTION("GOOGLETRANSLATE(E2944,""EN"",""JA"")"),"未熟リンパ球/白血球")</f>
        <v>未熟リンパ球/白血球</v>
      </c>
      <c r="J2944" s="1" t="str">
        <f>IFERROR(__xludf.DUMMYFUNCTION("GOOGLETRANSLATE(F2944,""EN"",""JA"")"),"生物標本中の白血球に対する未熟リンパ球の相対的な測定値（比率またはパーセンテージ）。")</f>
        <v>生物標本中の白血球に対する未熟リンパ球の相対的な測定値（比率またはパーセンテージ）。</v>
      </c>
      <c r="K2944" s="1" t="str">
        <f>IFERROR(__xludf.DUMMYFUNCTION("GOOGLETRANSLATE(G2944,""EN"",""JA"")"),"未熟リンパ球と白血球の比率測定")</f>
        <v>未熟リンパ球と白血球の比率測定</v>
      </c>
    </row>
    <row r="2945" ht="13.5" customHeight="1">
      <c r="A2945" s="1" t="s">
        <v>11</v>
      </c>
      <c r="B2945" s="1" t="s">
        <v>14784</v>
      </c>
      <c r="C2945" s="1" t="s">
        <v>14785</v>
      </c>
      <c r="D2945" s="1" t="s">
        <v>14786</v>
      </c>
      <c r="E2945" s="1" t="s">
        <v>14786</v>
      </c>
      <c r="F2945" s="1" t="s">
        <v>14787</v>
      </c>
      <c r="G2945" s="1" t="s">
        <v>14788</v>
      </c>
      <c r="H2945" s="1" t="str">
        <f>IFERROR(__xludf.DUMMYFUNCTION("GOOGLETRANSLATE(D2945,""EN"",""JA"")"),"リンパ球/白血球")</f>
        <v>リンパ球/白血球</v>
      </c>
      <c r="I2945" s="1" t="str">
        <f>IFERROR(__xludf.DUMMYFUNCTION("GOOGLETRANSLATE(E2945,""EN"",""JA"")"),"リンパ球/白血球")</f>
        <v>リンパ球/白血球</v>
      </c>
      <c r="J2945" s="1" t="str">
        <f>IFERROR(__xludf.DUMMYFUNCTION("GOOGLETRANSLATE(F2945,""EN"",""JA"")"),"生物標本中のリンパ球と白血球の相対的な測定値（比率またはパーセンテージ）。")</f>
        <v>生物標本中のリンパ球と白血球の相対的な測定値（比率またはパーセンテージ）。</v>
      </c>
      <c r="K2945" s="1" t="str">
        <f>IFERROR(__xludf.DUMMYFUNCTION("GOOGLETRANSLATE(G2945,""EN"",""JA"")"),"リンパ球と白血球の比率")</f>
        <v>リンパ球と白血球の比率</v>
      </c>
    </row>
    <row r="2946" ht="13.5" customHeight="1">
      <c r="A2946" s="1" t="s">
        <v>11</v>
      </c>
      <c r="B2946" s="1" t="s">
        <v>14789</v>
      </c>
      <c r="C2946" s="1" t="s">
        <v>14790</v>
      </c>
      <c r="D2946" s="1" t="s">
        <v>14791</v>
      </c>
      <c r="E2946" s="1" t="s">
        <v>14791</v>
      </c>
      <c r="F2946" s="1" t="s">
        <v>14792</v>
      </c>
      <c r="G2946" s="1" t="s">
        <v>14793</v>
      </c>
      <c r="H2946" s="1" t="str">
        <f>IFERROR(__xludf.DUMMYFUNCTION("GOOGLETRANSLATE(D2946,""EN"",""JA"")"),"大型リンパ球")</f>
        <v>大型リンパ球</v>
      </c>
      <c r="I2946" s="1" t="str">
        <f>IFERROR(__xludf.DUMMYFUNCTION("GOOGLETRANSLATE(E2946,""EN"",""JA"")"),"大型リンパ球")</f>
        <v>大型リンパ球</v>
      </c>
      <c r="J2946" s="1" t="str">
        <f>IFERROR(__xludf.DUMMYFUNCTION("GOOGLETRANSLATE(F2946,""EN"",""JA"")"),"生物標本中の大型リンパ球（直径約 10 µm ～ 20 µm）の測定。")</f>
        <v>生物標本中の大型リンパ球（直径約 10 µm ～ 20 µm）の測定。</v>
      </c>
      <c r="K2946" s="1" t="str">
        <f>IFERROR(__xludf.DUMMYFUNCTION("GOOGLETRANSLATE(G2946,""EN"",""JA"")"),"リンパ球数増加")</f>
        <v>リンパ球数増加</v>
      </c>
    </row>
    <row r="2947" ht="13.5" customHeight="1">
      <c r="A2947" s="1" t="s">
        <v>134</v>
      </c>
      <c r="B2947" s="1" t="s">
        <v>14794</v>
      </c>
      <c r="C2947" s="1" t="s">
        <v>14795</v>
      </c>
      <c r="D2947" s="1" t="s">
        <v>14796</v>
      </c>
      <c r="E2947" s="1" t="s">
        <v>14796</v>
      </c>
      <c r="F2947" s="1" t="s">
        <v>14797</v>
      </c>
      <c r="G2947" s="1" t="s">
        <v>14798</v>
      </c>
      <c r="H2947" s="1" t="str">
        <f>IFERROR(__xludf.DUMMYFUNCTION("GOOGLETRANSLATE(D2947,""EN"",""JA"")"),"リンパ腫細胞")</f>
        <v>リンパ腫細胞</v>
      </c>
      <c r="I2947" s="1" t="str">
        <f>IFERROR(__xludf.DUMMYFUNCTION("GOOGLETRANSLATE(E2947,""EN"",""JA"")"),"リンパ腫細胞")</f>
        <v>リンパ腫細胞</v>
      </c>
      <c r="J2947" s="1" t="str">
        <f>IFERROR(__xludf.DUMMYFUNCTION("GOOGLETRANSLATE(F2947,""EN"",""JA"")"),"生物標本中の悪性リンパ球の測定。")</f>
        <v>生物標本中の悪性リンパ球の測定。</v>
      </c>
      <c r="K2947" s="1" t="str">
        <f>IFERROR(__xludf.DUMMYFUNCTION("GOOGLETRANSLATE(G2947,""EN"",""JA"")"),"リンパ腫細胞数")</f>
        <v>リンパ腫細胞数</v>
      </c>
    </row>
    <row r="2948" ht="13.5" customHeight="1">
      <c r="A2948" s="1" t="s">
        <v>11</v>
      </c>
      <c r="B2948" s="1" t="s">
        <v>14794</v>
      </c>
      <c r="C2948" s="1" t="s">
        <v>14795</v>
      </c>
      <c r="D2948" s="1" t="s">
        <v>14796</v>
      </c>
      <c r="E2948" s="1" t="s">
        <v>14796</v>
      </c>
      <c r="F2948" s="1" t="s">
        <v>14797</v>
      </c>
      <c r="G2948" s="1" t="s">
        <v>14798</v>
      </c>
      <c r="H2948" s="1" t="str">
        <f>IFERROR(__xludf.DUMMYFUNCTION("GOOGLETRANSLATE(D2948,""EN"",""JA"")"),"リンパ腫細胞")</f>
        <v>リンパ腫細胞</v>
      </c>
      <c r="I2948" s="1" t="str">
        <f>IFERROR(__xludf.DUMMYFUNCTION("GOOGLETRANSLATE(E2948,""EN"",""JA"")"),"リンパ腫細胞")</f>
        <v>リンパ腫細胞</v>
      </c>
      <c r="J2948" s="1" t="str">
        <f>IFERROR(__xludf.DUMMYFUNCTION("GOOGLETRANSLATE(F2948,""EN"",""JA"")"),"生物標本中の悪性リンパ球の測定。")</f>
        <v>生物標本中の悪性リンパ球の測定。</v>
      </c>
      <c r="K2948" s="1" t="str">
        <f>IFERROR(__xludf.DUMMYFUNCTION("GOOGLETRANSLATE(G2948,""EN"",""JA"")"),"リンパ腫細胞数")</f>
        <v>リンパ腫細胞数</v>
      </c>
    </row>
    <row r="2949" ht="13.5" customHeight="1">
      <c r="A2949" s="1" t="s">
        <v>134</v>
      </c>
      <c r="B2949" s="1" t="s">
        <v>14799</v>
      </c>
      <c r="C2949" s="1" t="s">
        <v>14800</v>
      </c>
      <c r="D2949" s="1" t="s">
        <v>14801</v>
      </c>
      <c r="E2949" s="1" t="s">
        <v>14801</v>
      </c>
      <c r="F2949" s="1" t="s">
        <v>14802</v>
      </c>
      <c r="G2949" s="1" t="s">
        <v>14803</v>
      </c>
      <c r="H2949" s="1" t="str">
        <f>IFERROR(__xludf.DUMMYFUNCTION("GOOGLETRANSLATE(D2949,""EN"",""JA"")"),"リンパ腫細胞/総細胞")</f>
        <v>リンパ腫細胞/総細胞</v>
      </c>
      <c r="I2949" s="1" t="str">
        <f>IFERROR(__xludf.DUMMYFUNCTION("GOOGLETRANSLATE(E2949,""EN"",""JA"")"),"リンパ腫細胞/総細胞")</f>
        <v>リンパ腫細胞/総細胞</v>
      </c>
      <c r="J2949" s="1" t="str">
        <f>IFERROR(__xludf.DUMMYFUNCTION("GOOGLETRANSLATE(F2949,""EN"",""JA"")"),"生物標本内の全細胞に対するリンパ腫細胞の相対的な測定値（比率またはパーセンテージ）。")</f>
        <v>生物標本内の全細胞に対するリンパ腫細胞の相対的な測定値（比率またはパーセンテージ）。</v>
      </c>
      <c r="K2949" s="1" t="str">
        <f>IFERROR(__xludf.DUMMYFUNCTION("GOOGLETRANSLATE(G2949,""EN"",""JA"")"),"リンパ腫細胞と全細胞比の測定")</f>
        <v>リンパ腫細胞と全細胞比の測定</v>
      </c>
    </row>
    <row r="2950" ht="13.5" customHeight="1">
      <c r="A2950" s="1" t="s">
        <v>11</v>
      </c>
      <c r="B2950" s="1" t="s">
        <v>14799</v>
      </c>
      <c r="C2950" s="1" t="s">
        <v>14800</v>
      </c>
      <c r="D2950" s="1" t="s">
        <v>14801</v>
      </c>
      <c r="E2950" s="1" t="s">
        <v>14801</v>
      </c>
      <c r="F2950" s="1" t="s">
        <v>14802</v>
      </c>
      <c r="G2950" s="1" t="s">
        <v>14803</v>
      </c>
      <c r="H2950" s="1" t="str">
        <f>IFERROR(__xludf.DUMMYFUNCTION("GOOGLETRANSLATE(D2950,""EN"",""JA"")"),"リンパ腫細胞/総細胞")</f>
        <v>リンパ腫細胞/総細胞</v>
      </c>
      <c r="I2950" s="1" t="str">
        <f>IFERROR(__xludf.DUMMYFUNCTION("GOOGLETRANSLATE(E2950,""EN"",""JA"")"),"リンパ腫細胞/総細胞")</f>
        <v>リンパ腫細胞/総細胞</v>
      </c>
      <c r="J2950" s="1" t="str">
        <f>IFERROR(__xludf.DUMMYFUNCTION("GOOGLETRANSLATE(F2950,""EN"",""JA"")"),"生物標本内の全細胞に対するリンパ腫細胞の相対的な測定値（比率またはパーセンテージ）。")</f>
        <v>生物標本内の全細胞に対するリンパ腫細胞の相対的な測定値（比率またはパーセンテージ）。</v>
      </c>
      <c r="K2950" s="1" t="str">
        <f>IFERROR(__xludf.DUMMYFUNCTION("GOOGLETRANSLATE(G2950,""EN"",""JA"")"),"リンパ腫細胞と全細胞比の測定")</f>
        <v>リンパ腫細胞と全細胞比の測定</v>
      </c>
    </row>
    <row r="2951" ht="13.5" customHeight="1">
      <c r="A2951" s="1" t="s">
        <v>11</v>
      </c>
      <c r="B2951" s="1" t="s">
        <v>14804</v>
      </c>
      <c r="C2951" s="1" t="s">
        <v>14805</v>
      </c>
      <c r="D2951" s="1" t="s">
        <v>14806</v>
      </c>
      <c r="E2951" s="1" t="s">
        <v>14806</v>
      </c>
      <c r="F2951" s="1" t="s">
        <v>14807</v>
      </c>
      <c r="G2951" s="1" t="s">
        <v>14808</v>
      </c>
      <c r="H2951" s="1" t="str">
        <f>IFERROR(__xludf.DUMMYFUNCTION("GOOGLETRANSLATE(D2951,""EN"",""JA"")"),"リンパ腫細胞/白血球")</f>
        <v>リンパ腫細胞/白血球</v>
      </c>
      <c r="I2951" s="1" t="str">
        <f>IFERROR(__xludf.DUMMYFUNCTION("GOOGLETRANSLATE(E2951,""EN"",""JA"")"),"リンパ腫細胞/白血球")</f>
        <v>リンパ腫細胞/白血球</v>
      </c>
      <c r="J2951" s="1" t="str">
        <f>IFERROR(__xludf.DUMMYFUNCTION("GOOGLETRANSLATE(F2951,""EN"",""JA"")"),"生物標本中の全白血球に対する悪性リンパ球の相対的な測定値（比率またはパーセンテージ）。")</f>
        <v>生物標本中の全白血球に対する悪性リンパ球の相対的な測定値（比率またはパーセンテージ）。</v>
      </c>
      <c r="K2951" s="1" t="str">
        <f>IFERROR(__xludf.DUMMYFUNCTION("GOOGLETRANSLATE(G2951,""EN"",""JA"")"),"リンパ腫細胞と白血球の比率測定")</f>
        <v>リンパ腫細胞と白血球の比率測定</v>
      </c>
    </row>
    <row r="2952" ht="13.5" customHeight="1">
      <c r="A2952" s="1" t="s">
        <v>11</v>
      </c>
      <c r="B2952" s="1" t="s">
        <v>14809</v>
      </c>
      <c r="C2952" s="1" t="s">
        <v>14810</v>
      </c>
      <c r="D2952" s="1" t="s">
        <v>14811</v>
      </c>
      <c r="E2952" s="1" t="s">
        <v>14811</v>
      </c>
      <c r="F2952" s="1" t="s">
        <v>14812</v>
      </c>
      <c r="G2952" s="1" t="s">
        <v>14813</v>
      </c>
      <c r="H2952" s="1" t="str">
        <f>IFERROR(__xludf.DUMMYFUNCTION("GOOGLETRANSLATE(D2952,""EN"",""JA"")"),"リンパ腫細胞/リンパ球")</f>
        <v>リンパ腫細胞/リンパ球</v>
      </c>
      <c r="I2952" s="1" t="str">
        <f>IFERROR(__xludf.DUMMYFUNCTION("GOOGLETRANSLATE(E2952,""EN"",""JA"")"),"リンパ腫細胞/リンパ球")</f>
        <v>リンパ腫細胞/リンパ球</v>
      </c>
      <c r="J2952" s="1" t="str">
        <f>IFERROR(__xludf.DUMMYFUNCTION("GOOGLETRANSLATE(F2952,""EN"",""JA"")"),"生物標本中のすべてのリンパ球に対する悪性リンパ球の相対的な測定値（比率またはパーセンテージ）。")</f>
        <v>生物標本中のすべてのリンパ球に対する悪性リンパ球の相対的な測定値（比率またはパーセンテージ）。</v>
      </c>
      <c r="K2952" s="1" t="str">
        <f>IFERROR(__xludf.DUMMYFUNCTION("GOOGLETRANSLATE(G2952,""EN"",""JA"")"),"リンパ腫細胞とリンパ球の比率測定")</f>
        <v>リンパ腫細胞とリンパ球の比率測定</v>
      </c>
    </row>
    <row r="2953" ht="13.5" customHeight="1">
      <c r="A2953" s="1" t="s">
        <v>11</v>
      </c>
      <c r="B2953" s="1" t="s">
        <v>14814</v>
      </c>
      <c r="C2953" s="1" t="s">
        <v>14815</v>
      </c>
      <c r="D2953" s="1" t="s">
        <v>14816</v>
      </c>
      <c r="E2953" s="1" t="s">
        <v>14816</v>
      </c>
      <c r="F2953" s="1" t="s">
        <v>14817</v>
      </c>
      <c r="G2953" s="1" t="s">
        <v>14818</v>
      </c>
      <c r="H2953" s="1" t="str">
        <f>IFERROR(__xludf.DUMMYFUNCTION("GOOGLETRANSLATE(D2953,""EN"",""JA"")"),"リンパ球/好中球")</f>
        <v>リンパ球/好中球</v>
      </c>
      <c r="I2953" s="1" t="str">
        <f>IFERROR(__xludf.DUMMYFUNCTION("GOOGLETRANSLATE(E2953,""EN"",""JA"")"),"リンパ球/好中球")</f>
        <v>リンパ球/好中球</v>
      </c>
      <c r="J2953" s="1" t="str">
        <f>IFERROR(__xludf.DUMMYFUNCTION("GOOGLETRANSLATE(F2953,""EN"",""JA"")"),"生物標本中のリンパ球と好中球の相対的な測定値（比率）。")</f>
        <v>生物標本中のリンパ球と好中球の相対的な測定値（比率）。</v>
      </c>
      <c r="K2953" s="1" t="str">
        <f>IFERROR(__xludf.DUMMYFUNCTION("GOOGLETRANSLATE(G2953,""EN"",""JA"")"),"リンパ球と好中球の比率の測定")</f>
        <v>リンパ球と好中球の比率の測定</v>
      </c>
    </row>
    <row r="2954" ht="13.5" customHeight="1">
      <c r="A2954" s="1" t="s">
        <v>11</v>
      </c>
      <c r="B2954" s="1" t="s">
        <v>14819</v>
      </c>
      <c r="C2954" s="1" t="s">
        <v>14820</v>
      </c>
      <c r="D2954" s="1" t="s">
        <v>14821</v>
      </c>
      <c r="E2954" s="1" t="s">
        <v>14821</v>
      </c>
      <c r="F2954" s="1" t="s">
        <v>14822</v>
      </c>
      <c r="G2954" s="1" t="s">
        <v>14823</v>
      </c>
      <c r="H2954" s="1" t="str">
        <f>IFERROR(__xludf.DUMMYFUNCTION("GOOGLETRANSLATE(D2954,""EN"",""JA"")"),"リンパ球/非扁平上皮細胞")</f>
        <v>リンパ球/非扁平上皮細胞</v>
      </c>
      <c r="I2954" s="1" t="str">
        <f>IFERROR(__xludf.DUMMYFUNCTION("GOOGLETRANSLATE(E2954,""EN"",""JA"")"),"リンパ球/非扁平上皮細胞")</f>
        <v>リンパ球/非扁平上皮細胞</v>
      </c>
      <c r="J2954" s="1" t="str">
        <f>IFERROR(__xludf.DUMMYFUNCTION("GOOGLETRANSLATE(F2954,""EN"",""JA"")"),"生物標本中のリンパ球と非扁平上皮細胞の相対的な測定値（比率またはパーセンテージ）。")</f>
        <v>生物標本中のリンパ球と非扁平上皮細胞の相対的な測定値（比率またはパーセンテージ）。</v>
      </c>
      <c r="K2954" s="1" t="str">
        <f>IFERROR(__xludf.DUMMYFUNCTION("GOOGLETRANSLATE(G2954,""EN"",""JA"")"),"リンパ球と非扁平上皮細胞比の測定")</f>
        <v>リンパ球と非扁平上皮細胞比の測定</v>
      </c>
    </row>
    <row r="2955" ht="13.5" customHeight="1">
      <c r="A2955" s="1" t="s">
        <v>134</v>
      </c>
      <c r="B2955" s="1" t="s">
        <v>14824</v>
      </c>
      <c r="C2955" s="1" t="s">
        <v>14825</v>
      </c>
      <c r="D2955" s="1" t="s">
        <v>14826</v>
      </c>
      <c r="E2955" s="1" t="s">
        <v>14826</v>
      </c>
      <c r="F2955" s="1" t="s">
        <v>14827</v>
      </c>
      <c r="G2955" s="1" t="s">
        <v>14828</v>
      </c>
      <c r="H2955" s="1" t="str">
        <f>IFERROR(__xludf.DUMMYFUNCTION("GOOGLETRANSLATE(D2955,""EN"",""JA"")"),"リンパ集合体")</f>
        <v>リンパ集合体</v>
      </c>
      <c r="I2955" s="1" t="str">
        <f>IFERROR(__xludf.DUMMYFUNCTION("GOOGLETRANSLATE(E2955,""EN"",""JA"")"),"リンパ集合体")</f>
        <v>リンパ集合体</v>
      </c>
      <c r="J2955" s="1" t="str">
        <f>IFERROR(__xludf.DUMMYFUNCTION("GOOGLETRANSLATE(F2955,""EN"",""JA"")"),"生物標本内のリンパ凝集体の測定。")</f>
        <v>生物標本内のリンパ凝集体の測定。</v>
      </c>
      <c r="K2955" s="1" t="str">
        <f>IFERROR(__xludf.DUMMYFUNCTION("GOOGLETRANSLATE(G2955,""EN"",""JA"")"),"リンパ凝集体測定")</f>
        <v>リンパ凝集体測定</v>
      </c>
    </row>
    <row r="2956" ht="13.5" customHeight="1">
      <c r="A2956" s="1" t="s">
        <v>134</v>
      </c>
      <c r="B2956" s="1" t="s">
        <v>14829</v>
      </c>
      <c r="C2956" s="1" t="s">
        <v>14830</v>
      </c>
      <c r="D2956" s="1" t="s">
        <v>14831</v>
      </c>
      <c r="E2956" s="1" t="s">
        <v>14831</v>
      </c>
      <c r="F2956" s="1" t="s">
        <v>14832</v>
      </c>
      <c r="G2956" s="1" t="s">
        <v>14833</v>
      </c>
      <c r="H2956" s="1" t="str">
        <f>IFERROR(__xludf.DUMMYFUNCTION("GOOGLETRANSLATE(D2956,""EN"",""JA"")"),"リンパ管侵襲")</f>
        <v>リンパ管侵襲</v>
      </c>
      <c r="I2956" s="1" t="str">
        <f>IFERROR(__xludf.DUMMYFUNCTION("GOOGLETRANSLATE(E2956,""EN"",""JA"")"),"リンパ管侵襲")</f>
        <v>リンパ管侵襲</v>
      </c>
      <c r="J2956" s="1" t="str">
        <f>IFERROR(__xludf.DUMMYFUNCTION("GOOGLETRANSLATE(F2956,""EN"",""JA"")"),"生物標本におけるリンパ管侵襲の評価。")</f>
        <v>生物標本におけるリンパ管侵襲の評価。</v>
      </c>
      <c r="K2956" s="1" t="str">
        <f>IFERROR(__xludf.DUMMYFUNCTION("GOOGLETRANSLATE(G2956,""EN"",""JA"")"),"リンパ管侵襲評価")</f>
        <v>リンパ管侵襲評価</v>
      </c>
    </row>
    <row r="2957" ht="13.5" customHeight="1">
      <c r="A2957" s="1" t="s">
        <v>11</v>
      </c>
      <c r="B2957" s="1" t="s">
        <v>14834</v>
      </c>
      <c r="C2957" s="1" t="s">
        <v>14835</v>
      </c>
      <c r="D2957" s="1" t="s">
        <v>14836</v>
      </c>
      <c r="E2957" s="1" t="s">
        <v>14836</v>
      </c>
      <c r="F2957" s="1" t="s">
        <v>14837</v>
      </c>
      <c r="G2957" s="1" t="s">
        <v>14838</v>
      </c>
      <c r="H2957" s="1" t="str">
        <f>IFERROR(__xludf.DUMMYFUNCTION("GOOGLETRANSLATE(D2957,""EN"",""JA"")"),"リンパ細胞")</f>
        <v>リンパ細胞</v>
      </c>
      <c r="I2957" s="1" t="str">
        <f>IFERROR(__xludf.DUMMYFUNCTION("GOOGLETRANSLATE(E2957,""EN"",""JA"")"),"リンパ細胞")</f>
        <v>リンパ細胞</v>
      </c>
      <c r="J2957" s="1" t="str">
        <f>IFERROR(__xludf.DUMMYFUNCTION("GOOGLETRANSLATE(F2957,""EN"",""JA"")"),"生物標本中のリンパ系細胞の総数の測定。")</f>
        <v>生物標本中のリンパ系細胞の総数の測定。</v>
      </c>
      <c r="K2957" s="1" t="str">
        <f>IFERROR(__xludf.DUMMYFUNCTION("GOOGLETRANSLATE(G2957,""EN"",""JA"")"),"リンパ細胞数")</f>
        <v>リンパ細胞数</v>
      </c>
    </row>
    <row r="2958" ht="13.5" customHeight="1">
      <c r="A2958" s="1" t="s">
        <v>11</v>
      </c>
      <c r="B2958" s="1" t="s">
        <v>14839</v>
      </c>
      <c r="C2958" s="1" t="s">
        <v>14840</v>
      </c>
      <c r="D2958" s="1" t="s">
        <v>14841</v>
      </c>
      <c r="E2958" s="1" t="s">
        <v>14842</v>
      </c>
      <c r="F2958" s="1" t="s">
        <v>14843</v>
      </c>
      <c r="G2958" s="1" t="s">
        <v>14844</v>
      </c>
      <c r="H2958" s="1" t="str">
        <f>IFERROR(__xludf.DUMMYFUNCTION("GOOGLETRANSLATE(D2958,""EN"",""JA"")"),"リンフォタクチン")</f>
        <v>リンフォタクチン</v>
      </c>
      <c r="I2958" s="1" t="str">
        <f>IFERROR(__xludf.DUMMYFUNCTION("GOOGLETRANSLATE(E2958,""EN"",""JA"")"),"ケモカインリガンド1; リンフォタクチン")</f>
        <v>ケモカインリガンド1; リンフォタクチン</v>
      </c>
      <c r="J2958" s="1" t="str">
        <f>IFERROR(__xludf.DUMMYFUNCTION("GOOGLETRANSLATE(F2958,""EN"",""JA"")"),"生物標本中のリンフォタクチンの測定。")</f>
        <v>生物標本中のリンフォタクチンの測定。</v>
      </c>
      <c r="K2958" s="1" t="str">
        <f>IFERROR(__xludf.DUMMYFUNCTION("GOOGLETRANSLATE(G2958,""EN"",""JA"")"),"リンフォタクチン測定")</f>
        <v>リンフォタクチン測定</v>
      </c>
    </row>
    <row r="2959" ht="13.5" customHeight="1">
      <c r="A2959" s="1" t="s">
        <v>11</v>
      </c>
      <c r="B2959" s="1" t="s">
        <v>14845</v>
      </c>
      <c r="C2959" s="1" t="s">
        <v>14846</v>
      </c>
      <c r="D2959" s="1" t="s">
        <v>14847</v>
      </c>
      <c r="E2959" s="1" t="s">
        <v>14848</v>
      </c>
      <c r="F2959" s="1" t="s">
        <v>14849</v>
      </c>
      <c r="G2959" s="1" t="s">
        <v>14850</v>
      </c>
      <c r="H2959" s="1" t="str">
        <f>IFERROR(__xludf.DUMMYFUNCTION("GOOGLETRANSLATE(D2959,""EN"",""JA"")"),"形質細胞様リンパ球")</f>
        <v>形質細胞様リンパ球</v>
      </c>
      <c r="I2959" s="1" t="str">
        <f>IFERROR(__xludf.DUMMYFUNCTION("GOOGLETRANSLATE(E2959,""EN"",""JA"")"),"形質細胞様リンパ球")</f>
        <v>形質細胞様リンパ球</v>
      </c>
      <c r="J2959" s="1" t="str">
        <f>IFERROR(__xludf.DUMMYFUNCTION("GOOGLETRANSLATE(F2959,""EN"",""JA"")"),"生物標本中の形質細胞様リンパ球（周辺部に凝集したクロマチンと濃い青色の細胞質を持ち、形質細胞に似ているリンパ球）の測定値。")</f>
        <v>生物標本中の形質細胞様リンパ球（周辺部に凝集したクロマチンと濃い青色の細胞質を持ち、形質細胞に似ているリンパ球）の測定値。</v>
      </c>
      <c r="K2959" s="1" t="str">
        <f>IFERROR(__xludf.DUMMYFUNCTION("GOOGLETRANSLATE(G2959,""EN"",""JA"")"),"形質細胞様リンパ球数")</f>
        <v>形質細胞様リンパ球数</v>
      </c>
    </row>
    <row r="2960" ht="13.5" customHeight="1">
      <c r="A2960" s="1" t="s">
        <v>11</v>
      </c>
      <c r="B2960" s="1" t="s">
        <v>14851</v>
      </c>
      <c r="C2960" s="1" t="s">
        <v>14852</v>
      </c>
      <c r="D2960" s="1" t="s">
        <v>14853</v>
      </c>
      <c r="E2960" s="1" t="s">
        <v>14853</v>
      </c>
      <c r="F2960" s="1" t="s">
        <v>14854</v>
      </c>
      <c r="G2960" s="1" t="s">
        <v>14855</v>
      </c>
      <c r="H2960" s="1" t="str">
        <f>IFERROR(__xludf.DUMMYFUNCTION("GOOGLETRANSLATE(D2960,""EN"",""JA"")"),"形質細胞様リンパ球/白血球")</f>
        <v>形質細胞様リンパ球/白血球</v>
      </c>
      <c r="I2960" s="1" t="str">
        <f>IFERROR(__xludf.DUMMYFUNCTION("GOOGLETRANSLATE(E2960,""EN"",""JA"")"),"形質細胞様リンパ球/白血球")</f>
        <v>形質細胞様リンパ球/白血球</v>
      </c>
      <c r="J2960" s="1" t="str">
        <f>IFERROR(__xludf.DUMMYFUNCTION("GOOGLETRANSLATE(F2960,""EN"",""JA"")"),"生物標本中の全白血球に対する形質細胞様リンパ球の相対的な測定値（比率またはパーセンテージ）。")</f>
        <v>生物標本中の全白血球に対する形質細胞様リンパ球の相対的な測定値（比率またはパーセンテージ）。</v>
      </c>
      <c r="K2960" s="1" t="str">
        <f>IFERROR(__xludf.DUMMYFUNCTION("GOOGLETRANSLATE(G2960,""EN"",""JA"")"),"形質細胞様リンパ球と白血球の比率測定")</f>
        <v>形質細胞様リンパ球と白血球の比率測定</v>
      </c>
    </row>
    <row r="2961" ht="13.5" customHeight="1">
      <c r="A2961" s="1" t="s">
        <v>11</v>
      </c>
      <c r="B2961" s="1" t="s">
        <v>14856</v>
      </c>
      <c r="C2961" s="1" t="s">
        <v>14857</v>
      </c>
      <c r="D2961" s="1" t="s">
        <v>14858</v>
      </c>
      <c r="E2961" s="1" t="s">
        <v>14858</v>
      </c>
      <c r="F2961" s="1" t="s">
        <v>14859</v>
      </c>
      <c r="G2961" s="1" t="s">
        <v>14860</v>
      </c>
      <c r="H2961" s="1" t="str">
        <f>IFERROR(__xludf.DUMMYFUNCTION("GOOGLETRANSLATE(D2961,""EN"",""JA"")"),"形質細胞様リンパ球/リンパ球")</f>
        <v>形質細胞様リンパ球/リンパ球</v>
      </c>
      <c r="I2961" s="1" t="str">
        <f>IFERROR(__xludf.DUMMYFUNCTION("GOOGLETRANSLATE(E2961,""EN"",""JA"")"),"形質細胞様リンパ球/リンパ球")</f>
        <v>形質細胞様リンパ球/リンパ球</v>
      </c>
      <c r="J2961" s="1" t="str">
        <f>IFERROR(__xludf.DUMMYFUNCTION("GOOGLETRANSLATE(F2961,""EN"",""JA"")"),"生物標本中のすべてのリンパ球に対する形質細胞様リンパ球（周辺部に凝集したクロマチンと濃い青色の細胞質を持ち、形質細胞に似ているリンパ球）の相対的な測定値（比率またはパーセンテージ）。")</f>
        <v>生物標本中のすべてのリンパ球に対する形質細胞様リンパ球（周辺部に凝集したクロマチンと濃い青色の細胞質を持ち、形質細胞に似ているリンパ球）の相対的な測定値（比率またはパーセンテージ）。</v>
      </c>
      <c r="K2961" s="1" t="str">
        <f>IFERROR(__xludf.DUMMYFUNCTION("GOOGLETRANSLATE(G2961,""EN"",""JA"")"),"形質細胞様リンパ球とリンパ球の比率測定")</f>
        <v>形質細胞様リンパ球とリンパ球の比率測定</v>
      </c>
    </row>
    <row r="2962" ht="13.5" customHeight="1">
      <c r="A2962" s="1" t="s">
        <v>11</v>
      </c>
      <c r="B2962" s="1" t="s">
        <v>14861</v>
      </c>
      <c r="C2962" s="1" t="s">
        <v>14862</v>
      </c>
      <c r="D2962" s="1" t="s">
        <v>14863</v>
      </c>
      <c r="E2962" s="1" t="s">
        <v>14863</v>
      </c>
      <c r="F2962" s="1" t="s">
        <v>14864</v>
      </c>
      <c r="G2962" s="1" t="s">
        <v>14865</v>
      </c>
      <c r="H2962" s="1" t="str">
        <f>IFERROR(__xludf.DUMMYFUNCTION("GOOGLETRANSLATE(D2962,""EN"",""JA"")"),"空胞リンパ球")</f>
        <v>空胞リンパ球</v>
      </c>
      <c r="I2962" s="1" t="str">
        <f>IFERROR(__xludf.DUMMYFUNCTION("GOOGLETRANSLATE(E2962,""EN"",""JA"")"),"空胞リンパ球")</f>
        <v>空胞リンパ球</v>
      </c>
      <c r="J2962" s="1" t="str">
        <f>IFERROR(__xludf.DUMMYFUNCTION("GOOGLETRANSLATE(F2962,""EN"",""JA"")"),"生物標本中の空胞化リンパ球の測定。")</f>
        <v>生物標本中の空胞化リンパ球の測定。</v>
      </c>
      <c r="K2962" s="1" t="str">
        <f>IFERROR(__xludf.DUMMYFUNCTION("GOOGLETRANSLATE(G2962,""EN"",""JA"")"),"空胞リンパ球数")</f>
        <v>空胞リンパ球数</v>
      </c>
    </row>
    <row r="2963" ht="13.5" customHeight="1">
      <c r="A2963" s="1" t="s">
        <v>11</v>
      </c>
      <c r="B2963" s="1" t="s">
        <v>14866</v>
      </c>
      <c r="C2963" s="1" t="s">
        <v>14867</v>
      </c>
      <c r="D2963" s="1" t="s">
        <v>14868</v>
      </c>
      <c r="E2963" s="1" t="s">
        <v>14868</v>
      </c>
      <c r="F2963" s="1" t="s">
        <v>14869</v>
      </c>
      <c r="G2963" s="1" t="s">
        <v>14870</v>
      </c>
      <c r="H2963" s="1" t="str">
        <f>IFERROR(__xludf.DUMMYFUNCTION("GOOGLETRANSLATE(D2963,""EN"",""JA"")"),"空胞リンパ球/白血球")</f>
        <v>空胞リンパ球/白血球</v>
      </c>
      <c r="I2963" s="1" t="str">
        <f>IFERROR(__xludf.DUMMYFUNCTION("GOOGLETRANSLATE(E2963,""EN"",""JA"")"),"空胞リンパ球/白血球")</f>
        <v>空胞リンパ球/白血球</v>
      </c>
      <c r="J2963" s="1" t="str">
        <f>IFERROR(__xludf.DUMMYFUNCTION("GOOGLETRANSLATE(F2963,""EN"",""JA"")"),"生物標本中の白血球に対する空胞化リンパ球の相対的な測定値（比率またはパーセンテージ）。")</f>
        <v>生物標本中の白血球に対する空胞化リンパ球の相対的な測定値（比率またはパーセンテージ）。</v>
      </c>
      <c r="K2963" s="1" t="str">
        <f>IFERROR(__xludf.DUMMYFUNCTION("GOOGLETRANSLATE(G2963,""EN"",""JA"")"),"空胞化リンパ球と白血球の比率測定")</f>
        <v>空胞化リンパ球と白血球の比率測定</v>
      </c>
    </row>
    <row r="2964" ht="13.5" customHeight="1">
      <c r="A2964" s="1" t="s">
        <v>11</v>
      </c>
      <c r="B2964" s="1" t="s">
        <v>14871</v>
      </c>
      <c r="C2964" s="1" t="s">
        <v>14872</v>
      </c>
      <c r="D2964" s="1" t="s">
        <v>14873</v>
      </c>
      <c r="E2964" s="1" t="s">
        <v>14873</v>
      </c>
      <c r="F2964" s="1" t="s">
        <v>14874</v>
      </c>
      <c r="G2964" s="1" t="s">
        <v>14875</v>
      </c>
      <c r="H2964" s="1" t="str">
        <f>IFERROR(__xludf.DUMMYFUNCTION("GOOGLETRANSLATE(D2964,""EN"",""JA"")"),"リジン")</f>
        <v>リジン</v>
      </c>
      <c r="I2964" s="1" t="str">
        <f>IFERROR(__xludf.DUMMYFUNCTION("GOOGLETRANSLATE(E2964,""EN"",""JA"")"),"リジン")</f>
        <v>リジン</v>
      </c>
      <c r="J2964" s="1" t="str">
        <f>IFERROR(__xludf.DUMMYFUNCTION("GOOGLETRANSLATE(F2964,""EN"",""JA"")"),"生物標本中のリジンの測定。")</f>
        <v>生物標本中のリジンの測定。</v>
      </c>
      <c r="K2964" s="1" t="str">
        <f>IFERROR(__xludf.DUMMYFUNCTION("GOOGLETRANSLATE(G2964,""EN"",""JA"")"),"リジン測定")</f>
        <v>リジン測定</v>
      </c>
    </row>
    <row r="2965" ht="13.5" customHeight="1">
      <c r="A2965" s="1" t="s">
        <v>11</v>
      </c>
      <c r="B2965" s="1" t="s">
        <v>14876</v>
      </c>
      <c r="C2965" s="1" t="s">
        <v>14877</v>
      </c>
      <c r="D2965" s="1" t="s">
        <v>14878</v>
      </c>
      <c r="E2965" s="1" t="s">
        <v>14879</v>
      </c>
      <c r="F2965" s="1" t="s">
        <v>14880</v>
      </c>
      <c r="G2965" s="1" t="s">
        <v>14881</v>
      </c>
      <c r="H2965" s="1" t="str">
        <f>IFERROR(__xludf.DUMMYFUNCTION("GOOGLETRANSLATE(D2965,""EN"",""JA"")"),"グロボトリアオシルスフィンゴシン")</f>
        <v>グロボトリアオシルスフィンゴシン</v>
      </c>
      <c r="I2965" s="1" t="str">
        <f>IFERROR(__xludf.DUMMYFUNCTION("GOOGLETRANSLATE(E2965,""EN"",""JA"")"),"グロボトリアオシルスフィンゴシン;リソ-Gb3;リソ-GL3")</f>
        <v>グロボトリアオシルスフィンゴシン;リソ-Gb3;リソ-GL3</v>
      </c>
      <c r="J2965" s="1" t="str">
        <f>IFERROR(__xludf.DUMMYFUNCTION("GOOGLETRANSLATE(F2965,""EN"",""JA"")"),"生物標本中のグロボトリアオシルスフィンゴシンの測定。")</f>
        <v>生物標本中のグロボトリアオシルスフィンゴシンの測定。</v>
      </c>
      <c r="K2965" s="1" t="str">
        <f>IFERROR(__xludf.DUMMYFUNCTION("GOOGLETRANSLATE(G2965,""EN"",""JA"")"),"グロボトリアオシルスフィンゴシン測定")</f>
        <v>グロボトリアオシルスフィンゴシン測定</v>
      </c>
    </row>
    <row r="2966" ht="13.5" customHeight="1">
      <c r="A2966" s="1" t="s">
        <v>11</v>
      </c>
      <c r="B2966" s="1" t="s">
        <v>14882</v>
      </c>
      <c r="C2966" s="1" t="s">
        <v>14883</v>
      </c>
      <c r="D2966" s="1" t="s">
        <v>14884</v>
      </c>
      <c r="E2966" s="1" t="s">
        <v>14885</v>
      </c>
      <c r="F2966" s="1" t="s">
        <v>14886</v>
      </c>
      <c r="G2966" s="1" t="s">
        <v>14887</v>
      </c>
      <c r="H2966" s="1" t="str">
        <f>IFERROR(__xludf.DUMMYFUNCTION("GOOGLETRANSLATE(D2966,""EN"",""JA"")"),"グルコサイコシン")</f>
        <v>グルコサイコシン</v>
      </c>
      <c r="I2966" s="1" t="str">
        <f>IFERROR(__xludf.DUMMYFUNCTION("GOOGLETRANSLATE(E2966,""EN"",""JA"")"),"グルコサイコシン; グルコシルスフィンゴシン; リゾGL1")</f>
        <v>グルコサイコシン; グルコシルスフィンゴシン; リゾGL1</v>
      </c>
      <c r="J2966" s="1" t="str">
        <f>IFERROR(__xludf.DUMMYFUNCTION("GOOGLETRANSLATE(F2966,""EN"",""JA"")"),"生物標本中のグルコサイコシンの測定。")</f>
        <v>生物標本中のグルコサイコシンの測定。</v>
      </c>
      <c r="K2966" s="1" t="str">
        <f>IFERROR(__xludf.DUMMYFUNCTION("GOOGLETRANSLATE(G2966,""EN"",""JA"")"),"グルコサイコシン測定")</f>
        <v>グルコサイコシン測定</v>
      </c>
    </row>
    <row r="2967" ht="13.5" customHeight="1">
      <c r="A2967" s="1" t="s">
        <v>11</v>
      </c>
      <c r="B2967" s="1" t="s">
        <v>14888</v>
      </c>
      <c r="C2967" s="1" t="s">
        <v>14889</v>
      </c>
      <c r="D2967" s="1" t="s">
        <v>14890</v>
      </c>
      <c r="E2967" s="1" t="s">
        <v>14890</v>
      </c>
      <c r="F2967" s="1" t="s">
        <v>14891</v>
      </c>
      <c r="G2967" s="1" t="s">
        <v>14892</v>
      </c>
      <c r="H2967" s="1" t="str">
        <f>IFERROR(__xludf.DUMMYFUNCTION("GOOGLETRANSLATE(D2967,""EN"",""JA"")"),"リゾチーム")</f>
        <v>リゾチーム</v>
      </c>
      <c r="I2967" s="1" t="str">
        <f>IFERROR(__xludf.DUMMYFUNCTION("GOOGLETRANSLATE(E2967,""EN"",""JA"")"),"リゾチーム")</f>
        <v>リゾチーム</v>
      </c>
      <c r="J2967" s="1" t="str">
        <f>IFERROR(__xludf.DUMMYFUNCTION("GOOGLETRANSLATE(F2967,""EN"",""JA"")"),"生物標本中のリゾチームの測定。")</f>
        <v>生物標本中のリゾチームの測定。</v>
      </c>
      <c r="K2967" s="1" t="str">
        <f>IFERROR(__xludf.DUMMYFUNCTION("GOOGLETRANSLATE(G2967,""EN"",""JA"")"),"リゾチーム測定")</f>
        <v>リゾチーム測定</v>
      </c>
    </row>
    <row r="2968" ht="13.5" customHeight="1">
      <c r="A2968" s="1" t="s">
        <v>11</v>
      </c>
      <c r="B2968" s="1" t="s">
        <v>14893</v>
      </c>
      <c r="C2968" s="1" t="s">
        <v>14894</v>
      </c>
      <c r="D2968" s="1" t="s">
        <v>14895</v>
      </c>
      <c r="E2968" s="1" t="s">
        <v>14896</v>
      </c>
      <c r="F2968" s="1" t="s">
        <v>14897</v>
      </c>
      <c r="G2968" s="1" t="s">
        <v>14898</v>
      </c>
      <c r="H2968" s="1" t="str">
        <f>IFERROR(__xludf.DUMMYFUNCTION("GOOGLETRANSLATE(D2968,""EN"",""JA"")"),"スカベンジャー受容体システインリッチタイプ1タンパク質M130")</f>
        <v>スカベンジャー受容体システインリッチタイプ1タンパク質M130</v>
      </c>
      <c r="I2968" s="1" t="str">
        <f>IFERROR(__xludf.DUMMYFUNCTION("GOOGLETRANSLATE(E2968,""EN"",""JA"")"),"スカベンジャー受容体システインリッチタイプ1タンパク質M130; スカベンジャー受容体システインリッチタイプ1タンパク質M130; 可溶性CD163; 可溶性CD163a")</f>
        <v>スカベンジャー受容体システインリッチタイプ1タンパク質M130; スカベンジャー受容体システインリッチタイプ1タンパク質M130; 可溶性CD163; 可溶性CD163a</v>
      </c>
      <c r="J2968" s="1" t="str">
        <f>IFERROR(__xludf.DUMMYFUNCTION("GOOGLETRANSLATE(F2968,""EN"",""JA"")"),"生物標本中のスカベンジャー受容体システインリッチタイプ 1 タンパク質 M130 の測定。")</f>
        <v>生物標本中のスカベンジャー受容体システインリッチタイプ 1 タンパク質 M130 の測定。</v>
      </c>
      <c r="K2968" s="1" t="str">
        <f>IFERROR(__xludf.DUMMYFUNCTION("GOOGLETRANSLATE(G2968,""EN"",""JA"")"),"スカベンジャー受容体システインリッチ1型タンパク質M130の測定")</f>
        <v>スカベンジャー受容体システインリッチ1型タンパク質M130の測定</v>
      </c>
    </row>
    <row r="2969" ht="13.5" customHeight="1">
      <c r="A2969" s="1" t="s">
        <v>67</v>
      </c>
      <c r="B2969" s="1" t="s">
        <v>14899</v>
      </c>
      <c r="C2969" s="1" t="s">
        <v>14900</v>
      </c>
      <c r="D2969" s="1" t="s">
        <v>14901</v>
      </c>
      <c r="E2969" s="1" t="s">
        <v>14901</v>
      </c>
      <c r="F2969" s="1" t="s">
        <v>14902</v>
      </c>
      <c r="G2969" s="1" t="s">
        <v>14903</v>
      </c>
      <c r="H2969" s="1" t="str">
        <f>IFERROR(__xludf.DUMMYFUNCTION("GOOGLETRANSLATE(D2969,""EN"",""JA"")"),"マイコバクテリウム・アブセッサス")</f>
        <v>マイコバクテリウム・アブセッサス</v>
      </c>
      <c r="I2969" s="1" t="str">
        <f>IFERROR(__xludf.DUMMYFUNCTION("GOOGLETRANSLATE(E2969,""EN"",""JA"")"),"マイコバクテリウム・アブセッサス")</f>
        <v>マイコバクテリウム・アブセッサス</v>
      </c>
      <c r="J2969" s="1" t="str">
        <f>IFERROR(__xludf.DUMMYFUNCTION("GOOGLETRANSLATE(F2969,""EN"",""JA"")"),"生物標本中の Mycobacterium abscessus の測定。")</f>
        <v>生物標本中の Mycobacterium abscessus の測定。</v>
      </c>
      <c r="K2969" s="1" t="str">
        <f>IFERROR(__xludf.DUMMYFUNCTION("GOOGLETRANSLATE(G2969,""EN"",""JA"")"),"マイコバクテリウム・アブセッサス測定")</f>
        <v>マイコバクテリウム・アブセッサス測定</v>
      </c>
    </row>
    <row r="2970" ht="13.5" customHeight="1">
      <c r="A2970" s="1" t="s">
        <v>11</v>
      </c>
      <c r="B2970" s="1" t="s">
        <v>14904</v>
      </c>
      <c r="C2970" s="1" t="s">
        <v>14905</v>
      </c>
      <c r="D2970" s="1" t="s">
        <v>14906</v>
      </c>
      <c r="E2970" s="1" t="s">
        <v>14906</v>
      </c>
      <c r="F2970" s="1" t="s">
        <v>14907</v>
      </c>
      <c r="G2970" s="1" t="s">
        <v>14908</v>
      </c>
      <c r="H2970" s="1" t="str">
        <f>IFERROR(__xludf.DUMMYFUNCTION("GOOGLETRANSLATE(D2970,""EN"",""JA"")"),"MAB-CHMINACA")</f>
        <v>MAB-CHMINACA</v>
      </c>
      <c r="I2970" s="1" t="str">
        <f>IFERROR(__xludf.DUMMYFUNCTION("GOOGLETRANSLATE(E2970,""EN"",""JA"")"),"MAB-CHMINACA")</f>
        <v>MAB-CHMINACA</v>
      </c>
      <c r="J2970" s="1" t="str">
        <f>IFERROR(__xludf.DUMMYFUNCTION("GOOGLETRANSLATE(F2970,""EN"",""JA"")"),"生物標本中の合成カンナビノイド MAB-CHMINACA の測定。")</f>
        <v>生物標本中の合成カンナビノイド MAB-CHMINACA の測定。</v>
      </c>
      <c r="K2970" s="1" t="str">
        <f>IFERROR(__xludf.DUMMYFUNCTION("GOOGLETRANSLATE(G2970,""EN"",""JA"")"),"MAB-CHMINACA測定")</f>
        <v>MAB-CHMINACA測定</v>
      </c>
    </row>
    <row r="2971" ht="13.5" customHeight="1">
      <c r="A2971" s="1" t="s">
        <v>201</v>
      </c>
      <c r="B2971" s="1" t="s">
        <v>14909</v>
      </c>
      <c r="C2971" s="1" t="s">
        <v>14910</v>
      </c>
      <c r="D2971" s="1" t="s">
        <v>14911</v>
      </c>
      <c r="E2971" s="1" t="s">
        <v>14912</v>
      </c>
      <c r="F2971" s="1" t="s">
        <v>14913</v>
      </c>
      <c r="G2971" s="1" t="s">
        <v>14914</v>
      </c>
      <c r="H2971" s="1" t="str">
        <f>IFERROR(__xludf.DUMMYFUNCTION("GOOGLETRANSLATE(D2971,""EN"",""JA"")"),"調節性オートアブ/総オートアブ")</f>
        <v>調節性オートアブ/総オートアブ</v>
      </c>
      <c r="I2971" s="1" t="str">
        <f>IFERROR(__xludf.DUMMYFUNCTION("GOOGLETRANSLATE(E2971,""EN"",""JA"")"),"調節性自己抗体/総自己抗体; 調節性自己抗体/総自己抗体")</f>
        <v>調節性自己抗体/総自己抗体; 調節性自己抗体/総自己抗体</v>
      </c>
      <c r="J2971" s="1" t="str">
        <f>IFERROR(__xludf.DUMMYFUNCTION("GOOGLETRANSLATE(F2971,""EN"",""JA"")"),"生物学的標本中の総自己抗体に対する調節自己抗体の相対的な測定値（比率またはパーセンテージ）。")</f>
        <v>生物学的標本中の総自己抗体に対する調節自己抗体の相対的な測定値（比率またはパーセンテージ）。</v>
      </c>
      <c r="K2971" s="1" t="str">
        <f>IFERROR(__xludf.DUMMYFUNCTION("GOOGLETRANSLATE(G2971,""EN"",""JA"")"),"自己抗体対自己抗体比測定の調節")</f>
        <v>自己抗体対自己抗体比測定の調節</v>
      </c>
    </row>
    <row r="2972" ht="13.5" customHeight="1">
      <c r="A2972" s="1" t="s">
        <v>11</v>
      </c>
      <c r="B2972" s="1" t="s">
        <v>14915</v>
      </c>
      <c r="C2972" s="1" t="s">
        <v>14916</v>
      </c>
      <c r="D2972" s="1" t="s">
        <v>14917</v>
      </c>
      <c r="E2972" s="1" t="s">
        <v>14918</v>
      </c>
      <c r="F2972" s="1" t="s">
        <v>14919</v>
      </c>
      <c r="G2972" s="1" t="s">
        <v>14920</v>
      </c>
      <c r="H2972" s="1" t="str">
        <f>IFERROR(__xludf.DUMMYFUNCTION("GOOGLETRANSLATE(D2972,""EN"",""JA"")"),"肉眼的血液")</f>
        <v>肉眼的血液</v>
      </c>
      <c r="I2972" s="1" t="str">
        <f>IFERROR(__xludf.DUMMYFUNCTION("GOOGLETRANSLATE(E2972,""EN"",""JA"")"),"肉眼で見える血液; 目に見える血液")</f>
        <v>肉眼で見える血液; 目に見える血液</v>
      </c>
      <c r="J2972" s="1" t="str">
        <f>IFERROR(__xludf.DUMMYFUNCTION("GOOGLETRANSLATE(F2972,""EN"",""JA"")"),"尿や便のサンプルなどの体内の産物に含まれる血液の測定値で、肉眼検査で視覚的に検出できます。")</f>
        <v>尿や便のサンプルなどの体内の産物に含まれる血液の測定値で、肉眼検査で視覚的に検出できます。</v>
      </c>
      <c r="K2972" s="1" t="str">
        <f>IFERROR(__xludf.DUMMYFUNCTION("GOOGLETRANSLATE(G2972,""EN"",""JA"")"),"肉眼的血液測定")</f>
        <v>肉眼的血液測定</v>
      </c>
    </row>
    <row r="2973" ht="13.5" customHeight="1">
      <c r="A2973" s="1" t="s">
        <v>11</v>
      </c>
      <c r="B2973" s="1" t="s">
        <v>14921</v>
      </c>
      <c r="C2973" s="1" t="s">
        <v>14922</v>
      </c>
      <c r="D2973" s="1" t="s">
        <v>14923</v>
      </c>
      <c r="E2973" s="1" t="s">
        <v>14923</v>
      </c>
      <c r="F2973" s="1" t="s">
        <v>14924</v>
      </c>
      <c r="G2973" s="1" t="s">
        <v>14925</v>
      </c>
      <c r="H2973" s="1" t="str">
        <f>IFERROR(__xludf.DUMMYFUNCTION("GOOGLETRANSLATE(D2973,""EN"",""JA"")"),"マクロサイト")</f>
        <v>マクロサイト</v>
      </c>
      <c r="I2973" s="1" t="str">
        <f>IFERROR(__xludf.DUMMYFUNCTION("GOOGLETRANSLATE(E2973,""EN"",""JA"")"),"マクロサイト")</f>
        <v>マクロサイト</v>
      </c>
      <c r="J2973" s="1" t="str">
        <f>IFERROR(__xludf.DUMMYFUNCTION("GOOGLETRANSLATE(F2973,""EN"",""JA"")"),"生物標本中のマクロサイトの測定。")</f>
        <v>生物標本中のマクロサイトの測定。</v>
      </c>
      <c r="K2973" s="1" t="str">
        <f>IFERROR(__xludf.DUMMYFUNCTION("GOOGLETRANSLATE(G2973,""EN"",""JA"")"),"大赤血球数")</f>
        <v>大赤血球数</v>
      </c>
    </row>
    <row r="2974" ht="13.5" customHeight="1">
      <c r="A2974" s="1" t="s">
        <v>580</v>
      </c>
      <c r="B2974" s="1" t="s">
        <v>14926</v>
      </c>
      <c r="C2974" s="1" t="s">
        <v>14927</v>
      </c>
      <c r="D2974" s="1" t="s">
        <v>14928</v>
      </c>
      <c r="E2974" s="1" t="s">
        <v>14928</v>
      </c>
      <c r="F2974" s="1" t="s">
        <v>14929</v>
      </c>
      <c r="G2974" s="1" t="s">
        <v>14930</v>
      </c>
      <c r="H2974" s="1" t="str">
        <f>IFERROR(__xludf.DUMMYFUNCTION("GOOGLETRANSLATE(D2974,""EN"",""JA"")"),"悪性腫瘍の証拠の説明")</f>
        <v>悪性腫瘍の証拠の説明</v>
      </c>
      <c r="I2974" s="1" t="str">
        <f>IFERROR(__xludf.DUMMYFUNCTION("GOOGLETRANSLATE(E2974,""EN"",""JA"")"),"悪性腫瘍の証拠の説明")</f>
        <v>悪性腫瘍の証拠の説明</v>
      </c>
      <c r="J2974" s="1" t="str">
        <f>IFERROR(__xludf.DUMMYFUNCTION("GOOGLETRANSLATE(F2974,""EN"",""JA"")"),"悪性腫瘍が存在すると判断する根拠。")</f>
        <v>悪性腫瘍が存在すると判断する根拠。</v>
      </c>
      <c r="K2974" s="1" t="str">
        <f>IFERROR(__xludf.DUMMYFUNCTION("GOOGLETRANSLATE(G2974,""EN"",""JA"")"),"悪性疾患の証拠の説明")</f>
        <v>悪性疾患の証拠の説明</v>
      </c>
    </row>
    <row r="2975" ht="13.5" customHeight="1">
      <c r="A2975" s="1" t="s">
        <v>580</v>
      </c>
      <c r="B2975" s="1" t="s">
        <v>14931</v>
      </c>
      <c r="C2975" s="1" t="s">
        <v>14932</v>
      </c>
      <c r="D2975" s="1" t="s">
        <v>14933</v>
      </c>
      <c r="E2975" s="1" t="s">
        <v>14933</v>
      </c>
      <c r="F2975" s="1" t="s">
        <v>14934</v>
      </c>
      <c r="G2975" s="1" t="s">
        <v>14935</v>
      </c>
      <c r="H2975" s="1" t="str">
        <f>IFERROR(__xludf.DUMMYFUNCTION("GOOGLETRANSLATE(D2975,""EN"",""JA"")"),"悪性度指標")</f>
        <v>悪性度指標</v>
      </c>
      <c r="I2975" s="1" t="str">
        <f>IFERROR(__xludf.DUMMYFUNCTION("GOOGLETRANSLATE(E2975,""EN"",""JA"")"),"悪性度指標")</f>
        <v>悪性度指標</v>
      </c>
      <c r="J2975" s="1" t="str">
        <f>IFERROR(__xludf.DUMMYFUNCTION("GOOGLETRANSLATE(F2975,""EN"",""JA"")"),"悪性腫瘍が存在するかどうかを示すもの。")</f>
        <v>悪性腫瘍が存在するかどうかを示すもの。</v>
      </c>
      <c r="K2975" s="1" t="str">
        <f>IFERROR(__xludf.DUMMYFUNCTION("GOOGLETRANSLATE(G2975,""EN"",""JA"")"),"悪性疾患指標")</f>
        <v>悪性疾患指標</v>
      </c>
    </row>
    <row r="2976" ht="13.5" customHeight="1">
      <c r="A2976" s="1" t="s">
        <v>134</v>
      </c>
      <c r="B2976" s="1" t="s">
        <v>14936</v>
      </c>
      <c r="C2976" s="1" t="s">
        <v>14937</v>
      </c>
      <c r="D2976" s="1" t="s">
        <v>14938</v>
      </c>
      <c r="E2976" s="1" t="s">
        <v>14939</v>
      </c>
      <c r="F2976" s="1" t="s">
        <v>14940</v>
      </c>
      <c r="G2976" s="1" t="s">
        <v>14941</v>
      </c>
      <c r="H2976" s="1" t="str">
        <f>IFERROR(__xludf.DUMMYFUNCTION("GOOGLETRANSLATE(D2976,""EN"",""JA"")"),"マロリー・ボディ")</f>
        <v>マロリー・ボディ</v>
      </c>
      <c r="I2976" s="1" t="str">
        <f>IFERROR(__xludf.DUMMYFUNCTION("GOOGLETRANSLATE(E2976,""EN"",""JA"")"),"マロリー小体、マロリー硝子体、マロリー硝子体、マロリー・デンク小体")</f>
        <v>マロリー小体、マロリー硝子体、マロリー硝子体、マロリー・デンク小体</v>
      </c>
      <c r="J2976" s="1" t="str">
        <f>IFERROR(__xludf.DUMMYFUNCTION("GOOGLETRANSLATE(F2976,""EN"",""JA"")"),"生物標本におけるマロリー小体の評価。")</f>
        <v>生物標本におけるマロリー小体の評価。</v>
      </c>
      <c r="K2976" s="1" t="str">
        <f>IFERROR(__xludf.DUMMYFUNCTION("GOOGLETRANSLATE(G2976,""EN"",""JA"")"),"マロリーボディアセスメント")</f>
        <v>マロリーボディアセスメント</v>
      </c>
    </row>
    <row r="2977" ht="13.5" customHeight="1">
      <c r="A2977" s="1" t="s">
        <v>129</v>
      </c>
      <c r="B2977" s="1" t="s">
        <v>14942</v>
      </c>
      <c r="C2977" s="1" t="s">
        <v>14943</v>
      </c>
      <c r="D2977" s="1" t="s">
        <v>14944</v>
      </c>
      <c r="E2977" s="1" t="s">
        <v>14944</v>
      </c>
      <c r="F2977" s="1" t="s">
        <v>14945</v>
      </c>
      <c r="G2977" s="1" t="s">
        <v>14944</v>
      </c>
      <c r="H2977" s="1" t="str">
        <f>IFERROR(__xludf.DUMMYFUNCTION("GOOGLETRANSLATE(D2977,""EN"",""JA"")"),"下顎の長さ")</f>
        <v>下顎の長さ</v>
      </c>
      <c r="I2977" s="1" t="str">
        <f>IFERROR(__xludf.DUMMYFUNCTION("GOOGLETRANSLATE(E2977,""EN"",""JA"")"),"下顎の長さ")</f>
        <v>下顎の長さ</v>
      </c>
      <c r="J2977" s="1" t="str">
        <f>IFERROR(__xludf.DUMMYFUNCTION("GOOGLETRANSLATE(F2977,""EN"",""JA"")"),"下顎の長さの測定値。")</f>
        <v>下顎の長さの測定値。</v>
      </c>
      <c r="K2977" s="1" t="str">
        <f>IFERROR(__xludf.DUMMYFUNCTION("GOOGLETRANSLATE(G2977,""EN"",""JA"")"),"下顎の長さ")</f>
        <v>下顎の長さ</v>
      </c>
    </row>
    <row r="2978" ht="13.5" customHeight="1">
      <c r="A2978" s="1" t="s">
        <v>11</v>
      </c>
      <c r="B2978" s="1" t="s">
        <v>14946</v>
      </c>
      <c r="C2978" s="1" t="s">
        <v>14947</v>
      </c>
      <c r="D2978" s="1" t="s">
        <v>14948</v>
      </c>
      <c r="E2978" s="1" t="s">
        <v>14948</v>
      </c>
      <c r="F2978" s="1" t="s">
        <v>14949</v>
      </c>
      <c r="G2978" s="1" t="s">
        <v>14950</v>
      </c>
      <c r="H2978" s="1" t="str">
        <f>IFERROR(__xludf.DUMMYFUNCTION("GOOGLETRANSLATE(D2978,""EN"",""JA"")"),"マンニトール")</f>
        <v>マンニトール</v>
      </c>
      <c r="I2978" s="1" t="str">
        <f>IFERROR(__xludf.DUMMYFUNCTION("GOOGLETRANSLATE(E2978,""EN"",""JA"")"),"マンニトール")</f>
        <v>マンニトール</v>
      </c>
      <c r="J2978" s="1" t="str">
        <f>IFERROR(__xludf.DUMMYFUNCTION("GOOGLETRANSLATE(F2978,""EN"",""JA"")"),"生物標本中のマンニトールの測定。")</f>
        <v>生物標本中のマンニトールの測定。</v>
      </c>
      <c r="K2978" s="1" t="str">
        <f>IFERROR(__xludf.DUMMYFUNCTION("GOOGLETRANSLATE(G2978,""EN"",""JA"")"),"マンニトール測定")</f>
        <v>マンニトール測定</v>
      </c>
    </row>
    <row r="2979" ht="13.5" customHeight="1">
      <c r="A2979" s="1" t="s">
        <v>129</v>
      </c>
      <c r="B2979" s="1" t="s">
        <v>14951</v>
      </c>
      <c r="C2979" s="1" t="s">
        <v>14952</v>
      </c>
      <c r="D2979" s="1" t="s">
        <v>14953</v>
      </c>
      <c r="E2979" s="1" t="s">
        <v>14953</v>
      </c>
      <c r="F2979" s="1" t="s">
        <v>14954</v>
      </c>
      <c r="G2979" s="1" t="s">
        <v>14953</v>
      </c>
      <c r="H2979" s="1" t="str">
        <f>IFERROR(__xludf.DUMMYFUNCTION("GOOGLETRANSLATE(D2979,""EN"",""JA"")"),"平均動脈圧")</f>
        <v>平均動脈圧</v>
      </c>
      <c r="I2979" s="1" t="str">
        <f>IFERROR(__xludf.DUMMYFUNCTION("GOOGLETRANSLATE(E2979,""EN"",""JA"")"),"平均動脈圧")</f>
        <v>平均動脈圧</v>
      </c>
      <c r="J2979" s="1" t="str">
        <f>IFERROR(__xludf.DUMMYFUNCTION("GOOGLETRANSLATE(F2979,""EN"",""JA"")"),"動脈循環内の血液の平均圧力。")</f>
        <v>動脈循環内の血液の平均圧力。</v>
      </c>
      <c r="K2979" s="1" t="str">
        <f>IFERROR(__xludf.DUMMYFUNCTION("GOOGLETRANSLATE(G2979,""EN"",""JA"")"),"平均動脈圧")</f>
        <v>平均動脈圧</v>
      </c>
    </row>
    <row r="2980" ht="13.5" customHeight="1">
      <c r="A2980" s="1" t="s">
        <v>601</v>
      </c>
      <c r="B2980" s="1" t="s">
        <v>14955</v>
      </c>
      <c r="C2980" s="1" t="s">
        <v>14956</v>
      </c>
      <c r="D2980" s="1" t="s">
        <v>14957</v>
      </c>
      <c r="E2980" s="1" t="s">
        <v>14957</v>
      </c>
      <c r="F2980" s="1" t="s">
        <v>14958</v>
      </c>
      <c r="G2980" s="1" t="s">
        <v>14957</v>
      </c>
      <c r="H2980" s="1" t="str">
        <f>IFERROR(__xludf.DUMMYFUNCTION("GOOGLETRANSLATE(D2980,""EN"",""JA"")"),"配偶者の有無")</f>
        <v>配偶者の有無</v>
      </c>
      <c r="I2980" s="1" t="str">
        <f>IFERROR(__xludf.DUMMYFUNCTION("GOOGLETRANSLATE(E2980,""EN"",""JA"")"),"配偶者の有無")</f>
        <v>配偶者の有無</v>
      </c>
      <c r="J2980" s="1" t="str">
        <f>IFERROR(__xludf.DUMMYFUNCTION("GOOGLETRANSLATE(F2980,""EN"",""JA"")"),"ある人の婚姻状況の状態。")</f>
        <v>ある人の婚姻状況の状態。</v>
      </c>
      <c r="K2980" s="1" t="str">
        <f>IFERROR(__xludf.DUMMYFUNCTION("GOOGLETRANSLATE(G2980,""EN"",""JA"")"),"配偶者の有無")</f>
        <v>配偶者の有無</v>
      </c>
    </row>
    <row r="2981" ht="13.5" customHeight="1">
      <c r="A2981" s="1" t="s">
        <v>90</v>
      </c>
      <c r="B2981" s="1" t="s">
        <v>14959</v>
      </c>
      <c r="C2981" s="1" t="s">
        <v>14960</v>
      </c>
      <c r="D2981" s="1" t="s">
        <v>14961</v>
      </c>
      <c r="E2981" s="1" t="s">
        <v>14961</v>
      </c>
      <c r="F2981" s="1" t="s">
        <v>14962</v>
      </c>
      <c r="G2981" s="1" t="s">
        <v>14961</v>
      </c>
      <c r="H2981" s="1" t="str">
        <f>IFERROR(__xludf.DUMMYFUNCTION("GOOGLETRANSLATE(D2981,""EN"",""JA"")"),"質量")</f>
        <v>質量</v>
      </c>
      <c r="I2981" s="1" t="str">
        <f>IFERROR(__xludf.DUMMYFUNCTION("GOOGLETRANSLATE(E2981,""EN"",""JA"")"),"質量")</f>
        <v>質量</v>
      </c>
      <c r="J2981" s="1" t="str">
        <f>IFERROR(__xludf.DUMMYFUNCTION("GOOGLETRANSLATE(F2981,""EN"",""JA"")"),"物体内の物質の量。")</f>
        <v>物体内の物質の量。</v>
      </c>
      <c r="K2981" s="1" t="str">
        <f>IFERROR(__xludf.DUMMYFUNCTION("GOOGLETRANSLATE(G2981,""EN"",""JA"")"),"質量")</f>
        <v>質量</v>
      </c>
    </row>
    <row r="2982" ht="13.5" customHeight="1">
      <c r="A2982" s="1" t="s">
        <v>160</v>
      </c>
      <c r="B2982" s="1" t="s">
        <v>14963</v>
      </c>
      <c r="C2982" s="1" t="s">
        <v>14964</v>
      </c>
      <c r="D2982" s="1" t="s">
        <v>14965</v>
      </c>
      <c r="E2982" s="1" t="s">
        <v>14965</v>
      </c>
      <c r="F2982" s="1" t="s">
        <v>14966</v>
      </c>
      <c r="G2982" s="1" t="s">
        <v>14965</v>
      </c>
      <c r="H2982" s="1" t="str">
        <f>IFERROR(__xludf.DUMMYFUNCTION("GOOGLETRANSLATE(D2982,""EN"",""JA"")"),"質量指示計")</f>
        <v>質量指示計</v>
      </c>
      <c r="I2982" s="1" t="str">
        <f>IFERROR(__xludf.DUMMYFUNCTION("GOOGLETRANSLATE(E2982,""EN"",""JA"")"),"質量指示計")</f>
        <v>質量指示計</v>
      </c>
      <c r="J2982" s="1" t="str">
        <f>IFERROR(__xludf.DUMMYFUNCTION("GOOGLETRANSLATE(F2982,""EN"",""JA"")"),"腫瘤が存在するかどうかを示すもの。")</f>
        <v>腫瘤が存在するかどうかを示すもの。</v>
      </c>
      <c r="K2982" s="1" t="str">
        <f>IFERROR(__xludf.DUMMYFUNCTION("GOOGLETRANSLATE(G2982,""EN"",""JA"")"),"質量指示計")</f>
        <v>質量指示計</v>
      </c>
    </row>
    <row r="2983" ht="13.5" customHeight="1">
      <c r="A2983" s="1" t="s">
        <v>11</v>
      </c>
      <c r="B2983" s="1" t="s">
        <v>14967</v>
      </c>
      <c r="C2983" s="1" t="s">
        <v>14968</v>
      </c>
      <c r="D2983" s="1" t="s">
        <v>14969</v>
      </c>
      <c r="E2983" s="1" t="s">
        <v>14970</v>
      </c>
      <c r="F2983" s="1" t="s">
        <v>14971</v>
      </c>
      <c r="G2983" s="1" t="s">
        <v>14972</v>
      </c>
      <c r="H2983" s="1" t="str">
        <f>IFERROR(__xludf.DUMMYFUNCTION("GOOGLETRANSLATE(D2983,""EN"",""JA"")"),"肥満細胞")</f>
        <v>肥満細胞</v>
      </c>
      <c r="I2983" s="1" t="str">
        <f>IFERROR(__xludf.DUMMYFUNCTION("GOOGLETRANSLATE(E2983,""EN"",""JA"")"),"肥満細胞")</f>
        <v>肥満細胞</v>
      </c>
      <c r="J2983" s="1" t="str">
        <f>IFERROR(__xludf.DUMMYFUNCTION("GOOGLETRANSLATE(F2983,""EN"",""JA"")"),"生物標本内の肥満細胞の測定。")</f>
        <v>生物標本内の肥満細胞の測定。</v>
      </c>
      <c r="K2983" s="1" t="str">
        <f>IFERROR(__xludf.DUMMYFUNCTION("GOOGLETRANSLATE(G2983,""EN"",""JA"")"),"肥満細胞数")</f>
        <v>肥満細胞数</v>
      </c>
    </row>
    <row r="2984" ht="13.5" customHeight="1">
      <c r="A2984" s="1" t="s">
        <v>134</v>
      </c>
      <c r="B2984" s="1" t="s">
        <v>14973</v>
      </c>
      <c r="C2984" s="1" t="s">
        <v>14974</v>
      </c>
      <c r="D2984" s="1" t="s">
        <v>14975</v>
      </c>
      <c r="E2984" s="1" t="s">
        <v>14975</v>
      </c>
      <c r="F2984" s="1" t="s">
        <v>14976</v>
      </c>
      <c r="G2984" s="1" t="s">
        <v>14977</v>
      </c>
      <c r="H2984" s="1" t="str">
        <f>IFERROR(__xludf.DUMMYFUNCTION("GOOGLETRANSLATE(D2984,""EN"",""JA"")"),"肥満細胞/総細胞")</f>
        <v>肥満細胞/総細胞</v>
      </c>
      <c r="I2984" s="1" t="str">
        <f>IFERROR(__xludf.DUMMYFUNCTION("GOOGLETRANSLATE(E2984,""EN"",""JA"")"),"肥満細胞/総細胞")</f>
        <v>肥満細胞/総細胞</v>
      </c>
      <c r="J2984" s="1" t="str">
        <f>IFERROR(__xludf.DUMMYFUNCTION("GOOGLETRANSLATE(F2984,""EN"",""JA"")"),"生物標本内の総細胞数に対する肥満細胞の相対的な測定値（比率またはパーセンテージ）。")</f>
        <v>生物標本内の総細胞数に対する肥満細胞の相対的な測定値（比率またはパーセンテージ）。</v>
      </c>
      <c r="K2984" s="1" t="str">
        <f>IFERROR(__xludf.DUMMYFUNCTION("GOOGLETRANSLATE(G2984,""EN"",""JA"")"),"肥満細胞と総細胞比の測定")</f>
        <v>肥満細胞と総細胞比の測定</v>
      </c>
    </row>
    <row r="2985" ht="13.5" customHeight="1">
      <c r="A2985" s="1" t="s">
        <v>11</v>
      </c>
      <c r="B2985" s="1" t="s">
        <v>14973</v>
      </c>
      <c r="C2985" s="1" t="s">
        <v>14974</v>
      </c>
      <c r="D2985" s="1" t="s">
        <v>14975</v>
      </c>
      <c r="E2985" s="1" t="s">
        <v>14975</v>
      </c>
      <c r="F2985" s="1" t="s">
        <v>14976</v>
      </c>
      <c r="G2985" s="1" t="s">
        <v>14977</v>
      </c>
      <c r="H2985" s="1" t="str">
        <f>IFERROR(__xludf.DUMMYFUNCTION("GOOGLETRANSLATE(D2985,""EN"",""JA"")"),"肥満細胞/総細胞")</f>
        <v>肥満細胞/総細胞</v>
      </c>
      <c r="I2985" s="1" t="str">
        <f>IFERROR(__xludf.DUMMYFUNCTION("GOOGLETRANSLATE(E2985,""EN"",""JA"")"),"肥満細胞/総細胞")</f>
        <v>肥満細胞/総細胞</v>
      </c>
      <c r="J2985" s="1" t="str">
        <f>IFERROR(__xludf.DUMMYFUNCTION("GOOGLETRANSLATE(F2985,""EN"",""JA"")"),"生物標本内の総細胞数に対する肥満細胞の相対的な測定値（比率またはパーセンテージ）。")</f>
        <v>生物標本内の総細胞数に対する肥満細胞の相対的な測定値（比率またはパーセンテージ）。</v>
      </c>
      <c r="K2985" s="1" t="str">
        <f>IFERROR(__xludf.DUMMYFUNCTION("GOOGLETRANSLATE(G2985,""EN"",""JA"")"),"肥満細胞と総細胞比の測定")</f>
        <v>肥満細胞と総細胞比の測定</v>
      </c>
    </row>
    <row r="2986" ht="13.5" customHeight="1">
      <c r="A2986" s="1" t="s">
        <v>11</v>
      </c>
      <c r="B2986" s="1" t="s">
        <v>14978</v>
      </c>
      <c r="C2986" s="1" t="s">
        <v>14979</v>
      </c>
      <c r="D2986" s="1" t="s">
        <v>14980</v>
      </c>
      <c r="E2986" s="1" t="s">
        <v>14980</v>
      </c>
      <c r="F2986" s="1" t="s">
        <v>14981</v>
      </c>
      <c r="G2986" s="1" t="s">
        <v>14982</v>
      </c>
      <c r="H2986" s="1" t="str">
        <f>IFERROR(__xludf.DUMMYFUNCTION("GOOGLETRANSLATE(D2986,""EN"",""JA"")"),"肥満細胞/白血球")</f>
        <v>肥満細胞/白血球</v>
      </c>
      <c r="I2986" s="1" t="str">
        <f>IFERROR(__xludf.DUMMYFUNCTION("GOOGLETRANSLATE(E2986,""EN"",""JA"")"),"肥満細胞/白血球")</f>
        <v>肥満細胞/白血球</v>
      </c>
      <c r="J2986" s="1" t="str">
        <f>IFERROR(__xludf.DUMMYFUNCTION("GOOGLETRANSLATE(F2986,""EN"",""JA"")"),"生物学的標本中の肥満細胞と総白血球の相対的な測定値（比率またはパーセンテージ）。")</f>
        <v>生物学的標本中の肥満細胞と総白血球の相対的な測定値（比率またはパーセンテージ）。</v>
      </c>
      <c r="K2986" s="1" t="str">
        <f>IFERROR(__xludf.DUMMYFUNCTION("GOOGLETRANSLATE(G2986,""EN"",""JA"")"),"肥満細胞と白血球の比率測定")</f>
        <v>肥満細胞と白血球の比率測定</v>
      </c>
    </row>
    <row r="2987" ht="13.5" customHeight="1">
      <c r="A2987" s="1" t="s">
        <v>870</v>
      </c>
      <c r="B2987" s="1" t="s">
        <v>14983</v>
      </c>
      <c r="C2987" s="1" t="s">
        <v>14984</v>
      </c>
      <c r="D2987" s="1" t="s">
        <v>14985</v>
      </c>
      <c r="E2987" s="1" t="s">
        <v>14985</v>
      </c>
      <c r="F2987" s="1" t="s">
        <v>14986</v>
      </c>
      <c r="G2987" s="1" t="s">
        <v>14985</v>
      </c>
      <c r="H2987" s="1" t="str">
        <f>IFERROR(__xludf.DUMMYFUNCTION("GOOGLETRANSLATE(D2987,""EN"",""JA"")"),"平均吸収時間")</f>
        <v>平均吸収時間</v>
      </c>
      <c r="I2987" s="1" t="str">
        <f>IFERROR(__xludf.DUMMYFUNCTION("GOOGLETRANSLATE(E2987,""EN"",""JA"")"),"平均吸収時間")</f>
        <v>平均吸収時間</v>
      </c>
      <c r="J2987" s="1" t="str">
        <f>IFERROR(__xludf.DUMMYFUNCTION("GOOGLETRANSLATE(F2987,""EN"",""JA"")"),"血管外投与により投与された物質の平均吸収時間。")</f>
        <v>血管外投与により投与された物質の平均吸収時間。</v>
      </c>
      <c r="K2987" s="1" t="str">
        <f>IFERROR(__xludf.DUMMYFUNCTION("GOOGLETRANSLATE(G2987,""EN"",""JA"")"),"平均吸収時間")</f>
        <v>平均吸収時間</v>
      </c>
    </row>
    <row r="2988" ht="13.5" customHeight="1">
      <c r="A2988" s="1" t="s">
        <v>67</v>
      </c>
      <c r="B2988" s="1" t="s">
        <v>14987</v>
      </c>
      <c r="C2988" s="1" t="s">
        <v>14988</v>
      </c>
      <c r="D2988" s="1" t="s">
        <v>14989</v>
      </c>
      <c r="E2988" s="1" t="s">
        <v>14989</v>
      </c>
      <c r="F2988" s="1" t="s">
        <v>14990</v>
      </c>
      <c r="G2988" s="1" t="s">
        <v>14991</v>
      </c>
      <c r="H2988" s="1" t="str">
        <f>IFERROR(__xludf.DUMMYFUNCTION("GOOGLETRANSLATE(D2988,""EN"",""JA"")"),"マイコバクテリウム・アビウム複合体")</f>
        <v>マイコバクテリウム・アビウム複合体</v>
      </c>
      <c r="I2988" s="1" t="str">
        <f>IFERROR(__xludf.DUMMYFUNCTION("GOOGLETRANSLATE(E2988,""EN"",""JA"")"),"マイコバクテリウム・アビウム複合体")</f>
        <v>マイコバクテリウム・アビウム複合体</v>
      </c>
      <c r="J2988" s="1" t="str">
        <f>IFERROR(__xludf.DUMMYFUNCTION("GOOGLETRANSLATE(F2988,""EN"",""JA"")"),"生物標本中の Mycobacterium avium 複合体に割り当てることができる細菌種のグループの測定値。")</f>
        <v>生物標本中の Mycobacterium avium 複合体に割り当てることができる細菌種のグループの測定値。</v>
      </c>
      <c r="K2988" s="1" t="str">
        <f>IFERROR(__xludf.DUMMYFUNCTION("GOOGLETRANSLATE(G2988,""EN"",""JA"")"),"マイコバクテリウム・アビウム複合体測定")</f>
        <v>マイコバクテリウム・アビウム複合体測定</v>
      </c>
    </row>
    <row r="2989" ht="13.5" customHeight="1">
      <c r="A2989" s="1" t="s">
        <v>134</v>
      </c>
      <c r="B2989" s="1" t="s">
        <v>14992</v>
      </c>
      <c r="C2989" s="1" t="s">
        <v>14993</v>
      </c>
      <c r="D2989" s="1" t="s">
        <v>14994</v>
      </c>
      <c r="E2989" s="1" t="s">
        <v>14995</v>
      </c>
      <c r="F2989" s="1" t="s">
        <v>14996</v>
      </c>
      <c r="G2989" s="1" t="s">
        <v>14997</v>
      </c>
      <c r="H2989" s="1" t="str">
        <f>IFERROR(__xludf.DUMMYFUNCTION("GOOGLETRANSLATE(D2989,""EN"",""JA"")"),"最大寸法 最大転移性沈着物")</f>
        <v>最大寸法 最大転移性沈着物</v>
      </c>
      <c r="I2989" s="1" t="str">
        <f>IFERROR(__xludf.DUMMYFUNCTION("GOOGLETRANSLATE(E2989,""EN"",""JA"")"),"最大転移巣の最大寸法; 最大転移巣の最大寸法")</f>
        <v>最大転移巣の最大寸法; 最大転移巣の最大寸法</v>
      </c>
      <c r="J2989" s="1" t="str">
        <f>IFERROR(__xludf.DUMMYFUNCTION("GOOGLETRANSLATE(F2989,""EN"",""JA"")"),"最大の転移性沈着物の最大寸法（最長または最幅）の測定値。")</f>
        <v>最大の転移性沈着物の最大寸法（最長または最幅）の測定値。</v>
      </c>
      <c r="K2989" s="1" t="str">
        <f>IFERROR(__xludf.DUMMYFUNCTION("GOOGLETRANSLATE(G2989,""EN"",""JA"")"),"最大転移巣の最大寸法")</f>
        <v>最大転移巣の最大寸法</v>
      </c>
    </row>
    <row r="2990" ht="13.5" customHeight="1">
      <c r="A2990" s="1" t="s">
        <v>90</v>
      </c>
      <c r="B2990" s="1" t="s">
        <v>14998</v>
      </c>
      <c r="C2990" s="1" t="s">
        <v>14999</v>
      </c>
      <c r="D2990" s="1" t="s">
        <v>15000</v>
      </c>
      <c r="E2990" s="1" t="s">
        <v>15000</v>
      </c>
      <c r="F2990" s="1" t="s">
        <v>15001</v>
      </c>
      <c r="G2990" s="1" t="s">
        <v>15000</v>
      </c>
      <c r="H2990" s="1" t="str">
        <f>IFERROR(__xludf.DUMMYFUNCTION("GOOGLETRANSLATE(D2990,""EN"",""JA"")"),"最大心膜液浸出幅")</f>
        <v>最大心膜液浸出幅</v>
      </c>
      <c r="I2990" s="1" t="str">
        <f>IFERROR(__xludf.DUMMYFUNCTION("GOOGLETRANSLATE(E2990,""EN"",""JA"")"),"最大心膜液浸出幅")</f>
        <v>最大心膜液浸出幅</v>
      </c>
      <c r="J2990" s="1" t="str">
        <f>IFERROR(__xludf.DUMMYFUNCTION("GOOGLETRANSLATE(F2990,""EN"",""JA"")"),"拡張期における壁側心膜と臓側心膜の最大分離の定量測定。")</f>
        <v>拡張期における壁側心膜と臓側心膜の最大分離の定量測定。</v>
      </c>
      <c r="K2990" s="1" t="str">
        <f>IFERROR(__xludf.DUMMYFUNCTION("GOOGLETRANSLATE(G2990,""EN"",""JA"")"),"最大心膜液浸出幅")</f>
        <v>最大心膜液浸出幅</v>
      </c>
    </row>
    <row r="2991" ht="13.5" customHeight="1">
      <c r="A2991" s="1" t="s">
        <v>129</v>
      </c>
      <c r="B2991" s="1" t="s">
        <v>15002</v>
      </c>
      <c r="C2991" s="1" t="s">
        <v>15003</v>
      </c>
      <c r="D2991" s="1" t="s">
        <v>15004</v>
      </c>
      <c r="E2991" s="1" t="s">
        <v>15004</v>
      </c>
      <c r="F2991" s="1" t="s">
        <v>15005</v>
      </c>
      <c r="G2991" s="1" t="s">
        <v>15004</v>
      </c>
      <c r="H2991" s="1" t="str">
        <f>IFERROR(__xludf.DUMMYFUNCTION("GOOGLETRANSLATE(D2991,""EN"",""JA"")"),"最大予測心拍数")</f>
        <v>最大予測心拍数</v>
      </c>
      <c r="I2991" s="1" t="str">
        <f>IFERROR(__xludf.DUMMYFUNCTION("GOOGLETRANSLATE(E2991,""EN"",""JA"")"),"最大予測心拍数")</f>
        <v>最大予測心拍数</v>
      </c>
      <c r="J2991" s="1" t="str">
        <f>IFERROR(__xludf.DUMMYFUNCTION("GOOGLETRANSLATE(F2991,""EN"",""JA"")"),"個人の心拍数の予測上限値。男性の場合は 220 から被験者の年齢を引いて計算され、女性の場合は 210 から被験者の年齢を引いて計算されます。")</f>
        <v>個人の心拍数の予測上限値。男性の場合は 220 から被験者の年齢を引いて計算され、女性の場合は 210 から被験者の年齢を引いて計算されます。</v>
      </c>
      <c r="K2991" s="1" t="str">
        <f>IFERROR(__xludf.DUMMYFUNCTION("GOOGLETRANSLATE(G2991,""EN"",""JA"")"),"最大予測心拍数")</f>
        <v>最大予測心拍数</v>
      </c>
    </row>
    <row r="2992" ht="13.5" customHeight="1">
      <c r="A2992" s="1" t="s">
        <v>11</v>
      </c>
      <c r="B2992" s="1" t="s">
        <v>15006</v>
      </c>
      <c r="C2992" s="1" t="s">
        <v>15007</v>
      </c>
      <c r="D2992" s="1" t="s">
        <v>15008</v>
      </c>
      <c r="E2992" s="1" t="s">
        <v>15008</v>
      </c>
      <c r="F2992" s="1" t="s">
        <v>15009</v>
      </c>
      <c r="G2992" s="1" t="s">
        <v>15010</v>
      </c>
      <c r="H2992" s="1" t="str">
        <f>IFERROR(__xludf.DUMMYFUNCTION("GOOGLETRANSLATE(D2992,""EN"",""JA"")"),"メイ・ヘグリン異常")</f>
        <v>メイ・ヘグリン異常</v>
      </c>
      <c r="I2992" s="1" t="str">
        <f>IFERROR(__xludf.DUMMYFUNCTION("GOOGLETRANSLATE(E2992,""EN"",""JA"")"),"メイ・ヘグリン異常")</f>
        <v>メイ・ヘグリン異常</v>
      </c>
      <c r="J2992" s="1" t="str">
        <f>IFERROR(__xludf.DUMMYFUNCTION("GOOGLETRANSLATE(F2992,""EN"",""JA"")"),"血液サンプルにおけるメイ・ヘグリン異常の測定。この異常は、大きく変形した血小板と白血球中のドール小体の存在を特徴とする。")</f>
        <v>血液サンプルにおけるメイ・ヘグリン異常の測定。この異常は、大きく変形した血小板と白血球中のドール小体の存在を特徴とする。</v>
      </c>
      <c r="K2992" s="1" t="str">
        <f>IFERROR(__xludf.DUMMYFUNCTION("GOOGLETRANSLATE(G2992,""EN"",""JA"")"),"メイ・ヘグリン異常測定")</f>
        <v>メイ・ヘグリン異常測定</v>
      </c>
    </row>
    <row r="2993" ht="13.5" customHeight="1">
      <c r="A2993" s="1" t="s">
        <v>11</v>
      </c>
      <c r="B2993" s="1" t="s">
        <v>15011</v>
      </c>
      <c r="C2993" s="1" t="s">
        <v>15012</v>
      </c>
      <c r="D2993" s="1" t="s">
        <v>15013</v>
      </c>
      <c r="E2993" s="1" t="s">
        <v>15013</v>
      </c>
      <c r="F2993" s="1" t="s">
        <v>15014</v>
      </c>
      <c r="G2993" s="1" t="s">
        <v>15015</v>
      </c>
      <c r="H2993" s="1" t="str">
        <f>IFERROR(__xludf.DUMMYFUNCTION("GOOGLETRANSLATE(D2993,""EN"",""JA"")"),"マジンドル")</f>
        <v>マジンドル</v>
      </c>
      <c r="I2993" s="1" t="str">
        <f>IFERROR(__xludf.DUMMYFUNCTION("GOOGLETRANSLATE(E2993,""EN"",""JA"")"),"マジンドル")</f>
        <v>マジンドル</v>
      </c>
      <c r="J2993" s="1" t="str">
        <f>IFERROR(__xludf.DUMMYFUNCTION("GOOGLETRANSLATE(F2993,""EN"",""JA"")"),"生物標本中のマジンドールの測定。")</f>
        <v>生物標本中のマジンドールの測定。</v>
      </c>
      <c r="K2993" s="1" t="str">
        <f>IFERROR(__xludf.DUMMYFUNCTION("GOOGLETRANSLATE(G2993,""EN"",""JA"")"),"マジンドール測定")</f>
        <v>マジンドール測定</v>
      </c>
    </row>
    <row r="2994" ht="13.5" customHeight="1">
      <c r="A2994" s="1" t="s">
        <v>201</v>
      </c>
      <c r="B2994" s="1" t="s">
        <v>15016</v>
      </c>
      <c r="C2994" s="1" t="s">
        <v>15017</v>
      </c>
      <c r="D2994" s="1" t="s">
        <v>15018</v>
      </c>
      <c r="E2994" s="1" t="s">
        <v>15018</v>
      </c>
      <c r="F2994" s="1" t="s">
        <v>15019</v>
      </c>
      <c r="G2994" s="1" t="s">
        <v>15020</v>
      </c>
      <c r="H2994" s="1" t="str">
        <f>IFERROR(__xludf.DUMMYFUNCTION("GOOGLETRANSLATE(D2994,""EN"",""JA"")"),"微生物誘導抗体")</f>
        <v>微生物誘導抗体</v>
      </c>
      <c r="I2994" s="1" t="str">
        <f>IFERROR(__xludf.DUMMYFUNCTION("GOOGLETRANSLATE(E2994,""EN"",""JA"")"),"微生物誘導抗体")</f>
        <v>微生物誘導抗体</v>
      </c>
      <c r="J2994" s="1" t="str">
        <f>IFERROR(__xludf.DUMMYFUNCTION("GOOGLETRANSLATE(F2994,""EN"",""JA"")"),"生物学的標本中の結合微生物誘導抗体の測定。この抗体の産生は、自然発生的な感染、ワクチン接種、および/または微生物全体または微生物の成分を使用したウイルスベクターベースの治療によって引き起こされる可能性がある。")</f>
        <v>生物学的標本中の結合微生物誘導抗体の測定。この抗体の産生は、自然発生的な感染、ワクチン接種、および/または微生物全体または微生物の成分を使用したウイルスベクターベースの治療によって引き起こされる可能性がある。</v>
      </c>
      <c r="K2994" s="1" t="str">
        <f>IFERROR(__xludf.DUMMYFUNCTION("GOOGLETRANSLATE(G2994,""EN"",""JA"")"),"微生物誘導抗体測定")</f>
        <v>微生物誘導抗体測定</v>
      </c>
    </row>
    <row r="2995" ht="13.5" customHeight="1">
      <c r="A2995" s="1" t="s">
        <v>201</v>
      </c>
      <c r="B2995" s="1" t="s">
        <v>15021</v>
      </c>
      <c r="C2995" s="1" t="s">
        <v>15022</v>
      </c>
      <c r="D2995" s="1" t="s">
        <v>15023</v>
      </c>
      <c r="E2995" s="1" t="s">
        <v>15023</v>
      </c>
      <c r="F2995" s="1" t="s">
        <v>15024</v>
      </c>
      <c r="G2995" s="1" t="s">
        <v>15025</v>
      </c>
      <c r="H2995" s="1" t="str">
        <f>IFERROR(__xludf.DUMMYFUNCTION("GOOGLETRANSLATE(D2995,""EN"",""JA"")"),"機能性微生物誘導抗体")</f>
        <v>機能性微生物誘導抗体</v>
      </c>
      <c r="I2995" s="1" t="str">
        <f>IFERROR(__xludf.DUMMYFUNCTION("GOOGLETRANSLATE(E2995,""EN"",""JA"")"),"機能性微生物誘導抗体")</f>
        <v>機能性微生物誘導抗体</v>
      </c>
      <c r="J2995" s="1" t="str">
        <f>IFERROR(__xludf.DUMMYFUNCTION("GOOGLETRANSLATE(F2995,""EN"",""JA"")"),"生物学的標本中の機能的結合微生物誘導抗体の測定。機能的微生物誘導抗体とは、他の有効成分の存在下で病原体またはその毒素に対してアゴニスト作用またはアンタゴニスト作用を示す抗体と定義される。")</f>
        <v>生物学的標本中の機能的結合微生物誘導抗体の測定。機能的微生物誘導抗体とは、他の有効成分の存在下で病原体またはその毒素に対してアゴニスト作用またはアンタゴニスト作用を示す抗体と定義される。</v>
      </c>
      <c r="K2995" s="1" t="str">
        <f>IFERROR(__xludf.DUMMYFUNCTION("GOOGLETRANSLATE(G2995,""EN"",""JA"")"),"機能性微生物誘導抗体測定")</f>
        <v>機能性微生物誘導抗体測定</v>
      </c>
    </row>
    <row r="2996" ht="13.5" customHeight="1">
      <c r="A2996" s="1" t="s">
        <v>90</v>
      </c>
      <c r="B2996" s="1" t="s">
        <v>15026</v>
      </c>
      <c r="C2996" s="1" t="s">
        <v>15027</v>
      </c>
      <c r="D2996" s="1" t="s">
        <v>15028</v>
      </c>
      <c r="E2996" s="1" t="s">
        <v>15028</v>
      </c>
      <c r="F2996" s="1" t="s">
        <v>15029</v>
      </c>
      <c r="G2996" s="1" t="s">
        <v>15028</v>
      </c>
      <c r="H2996" s="1" t="str">
        <f>IFERROR(__xludf.DUMMYFUNCTION("GOOGLETRANSLATE(D2996,""EN"",""JA"")"),"平均血流速度")</f>
        <v>平均血流速度</v>
      </c>
      <c r="I2996" s="1" t="str">
        <f>IFERROR(__xludf.DUMMYFUNCTION("GOOGLETRANSLATE(E2996,""EN"",""JA"")"),"平均血流速度")</f>
        <v>平均血流速度</v>
      </c>
      <c r="J2996" s="1" t="str">
        <f>IFERROR(__xludf.DUMMYFUNCTION("GOOGLETRANSLATE(F2996,""EN"",""JA"")"),"ある領域または組織を流れる血液の平均速度の測定値。")</f>
        <v>ある領域または組織を流れる血液の平均速度の測定値。</v>
      </c>
      <c r="K2996" s="1" t="str">
        <f>IFERROR(__xludf.DUMMYFUNCTION("GOOGLETRANSLATE(G2996,""EN"",""JA"")"),"平均血流速度")</f>
        <v>平均血流速度</v>
      </c>
    </row>
    <row r="2997" ht="13.5" customHeight="1">
      <c r="A2997" s="1" t="s">
        <v>201</v>
      </c>
      <c r="B2997" s="1" t="s">
        <v>15030</v>
      </c>
      <c r="C2997" s="1" t="s">
        <v>15031</v>
      </c>
      <c r="D2997" s="1" t="s">
        <v>15032</v>
      </c>
      <c r="E2997" s="1" t="s">
        <v>15032</v>
      </c>
      <c r="F2997" s="1" t="s">
        <v>15033</v>
      </c>
      <c r="G2997" s="1" t="s">
        <v>15034</v>
      </c>
      <c r="H2997" s="1" t="str">
        <f>IFERROR(__xludf.DUMMYFUNCTION("GOOGLETRANSLATE(D2997,""EN"",""JA"")"),"微生物誘導性IgA/IgM抗体")</f>
        <v>微生物誘導性IgA/IgM抗体</v>
      </c>
      <c r="I2997" s="1" t="str">
        <f>IFERROR(__xludf.DUMMYFUNCTION("GOOGLETRANSLATE(E2997,""EN"",""JA"")"),"微生物誘導性IgA/IgM抗体")</f>
        <v>微生物誘導性IgA/IgM抗体</v>
      </c>
      <c r="J2997" s="1" t="str">
        <f>IFERROR(__xludf.DUMMYFUNCTION("GOOGLETRANSLATE(F2997,""EN"",""JA"")"),"生物学的標本中の結合微生物誘導IgAおよび/またはIgM抗体の測定。この抗体の産生は、自然発生的な感染、ワクチン接種、および/または微生物全体または複合体を用いたウイルスベクターベースの治療によって引き起こされる可能性がある。")</f>
        <v>生物学的標本中の結合微生物誘導IgAおよび/またはIgM抗体の測定。この抗体の産生は、自然発生的な感染、ワクチン接種、および/または微生物全体または複合体を用いたウイルスベクターベースの治療によって引き起こされる可能性がある。</v>
      </c>
      <c r="K2997" s="1" t="str">
        <f>IFERROR(__xludf.DUMMYFUNCTION("GOOGLETRANSLATE(G2997,""EN"",""JA"")"),"微生物誘発性IgAおよび/またはIgM抗体測定")</f>
        <v>微生物誘発性IgAおよび/またはIgM抗体測定</v>
      </c>
    </row>
    <row r="2998" ht="13.5" customHeight="1">
      <c r="A2998" s="1" t="s">
        <v>201</v>
      </c>
      <c r="B2998" s="1" t="s">
        <v>15035</v>
      </c>
      <c r="C2998" s="1" t="s">
        <v>15036</v>
      </c>
      <c r="D2998" s="1" t="s">
        <v>15037</v>
      </c>
      <c r="E2998" s="1" t="s">
        <v>15037</v>
      </c>
      <c r="F2998" s="1" t="s">
        <v>15038</v>
      </c>
      <c r="G2998" s="1" t="s">
        <v>15039</v>
      </c>
      <c r="H2998" s="1" t="str">
        <f>IFERROR(__xludf.DUMMYFUNCTION("GOOGLETRANSLATE(D2998,""EN"",""JA"")"),"微生物誘導IgG + IgM抗体")</f>
        <v>微生物誘導IgG + IgM抗体</v>
      </c>
      <c r="I2998" s="1" t="str">
        <f>IFERROR(__xludf.DUMMYFUNCTION("GOOGLETRANSLATE(E2998,""EN"",""JA"")"),"微生物誘導IgG + IgM抗体")</f>
        <v>微生物誘導IgG + IgM抗体</v>
      </c>
      <c r="J2998" s="1" t="str">
        <f>IFERROR(__xludf.DUMMYFUNCTION("GOOGLETRANSLATE(F2998,""EN"",""JA"")"),"生物学的標本中の結合微生物誘導IgGおよびIgM抗体の測定。この抗体の産生は、自然発生的な感染、ワクチン接種、および/または微生物全体または成分を使用したウイルスベクターベースの治療によって引き起こされる可能性があります。")</f>
        <v>生物学的標本中の結合微生物誘導IgGおよびIgM抗体の測定。この抗体の産生は、自然発生的な感染、ワクチン接種、および/または微生物全体または成分を使用したウイルスベクターベースの治療によって引き起こされる可能性があります。</v>
      </c>
      <c r="K2998" s="1" t="str">
        <f>IFERROR(__xludf.DUMMYFUNCTION("GOOGLETRANSLATE(G2998,""EN"",""JA"")"),"微生物誘導IgGおよびIgM抗体測定")</f>
        <v>微生物誘導IgGおよびIgM抗体測定</v>
      </c>
    </row>
    <row r="2999" ht="13.5" customHeight="1">
      <c r="A2999" s="1" t="s">
        <v>201</v>
      </c>
      <c r="B2999" s="1" t="s">
        <v>15040</v>
      </c>
      <c r="C2999" s="1" t="s">
        <v>15041</v>
      </c>
      <c r="D2999" s="1" t="s">
        <v>15042</v>
      </c>
      <c r="E2999" s="1" t="s">
        <v>15042</v>
      </c>
      <c r="F2999" s="1" t="s">
        <v>15043</v>
      </c>
      <c r="G2999" s="1" t="s">
        <v>15044</v>
      </c>
      <c r="H2999" s="1" t="str">
        <f>IFERROR(__xludf.DUMMYFUNCTION("GOOGLETRANSLATE(D2999,""EN"",""JA"")"),"微生物誘導IgA抗体")</f>
        <v>微生物誘導IgA抗体</v>
      </c>
      <c r="I2999" s="1" t="str">
        <f>IFERROR(__xludf.DUMMYFUNCTION("GOOGLETRANSLATE(E2999,""EN"",""JA"")"),"微生物誘導IgA抗体")</f>
        <v>微生物誘導IgA抗体</v>
      </c>
      <c r="J2999" s="1" t="str">
        <f>IFERROR(__xludf.DUMMYFUNCTION("GOOGLETRANSLATE(F2999,""EN"",""JA"")"),"生物学的標本中の結合微生物誘導IgA抗体の測定。この抗体の産生は、自然発生的な感染、ワクチン接種、および/または微生物全体またはその成分を用いたウイルスベクターベースの治療によって引き起こされる可能性がある。")</f>
        <v>生物学的標本中の結合微生物誘導IgA抗体の測定。この抗体の産生は、自然発生的な感染、ワクチン接種、および/または微生物全体またはその成分を用いたウイルスベクターベースの治療によって引き起こされる可能性がある。</v>
      </c>
      <c r="K2999" s="1" t="str">
        <f>IFERROR(__xludf.DUMMYFUNCTION("GOOGLETRANSLATE(G2999,""EN"",""JA"")"),"微生物誘導性IgA抗体測定")</f>
        <v>微生物誘導性IgA抗体測定</v>
      </c>
    </row>
    <row r="3000" ht="13.5" customHeight="1">
      <c r="A3000" s="1" t="s">
        <v>201</v>
      </c>
      <c r="B3000" s="1" t="s">
        <v>15045</v>
      </c>
      <c r="C3000" s="1" t="s">
        <v>15046</v>
      </c>
      <c r="D3000" s="1" t="s">
        <v>15047</v>
      </c>
      <c r="E3000" s="1" t="s">
        <v>15047</v>
      </c>
      <c r="F3000" s="1" t="s">
        <v>15048</v>
      </c>
      <c r="G3000" s="1" t="s">
        <v>15049</v>
      </c>
      <c r="H3000" s="1" t="str">
        <f>IFERROR(__xludf.DUMMYFUNCTION("GOOGLETRANSLATE(D3000,""EN"",""JA"")"),"微生物誘導IgE抗体")</f>
        <v>微生物誘導IgE抗体</v>
      </c>
      <c r="I3000" s="1" t="str">
        <f>IFERROR(__xludf.DUMMYFUNCTION("GOOGLETRANSLATE(E3000,""EN"",""JA"")"),"微生物誘導IgE抗体")</f>
        <v>微生物誘導IgE抗体</v>
      </c>
      <c r="J3000" s="1" t="str">
        <f>IFERROR(__xludf.DUMMYFUNCTION("GOOGLETRANSLATE(F3000,""EN"",""JA"")"),"生物学的標本中の結合微生物誘導IgE抗体の測定。この抗体の産生は、自然発生的な感染、ワクチン接種、および/または微生物全体またはその成分を用いたウイルスベクターベースの治療によって引き起こされる可能性がある。")</f>
        <v>生物学的標本中の結合微生物誘導IgE抗体の測定。この抗体の産生は、自然発生的な感染、ワクチン接種、および/または微生物全体またはその成分を用いたウイルスベクターベースの治療によって引き起こされる可能性がある。</v>
      </c>
      <c r="K3000" s="1" t="str">
        <f>IFERROR(__xludf.DUMMYFUNCTION("GOOGLETRANSLATE(G3000,""EN"",""JA"")"),"微生物誘導性IgE抗体測定")</f>
        <v>微生物誘導性IgE抗体測定</v>
      </c>
    </row>
    <row r="3001" ht="13.5" customHeight="1">
      <c r="A3001" s="1" t="s">
        <v>201</v>
      </c>
      <c r="B3001" s="1" t="s">
        <v>15050</v>
      </c>
      <c r="C3001" s="1" t="s">
        <v>15051</v>
      </c>
      <c r="D3001" s="1" t="s">
        <v>15052</v>
      </c>
      <c r="E3001" s="1" t="s">
        <v>15052</v>
      </c>
      <c r="F3001" s="1" t="s">
        <v>15053</v>
      </c>
      <c r="G3001" s="1" t="s">
        <v>15054</v>
      </c>
      <c r="H3001" s="1" t="str">
        <f>IFERROR(__xludf.DUMMYFUNCTION("GOOGLETRANSLATE(D3001,""EN"",""JA"")"),"微生物誘導IgG抗体")</f>
        <v>微生物誘導IgG抗体</v>
      </c>
      <c r="I3001" s="1" t="str">
        <f>IFERROR(__xludf.DUMMYFUNCTION("GOOGLETRANSLATE(E3001,""EN"",""JA"")"),"微生物誘導IgG抗体")</f>
        <v>微生物誘導IgG抗体</v>
      </c>
      <c r="J3001" s="1" t="str">
        <f>IFERROR(__xludf.DUMMYFUNCTION("GOOGLETRANSLATE(F3001,""EN"",""JA"")"),"生物学的標本中の結合微生物誘導IgG抗体の測定。この抗体の産生は、自然発生的な感染、ワクチン接種、および/または微生物全体またはその成分を使用したウイルスベクターベースの治療によって引き起こされる可能性がある。")</f>
        <v>生物学的標本中の結合微生物誘導IgG抗体の測定。この抗体の産生は、自然発生的な感染、ワクチン接種、および/または微生物全体またはその成分を使用したウイルスベクターベースの治療によって引き起こされる可能性がある。</v>
      </c>
      <c r="K3001" s="1" t="str">
        <f>IFERROR(__xludf.DUMMYFUNCTION("GOOGLETRANSLATE(G3001,""EN"",""JA"")"),"微生物誘導IgG抗体測定")</f>
        <v>微生物誘導IgG抗体測定</v>
      </c>
    </row>
    <row r="3002" ht="13.5" customHeight="1">
      <c r="A3002" s="1" t="s">
        <v>201</v>
      </c>
      <c r="B3002" s="1" t="s">
        <v>15055</v>
      </c>
      <c r="C3002" s="1" t="s">
        <v>15056</v>
      </c>
      <c r="D3002" s="1" t="s">
        <v>15057</v>
      </c>
      <c r="E3002" s="1" t="s">
        <v>15057</v>
      </c>
      <c r="F3002" s="1" t="s">
        <v>15058</v>
      </c>
      <c r="G3002" s="1" t="s">
        <v>15059</v>
      </c>
      <c r="H3002" s="1" t="str">
        <f>IFERROR(__xludf.DUMMYFUNCTION("GOOGLETRANSLATE(D3002,""EN"",""JA"")"),"微生物誘導IgG/IgM抗体")</f>
        <v>微生物誘導IgG/IgM抗体</v>
      </c>
      <c r="I3002" s="1" t="str">
        <f>IFERROR(__xludf.DUMMYFUNCTION("GOOGLETRANSLATE(E3002,""EN"",""JA"")"),"微生物誘導IgG/IgM抗体")</f>
        <v>微生物誘導IgG/IgM抗体</v>
      </c>
      <c r="J3002" s="1" t="str">
        <f>IFERROR(__xludf.DUMMYFUNCTION("GOOGLETRANSLATE(F3002,""EN"",""JA"")"),"生物学的標本中の結合微生物誘導IgGおよび/またはIgM抗体の測定。この抗体の産生は、自然発生的な感染、ワクチン接種、および/または微生物全体または複合体を用いたウイルスベクターベースの治療によって引き起こされる可能性がある。")</f>
        <v>生物学的標本中の結合微生物誘導IgGおよび/またはIgM抗体の測定。この抗体の産生は、自然発生的な感染、ワクチン接種、および/または微生物全体または複合体を用いたウイルスベクターベースの治療によって引き起こされる可能性がある。</v>
      </c>
      <c r="K3002" s="1" t="str">
        <f>IFERROR(__xludf.DUMMYFUNCTION("GOOGLETRANSLATE(G3002,""EN"",""JA"")"),"微生物誘発IgGおよび/またはIgM抗体測定")</f>
        <v>微生物誘発IgGおよび/またはIgM抗体測定</v>
      </c>
    </row>
    <row r="3003" ht="13.5" customHeight="1">
      <c r="A3003" s="1" t="s">
        <v>201</v>
      </c>
      <c r="B3003" s="1" t="s">
        <v>15060</v>
      </c>
      <c r="C3003" s="1" t="s">
        <v>15061</v>
      </c>
      <c r="D3003" s="1" t="s">
        <v>15062</v>
      </c>
      <c r="E3003" s="1" t="s">
        <v>15062</v>
      </c>
      <c r="F3003" s="1" t="s">
        <v>15063</v>
      </c>
      <c r="G3003" s="1" t="s">
        <v>15064</v>
      </c>
      <c r="H3003" s="1" t="str">
        <f>IFERROR(__xludf.DUMMYFUNCTION("GOOGLETRANSLATE(D3003,""EN"",""JA"")"),"微生物誘導IgM抗体")</f>
        <v>微生物誘導IgM抗体</v>
      </c>
      <c r="I3003" s="1" t="str">
        <f>IFERROR(__xludf.DUMMYFUNCTION("GOOGLETRANSLATE(E3003,""EN"",""JA"")"),"微生物誘導IgM抗体")</f>
        <v>微生物誘導IgM抗体</v>
      </c>
      <c r="J3003" s="1" t="str">
        <f>IFERROR(__xludf.DUMMYFUNCTION("GOOGLETRANSLATE(F3003,""EN"",""JA"")"),"生物学的標本中の結合微生物誘導IgM抗体の測定。この抗体の産生は、自然発生的な感染、ワクチン接種、および/または微生物全体またはその成分を用いたウイルスベクターベースの治療によって引き起こされる可能性がある。")</f>
        <v>生物学的標本中の結合微生物誘導IgM抗体の測定。この抗体の産生は、自然発生的な感染、ワクチン接種、および/または微生物全体またはその成分を用いたウイルスベクターベースの治療によって引き起こされる可能性がある。</v>
      </c>
      <c r="K3003" s="1" t="str">
        <f>IFERROR(__xludf.DUMMYFUNCTION("GOOGLETRANSLATE(G3003,""EN"",""JA"")"),"微生物誘導IgM抗体測定")</f>
        <v>微生物誘導IgM抗体測定</v>
      </c>
    </row>
    <row r="3004" ht="13.5" customHeight="1">
      <c r="A3004" s="1" t="s">
        <v>201</v>
      </c>
      <c r="B3004" s="1" t="s">
        <v>15065</v>
      </c>
      <c r="C3004" s="1" t="s">
        <v>15066</v>
      </c>
      <c r="D3004" s="1" t="s">
        <v>15067</v>
      </c>
      <c r="E3004" s="1" t="s">
        <v>15067</v>
      </c>
      <c r="F3004" s="1" t="s">
        <v>15068</v>
      </c>
      <c r="G3004" s="1" t="s">
        <v>15069</v>
      </c>
      <c r="H3004" s="1" t="str">
        <f>IFERROR(__xludf.DUMMYFUNCTION("GOOGLETRANSLATE(D3004,""EN"",""JA"")"),"微生物誘発性IgM/IgA/IgG抗体")</f>
        <v>微生物誘発性IgM/IgA/IgG抗体</v>
      </c>
      <c r="I3004" s="1" t="str">
        <f>IFERROR(__xludf.DUMMYFUNCTION("GOOGLETRANSLATE(E3004,""EN"",""JA"")"),"微生物誘発性IgM/IgA/IgG抗体")</f>
        <v>微生物誘発性IgM/IgA/IgG抗体</v>
      </c>
      <c r="J3004" s="1" t="str">
        <f>IFERROR(__xludf.DUMMYFUNCTION("GOOGLETRANSLATE(F3004,""EN"",""JA"")"),"生物学的標本中の結合微生物誘導IgM、IgAおよび/またはIgG抗体の測定。この抗体の産生は、自然発生的な感染、ワクチン接種、および/または微生物全体またはウイルスベクターを用いた治療によって引き起こされる可能性がある。")</f>
        <v>生物学的標本中の結合微生物誘導IgM、IgAおよび/またはIgG抗体の測定。この抗体の産生は、自然発生的な感染、ワクチン接種、および/または微生物全体またはウイルスベクターを用いた治療によって引き起こされる可能性がある。</v>
      </c>
      <c r="K3004" s="1" t="str">
        <f>IFERROR(__xludf.DUMMYFUNCTION("GOOGLETRANSLATE(G3004,""EN"",""JA"")"),"微生物誘発性IgM、IgA、および/またはIgG抗体測定")</f>
        <v>微生物誘発性IgM、IgA、および/またはIgG抗体測定</v>
      </c>
    </row>
    <row r="3005" ht="13.5" customHeight="1">
      <c r="A3005" s="1" t="s">
        <v>201</v>
      </c>
      <c r="B3005" s="1" t="s">
        <v>15070</v>
      </c>
      <c r="C3005" s="1" t="s">
        <v>15071</v>
      </c>
      <c r="D3005" s="1" t="s">
        <v>15072</v>
      </c>
      <c r="E3005" s="1" t="s">
        <v>15072</v>
      </c>
      <c r="F3005" s="1" t="s">
        <v>15073</v>
      </c>
      <c r="G3005" s="1" t="s">
        <v>15074</v>
      </c>
      <c r="H3005" s="1" t="str">
        <f>IFERROR(__xludf.DUMMYFUNCTION("GOOGLETRANSLATE(D3005,""EN"",""JA"")"),"中和微生物誘導抗体")</f>
        <v>中和微生物誘導抗体</v>
      </c>
      <c r="I3005" s="1" t="str">
        <f>IFERROR(__xludf.DUMMYFUNCTION("GOOGLETRANSLATE(E3005,""EN"",""JA"")"),"中和微生物誘導抗体")</f>
        <v>中和微生物誘導抗体</v>
      </c>
      <c r="J3005" s="1" t="str">
        <f>IFERROR(__xludf.DUMMYFUNCTION("GOOGLETRANSLATE(F3005,""EN"",""JA"")"),"生物学的標本中の中和結合微生物誘導抗体の測定。中和微生物誘導抗体は、微生物に結合し、感染を阻害し、予防する抗体として定義される機能性抗体の一種である。")</f>
        <v>生物学的標本中の中和結合微生物誘導抗体の測定。中和微生物誘導抗体は、微生物に結合し、感染を阻害し、予防する抗体として定義される機能性抗体の一種である。</v>
      </c>
      <c r="K3005" s="1" t="str">
        <f>IFERROR(__xludf.DUMMYFUNCTION("GOOGLETRANSLATE(G3005,""EN"",""JA"")"),"中和微生物誘導抗体測定")</f>
        <v>中和微生物誘導抗体測定</v>
      </c>
    </row>
    <row r="3006" ht="13.5" customHeight="1">
      <c r="A3006" s="1" t="s">
        <v>11</v>
      </c>
      <c r="B3006" s="1" t="s">
        <v>15075</v>
      </c>
      <c r="C3006" s="1" t="s">
        <v>15076</v>
      </c>
      <c r="D3006" s="1" t="s">
        <v>15077</v>
      </c>
      <c r="E3006" s="1" t="s">
        <v>15077</v>
      </c>
      <c r="F3006" s="1" t="s">
        <v>15078</v>
      </c>
      <c r="G3006" s="1" t="s">
        <v>15079</v>
      </c>
      <c r="H3006" s="1" t="str">
        <f>IFERROR(__xludf.DUMMYFUNCTION("GOOGLETRANSLATE(D3006,""EN"",""JA"")"),"ミエリン塩基性タンパク質")</f>
        <v>ミエリン塩基性タンパク質</v>
      </c>
      <c r="I3006" s="1" t="str">
        <f>IFERROR(__xludf.DUMMYFUNCTION("GOOGLETRANSLATE(E3006,""EN"",""JA"")"),"ミエリン塩基性タンパク質")</f>
        <v>ミエリン塩基性タンパク質</v>
      </c>
      <c r="J3006" s="1" t="str">
        <f>IFERROR(__xludf.DUMMYFUNCTION("GOOGLETRANSLATE(F3006,""EN"",""JA"")"),"生物標本中のミエリン塩基性タンパク質の測定。")</f>
        <v>生物標本中のミエリン塩基性タンパク質の測定。</v>
      </c>
      <c r="K3006" s="1" t="str">
        <f>IFERROR(__xludf.DUMMYFUNCTION("GOOGLETRANSLATE(G3006,""EN"",""JA"")"),"ミエリン塩基性タンパク質測定")</f>
        <v>ミエリン塩基性タンパク質測定</v>
      </c>
    </row>
    <row r="3007" ht="13.5" customHeight="1">
      <c r="A3007" s="1" t="s">
        <v>67</v>
      </c>
      <c r="B3007" s="1" t="s">
        <v>15080</v>
      </c>
      <c r="C3007" s="1" t="s">
        <v>15081</v>
      </c>
      <c r="D3007" s="1" t="s">
        <v>15082</v>
      </c>
      <c r="E3007" s="1" t="s">
        <v>15082</v>
      </c>
      <c r="F3007" s="1" t="s">
        <v>15083</v>
      </c>
      <c r="G3007" s="1" t="s">
        <v>15084</v>
      </c>
      <c r="H3007" s="1" t="str">
        <f>IFERROR(__xludf.DUMMYFUNCTION("GOOGLETRANSLATE(D3007,""EN"",""JA"")"),"モラクセラ・カタラーリス")</f>
        <v>モラクセラ・カタラーリス</v>
      </c>
      <c r="I3007" s="1" t="str">
        <f>IFERROR(__xludf.DUMMYFUNCTION("GOOGLETRANSLATE(E3007,""EN"",""JA"")"),"モラクセラ・カタラーリス")</f>
        <v>モラクセラ・カタラーリス</v>
      </c>
      <c r="J3007" s="1" t="str">
        <f>IFERROR(__xludf.DUMMYFUNCTION("GOOGLETRANSLATE(F3007,""EN"",""JA"")"),"生物標本中のモラクセラ・カタラーリスの測定。")</f>
        <v>生物標本中のモラクセラ・カタラーリスの測定。</v>
      </c>
      <c r="K3007" s="1" t="str">
        <f>IFERROR(__xludf.DUMMYFUNCTION("GOOGLETRANSLATE(G3007,""EN"",""JA"")"),"モラクセラ・カタラーリス測定")</f>
        <v>モラクセラ・カタラーリス測定</v>
      </c>
    </row>
    <row r="3008" ht="13.5" customHeight="1">
      <c r="A3008" s="1" t="s">
        <v>11</v>
      </c>
      <c r="B3008" s="1" t="s">
        <v>15085</v>
      </c>
      <c r="C3008" s="1" t="s">
        <v>15086</v>
      </c>
      <c r="D3008" s="1" t="s">
        <v>15087</v>
      </c>
      <c r="E3008" s="1" t="s">
        <v>15088</v>
      </c>
      <c r="F3008" s="1" t="s">
        <v>15089</v>
      </c>
      <c r="G3008" s="1" t="s">
        <v>15090</v>
      </c>
      <c r="H3008" s="1" t="str">
        <f>IFERROR(__xludf.DUMMYFUNCTION("GOOGLETRANSLATE(D3008,""EN"",""JA"")"),"2-メチルクエン酸")</f>
        <v>2-メチルクエン酸</v>
      </c>
      <c r="I3008" s="1" t="str">
        <f>IFERROR(__xludf.DUMMYFUNCTION("GOOGLETRANSLATE(E3008,""EN"",""JA"")"),"2-メチルクエン酸; 2-メチルクエン酸; MCA; メチルクエン酸; メチルクエン酸")</f>
        <v>2-メチルクエン酸; 2-メチルクエン酸; MCA; メチルクエン酸; メチルクエン酸</v>
      </c>
      <c r="J3008" s="1" t="str">
        <f>IFERROR(__xludf.DUMMYFUNCTION("GOOGLETRANSLATE(F3008,""EN"",""JA"")"),"生物標本中の 2-メチルクエン酸の測定。")</f>
        <v>生物標本中の 2-メチルクエン酸の測定。</v>
      </c>
      <c r="K3008" s="1" t="str">
        <f>IFERROR(__xludf.DUMMYFUNCTION("GOOGLETRANSLATE(G3008,""EN"",""JA"")"),"2-メチルクエン酸測定")</f>
        <v>2-メチルクエン酸測定</v>
      </c>
    </row>
    <row r="3009" ht="13.5" customHeight="1">
      <c r="A3009" s="1" t="s">
        <v>67</v>
      </c>
      <c r="B3009" s="1" t="s">
        <v>15091</v>
      </c>
      <c r="C3009" s="1" t="s">
        <v>15092</v>
      </c>
      <c r="D3009" s="1" t="s">
        <v>15093</v>
      </c>
      <c r="E3009" s="1" t="s">
        <v>15093</v>
      </c>
      <c r="F3009" s="1" t="s">
        <v>15094</v>
      </c>
      <c r="G3009" s="1" t="s">
        <v>15095</v>
      </c>
      <c r="H3009" s="1" t="str">
        <f>IFERROR(__xludf.DUMMYFUNCTION("GOOGLETRANSLATE(D3009,""EN"",""JA"")"),"モラクセラ・カタラーリスDNA")</f>
        <v>モラクセラ・カタラーリスDNA</v>
      </c>
      <c r="I3009" s="1" t="str">
        <f>IFERROR(__xludf.DUMMYFUNCTION("GOOGLETRANSLATE(E3009,""EN"",""JA"")"),"モラクセラ・カタラーリスDNA")</f>
        <v>モラクセラ・カタラーリスDNA</v>
      </c>
      <c r="J3009" s="1" t="str">
        <f>IFERROR(__xludf.DUMMYFUNCTION("GOOGLETRANSLATE(F3009,""EN"",""JA"")"),"生物標本中の Moraxella catarrhalis DNA の測定。")</f>
        <v>生物標本中の Moraxella catarrhalis DNA の測定。</v>
      </c>
      <c r="K3009" s="1" t="str">
        <f>IFERROR(__xludf.DUMMYFUNCTION("GOOGLETRANSLATE(G3009,""EN"",""JA"")"),"モラクセラ・カタラーリスDNA測定")</f>
        <v>モラクセラ・カタラーリスDNA測定</v>
      </c>
    </row>
    <row r="3010" ht="13.5" customHeight="1">
      <c r="A3010" s="1" t="s">
        <v>11</v>
      </c>
      <c r="B3010" s="1" t="s">
        <v>15096</v>
      </c>
      <c r="C3010" s="1" t="s">
        <v>15097</v>
      </c>
      <c r="D3010" s="1" t="s">
        <v>15098</v>
      </c>
      <c r="E3010" s="1" t="s">
        <v>15099</v>
      </c>
      <c r="F3010" s="1" t="s">
        <v>15100</v>
      </c>
      <c r="G3010" s="1" t="s">
        <v>15101</v>
      </c>
      <c r="H3010" s="1" t="str">
        <f>IFERROR(__xludf.DUMMYFUNCTION("GOOGLETRANSLATE(D3010,""EN"",""JA"")"),"メトカチノン")</f>
        <v>メトカチノン</v>
      </c>
      <c r="I3010" s="1" t="str">
        <f>IFERROR(__xludf.DUMMYFUNCTION("GOOGLETRANSLATE(E3010,""EN"",""JA"")"),"エフェドロン; メトカチノン")</f>
        <v>エフェドロン; メトカチノン</v>
      </c>
      <c r="J3010" s="1" t="str">
        <f>IFERROR(__xludf.DUMMYFUNCTION("GOOGLETRANSLATE(F3010,""EN"",""JA"")"),"生物標本中のメトカチノンの測定。")</f>
        <v>生物標本中のメトカチノンの測定。</v>
      </c>
      <c r="K3010" s="1" t="str">
        <f>IFERROR(__xludf.DUMMYFUNCTION("GOOGLETRANSLATE(G3010,""EN"",""JA"")"),"メトカチノン測定")</f>
        <v>メトカチノン測定</v>
      </c>
    </row>
    <row r="3011" ht="13.5" customHeight="1">
      <c r="A3011" s="1" t="s">
        <v>134</v>
      </c>
      <c r="B3011" s="1" t="s">
        <v>15102</v>
      </c>
      <c r="C3011" s="1" t="s">
        <v>15103</v>
      </c>
      <c r="D3011" s="1" t="s">
        <v>15104</v>
      </c>
      <c r="E3011" s="1" t="s">
        <v>15104</v>
      </c>
      <c r="F3011" s="1" t="s">
        <v>15105</v>
      </c>
      <c r="G3011" s="1" t="s">
        <v>15106</v>
      </c>
      <c r="H3011" s="1" t="str">
        <f>IFERROR(__xludf.DUMMYFUNCTION("GOOGLETRANSLATE(D3011,""EN"",""JA"")"),"微小肉芽腫")</f>
        <v>微小肉芽腫</v>
      </c>
      <c r="I3011" s="1" t="str">
        <f>IFERROR(__xludf.DUMMYFUNCTION("GOOGLETRANSLATE(E3011,""EN"",""JA"")"),"微小肉芽腫")</f>
        <v>微小肉芽腫</v>
      </c>
      <c r="J3011" s="1" t="str">
        <f>IFERROR(__xludf.DUMMYFUNCTION("GOOGLETRANSLATE(F3011,""EN"",""JA"")"),"生物標本における微小肉芽腫の評価。")</f>
        <v>生物標本における微小肉芽腫の評価。</v>
      </c>
      <c r="K3011" s="1" t="str">
        <f>IFERROR(__xludf.DUMMYFUNCTION("GOOGLETRANSLATE(G3011,""EN"",""JA"")"),"微小肉芽腫の評価")</f>
        <v>微小肉芽腫の評価</v>
      </c>
    </row>
    <row r="3012" ht="13.5" customHeight="1">
      <c r="A3012" s="1" t="s">
        <v>11</v>
      </c>
      <c r="B3012" s="1" t="s">
        <v>15107</v>
      </c>
      <c r="C3012" s="1" t="s">
        <v>15108</v>
      </c>
      <c r="D3012" s="1" t="s">
        <v>15109</v>
      </c>
      <c r="E3012" s="1" t="s">
        <v>15109</v>
      </c>
      <c r="F3012" s="1" t="s">
        <v>15110</v>
      </c>
      <c r="G3012" s="1" t="s">
        <v>15111</v>
      </c>
      <c r="H3012" s="1" t="str">
        <f>IFERROR(__xludf.DUMMYFUNCTION("GOOGLETRANSLATE(D3012,""EN"",""JA"")"),"エリー。平均赤血球ヘモグロビン")</f>
        <v>エリー。平均赤血球ヘモグロビン</v>
      </c>
      <c r="I3012" s="1" t="str">
        <f>IFERROR(__xludf.DUMMYFUNCTION("GOOGLETRANSLATE(E3012,""EN"",""JA"")"),"エリー。平均赤血球ヘモグロビン")</f>
        <v>エリー。平均赤血球ヘモグロビン</v>
      </c>
      <c r="J3012" s="1" t="str">
        <f>IFERROR(__xludf.DUMMYFUNCTION("GOOGLETRANSLATE(F3012,""EN"",""JA"")"),"生物標本中の赤血球 1 個あたりのヘモグロビンの平均量の測定値。ヘモグロビンの 10 倍を赤血球の数で割って算出されます。")</f>
        <v>生物標本中の赤血球 1 個あたりのヘモグロビンの平均量の測定値。ヘモグロビンの 10 倍を赤血球の数で割って算出されます。</v>
      </c>
      <c r="K3012" s="1" t="str">
        <f>IFERROR(__xludf.DUMMYFUNCTION("GOOGLETRANSLATE(G3012,""EN"",""JA"")"),"赤血球平均ヘモグロビン")</f>
        <v>赤血球平均ヘモグロビン</v>
      </c>
    </row>
    <row r="3013" ht="13.5" customHeight="1">
      <c r="A3013" s="1" t="s">
        <v>67</v>
      </c>
      <c r="B3013" s="1" t="s">
        <v>15112</v>
      </c>
      <c r="C3013" s="1" t="s">
        <v>15108</v>
      </c>
      <c r="D3013" s="1" t="s">
        <v>15113</v>
      </c>
      <c r="E3013" s="1" t="s">
        <v>15113</v>
      </c>
      <c r="F3013" s="1" t="s">
        <v>15114</v>
      </c>
      <c r="G3013" s="1" t="s">
        <v>15115</v>
      </c>
      <c r="H3013" s="1" t="str">
        <f>IFERROR(__xludf.DUMMYFUNCTION("GOOGLETRANSLATE(D3013,""EN"",""JA"")"),"マイコバクテリウム・ケロナエ")</f>
        <v>マイコバクテリウム・ケロナエ</v>
      </c>
      <c r="I3013" s="1" t="str">
        <f>IFERROR(__xludf.DUMMYFUNCTION("GOOGLETRANSLATE(E3013,""EN"",""JA"")"),"マイコバクテリウム・ケロナエ")</f>
        <v>マイコバクテリウム・ケロナエ</v>
      </c>
      <c r="J3013" s="1" t="str">
        <f>IFERROR(__xludf.DUMMYFUNCTION("GOOGLETRANSLATE(F3013,""EN"",""JA"")"),"生物標本中のMycobacterium chelonaeの測定。")</f>
        <v>生物標本中のMycobacterium chelonaeの測定。</v>
      </c>
      <c r="K3013" s="1" t="str">
        <f>IFERROR(__xludf.DUMMYFUNCTION("GOOGLETRANSLATE(G3013,""EN"",""JA"")"),"マイコバクテリウム・ケロナエ測定")</f>
        <v>マイコバクテリウム・ケロナエ測定</v>
      </c>
    </row>
    <row r="3014" ht="13.5" customHeight="1">
      <c r="A3014" s="1" t="s">
        <v>11</v>
      </c>
      <c r="B3014" s="1" t="s">
        <v>15116</v>
      </c>
      <c r="C3014" s="1" t="s">
        <v>15117</v>
      </c>
      <c r="D3014" s="1" t="s">
        <v>15118</v>
      </c>
      <c r="E3014" s="1" t="s">
        <v>15118</v>
      </c>
      <c r="F3014" s="1" t="s">
        <v>15119</v>
      </c>
      <c r="G3014" s="1" t="s">
        <v>15120</v>
      </c>
      <c r="H3014" s="1" t="str">
        <f>IFERROR(__xludf.DUMMYFUNCTION("GOOGLETRANSLATE(D3014,""EN"",""JA"")"),"平均赤血球HGB濃度")</f>
        <v>平均赤血球HGB濃度</v>
      </c>
      <c r="I3014" s="1" t="str">
        <f>IFERROR(__xludf.DUMMYFUNCTION("GOOGLETRANSLATE(E3014,""EN"",""JA"")"),"平均赤血球HGB濃度")</f>
        <v>平均赤血球HGB濃度</v>
      </c>
      <c r="J3014" s="1" t="str">
        <f>IFERROR(__xludf.DUMMYFUNCTION("GOOGLETRANSLATE(F3014,""EN"",""JA"")"),"生物標本中の赤血球あたりのヘモグロビンの平均濃度を間接的に測定し、ヘモグロビンとヘマトクリットの比率として計算します。")</f>
        <v>生物標本中の赤血球あたりのヘモグロビンの平均濃度を間接的に測定し、ヘモグロビンとヘマトクリットの比率として計算します。</v>
      </c>
      <c r="K3014" s="1" t="str">
        <f>IFERROR(__xludf.DUMMYFUNCTION("GOOGLETRANSLATE(G3014,""EN"",""JA"")"),"赤血球平均ヘモグロビン濃度")</f>
        <v>赤血球平均ヘモグロビン濃度</v>
      </c>
    </row>
    <row r="3015" ht="13.5" customHeight="1">
      <c r="A3015" s="1" t="s">
        <v>134</v>
      </c>
      <c r="B3015" s="1" t="s">
        <v>15121</v>
      </c>
      <c r="C3015" s="1" t="s">
        <v>15122</v>
      </c>
      <c r="D3015" s="1" t="s">
        <v>15123</v>
      </c>
      <c r="E3015" s="1" t="s">
        <v>15123</v>
      </c>
      <c r="F3015" s="1" t="s">
        <v>15124</v>
      </c>
      <c r="G3015" s="1" t="s">
        <v>15125</v>
      </c>
      <c r="H3015" s="1" t="str">
        <f>IFERROR(__xludf.DUMMYFUNCTION("GOOGLETRANSLATE(D3015,""EN"",""JA"")"),"単核細胞間質性炎症")</f>
        <v>単核細胞間質性炎症</v>
      </c>
      <c r="I3015" s="1" t="str">
        <f>IFERROR(__xludf.DUMMYFUNCTION("GOOGLETRANSLATE(E3015,""EN"",""JA"")"),"単核細胞間質性炎症")</f>
        <v>単核細胞間質性炎症</v>
      </c>
      <c r="J3015" s="1" t="str">
        <f>IFERROR(__xludf.DUMMYFUNCTION("GOOGLETRANSLATE(F3015,""EN"",""JA"")"),"生物標本における単核細胞間質性炎症の評価。")</f>
        <v>生物標本における単核細胞間質性炎症の評価。</v>
      </c>
      <c r="K3015" s="1" t="str">
        <f>IFERROR(__xludf.DUMMYFUNCTION("GOOGLETRANSLATE(G3015,""EN"",""JA"")"),"単核細胞間質性炎症評価")</f>
        <v>単核細胞間質性炎症評価</v>
      </c>
    </row>
    <row r="3016" ht="13.5" customHeight="1">
      <c r="A3016" s="1" t="s">
        <v>67</v>
      </c>
      <c r="B3016" s="1" t="s">
        <v>15126</v>
      </c>
      <c r="C3016" s="1" t="s">
        <v>15127</v>
      </c>
      <c r="D3016" s="1" t="s">
        <v>15128</v>
      </c>
      <c r="E3016" s="1" t="s">
        <v>15128</v>
      </c>
      <c r="F3016" s="1" t="s">
        <v>15129</v>
      </c>
      <c r="G3016" s="1" t="s">
        <v>15130</v>
      </c>
      <c r="H3016" s="1" t="str">
        <f>IFERROR(__xludf.DUMMYFUNCTION("GOOGLETRANSLATE(D3016,""EN"",""JA"")"),"微生物の同定")</f>
        <v>微生物の同定</v>
      </c>
      <c r="I3016" s="1" t="str">
        <f>IFERROR(__xludf.DUMMYFUNCTION("GOOGLETRANSLATE(E3016,""EN"",""JA"")"),"微生物の同定")</f>
        <v>微生物の同定</v>
      </c>
      <c r="J3016" s="1" t="str">
        <f>IFERROR(__xludf.DUMMYFUNCTION("GOOGLETRANSLATE(F3016,""EN"",""JA"")"),"生物標本中の微生物の種類を識別すること。")</f>
        <v>生物標本中の微生物の種類を識別すること。</v>
      </c>
      <c r="K3016" s="1" t="str">
        <f>IFERROR(__xludf.DUMMYFUNCTION("GOOGLETRANSLATE(G3016,""EN"",""JA"")"),"微生物の同定")</f>
        <v>微生物の同定</v>
      </c>
    </row>
    <row r="3017" ht="13.5" customHeight="1">
      <c r="A3017" s="1" t="s">
        <v>11</v>
      </c>
      <c r="B3017" s="1" t="s">
        <v>15131</v>
      </c>
      <c r="C3017" s="1" t="s">
        <v>15132</v>
      </c>
      <c r="D3017" s="1" t="s">
        <v>15133</v>
      </c>
      <c r="E3017" s="1" t="s">
        <v>15134</v>
      </c>
      <c r="F3017" s="1" t="s">
        <v>15135</v>
      </c>
      <c r="G3017" s="1" t="s">
        <v>15136</v>
      </c>
      <c r="H3017" s="1" t="str">
        <f>IFERROR(__xludf.DUMMYFUNCTION("GOOGLETRANSLATE(D3017,""EN"",""JA"")"),"単球走化性タンパク質1")</f>
        <v>単球走化性タンパク質1</v>
      </c>
      <c r="I3017" s="1" t="str">
        <f>IFERROR(__xludf.DUMMYFUNCTION("GOOGLETRANSLATE(E3017,""EN"",""JA"")"),"CCL2; ケモカイン（C-Cモチーフ）リガンド2; 単球走化性タンパク質-1; 単球走化性タンパク質1")</f>
        <v>CCL2; ケモカイン（C-Cモチーフ）リガンド2; 単球走化性タンパク質-1; 単球走化性タンパク質1</v>
      </c>
      <c r="J3017" s="1" t="str">
        <f>IFERROR(__xludf.DUMMYFUNCTION("GOOGLETRANSLATE(F3017,""EN"",""JA"")"),"生物標本中の単球走化性タンパク質 1 の測定。")</f>
        <v>生物標本中の単球走化性タンパク質 1 の測定。</v>
      </c>
      <c r="K3017" s="1" t="str">
        <f>IFERROR(__xludf.DUMMYFUNCTION("GOOGLETRANSLATE(G3017,""EN"",""JA"")"),"単球走化性タンパク質1の測定")</f>
        <v>単球走化性タンパク質1の測定</v>
      </c>
    </row>
    <row r="3018" ht="13.5" customHeight="1">
      <c r="A3018" s="1" t="s">
        <v>11</v>
      </c>
      <c r="B3018" s="1" t="s">
        <v>15137</v>
      </c>
      <c r="C3018" s="1" t="s">
        <v>15138</v>
      </c>
      <c r="D3018" s="1" t="s">
        <v>15139</v>
      </c>
      <c r="E3018" s="1" t="s">
        <v>15140</v>
      </c>
      <c r="F3018" s="1" t="s">
        <v>15141</v>
      </c>
      <c r="G3018" s="1" t="s">
        <v>15142</v>
      </c>
      <c r="H3018" s="1" t="str">
        <f>IFERROR(__xludf.DUMMYFUNCTION("GOOGLETRANSLATE(D3018,""EN"",""JA"")"),"単球走化性タンパク質1/クレアチニン")</f>
        <v>単球走化性タンパク質1/クレアチニン</v>
      </c>
      <c r="I3018" s="1" t="str">
        <f>IFERROR(__xludf.DUMMYFUNCTION("GOOGLETRANSLATE(E3018,""EN"",""JA"")"),"CCL2/クレアチニン; ケモカイン（C-Cモチーフ）リガンド2/クレアチニン; 単球走化性タンパク質1/クレアチニン; 単球走化性タンパク質1/クレアチニン")</f>
        <v>CCL2/クレアチニン; ケモカイン（C-Cモチーフ）リガンド2/クレアチニン; 単球走化性タンパク質1/クレアチニン; 単球走化性タンパク質1/クレアチニン</v>
      </c>
      <c r="J3018" s="1" t="str">
        <f>IFERROR(__xludf.DUMMYFUNCTION("GOOGLETRANSLATE(F3018,""EN"",""JA"")"),"生物標本中の単球走化性タンパク質 1 とクレアチニンの相対測定値 (比率またはパーセンテージ)。")</f>
        <v>生物標本中の単球走化性タンパク質 1 とクレアチニンの相対測定値 (比率またはパーセンテージ)。</v>
      </c>
      <c r="K3018" s="1" t="str">
        <f>IFERROR(__xludf.DUMMYFUNCTION("GOOGLETRANSLATE(G3018,""EN"",""JA"")"),"単球走化性タンパク質1とクレアチニンの比の測定")</f>
        <v>単球走化性タンパク質1とクレアチニンの比の測定</v>
      </c>
    </row>
    <row r="3019" ht="13.5" customHeight="1">
      <c r="A3019" s="1" t="s">
        <v>11</v>
      </c>
      <c r="B3019" s="1" t="s">
        <v>15143</v>
      </c>
      <c r="C3019" s="1" t="s">
        <v>15144</v>
      </c>
      <c r="D3019" s="1" t="s">
        <v>15145</v>
      </c>
      <c r="E3019" s="1" t="s">
        <v>15145</v>
      </c>
      <c r="F3019" s="1" t="s">
        <v>15146</v>
      </c>
      <c r="G3019" s="1" t="s">
        <v>15147</v>
      </c>
      <c r="H3019" s="1" t="str">
        <f>IFERROR(__xludf.DUMMYFUNCTION("GOOGLETRANSLATE(D3019,""EN"",""JA"")"),"マクロファージ")</f>
        <v>マクロファージ</v>
      </c>
      <c r="I3019" s="1" t="str">
        <f>IFERROR(__xludf.DUMMYFUNCTION("GOOGLETRANSLATE(E3019,""EN"",""JA"")"),"マクロファージ")</f>
        <v>マクロファージ</v>
      </c>
      <c r="J3019" s="1" t="str">
        <f>IFERROR(__xludf.DUMMYFUNCTION("GOOGLETRANSLATE(F3019,""EN"",""JA"")"),"生物標本中のマクロファージの測定。")</f>
        <v>生物標本中のマクロファージの測定。</v>
      </c>
      <c r="K3019" s="1" t="str">
        <f>IFERROR(__xludf.DUMMYFUNCTION("GOOGLETRANSLATE(G3019,""EN"",""JA"")"),"マクロファージ数")</f>
        <v>マクロファージ数</v>
      </c>
    </row>
    <row r="3020" ht="13.5" customHeight="1">
      <c r="A3020" s="1" t="s">
        <v>11</v>
      </c>
      <c r="B3020" s="1" t="s">
        <v>15148</v>
      </c>
      <c r="C3020" s="1" t="s">
        <v>15149</v>
      </c>
      <c r="D3020" s="1" t="s">
        <v>15150</v>
      </c>
      <c r="E3020" s="1" t="s">
        <v>15150</v>
      </c>
      <c r="F3020" s="1" t="s">
        <v>15151</v>
      </c>
      <c r="G3020" s="1" t="s">
        <v>15152</v>
      </c>
      <c r="H3020" s="1" t="str">
        <f>IFERROR(__xludf.DUMMYFUNCTION("GOOGLETRANSLATE(D3020,""EN"",""JA"")"),"マクロファージ/総細胞")</f>
        <v>マクロファージ/総細胞</v>
      </c>
      <c r="I3020" s="1" t="str">
        <f>IFERROR(__xludf.DUMMYFUNCTION("GOOGLETRANSLATE(E3020,""EN"",""JA"")"),"マクロファージ/総細胞")</f>
        <v>マクロファージ/総細胞</v>
      </c>
      <c r="J3020" s="1" t="str">
        <f>IFERROR(__xludf.DUMMYFUNCTION("GOOGLETRANSLATE(F3020,""EN"",""JA"")"),"生物標本内のマクロファージと総細胞の相対的な測定値（比率またはパーセンテージ）。")</f>
        <v>生物標本内のマクロファージと総細胞の相対的な測定値（比率またはパーセンテージ）。</v>
      </c>
      <c r="K3020" s="1" t="str">
        <f>IFERROR(__xludf.DUMMYFUNCTION("GOOGLETRANSLATE(G3020,""EN"",""JA"")"),"マクロファージ対総細胞比測定")</f>
        <v>マクロファージ対総細胞比測定</v>
      </c>
    </row>
    <row r="3021" ht="13.5" customHeight="1">
      <c r="A3021" s="1" t="s">
        <v>11</v>
      </c>
      <c r="B3021" s="1" t="s">
        <v>15153</v>
      </c>
      <c r="C3021" s="1" t="s">
        <v>15154</v>
      </c>
      <c r="D3021" s="1" t="s">
        <v>15155</v>
      </c>
      <c r="E3021" s="1" t="s">
        <v>15155</v>
      </c>
      <c r="F3021" s="1" t="s">
        <v>15156</v>
      </c>
      <c r="G3021" s="1" t="s">
        <v>15157</v>
      </c>
      <c r="H3021" s="1" t="str">
        <f>IFERROR(__xludf.DUMMYFUNCTION("GOOGLETRANSLATE(D3021,""EN"",""JA"")"),"マクロファージ/白血球")</f>
        <v>マクロファージ/白血球</v>
      </c>
      <c r="I3021" s="1" t="str">
        <f>IFERROR(__xludf.DUMMYFUNCTION("GOOGLETRANSLATE(E3021,""EN"",""JA"")"),"マクロファージ/白血球")</f>
        <v>マクロファージ/白血球</v>
      </c>
      <c r="J3021" s="1" t="str">
        <f>IFERROR(__xludf.DUMMYFUNCTION("GOOGLETRANSLATE(F3021,""EN"",""JA"")"),"生物標本中のマクロファージと白血球の相対的な測定値（比率またはパーセンテージ）。")</f>
        <v>生物標本中のマクロファージと白血球の相対的な測定値（比率またはパーセンテージ）。</v>
      </c>
      <c r="K3021" s="1" t="str">
        <f>IFERROR(__xludf.DUMMYFUNCTION("GOOGLETRANSLATE(G3021,""EN"",""JA"")"),"マクロファージと白血球の比率")</f>
        <v>マクロファージと白血球の比率</v>
      </c>
    </row>
    <row r="3022" ht="13.5" customHeight="1">
      <c r="A3022" s="1" t="s">
        <v>11</v>
      </c>
      <c r="B3022" s="1" t="s">
        <v>15158</v>
      </c>
      <c r="C3022" s="1" t="s">
        <v>15159</v>
      </c>
      <c r="D3022" s="1" t="s">
        <v>15160</v>
      </c>
      <c r="E3022" s="1" t="s">
        <v>15160</v>
      </c>
      <c r="F3022" s="1" t="s">
        <v>15161</v>
      </c>
      <c r="G3022" s="1" t="s">
        <v>15162</v>
      </c>
      <c r="H3022" s="1" t="str">
        <f>IFERROR(__xludf.DUMMYFUNCTION("GOOGLETRANSLATE(D3022,""EN"",""JA"")"),"マクロファージ/非扁平上皮細胞")</f>
        <v>マクロファージ/非扁平上皮細胞</v>
      </c>
      <c r="I3022" s="1" t="str">
        <f>IFERROR(__xludf.DUMMYFUNCTION("GOOGLETRANSLATE(E3022,""EN"",""JA"")"),"マクロファージ/非扁平上皮細胞")</f>
        <v>マクロファージ/非扁平上皮細胞</v>
      </c>
      <c r="J3022" s="1" t="str">
        <f>IFERROR(__xludf.DUMMYFUNCTION("GOOGLETRANSLATE(F3022,""EN"",""JA"")"),"生物標本中のマクロファージと非扁平上皮細胞の相対的な測定値（比率またはパーセンテージ）。")</f>
        <v>生物標本中のマクロファージと非扁平上皮細胞の相対的な測定値（比率またはパーセンテージ）。</v>
      </c>
      <c r="K3022" s="1" t="str">
        <f>IFERROR(__xludf.DUMMYFUNCTION("GOOGLETRANSLATE(G3022,""EN"",""JA"")"),"マクロファージと非扁平上皮細胞比の測定")</f>
        <v>マクロファージと非扁平上皮細胞比の測定</v>
      </c>
    </row>
    <row r="3023" ht="13.5" customHeight="1">
      <c r="A3023" s="1" t="s">
        <v>11</v>
      </c>
      <c r="B3023" s="1" t="s">
        <v>15163</v>
      </c>
      <c r="C3023" s="1" t="s">
        <v>15164</v>
      </c>
      <c r="D3023" s="1" t="s">
        <v>15165</v>
      </c>
      <c r="E3023" s="1" t="s">
        <v>15166</v>
      </c>
      <c r="F3023" s="1" t="s">
        <v>15167</v>
      </c>
      <c r="G3023" s="1" t="s">
        <v>15168</v>
      </c>
      <c r="H3023" s="1" t="str">
        <f>IFERROR(__xludf.DUMMYFUNCTION("GOOGLETRANSLATE(D3023,""EN"",""JA"")"),"モノクローナルタンパク質")</f>
        <v>モノクローナルタンパク質</v>
      </c>
      <c r="I3023" s="1" t="str">
        <f>IFERROR(__xludf.DUMMYFUNCTION("GOOGLETRANSLATE(E3023,""EN"",""JA"")"),"異常ガンマタンパク質バンド、Mタンパク質、Mスパイクパラタンパク質、Mスパイクタンパク質、モノクローナル免疫グロブリンタンパク質、モノクローナルタンパク質、モノクローナルタンパク質スパイク、骨髄腫タンパク質、パラタンパク質")</f>
        <v>異常ガンマタンパク質バンド、Mタンパク質、Mスパイクパラタンパク質、Mスパイクタンパク質、モノクローナル免疫グロブリンタンパク質、モノクローナルタンパク質、モノクローナルタンパク質スパイク、骨髄腫タンパク質、パラタンパク質</v>
      </c>
      <c r="J3023" s="1" t="str">
        <f>IFERROR(__xludf.DUMMYFUNCTION("GOOGLETRANSLATE(F3023,""EN"",""JA"")"),"生物標本中の形質細胞の単一クローンの増殖から得られる均質な免疫グロブリンの測定。")</f>
        <v>生物標本中の形質細胞の単一クローンの増殖から得られる均質な免疫グロブリンの測定。</v>
      </c>
      <c r="K3023" s="1" t="str">
        <f>IFERROR(__xludf.DUMMYFUNCTION("GOOGLETRANSLATE(G3023,""EN"",""JA"")"),"モノクローナルタンパク質測定")</f>
        <v>モノクローナルタンパク質測定</v>
      </c>
    </row>
    <row r="3024" ht="13.5" customHeight="1">
      <c r="A3024" s="1" t="s">
        <v>11</v>
      </c>
      <c r="B3024" s="1" t="s">
        <v>15169</v>
      </c>
      <c r="C3024" s="1" t="s">
        <v>15170</v>
      </c>
      <c r="D3024" s="1" t="s">
        <v>15171</v>
      </c>
      <c r="E3024" s="1" t="s">
        <v>15171</v>
      </c>
      <c r="F3024" s="1" t="s">
        <v>15172</v>
      </c>
      <c r="G3024" s="1" t="s">
        <v>15173</v>
      </c>
      <c r="H3024" s="1" t="str">
        <f>IFERROR(__xludf.DUMMYFUNCTION("GOOGLETRANSLATE(D3024,""EN"",""JA"")"),"マクロファージコロニー刺激因子")</f>
        <v>マクロファージコロニー刺激因子</v>
      </c>
      <c r="I3024" s="1" t="str">
        <f>IFERROR(__xludf.DUMMYFUNCTION("GOOGLETRANSLATE(E3024,""EN"",""JA"")"),"マクロファージコロニー刺激因子")</f>
        <v>マクロファージコロニー刺激因子</v>
      </c>
      <c r="J3024" s="1" t="str">
        <f>IFERROR(__xludf.DUMMYFUNCTION("GOOGLETRANSLATE(F3024,""EN"",""JA"")"),"生物標本中のマクロファージコロニー刺激因子の測定。")</f>
        <v>生物標本中のマクロファージコロニー刺激因子の測定。</v>
      </c>
      <c r="K3024" s="1" t="str">
        <f>IFERROR(__xludf.DUMMYFUNCTION("GOOGLETRANSLATE(G3024,""EN"",""JA"")"),"マクロファージコロニー刺激因子測定")</f>
        <v>マクロファージコロニー刺激因子測定</v>
      </c>
    </row>
    <row r="3025" ht="13.5" customHeight="1">
      <c r="A3025" s="1" t="s">
        <v>11</v>
      </c>
      <c r="B3025" s="1" t="s">
        <v>15174</v>
      </c>
      <c r="C3025" s="1" t="s">
        <v>15175</v>
      </c>
      <c r="D3025" s="1" t="s">
        <v>15176</v>
      </c>
      <c r="E3025" s="1" t="s">
        <v>15177</v>
      </c>
      <c r="F3025" s="1" t="s">
        <v>15178</v>
      </c>
      <c r="G3025" s="1" t="s">
        <v>15179</v>
      </c>
      <c r="H3025" s="1" t="str">
        <f>IFERROR(__xludf.DUMMYFUNCTION("GOOGLETRANSLATE(D3025,""EN"",""JA"")"),"平均赤血球容積")</f>
        <v>平均赤血球容積</v>
      </c>
      <c r="I3025" s="1" t="str">
        <f>IFERROR(__xludf.DUMMYFUNCTION("GOOGLETRANSLATE(E3025,""EN"",""JA"")"),"赤血球平均容積; 赤血球平均容積; 赤血球平均容積")</f>
        <v>赤血球平均容積; 赤血球平均容積; 赤血球平均容積</v>
      </c>
      <c r="J3025" s="1" t="str">
        <f>IFERROR(__xludf.DUMMYFUNCTION("GOOGLETRANSLATE(F3025,""EN"",""JA"")"),"生物標本中の赤血球あたりの平均細胞容積の測定値。")</f>
        <v>生物標本中の赤血球あたりの平均細胞容積の測定値。</v>
      </c>
      <c r="K3025" s="1" t="str">
        <f>IFERROR(__xludf.DUMMYFUNCTION("GOOGLETRANSLATE(G3025,""EN"",""JA"")"),"赤血球平均容積")</f>
        <v>赤血球平均容積</v>
      </c>
    </row>
    <row r="3026" ht="13.5" customHeight="1">
      <c r="A3026" s="1" t="s">
        <v>11</v>
      </c>
      <c r="B3026" s="1" t="s">
        <v>15180</v>
      </c>
      <c r="C3026" s="1" t="s">
        <v>15181</v>
      </c>
      <c r="D3026" s="1" t="s">
        <v>15182</v>
      </c>
      <c r="E3026" s="1" t="s">
        <v>15183</v>
      </c>
      <c r="F3026" s="1" t="s">
        <v>15184</v>
      </c>
      <c r="G3026" s="1" t="s">
        <v>15185</v>
      </c>
      <c r="H3026" s="1" t="str">
        <f>IFERROR(__xludf.DUMMYFUNCTION("GOOGLETRANSLATE(D3026,""EN"",""JA"")"),"MCV網状赤血球")</f>
        <v>MCV網状赤血球</v>
      </c>
      <c r="I3026" s="1" t="str">
        <f>IFERROR(__xludf.DUMMYFUNCTION("GOOGLETRANSLATE(E3026,""EN"",""JA"")"),"MCV 網状赤血球; MCVr; 網状赤血球の平均赤血球容積")</f>
        <v>MCV 網状赤血球; MCVr; 網状赤血球の平均赤血球容積</v>
      </c>
      <c r="J3026" s="1" t="str">
        <f>IFERROR(__xludf.DUMMYFUNCTION("GOOGLETRANSLATE(F3026,""EN"",""JA"")"),"生物標本中の網状赤血球の平均体積の測定。")</f>
        <v>生物標本中の網状赤血球の平均体積の測定。</v>
      </c>
      <c r="K3026" s="1" t="str">
        <f>IFERROR(__xludf.DUMMYFUNCTION("GOOGLETRANSLATE(G3026,""EN"",""JA"")"),"網状赤血球平均赤血球容積")</f>
        <v>網状赤血球平均赤血球容積</v>
      </c>
    </row>
    <row r="3027" ht="13.5" customHeight="1">
      <c r="A3027" s="1" t="s">
        <v>11</v>
      </c>
      <c r="B3027" s="1" t="s">
        <v>15186</v>
      </c>
      <c r="C3027" s="1" t="s">
        <v>15187</v>
      </c>
      <c r="D3027" s="1" t="s">
        <v>15188</v>
      </c>
      <c r="E3027" s="1" t="s">
        <v>15188</v>
      </c>
      <c r="F3027" s="1" t="s">
        <v>15189</v>
      </c>
      <c r="G3027" s="1" t="s">
        <v>15190</v>
      </c>
      <c r="H3027" s="1" t="str">
        <f>IFERROR(__xludf.DUMMYFUNCTION("GOOGLETRANSLATE(D3027,""EN"",""JA"")"),"3,4-メチレンジオキシアンフェタミン")</f>
        <v>3,4-メチレンジオキシアンフェタミン</v>
      </c>
      <c r="I3027" s="1" t="str">
        <f>IFERROR(__xludf.DUMMYFUNCTION("GOOGLETRANSLATE(E3027,""EN"",""JA"")"),"3,4-メチレンジオキシアンフェタミン")</f>
        <v>3,4-メチレンジオキシアンフェタミン</v>
      </c>
      <c r="J3027" s="1" t="str">
        <f>IFERROR(__xludf.DUMMYFUNCTION("GOOGLETRANSLATE(F3027,""EN"",""JA"")"),"生物標本中の 3,4-メチレンジオキシアンフェタミンの測定。")</f>
        <v>生物標本中の 3,4-メチレンジオキシアンフェタミンの測定。</v>
      </c>
      <c r="K3027" s="1" t="str">
        <f>IFERROR(__xludf.DUMMYFUNCTION("GOOGLETRANSLATE(G3027,""EN"",""JA"")"),"3,4-メチレンジオキシアンフェタミン測定")</f>
        <v>3,4-メチレンジオキシアンフェタミン測定</v>
      </c>
    </row>
    <row r="3028" ht="13.5" customHeight="1">
      <c r="A3028" s="1" t="s">
        <v>11</v>
      </c>
      <c r="B3028" s="1" t="s">
        <v>15191</v>
      </c>
      <c r="C3028" s="1" t="s">
        <v>15192</v>
      </c>
      <c r="D3028" s="1" t="s">
        <v>15193</v>
      </c>
      <c r="E3028" s="1" t="s">
        <v>15194</v>
      </c>
      <c r="F3028" s="1" t="s">
        <v>15195</v>
      </c>
      <c r="G3028" s="1" t="s">
        <v>15196</v>
      </c>
      <c r="H3028" s="1" t="str">
        <f>IFERROR(__xludf.DUMMYFUNCTION("GOOGLETRANSLATE(D3028,""EN"",""JA"")"),"マロンジアルデヒド")</f>
        <v>マロンジアルデヒド</v>
      </c>
      <c r="I3028" s="1" t="str">
        <f>IFERROR(__xludf.DUMMYFUNCTION("GOOGLETRANSLATE(E3028,""EN"",""JA"")"),"マロンジアルデヒド; MDA")</f>
        <v>マロンジアルデヒド; MDA</v>
      </c>
      <c r="J3028" s="1" t="str">
        <f>IFERROR(__xludf.DUMMYFUNCTION("GOOGLETRANSLATE(F3028,""EN"",""JA"")"),"生物標本中のマロンジアルデヒドの測定。")</f>
        <v>生物標本中のマロンジアルデヒドの測定。</v>
      </c>
      <c r="K3028" s="1" t="str">
        <f>IFERROR(__xludf.DUMMYFUNCTION("GOOGLETRANSLATE(G3028,""EN"",""JA"")"),"マロンジアルデヒド測定")</f>
        <v>マロンジアルデヒド測定</v>
      </c>
    </row>
    <row r="3029" ht="13.5" customHeight="1">
      <c r="A3029" s="1" t="s">
        <v>11</v>
      </c>
      <c r="B3029" s="1" t="s">
        <v>15197</v>
      </c>
      <c r="C3029" s="1" t="s">
        <v>15198</v>
      </c>
      <c r="D3029" s="1" t="s">
        <v>15199</v>
      </c>
      <c r="E3029" s="1" t="s">
        <v>15200</v>
      </c>
      <c r="F3029" s="1" t="s">
        <v>15201</v>
      </c>
      <c r="G3029" s="1" t="s">
        <v>15202</v>
      </c>
      <c r="H3029" s="1" t="str">
        <f>IFERROR(__xludf.DUMMYFUNCTION("GOOGLETRANSLATE(D3029,""EN"",""JA"")"),"マクロファージ由来ケモカイン")</f>
        <v>マクロファージ由来ケモカイン</v>
      </c>
      <c r="I3029" s="1" t="str">
        <f>IFERROR(__xludf.DUMMYFUNCTION("GOOGLETRANSLATE(E3029,""EN"",""JA"")"),"C-Cモチーフケモカインリガンド22; CCL22; ケモカイン（C-Cモチーフ）リガンド22; ケモカインリガンド22; マクロファージ由来ケモカイン")</f>
        <v>C-Cモチーフケモカインリガンド22; CCL22; ケモカイン（C-Cモチーフ）リガンド22; ケモカインリガンド22; マクロファージ由来ケモカイン</v>
      </c>
      <c r="J3029" s="1" t="str">
        <f>IFERROR(__xludf.DUMMYFUNCTION("GOOGLETRANSLATE(F3029,""EN"",""JA"")"),"生物標本中のマクロファージ由来ケモカインの測定。")</f>
        <v>生物標本中のマクロファージ由来ケモカインの測定。</v>
      </c>
      <c r="K3029" s="1" t="str">
        <f>IFERROR(__xludf.DUMMYFUNCTION("GOOGLETRANSLATE(G3029,""EN"",""JA"")"),"マクロファージ由来ケモカイン測定")</f>
        <v>マクロファージ由来ケモカイン測定</v>
      </c>
    </row>
    <row r="3030" ht="13.5" customHeight="1">
      <c r="A3030" s="1" t="s">
        <v>601</v>
      </c>
      <c r="B3030" s="1" t="s">
        <v>15203</v>
      </c>
      <c r="C3030" s="1" t="s">
        <v>15204</v>
      </c>
      <c r="D3030" s="1" t="s">
        <v>15205</v>
      </c>
      <c r="E3030" s="1" t="s">
        <v>15205</v>
      </c>
      <c r="F3030" s="1" t="s">
        <v>15206</v>
      </c>
      <c r="G3030" s="1" t="s">
        <v>15205</v>
      </c>
      <c r="H3030" s="1" t="str">
        <f>IFERROR(__xludf.DUMMYFUNCTION("GOOGLETRANSLATE(D3030,""EN"",""JA"")"),"メディケイド指標")</f>
        <v>メディケイド指標</v>
      </c>
      <c r="I3030" s="1" t="str">
        <f>IFERROR(__xludf.DUMMYFUNCTION("GOOGLETRANSLATE(E3030,""EN"",""JA"")"),"メディケイド指標")</f>
        <v>メディケイド指標</v>
      </c>
      <c r="J3030" s="1" t="str">
        <f>IFERROR(__xludf.DUMMYFUNCTION("GOOGLETRANSLATE(F3030,""EN"",""JA"")"),"対象者がメディケイドの対象であるかどうかを示します。")</f>
        <v>対象者がメディケイドの対象であるかどうかを示します。</v>
      </c>
      <c r="K3030" s="1" t="str">
        <f>IFERROR(__xludf.DUMMYFUNCTION("GOOGLETRANSLATE(G3030,""EN"",""JA"")"),"メディケイド指標")</f>
        <v>メディケイド指標</v>
      </c>
    </row>
    <row r="3031" ht="13.5" customHeight="1">
      <c r="A3031" s="1" t="s">
        <v>601</v>
      </c>
      <c r="B3031" s="1" t="s">
        <v>15207</v>
      </c>
      <c r="C3031" s="1" t="s">
        <v>15208</v>
      </c>
      <c r="D3031" s="1" t="s">
        <v>15209</v>
      </c>
      <c r="E3031" s="1" t="s">
        <v>15209</v>
      </c>
      <c r="F3031" s="1" t="s">
        <v>15210</v>
      </c>
      <c r="G3031" s="1" t="s">
        <v>15209</v>
      </c>
      <c r="H3031" s="1" t="str">
        <f>IFERROR(__xludf.DUMMYFUNCTION("GOOGLETRANSLATE(D3031,""EN"",""JA"")"),"メディケア指標")</f>
        <v>メディケア指標</v>
      </c>
      <c r="I3031" s="1" t="str">
        <f>IFERROR(__xludf.DUMMYFUNCTION("GOOGLETRANSLATE(E3031,""EN"",""JA"")"),"メディケア指標")</f>
        <v>メディケア指標</v>
      </c>
      <c r="J3031" s="1" t="str">
        <f>IFERROR(__xludf.DUMMYFUNCTION("GOOGLETRANSLATE(F3031,""EN"",""JA"")"),"対象がメディケアの対象であるかどうかを示します。")</f>
        <v>対象がメディケアの対象であるかどうかを示します。</v>
      </c>
      <c r="K3031" s="1" t="str">
        <f>IFERROR(__xludf.DUMMYFUNCTION("GOOGLETRANSLATE(G3031,""EN"",""JA"")"),"メディケア指標")</f>
        <v>メディケア指標</v>
      </c>
    </row>
    <row r="3032" ht="13.5" customHeight="1">
      <c r="A3032" s="1" t="s">
        <v>11</v>
      </c>
      <c r="B3032" s="1" t="s">
        <v>15211</v>
      </c>
      <c r="C3032" s="1" t="s">
        <v>15212</v>
      </c>
      <c r="D3032" s="1" t="s">
        <v>15213</v>
      </c>
      <c r="E3032" s="1" t="s">
        <v>15214</v>
      </c>
      <c r="F3032" s="1" t="s">
        <v>15215</v>
      </c>
      <c r="G3032" s="1" t="s">
        <v>15216</v>
      </c>
      <c r="H3032" s="1" t="str">
        <f>IFERROR(__xludf.DUMMYFUNCTION("GOOGLETRANSLATE(D3032,""EN"",""JA"")"),"3,4-メチレンジオキシ-N-エチルアンフェタミン")</f>
        <v>3,4-メチレンジオキシ-N-エチルアンフェタミン</v>
      </c>
      <c r="I3032" s="1" t="str">
        <f>IFERROR(__xludf.DUMMYFUNCTION("GOOGLETRANSLATE(E3032,""EN"",""JA"")"),"3,4-メチレンジオキシ-N-エチルアンフェタミン; イブ; MDE")</f>
        <v>3,4-メチレンジオキシ-N-エチルアンフェタミン; イブ; MDE</v>
      </c>
      <c r="J3032" s="1" t="str">
        <f>IFERROR(__xludf.DUMMYFUNCTION("GOOGLETRANSLATE(F3032,""EN"",""JA"")"),"生物標本中の 3,4-メチレンジオキシ-N-エチルアンフェタミンの測定。")</f>
        <v>生物標本中の 3,4-メチレンジオキシ-N-エチルアンフェタミンの測定。</v>
      </c>
      <c r="K3032" s="1" t="str">
        <f>IFERROR(__xludf.DUMMYFUNCTION("GOOGLETRANSLATE(G3032,""EN"",""JA"")"),"3,4-メチレンジオキシ-N-エチルアンフェタミン測定")</f>
        <v>3,4-メチレンジオキシ-N-エチルアンフェタミン測定</v>
      </c>
    </row>
    <row r="3033" ht="13.5" customHeight="1">
      <c r="A3033" s="1" t="s">
        <v>11</v>
      </c>
      <c r="B3033" s="1" t="s">
        <v>15217</v>
      </c>
      <c r="C3033" s="1" t="s">
        <v>15218</v>
      </c>
      <c r="D3033" s="1" t="s">
        <v>15219</v>
      </c>
      <c r="E3033" s="1" t="s">
        <v>15220</v>
      </c>
      <c r="F3033" s="1" t="s">
        <v>15221</v>
      </c>
      <c r="G3033" s="1" t="s">
        <v>15222</v>
      </c>
      <c r="H3033" s="1" t="str">
        <f>IFERROR(__xludf.DUMMYFUNCTION("GOOGLETRANSLATE(D3033,""EN"",""JA"")"),"3,4-メチレンジオキシメタンフェタミン")</f>
        <v>3,4-メチレンジオキシメタンフェタミン</v>
      </c>
      <c r="I3033" s="1" t="str">
        <f>IFERROR(__xludf.DUMMYFUNCTION("GOOGLETRANSLATE(E3033,""EN"",""JA"")"),"3,4-メチレンジオキシメタンフェタミン; エクスタシー")</f>
        <v>3,4-メチレンジオキシメタンフェタミン; エクスタシー</v>
      </c>
      <c r="J3033" s="1" t="str">
        <f>IFERROR(__xludf.DUMMYFUNCTION("GOOGLETRANSLATE(F3033,""EN"",""JA"")"),"生物学的標本中の 3,4-メチレンジオキシメタンフェタミン (MDMA) の測定。")</f>
        <v>生物学的標本中の 3,4-メチレンジオキシメタンフェタミン (MDMA) の測定。</v>
      </c>
      <c r="K3033" s="1" t="str">
        <f>IFERROR(__xludf.DUMMYFUNCTION("GOOGLETRANSLATE(G3033,""EN"",""JA"")"),"3,4-メチレンジオキシメタンフェタミン測定")</f>
        <v>3,4-メチレンジオキシメタンフェタミン測定</v>
      </c>
    </row>
    <row r="3034" ht="13.5" customHeight="1">
      <c r="A3034" s="1" t="s">
        <v>11</v>
      </c>
      <c r="B3034" s="1" t="s">
        <v>15223</v>
      </c>
      <c r="C3034" s="1" t="s">
        <v>15224</v>
      </c>
      <c r="D3034" s="1" t="s">
        <v>15225</v>
      </c>
      <c r="E3034" s="1" t="s">
        <v>15225</v>
      </c>
      <c r="F3034" s="1" t="s">
        <v>15226</v>
      </c>
      <c r="G3034" s="1" t="s">
        <v>15227</v>
      </c>
      <c r="H3034" s="1" t="str">
        <f>IFERROR(__xludf.DUMMYFUNCTION("GOOGLETRANSLATE(D3034,""EN"",""JA"")"),"単球分布幅")</f>
        <v>単球分布幅</v>
      </c>
      <c r="I3034" s="1" t="str">
        <f>IFERROR(__xludf.DUMMYFUNCTION("GOOGLETRANSLATE(E3034,""EN"",""JA"")"),"単球分布幅")</f>
        <v>単球分布幅</v>
      </c>
      <c r="J3034" s="1" t="str">
        <f>IFERROR(__xludf.DUMMYFUNCTION("GOOGLETRANSLATE(F3034,""EN"",""JA"")"),"生物標本中の単球の体積分散の測定。")</f>
        <v>生物標本中の単球の体積分散の測定。</v>
      </c>
      <c r="K3034" s="1" t="str">
        <f>IFERROR(__xludf.DUMMYFUNCTION("GOOGLETRANSLATE(G3034,""EN"",""JA"")"),"単球分布幅測定")</f>
        <v>単球分布幅測定</v>
      </c>
    </row>
    <row r="3035" ht="13.5" customHeight="1">
      <c r="A3035" s="1" t="s">
        <v>11</v>
      </c>
      <c r="B3035" s="1" t="s">
        <v>15228</v>
      </c>
      <c r="C3035" s="1" t="s">
        <v>15229</v>
      </c>
      <c r="D3035" s="1" t="s">
        <v>15230</v>
      </c>
      <c r="E3035" s="1" t="s">
        <v>15230</v>
      </c>
      <c r="F3035" s="1" t="s">
        <v>15231</v>
      </c>
      <c r="G3035" s="1" t="s">
        <v>15232</v>
      </c>
      <c r="H3035" s="1" t="str">
        <f>IFERROR(__xludf.DUMMYFUNCTION("GOOGLETRANSLATE(D3035,""EN"",""JA"")"),"ミダゾラム")</f>
        <v>ミダゾラム</v>
      </c>
      <c r="I3035" s="1" t="str">
        <f>IFERROR(__xludf.DUMMYFUNCTION("GOOGLETRANSLATE(E3035,""EN"",""JA"")"),"ミダゾラム")</f>
        <v>ミダゾラム</v>
      </c>
      <c r="J3035" s="1" t="str">
        <f>IFERROR(__xludf.DUMMYFUNCTION("GOOGLETRANSLATE(F3035,""EN"",""JA"")"),"生物標本中に存在するミダゾラムの測定。")</f>
        <v>生物標本中に存在するミダゾラムの測定。</v>
      </c>
      <c r="K3035" s="1" t="str">
        <f>IFERROR(__xludf.DUMMYFUNCTION("GOOGLETRANSLATE(G3035,""EN"",""JA"")"),"ミダゾラム測定")</f>
        <v>ミダゾラム測定</v>
      </c>
    </row>
    <row r="3036" ht="13.5" customHeight="1">
      <c r="A3036" s="1" t="s">
        <v>11</v>
      </c>
      <c r="B3036" s="1" t="s">
        <v>15233</v>
      </c>
      <c r="C3036" s="1" t="s">
        <v>15234</v>
      </c>
      <c r="D3036" s="1" t="s">
        <v>15235</v>
      </c>
      <c r="E3036" s="1" t="s">
        <v>15235</v>
      </c>
      <c r="F3036" s="1" t="s">
        <v>15236</v>
      </c>
      <c r="G3036" s="1" t="s">
        <v>15237</v>
      </c>
      <c r="H3036" s="1" t="str">
        <f>IFERROR(__xludf.DUMMYFUNCTION("GOOGLETRANSLATE(D3036,""EN"",""JA"")"),"メダゼパム")</f>
        <v>メダゼパム</v>
      </c>
      <c r="I3036" s="1" t="str">
        <f>IFERROR(__xludf.DUMMYFUNCTION("GOOGLETRANSLATE(E3036,""EN"",""JA"")"),"メダゼパム")</f>
        <v>メダゼパム</v>
      </c>
      <c r="J3036" s="1" t="str">
        <f>IFERROR(__xludf.DUMMYFUNCTION("GOOGLETRANSLATE(F3036,""EN"",""JA"")"),"生物標本中に存在するメダゼパムの測定。")</f>
        <v>生物標本中に存在するメダゼパムの測定。</v>
      </c>
      <c r="K3036" s="1" t="str">
        <f>IFERROR(__xludf.DUMMYFUNCTION("GOOGLETRANSLATE(G3036,""EN"",""JA"")"),"メダゼパム測定")</f>
        <v>メダゼパム測定</v>
      </c>
    </row>
    <row r="3037" ht="13.5" customHeight="1">
      <c r="A3037" s="1" t="s">
        <v>90</v>
      </c>
      <c r="B3037" s="1" t="s">
        <v>15238</v>
      </c>
      <c r="C3037" s="1" t="s">
        <v>15239</v>
      </c>
      <c r="D3037" s="1" t="s">
        <v>15240</v>
      </c>
      <c r="E3037" s="1" t="s">
        <v>15240</v>
      </c>
      <c r="F3037" s="1" t="s">
        <v>15241</v>
      </c>
      <c r="G3037" s="1" t="s">
        <v>15242</v>
      </c>
      <c r="H3037" s="1" t="str">
        <f>IFERROR(__xludf.DUMMYFUNCTION("GOOGLETRANSLATE(D3037,""EN"",""JA"")"),"平均血圧（推定値）")</f>
        <v>平均血圧（推定値）</v>
      </c>
      <c r="I3037" s="1" t="str">
        <f>IFERROR(__xludf.DUMMYFUNCTION("GOOGLETRANSLATE(E3037,""EN"",""JA"")"),"平均血圧（推定値）")</f>
        <v>平均血圧（推定値）</v>
      </c>
      <c r="J3037" s="1" t="str">
        <f>IFERROR(__xludf.DUMMYFUNCTION("GOOGLETRANSLATE(F3037,""EN"",""JA"")"),"推定平均血圧。(NCI)")</f>
        <v>推定平均血圧。(NCI)</v>
      </c>
      <c r="K3037" s="1" t="str">
        <f>IFERROR(__xludf.DUMMYFUNCTION("GOOGLETRANSLATE(G3037,""EN"",""JA"")"),"推定平均血圧")</f>
        <v>推定平均血圧</v>
      </c>
    </row>
    <row r="3038" ht="13.5" customHeight="1">
      <c r="A3038" s="1" t="s">
        <v>90</v>
      </c>
      <c r="B3038" s="1" t="s">
        <v>15243</v>
      </c>
      <c r="C3038" s="1" t="s">
        <v>15244</v>
      </c>
      <c r="D3038" s="1" t="s">
        <v>15245</v>
      </c>
      <c r="E3038" s="1" t="s">
        <v>15245</v>
      </c>
      <c r="F3038" s="1" t="s">
        <v>15246</v>
      </c>
      <c r="G3038" s="1" t="s">
        <v>15245</v>
      </c>
      <c r="H3038" s="1" t="str">
        <f>IFERROR(__xludf.DUMMYFUNCTION("GOOGLETRANSLATE(D3038,""EN"",""JA"")"),"平均血管径")</f>
        <v>平均血管径</v>
      </c>
      <c r="I3038" s="1" t="str">
        <f>IFERROR(__xludf.DUMMYFUNCTION("GOOGLETRANSLATE(E3038,""EN"",""JA"")"),"平均血管径")</f>
        <v>平均血管径</v>
      </c>
      <c r="J3038" s="1" t="str">
        <f>IFERROR(__xludf.DUMMYFUNCTION("GOOGLETRANSLATE(F3038,""EN"",""JA"")"),"正常な血管部分の内径の平均。")</f>
        <v>正常な血管部分の内径の平均。</v>
      </c>
      <c r="K3038" s="1" t="str">
        <f>IFERROR(__xludf.DUMMYFUNCTION("GOOGLETRANSLATE(G3038,""EN"",""JA"")"),"平均血管径")</f>
        <v>平均血管径</v>
      </c>
    </row>
    <row r="3039" ht="13.5" customHeight="1">
      <c r="A3039" s="1" t="s">
        <v>6439</v>
      </c>
      <c r="B3039" s="1" t="s">
        <v>15247</v>
      </c>
      <c r="C3039" s="1" t="s">
        <v>15248</v>
      </c>
      <c r="D3039" s="1" t="s">
        <v>15249</v>
      </c>
      <c r="E3039" s="1" t="s">
        <v>15249</v>
      </c>
      <c r="F3039" s="1" t="s">
        <v>15250</v>
      </c>
      <c r="G3039" s="1" t="s">
        <v>15249</v>
      </c>
      <c r="H3039" s="1" t="str">
        <f>IFERROR(__xludf.DUMMYFUNCTION("GOOGLETRANSLATE(D3039,""EN"",""JA"")"),"測定可能な腫瘍指標")</f>
        <v>測定可能な腫瘍指標</v>
      </c>
      <c r="I3039" s="1" t="str">
        <f>IFERROR(__xludf.DUMMYFUNCTION("GOOGLETRANSLATE(E3039,""EN"",""JA"")"),"測定可能な腫瘍指標")</f>
        <v>測定可能な腫瘍指標</v>
      </c>
      <c r="J3039" s="1" t="str">
        <f>IFERROR(__xludf.DUMMYFUNCTION("GOOGLETRANSLATE(F3039,""EN"",""JA"")"),"測定可能な腫瘍が存在するかどうかを示します。")</f>
        <v>測定可能な腫瘍が存在するかどうかを示します。</v>
      </c>
      <c r="K3039" s="1" t="str">
        <f>IFERROR(__xludf.DUMMYFUNCTION("GOOGLETRANSLATE(G3039,""EN"",""JA"")"),"測定可能な腫瘍指標")</f>
        <v>測定可能な腫瘍指標</v>
      </c>
    </row>
    <row r="3040" ht="13.5" customHeight="1">
      <c r="A3040" s="1" t="s">
        <v>7009</v>
      </c>
      <c r="B3040" s="1" t="s">
        <v>15251</v>
      </c>
      <c r="C3040" s="1" t="s">
        <v>15252</v>
      </c>
      <c r="D3040" s="1" t="s">
        <v>15253</v>
      </c>
      <c r="E3040" s="1" t="s">
        <v>15253</v>
      </c>
      <c r="F3040" s="1" t="s">
        <v>15254</v>
      </c>
      <c r="G3040" s="1" t="s">
        <v>15253</v>
      </c>
      <c r="H3040" s="1" t="str">
        <f>IFERROR(__xludf.DUMMYFUNCTION("GOOGLETRANSLATE(D3040,""EN"",""JA"")"),"微生物EC50のベースラインからの変化")</f>
        <v>微生物EC50のベースラインからの変化</v>
      </c>
      <c r="I3040" s="1" t="str">
        <f>IFERROR(__xludf.DUMMYFUNCTION("GOOGLETRANSLATE(E3040,""EN"",""JA"")"),"微生物EC50のベースラインからの変化")</f>
        <v>微生物EC50のベースラインからの変化</v>
      </c>
      <c r="J3040" s="1" t="str">
        <f>IFERROR(__xludf.DUMMYFUNCTION("GOOGLETRANSLATE(F3040,""EN"",""JA"")"),"微生物の個体群増殖または複製を 50% 阻害すると予想される特定の薬剤の濃度に基づく変化率。(NCI)")</f>
        <v>微生物の個体群増殖または複製を 50% 阻害すると予想される特定の薬剤の濃度に基づく変化率。(NCI)</v>
      </c>
      <c r="K3040" s="1" t="str">
        <f>IFERROR(__xludf.DUMMYFUNCTION("GOOGLETRANSLATE(G3040,""EN"",""JA"")"),"微生物EC50のベースラインからの変化")</f>
        <v>微生物EC50のベースラインからの変化</v>
      </c>
    </row>
    <row r="3041" ht="13.5" customHeight="1">
      <c r="A3041" s="1" t="s">
        <v>7009</v>
      </c>
      <c r="B3041" s="1" t="s">
        <v>15255</v>
      </c>
      <c r="C3041" s="1" t="s">
        <v>15256</v>
      </c>
      <c r="D3041" s="1" t="s">
        <v>15257</v>
      </c>
      <c r="E3041" s="1" t="s">
        <v>15258</v>
      </c>
      <c r="F3041" s="1" t="s">
        <v>15259</v>
      </c>
      <c r="G3041" s="1" t="s">
        <v>15260</v>
      </c>
      <c r="H3041" s="1" t="str">
        <f>IFERROR(__xludf.DUMMYFUNCTION("GOOGLETRANSLATE(D3041,""EN"",""JA"")"),"微生物EC50の参照値からの変化")</f>
        <v>微生物EC50の参照値からの変化</v>
      </c>
      <c r="I3041" s="1" t="str">
        <f>IFERROR(__xludf.DUMMYFUNCTION("GOOGLETRANSLATE(E3041,""EN"",""JA"")"),"微生物 EC50 参照からの倍率変化; 微生物 EC50 参照からの倍率変化")</f>
        <v>微生物 EC50 参照からの倍率変化; 微生物 EC50 参照からの倍率変化</v>
      </c>
      <c r="J3041" s="1" t="str">
        <f>IFERROR(__xludf.DUMMYFUNCTION("GOOGLETRANSLATE(F3041,""EN"",""JA"")"),"微生物の増殖または複製を50%阻害すると期待される特定の薬剤の濃度に基づく倍率変化。これは、被験者のEC50値を対照のEC50値で割って算出される比率です。")</f>
        <v>微生物の増殖または複製を50%阻害すると期待される特定の薬剤の濃度に基づく倍率変化。これは、被験者のEC50値を対照のEC50値で割って算出される比率です。</v>
      </c>
      <c r="K3041" s="1" t="str">
        <f>IFERROR(__xludf.DUMMYFUNCTION("GOOGLETRANSLATE(G3041,""EN"",""JA"")"),"微生物EC50の参照値からの変化")</f>
        <v>微生物EC50の参照値からの変化</v>
      </c>
    </row>
    <row r="3042" ht="13.5" customHeight="1">
      <c r="A3042" s="1" t="s">
        <v>7009</v>
      </c>
      <c r="B3042" s="1" t="s">
        <v>15261</v>
      </c>
      <c r="C3042" s="1" t="s">
        <v>15262</v>
      </c>
      <c r="D3042" s="1" t="s">
        <v>15263</v>
      </c>
      <c r="E3042" s="1" t="s">
        <v>15263</v>
      </c>
      <c r="F3042" s="1" t="s">
        <v>15264</v>
      </c>
      <c r="G3042" s="1" t="s">
        <v>15263</v>
      </c>
      <c r="H3042" s="1" t="str">
        <f>IFERROR(__xludf.DUMMYFUNCTION("GOOGLETRANSLATE(D3042,""EN"",""JA"")"),"微生物EC50参照対照結果")</f>
        <v>微生物EC50参照対照結果</v>
      </c>
      <c r="I3042" s="1" t="str">
        <f>IFERROR(__xludf.DUMMYFUNCTION("GOOGLETRANSLATE(E3042,""EN"",""JA"")"),"微生物EC50参照対照結果")</f>
        <v>微生物EC50参照対照結果</v>
      </c>
      <c r="J3042" s="1" t="str">
        <f>IFERROR(__xludf.DUMMYFUNCTION("GOOGLETRANSLATE(F3042,""EN"",""JA"")"),"微生物の増殖または複製を 50% 阻害すると予想される特定の薬剤の濃度に基づく参照コントロール サンプルの反応。(NCI)")</f>
        <v>微生物の増殖または複製を 50% 阻害すると予想される特定の薬剤の濃度に基づく参照コントロール サンプルの反応。(NCI)</v>
      </c>
      <c r="K3042" s="1" t="str">
        <f>IFERROR(__xludf.DUMMYFUNCTION("GOOGLETRANSLATE(G3042,""EN"",""JA"")"),"微生物EC50参照対照結果")</f>
        <v>微生物EC50参照対照結果</v>
      </c>
    </row>
    <row r="3043" ht="13.5" customHeight="1">
      <c r="A3043" s="1" t="s">
        <v>7009</v>
      </c>
      <c r="B3043" s="1" t="s">
        <v>15265</v>
      </c>
      <c r="C3043" s="1" t="s">
        <v>15266</v>
      </c>
      <c r="D3043" s="1" t="s">
        <v>15267</v>
      </c>
      <c r="E3043" s="1" t="s">
        <v>15267</v>
      </c>
      <c r="F3043" s="1" t="s">
        <v>15268</v>
      </c>
      <c r="G3043" s="1" t="s">
        <v>15267</v>
      </c>
      <c r="H3043" s="1" t="str">
        <f>IFERROR(__xludf.DUMMYFUNCTION("GOOGLETRANSLATE(D3043,""EN"",""JA"")"),"微生物EC50被験者結果")</f>
        <v>微生物EC50被験者結果</v>
      </c>
      <c r="I3043" s="1" t="str">
        <f>IFERROR(__xludf.DUMMYFUNCTION("GOOGLETRANSLATE(E3043,""EN"",""JA"")"),"微生物EC50被験者結果")</f>
        <v>微生物EC50被験者結果</v>
      </c>
      <c r="J3043" s="1" t="str">
        <f>IFERROR(__xludf.DUMMYFUNCTION("GOOGLETRANSLATE(F3043,""EN"",""JA"")"),"微生物の増殖または複製を 50% 阻害すると予測される特定の薬剤の濃度に曝露された微生物の力価の測定値。(NCI)")</f>
        <v>微生物の増殖または複製を 50% 阻害すると予測される特定の薬剤の濃度に曝露された微生物の力価の測定値。(NCI)</v>
      </c>
      <c r="K3043" s="1" t="str">
        <f>IFERROR(__xludf.DUMMYFUNCTION("GOOGLETRANSLATE(G3043,""EN"",""JA"")"),"微生物EC50被験者結果")</f>
        <v>微生物EC50被験者結果</v>
      </c>
    </row>
    <row r="3044" ht="13.5" customHeight="1">
      <c r="A3044" s="1" t="s">
        <v>90</v>
      </c>
      <c r="B3044" s="1" t="s">
        <v>15269</v>
      </c>
      <c r="C3044" s="1" t="s">
        <v>15270</v>
      </c>
      <c r="D3044" s="1" t="s">
        <v>15271</v>
      </c>
      <c r="E3044" s="1" t="s">
        <v>15272</v>
      </c>
      <c r="F3044" s="1" t="s">
        <v>15273</v>
      </c>
      <c r="G3044" s="1" t="s">
        <v>15274</v>
      </c>
      <c r="H3044" s="1" t="str">
        <f>IFERROR(__xludf.DUMMYFUNCTION("GOOGLETRANSLATE(D3044,""EN"",""JA"")"),"メカサークサポートの配置タイミング")</f>
        <v>メカサークサポートの配置タイミング</v>
      </c>
      <c r="I3044" s="1" t="str">
        <f>IFERROR(__xludf.DUMMYFUNCTION("GOOGLETRANSLATE(E3044,""EN"",""JA"")"),"機械的循環サポートの設置時期; 機械的循環サポートの設置時期")</f>
        <v>機械的循環サポートの設置時期; 機械的循環サポートの設置時期</v>
      </c>
      <c r="J3044" s="1" t="str">
        <f>IFERROR(__xludf.DUMMYFUNCTION("GOOGLETRANSLATE(F3044,""EN"",""JA"")"),"機械的循環補助装置が埋め込まれた時点の説明。")</f>
        <v>機械的循環補助装置が埋め込まれた時点の説明。</v>
      </c>
      <c r="K3044" s="1" t="str">
        <f>IFERROR(__xludf.DUMMYFUNCTION("GOOGLETRANSLATE(G3044,""EN"",""JA"")"),"機械的循環補助装置の設置時期")</f>
        <v>機械的循環補助装置の設置時期</v>
      </c>
    </row>
    <row r="3045" ht="13.5" customHeight="1">
      <c r="A3045" s="1" t="s">
        <v>11</v>
      </c>
      <c r="B3045" s="1" t="s">
        <v>15275</v>
      </c>
      <c r="C3045" s="1" t="s">
        <v>15276</v>
      </c>
      <c r="D3045" s="1" t="s">
        <v>15277</v>
      </c>
      <c r="E3045" s="1" t="s">
        <v>15277</v>
      </c>
      <c r="F3045" s="1" t="s">
        <v>15278</v>
      </c>
      <c r="G3045" s="1" t="s">
        <v>15279</v>
      </c>
      <c r="H3045" s="1" t="str">
        <f>IFERROR(__xludf.DUMMYFUNCTION("GOOGLETRANSLATE(D3045,""EN"",""JA"")"),"胎便")</f>
        <v>胎便</v>
      </c>
      <c r="I3045" s="1" t="str">
        <f>IFERROR(__xludf.DUMMYFUNCTION("GOOGLETRANSLATE(E3045,""EN"",""JA"")"),"胎便")</f>
        <v>胎便</v>
      </c>
      <c r="J3045" s="1" t="str">
        <f>IFERROR(__xludf.DUMMYFUNCTION("GOOGLETRANSLATE(F3045,""EN"",""JA"")"),"生物標本中の胎便の測定。")</f>
        <v>生物標本中の胎便の測定。</v>
      </c>
      <c r="K3045" s="1" t="str">
        <f>IFERROR(__xludf.DUMMYFUNCTION("GOOGLETRANSLATE(G3045,""EN"",""JA"")"),"胎便測定")</f>
        <v>胎便測定</v>
      </c>
    </row>
    <row r="3046" ht="13.5" customHeight="1">
      <c r="A3046" s="1" t="s">
        <v>134</v>
      </c>
      <c r="B3046" s="1" t="s">
        <v>15280</v>
      </c>
      <c r="C3046" s="1" t="s">
        <v>15281</v>
      </c>
      <c r="D3046" s="1" t="s">
        <v>15282</v>
      </c>
      <c r="E3046" s="1" t="s">
        <v>15282</v>
      </c>
      <c r="F3046" s="1" t="s">
        <v>15283</v>
      </c>
      <c r="G3046" s="1" t="s">
        <v>15284</v>
      </c>
      <c r="H3046" s="1" t="str">
        <f>IFERROR(__xludf.DUMMYFUNCTION("GOOGLETRANSLATE(D3046,""EN"",""JA"")"),"巨大ミトコンドリア")</f>
        <v>巨大ミトコンドリア</v>
      </c>
      <c r="I3046" s="1" t="str">
        <f>IFERROR(__xludf.DUMMYFUNCTION("GOOGLETRANSLATE(E3046,""EN"",""JA"")"),"巨大ミトコンドリア")</f>
        <v>巨大ミトコンドリア</v>
      </c>
      <c r="J3046" s="1" t="str">
        <f>IFERROR(__xludf.DUMMYFUNCTION("GOOGLETRANSLATE(F3046,""EN"",""JA"")"),"生物標本における巨大ミトコンドリアの評価。")</f>
        <v>生物標本における巨大ミトコンドリアの評価。</v>
      </c>
      <c r="K3046" s="1" t="str">
        <f>IFERROR(__xludf.DUMMYFUNCTION("GOOGLETRANSLATE(G3046,""EN"",""JA"")"),"巨大ミトコンドリア評価")</f>
        <v>巨大ミトコンドリア評価</v>
      </c>
    </row>
    <row r="3047" ht="13.5" customHeight="1">
      <c r="A3047" s="1" t="s">
        <v>160</v>
      </c>
      <c r="B3047" s="1" t="s">
        <v>15285</v>
      </c>
      <c r="C3047" s="1" t="s">
        <v>15286</v>
      </c>
      <c r="D3047" s="1" t="s">
        <v>15287</v>
      </c>
      <c r="E3047" s="1" t="s">
        <v>15287</v>
      </c>
      <c r="F3047" s="1" t="s">
        <v>15288</v>
      </c>
      <c r="G3047" s="1" t="s">
        <v>15289</v>
      </c>
      <c r="H3047" s="1" t="str">
        <f>IFERROR(__xludf.DUMMYFUNCTION("GOOGLETRANSLATE(D3047,""EN"",""JA"")"),"初潮年齢")</f>
        <v>初潮年齢</v>
      </c>
      <c r="I3047" s="1" t="str">
        <f>IFERROR(__xludf.DUMMYFUNCTION("GOOGLETRANSLATE(E3047,""EN"",""JA"")"),"初潮年齢")</f>
        <v>初潮年齢</v>
      </c>
      <c r="J3047" s="1" t="str">
        <f>IFERROR(__xludf.DUMMYFUNCTION("GOOGLETRANSLATE(F3047,""EN"",""JA"")"),"初めての月経が起こった年齢。(NCI)")</f>
        <v>初めての月経が起こった年齢。(NCI)</v>
      </c>
      <c r="K3047" s="1" t="str">
        <f>IFERROR(__xludf.DUMMYFUNCTION("GOOGLETRANSLATE(G3047,""EN"",""JA"")"),"初潮年齢")</f>
        <v>初潮年齢</v>
      </c>
    </row>
    <row r="3048" ht="13.5" customHeight="1">
      <c r="A3048" s="1" t="s">
        <v>160</v>
      </c>
      <c r="B3048" s="1" t="s">
        <v>15290</v>
      </c>
      <c r="C3048" s="1" t="s">
        <v>15291</v>
      </c>
      <c r="D3048" s="1" t="s">
        <v>15292</v>
      </c>
      <c r="E3048" s="1" t="s">
        <v>15292</v>
      </c>
      <c r="F3048" s="1" t="s">
        <v>15293</v>
      </c>
      <c r="G3048" s="1" t="s">
        <v>15292</v>
      </c>
      <c r="H3048" s="1" t="str">
        <f>IFERROR(__xludf.DUMMYFUNCTION("GOOGLETRANSLATE(D3048,""EN"",""JA"")"),"初潮指標")</f>
        <v>初潮指標</v>
      </c>
      <c r="I3048" s="1" t="str">
        <f>IFERROR(__xludf.DUMMYFUNCTION("GOOGLETRANSLATE(E3048,""EN"",""JA"")"),"初潮指標")</f>
        <v>初潮指標</v>
      </c>
      <c r="J3048" s="1" t="str">
        <f>IFERROR(__xludf.DUMMYFUNCTION("GOOGLETRANSLATE(F3048,""EN"",""JA"")"),"個人の最初の月経が起こったかどうかを示します。")</f>
        <v>個人の最初の月経が起こったかどうかを示します。</v>
      </c>
      <c r="K3048" s="1" t="str">
        <f>IFERROR(__xludf.DUMMYFUNCTION("GOOGLETRANSLATE(G3048,""EN"",""JA"")"),"初潮指標")</f>
        <v>初潮指標</v>
      </c>
    </row>
    <row r="3049" ht="13.5" customHeight="1">
      <c r="A3049" s="1" t="s">
        <v>160</v>
      </c>
      <c r="B3049" s="1" t="s">
        <v>15294</v>
      </c>
      <c r="C3049" s="1" t="s">
        <v>15295</v>
      </c>
      <c r="D3049" s="1" t="s">
        <v>15296</v>
      </c>
      <c r="E3049" s="1" t="s">
        <v>15296</v>
      </c>
      <c r="F3049" s="1" t="s">
        <v>15297</v>
      </c>
      <c r="G3049" s="1" t="s">
        <v>15298</v>
      </c>
      <c r="H3049" s="1" t="str">
        <f>IFERROR(__xludf.DUMMYFUNCTION("GOOGLETRANSLATE(D3049,""EN"",""JA"")"),"月経期間")</f>
        <v>月経期間</v>
      </c>
      <c r="I3049" s="1" t="str">
        <f>IFERROR(__xludf.DUMMYFUNCTION("GOOGLETRANSLATE(E3049,""EN"",""JA"")"),"月経期間")</f>
        <v>月経期間</v>
      </c>
      <c r="J3049" s="1" t="str">
        <f>IFERROR(__xludf.DUMMYFUNCTION("GOOGLETRANSLATE(F3049,""EN"",""JA"")"),"月経液が子宮から排出される期間の長さ。")</f>
        <v>月経液が子宮から排出される期間の長さ。</v>
      </c>
      <c r="K3049" s="1" t="str">
        <f>IFERROR(__xludf.DUMMYFUNCTION("GOOGLETRANSLATE(G3049,""EN"",""JA"")"),"月経期間")</f>
        <v>月経期間</v>
      </c>
    </row>
    <row r="3050" ht="13.5" customHeight="1">
      <c r="A3050" s="1" t="s">
        <v>160</v>
      </c>
      <c r="B3050" s="1" t="s">
        <v>15299</v>
      </c>
      <c r="C3050" s="1" t="s">
        <v>15300</v>
      </c>
      <c r="D3050" s="1" t="s">
        <v>15301</v>
      </c>
      <c r="E3050" s="1" t="s">
        <v>15301</v>
      </c>
      <c r="F3050" s="1" t="s">
        <v>15302</v>
      </c>
      <c r="G3050" s="1" t="s">
        <v>15301</v>
      </c>
      <c r="H3050" s="1" t="str">
        <f>IFERROR(__xludf.DUMMYFUNCTION("GOOGLETRANSLATE(D3050,""EN"",""JA"")"),"月経流量の説明")</f>
        <v>月経流量の説明</v>
      </c>
      <c r="I3050" s="1" t="str">
        <f>IFERROR(__xludf.DUMMYFUNCTION("GOOGLETRANSLATE(E3050,""EN"",""JA"")"),"月経流量の説明")</f>
        <v>月経流量の説明</v>
      </c>
      <c r="J3050" s="1" t="str">
        <f>IFERROR(__xludf.DUMMYFUNCTION("GOOGLETRANSLATE(F3050,""EN"",""JA"")"),"月経周期中の月経血の流量に関する主観的な説明。")</f>
        <v>月経周期中の月経血の流量に関する主観的な説明。</v>
      </c>
      <c r="K3050" s="1" t="str">
        <f>IFERROR(__xludf.DUMMYFUNCTION("GOOGLETRANSLATE(G3050,""EN"",""JA"")"),"月経流量の説明")</f>
        <v>月経流量の説明</v>
      </c>
    </row>
    <row r="3051" ht="13.5" customHeight="1">
      <c r="A3051" s="1" t="s">
        <v>11</v>
      </c>
      <c r="B3051" s="1" t="s">
        <v>15303</v>
      </c>
      <c r="C3051" s="1" t="s">
        <v>15304</v>
      </c>
      <c r="D3051" s="1" t="s">
        <v>15305</v>
      </c>
      <c r="E3051" s="1" t="s">
        <v>15305</v>
      </c>
      <c r="F3051" s="1" t="s">
        <v>15306</v>
      </c>
      <c r="G3051" s="1" t="s">
        <v>15307</v>
      </c>
      <c r="H3051" s="1" t="str">
        <f>IFERROR(__xludf.DUMMYFUNCTION("GOOGLETRANSLATE(D3051,""EN"",""JA"")"),"髄膜細胞")</f>
        <v>髄膜細胞</v>
      </c>
      <c r="I3051" s="1" t="str">
        <f>IFERROR(__xludf.DUMMYFUNCTION("GOOGLETRANSLATE(E3051,""EN"",""JA"")"),"髄膜細胞")</f>
        <v>髄膜細胞</v>
      </c>
      <c r="J3051" s="1" t="str">
        <f>IFERROR(__xludf.DUMMYFUNCTION("GOOGLETRANSLATE(F3051,""EN"",""JA"")"),"生物標本中の髄膜細胞の測定。")</f>
        <v>生物標本中の髄膜細胞の測定。</v>
      </c>
      <c r="K3051" s="1" t="str">
        <f>IFERROR(__xludf.DUMMYFUNCTION("GOOGLETRANSLATE(G3051,""EN"",""JA"")"),"髄膜細胞数")</f>
        <v>髄膜細胞数</v>
      </c>
    </row>
    <row r="3052" ht="13.5" customHeight="1">
      <c r="A3052" s="1" t="s">
        <v>11</v>
      </c>
      <c r="B3052" s="1" t="s">
        <v>15308</v>
      </c>
      <c r="C3052" s="1" t="s">
        <v>15309</v>
      </c>
      <c r="D3052" s="1" t="s">
        <v>15310</v>
      </c>
      <c r="E3052" s="1" t="s">
        <v>15310</v>
      </c>
      <c r="F3052" s="1" t="s">
        <v>15311</v>
      </c>
      <c r="G3052" s="1" t="s">
        <v>15312</v>
      </c>
      <c r="H3052" s="1" t="str">
        <f>IFERROR(__xludf.DUMMYFUNCTION("GOOGLETRANSLATE(D3052,""EN"",""JA"")"),"髄膜細胞/総細胞")</f>
        <v>髄膜細胞/総細胞</v>
      </c>
      <c r="I3052" s="1" t="str">
        <f>IFERROR(__xludf.DUMMYFUNCTION("GOOGLETRANSLATE(E3052,""EN"",""JA"")"),"髄膜細胞/総細胞")</f>
        <v>髄膜細胞/総細胞</v>
      </c>
      <c r="J3052" s="1" t="str">
        <f>IFERROR(__xludf.DUMMYFUNCTION("GOOGLETRANSLATE(F3052,""EN"",""JA"")"),"生物標本内の髄膜細胞と総細胞の相対的な測定値（比率またはパーセンテージ）。")</f>
        <v>生物標本内の髄膜細胞と総細胞の相対的な測定値（比率またはパーセンテージ）。</v>
      </c>
      <c r="K3052" s="1" t="str">
        <f>IFERROR(__xludf.DUMMYFUNCTION("GOOGLETRANSLATE(G3052,""EN"",""JA"")"),"髄膜細胞対総細胞比測定")</f>
        <v>髄膜細胞対総細胞比測定</v>
      </c>
    </row>
    <row r="3053" ht="13.5" customHeight="1">
      <c r="A3053" s="1" t="s">
        <v>160</v>
      </c>
      <c r="B3053" s="1" t="s">
        <v>15313</v>
      </c>
      <c r="C3053" s="1" t="s">
        <v>15314</v>
      </c>
      <c r="D3053" s="1" t="s">
        <v>15315</v>
      </c>
      <c r="E3053" s="1" t="s">
        <v>15315</v>
      </c>
      <c r="F3053" s="1" t="s">
        <v>15316</v>
      </c>
      <c r="G3053" s="1" t="s">
        <v>15317</v>
      </c>
      <c r="H3053" s="1" t="str">
        <f>IFERROR(__xludf.DUMMYFUNCTION("GOOGLETRANSLATE(D3053,""EN"",""JA"")"),"更年期年齢")</f>
        <v>更年期年齢</v>
      </c>
      <c r="I3053" s="1" t="str">
        <f>IFERROR(__xludf.DUMMYFUNCTION("GOOGLETRANSLATE(E3053,""EN"",""JA"")"),"更年期年齢")</f>
        <v>更年期年齢</v>
      </c>
      <c r="J3053" s="1" t="str">
        <f>IFERROR(__xludf.DUMMYFUNCTION("GOOGLETRANSLATE(F3053,""EN"",""JA"")"),"月経が永久に停止した年齢。(NCI)")</f>
        <v>月経が永久に停止した年齢。(NCI)</v>
      </c>
      <c r="K3053" s="1" t="str">
        <f>IFERROR(__xludf.DUMMYFUNCTION("GOOGLETRANSLATE(G3053,""EN"",""JA"")"),"閉経年齢")</f>
        <v>閉経年齢</v>
      </c>
    </row>
    <row r="3054" ht="13.5" customHeight="1">
      <c r="A3054" s="1" t="s">
        <v>160</v>
      </c>
      <c r="B3054" s="1" t="s">
        <v>15318</v>
      </c>
      <c r="C3054" s="1" t="s">
        <v>15319</v>
      </c>
      <c r="D3054" s="1" t="s">
        <v>15320</v>
      </c>
      <c r="E3054" s="1" t="s">
        <v>15320</v>
      </c>
      <c r="F3054" s="1" t="s">
        <v>15321</v>
      </c>
      <c r="G3054" s="1" t="s">
        <v>15320</v>
      </c>
      <c r="H3054" s="1" t="str">
        <f>IFERROR(__xludf.DUMMYFUNCTION("GOOGLETRANSLATE(D3054,""EN"",""JA"")"),"更年期の状態")</f>
        <v>更年期の状態</v>
      </c>
      <c r="I3054" s="1" t="str">
        <f>IFERROR(__xludf.DUMMYFUNCTION("GOOGLETRANSLATE(E3054,""EN"",""JA"")"),"更年期の状態")</f>
        <v>更年期の状態</v>
      </c>
      <c r="J3054" s="1" t="str">
        <f>IFERROR(__xludf.DUMMYFUNCTION("GOOGLETRANSLATE(F3054,""EN"",""JA"")"),"更年期に関する女性の状態。")</f>
        <v>更年期に関する女性の状態。</v>
      </c>
      <c r="K3054" s="1" t="str">
        <f>IFERROR(__xludf.DUMMYFUNCTION("GOOGLETRANSLATE(G3054,""EN"",""JA"")"),"更年期の状態")</f>
        <v>更年期の状態</v>
      </c>
    </row>
    <row r="3055" ht="13.5" customHeight="1">
      <c r="A3055" s="1" t="s">
        <v>160</v>
      </c>
      <c r="B3055" s="1" t="s">
        <v>15322</v>
      </c>
      <c r="C3055" s="1" t="s">
        <v>15323</v>
      </c>
      <c r="D3055" s="1" t="s">
        <v>15324</v>
      </c>
      <c r="E3055" s="1" t="s">
        <v>15324</v>
      </c>
      <c r="F3055" s="1" t="s">
        <v>15325</v>
      </c>
      <c r="G3055" s="1" t="s">
        <v>15324</v>
      </c>
      <c r="H3055" s="1" t="str">
        <f>IFERROR(__xludf.DUMMYFUNCTION("GOOGLETRANSLATE(D3055,""EN"",""JA"")"),"月経周期の規則性")</f>
        <v>月経周期の規則性</v>
      </c>
      <c r="I3055" s="1" t="str">
        <f>IFERROR(__xludf.DUMMYFUNCTION("GOOGLETRANSLATE(E3055,""EN"",""JA"")"),"月経周期の規則性")</f>
        <v>月経周期の規則性</v>
      </c>
      <c r="J3055" s="1" t="str">
        <f>IFERROR(__xludf.DUMMYFUNCTION("GOOGLETRANSLATE(F3055,""EN"",""JA"")"),"個人の月経周期が一貫した時間的パターンにどのように適合するかを説明します。")</f>
        <v>個人の月経周期が一貫した時間的パターンにどのように適合するかを説明します。</v>
      </c>
      <c r="K3055" s="1" t="str">
        <f>IFERROR(__xludf.DUMMYFUNCTION("GOOGLETRANSLATE(G3055,""EN"",""JA"")"),"月経周期の規則性")</f>
        <v>月経周期の規則性</v>
      </c>
    </row>
    <row r="3056" ht="13.5" customHeight="1">
      <c r="A3056" s="1" t="s">
        <v>160</v>
      </c>
      <c r="B3056" s="1" t="s">
        <v>15326</v>
      </c>
      <c r="C3056" s="1" t="s">
        <v>15327</v>
      </c>
      <c r="D3056" s="1" t="s">
        <v>15328</v>
      </c>
      <c r="E3056" s="1" t="s">
        <v>15328</v>
      </c>
      <c r="F3056" s="1" t="s">
        <v>15329</v>
      </c>
      <c r="G3056" s="1" t="s">
        <v>15328</v>
      </c>
      <c r="H3056" s="1" t="str">
        <f>IFERROR(__xludf.DUMMYFUNCTION("GOOGLETRANSLATE(D3056,""EN"",""JA"")"),"月経周期の長さ")</f>
        <v>月経周期の長さ</v>
      </c>
      <c r="I3056" s="1" t="str">
        <f>IFERROR(__xludf.DUMMYFUNCTION("GOOGLETRANSLATE(E3056,""EN"",""JA"")"),"月経周期の長さ")</f>
        <v>月経周期の長さ</v>
      </c>
      <c r="J3056" s="1" t="str">
        <f>IFERROR(__xludf.DUMMYFUNCTION("GOOGLETRANSLATE(F3056,""EN"",""JA"")"),"月経周期の長さ。1 回の月経の開始から次の月経の開始までで測定されます。")</f>
        <v>月経周期の長さ。1 回の月経の開始から次の月経の開始までで測定されます。</v>
      </c>
      <c r="K3056" s="1" t="str">
        <f>IFERROR(__xludf.DUMMYFUNCTION("GOOGLETRANSLATE(G3056,""EN"",""JA"")"),"月経周期の長さ")</f>
        <v>月経周期の長さ</v>
      </c>
    </row>
    <row r="3057" ht="13.5" customHeight="1">
      <c r="A3057" s="1" t="s">
        <v>160</v>
      </c>
      <c r="B3057" s="1" t="s">
        <v>15330</v>
      </c>
      <c r="C3057" s="1" t="s">
        <v>15331</v>
      </c>
      <c r="D3057" s="1" t="s">
        <v>15332</v>
      </c>
      <c r="E3057" s="1" t="s">
        <v>15333</v>
      </c>
      <c r="F3057" s="1" t="s">
        <v>15334</v>
      </c>
      <c r="G3057" s="1" t="s">
        <v>15332</v>
      </c>
      <c r="H3057" s="1" t="str">
        <f>IFERROR(__xludf.DUMMYFUNCTION("GOOGLETRANSLATE(D3057,""EN"",""JA"")"),"平均月経周期の長さ")</f>
        <v>平均月経周期の長さ</v>
      </c>
      <c r="I3057" s="1" t="str">
        <f>IFERROR(__xludf.DUMMYFUNCTION("GOOGLETRANSLATE(E3057,""EN"",""JA"")"),"平均月経周期期間; 平均月経周期の長さ")</f>
        <v>平均月経周期期間; 平均月経周期の長さ</v>
      </c>
      <c r="J3057" s="1" t="str">
        <f>IFERROR(__xludf.DUMMYFUNCTION("GOOGLETRANSLATE(F3057,""EN"",""JA"")"),"月経周期の平均的な期間。")</f>
        <v>月経周期の平均的な期間。</v>
      </c>
      <c r="K3057" s="1" t="str">
        <f>IFERROR(__xludf.DUMMYFUNCTION("GOOGLETRANSLATE(G3057,""EN"",""JA"")"),"平均月経周期の長さ")</f>
        <v>平均月経周期の長さ</v>
      </c>
    </row>
    <row r="3058" ht="13.5" customHeight="1">
      <c r="A3058" s="1" t="s">
        <v>580</v>
      </c>
      <c r="B3058" s="1" t="s">
        <v>15335</v>
      </c>
      <c r="C3058" s="1" t="s">
        <v>15336</v>
      </c>
      <c r="D3058" s="1" t="s">
        <v>15337</v>
      </c>
      <c r="E3058" s="1" t="s">
        <v>15337</v>
      </c>
      <c r="F3058" s="1" t="s">
        <v>15338</v>
      </c>
      <c r="G3058" s="1" t="s">
        <v>15337</v>
      </c>
      <c r="H3058" s="1" t="str">
        <f>IFERROR(__xludf.DUMMYFUNCTION("GOOGLETRANSLATE(D3058,""EN"",""JA"")"),"最大呼気圧力")</f>
        <v>最大呼気圧力</v>
      </c>
      <c r="I3058" s="1" t="str">
        <f>IFERROR(__xludf.DUMMYFUNCTION("GOOGLETRANSLATE(E3058,""EN"",""JA"")"),"最大呼気圧力")</f>
        <v>最大呼気圧力</v>
      </c>
      <c r="J3058" s="1" t="str">
        <f>IFERROR(__xludf.DUMMYFUNCTION("GOOGLETRANSLATE(F3058,""EN"",""JA"")"),"マウスピースに向かって息を吐き出すことで発生する最大圧力。呼吸筋の強さの尺度です。(NCI)")</f>
        <v>マウスピースに向かって息を吐き出すことで発生する最大圧力。呼吸筋の強さの尺度です。(NCI)</v>
      </c>
      <c r="K3058" s="1" t="str">
        <f>IFERROR(__xludf.DUMMYFUNCTION("GOOGLETRANSLATE(G3058,""EN"",""JA"")"),"最大呼気圧力")</f>
        <v>最大呼気圧力</v>
      </c>
    </row>
    <row r="3059" ht="13.5" customHeight="1">
      <c r="A3059" s="1" t="s">
        <v>580</v>
      </c>
      <c r="B3059" s="1" t="s">
        <v>15339</v>
      </c>
      <c r="C3059" s="1" t="s">
        <v>15340</v>
      </c>
      <c r="D3059" s="1" t="s">
        <v>15341</v>
      </c>
      <c r="E3059" s="1" t="s">
        <v>15341</v>
      </c>
      <c r="F3059" s="1" t="s">
        <v>15342</v>
      </c>
      <c r="G3059" s="1" t="s">
        <v>15343</v>
      </c>
      <c r="H3059" s="1" t="str">
        <f>IFERROR(__xludf.DUMMYFUNCTION("GOOGLETRANSLATE(D3059,""EN"",""JA"")"),"予測MEPの割合")</f>
        <v>予測MEPの割合</v>
      </c>
      <c r="I3059" s="1" t="str">
        <f>IFERROR(__xludf.DUMMYFUNCTION("GOOGLETRANSLATE(E3059,""EN"",""JA"")"),"予測MEPの割合")</f>
        <v>予測MEPの割合</v>
      </c>
      <c r="J3059" s="1" t="str">
        <f>IFERROR(__xludf.DUMMYFUNCTION("GOOGLETRANSLATE(F3059,""EN"",""JA"")"),"マウスピースに向かって息を吐き出すことで発生する最大圧力。これは、予測される正常値の割合として表される呼吸筋の強さの尺度です。(NCI)")</f>
        <v>マウスピースに向かって息を吐き出すことで発生する最大圧力。これは、予測される正常値の割合として表される呼吸筋の強さの尺度です。(NCI)</v>
      </c>
      <c r="K3059" s="1" t="str">
        <f>IFERROR(__xludf.DUMMYFUNCTION("GOOGLETRANSLATE(G3059,""EN"",""JA"")"),"予測最大呼気圧力のパーセント")</f>
        <v>予測最大呼気圧力のパーセント</v>
      </c>
    </row>
    <row r="3060" ht="13.5" customHeight="1">
      <c r="A3060" s="1" t="s">
        <v>11</v>
      </c>
      <c r="B3060" s="1" t="s">
        <v>15344</v>
      </c>
      <c r="C3060" s="1" t="s">
        <v>15345</v>
      </c>
      <c r="D3060" s="1" t="s">
        <v>15346</v>
      </c>
      <c r="E3060" s="1" t="s">
        <v>15346</v>
      </c>
      <c r="F3060" s="1" t="s">
        <v>15347</v>
      </c>
      <c r="G3060" s="1" t="s">
        <v>15348</v>
      </c>
      <c r="H3060" s="1" t="str">
        <f>IFERROR(__xludf.DUMMYFUNCTION("GOOGLETRANSLATE(D3060,""EN"",""JA"")"),"メペリジン")</f>
        <v>メペリジン</v>
      </c>
      <c r="I3060" s="1" t="str">
        <f>IFERROR(__xludf.DUMMYFUNCTION("GOOGLETRANSLATE(E3060,""EN"",""JA"")"),"メペリジン")</f>
        <v>メペリジン</v>
      </c>
      <c r="J3060" s="1" t="str">
        <f>IFERROR(__xludf.DUMMYFUNCTION("GOOGLETRANSLATE(F3060,""EN"",""JA"")"),"生物標本中のメペリジンの測定。")</f>
        <v>生物標本中のメペリジンの測定。</v>
      </c>
      <c r="K3060" s="1" t="str">
        <f>IFERROR(__xludf.DUMMYFUNCTION("GOOGLETRANSLATE(G3060,""EN"",""JA"")"),"メペリジン測定")</f>
        <v>メペリジン測定</v>
      </c>
    </row>
    <row r="3061" ht="13.5" customHeight="1">
      <c r="A3061" s="1" t="s">
        <v>134</v>
      </c>
      <c r="B3061" s="1" t="s">
        <v>15349</v>
      </c>
      <c r="C3061" s="1" t="s">
        <v>15350</v>
      </c>
      <c r="D3061" s="1" t="s">
        <v>15351</v>
      </c>
      <c r="E3061" s="1" t="s">
        <v>15352</v>
      </c>
      <c r="F3061" s="1" t="s">
        <v>15353</v>
      </c>
      <c r="G3061" s="1" t="s">
        <v>15354</v>
      </c>
      <c r="H3061" s="1" t="str">
        <f>IFERROR(__xludf.DUMMYFUNCTION("GOOGLETRANSLATE(D3061,""EN"",""JA"")"),"成熟赤血球/総細胞")</f>
        <v>成熟赤血球/総細胞</v>
      </c>
      <c r="I3061" s="1" t="str">
        <f>IFERROR(__xludf.DUMMYFUNCTION("GOOGLETRANSLATE(E3061,""EN"",""JA"")"),"赤血球前駆細胞/総細胞数; 成熟赤血球細胞/総細胞数; 成熟赤血球細胞/総細胞数; 総赤血球前駆細胞/総細胞数")</f>
        <v>赤血球前駆細胞/総細胞数; 成熟赤血球細胞/総細胞数; 成熟赤血球細胞/総細胞数; 総赤血球前駆細胞/総細胞数</v>
      </c>
      <c r="J3061" s="1" t="str">
        <f>IFERROR(__xludf.DUMMYFUNCTION("GOOGLETRANSLATE(F3061,""EN"",""JA"")"),"生物標本内の成熟赤血球細胞と総細胞の相対的な測定値（比率またはパーセンテージ）。")</f>
        <v>生物標本内の成熟赤血球細胞と総細胞の相対的な測定値（比率またはパーセンテージ）。</v>
      </c>
      <c r="K3061" s="1" t="str">
        <f>IFERROR(__xludf.DUMMYFUNCTION("GOOGLETRANSLATE(G3061,""EN"",""JA"")"),"成熟赤血球細胞と全細胞比の測定")</f>
        <v>成熟赤血球細胞と全細胞比の測定</v>
      </c>
    </row>
    <row r="3062" ht="13.5" customHeight="1">
      <c r="A3062" s="1" t="s">
        <v>11</v>
      </c>
      <c r="B3062" s="1" t="s">
        <v>15349</v>
      </c>
      <c r="C3062" s="1" t="s">
        <v>15350</v>
      </c>
      <c r="D3062" s="1" t="s">
        <v>15355</v>
      </c>
      <c r="E3062" s="1" t="s">
        <v>15352</v>
      </c>
      <c r="F3062" s="1" t="s">
        <v>15353</v>
      </c>
      <c r="G3062" s="1" t="s">
        <v>15354</v>
      </c>
      <c r="H3062" s="1" t="str">
        <f>IFERROR(__xludf.DUMMYFUNCTION("GOOGLETRANSLATE(D3062,""EN"",""JA"")"),"成熟赤血球細胞／総細胞")</f>
        <v>成熟赤血球細胞／総細胞</v>
      </c>
      <c r="I3062" s="1" t="str">
        <f>IFERROR(__xludf.DUMMYFUNCTION("GOOGLETRANSLATE(E3062,""EN"",""JA"")"),"赤血球前駆細胞/総細胞数; 成熟赤血球細胞/総細胞数; 成熟赤血球細胞/総細胞数; 総赤血球前駆細胞/総細胞数")</f>
        <v>赤血球前駆細胞/総細胞数; 成熟赤血球細胞/総細胞数; 成熟赤血球細胞/総細胞数; 総赤血球前駆細胞/総細胞数</v>
      </c>
      <c r="J3062" s="1" t="str">
        <f>IFERROR(__xludf.DUMMYFUNCTION("GOOGLETRANSLATE(F3062,""EN"",""JA"")"),"生物標本内の成熟赤血球細胞と総細胞の相対的な測定値（比率またはパーセンテージ）。")</f>
        <v>生物標本内の成熟赤血球細胞と総細胞の相対的な測定値（比率またはパーセンテージ）。</v>
      </c>
      <c r="K3062" s="1" t="str">
        <f>IFERROR(__xludf.DUMMYFUNCTION("GOOGLETRANSLATE(G3062,""EN"",""JA"")"),"成熟赤血球細胞と全細胞比の測定")</f>
        <v>成熟赤血球細胞と全細胞比の測定</v>
      </c>
    </row>
    <row r="3063" ht="13.5" customHeight="1">
      <c r="A3063" s="1" t="s">
        <v>11</v>
      </c>
      <c r="B3063" s="1" t="s">
        <v>15356</v>
      </c>
      <c r="C3063" s="1" t="s">
        <v>15357</v>
      </c>
      <c r="D3063" s="1" t="s">
        <v>15358</v>
      </c>
      <c r="E3063" s="1" t="s">
        <v>15359</v>
      </c>
      <c r="F3063" s="1" t="s">
        <v>15360</v>
      </c>
      <c r="G3063" s="1" t="s">
        <v>15361</v>
      </c>
      <c r="H3063" s="1" t="str">
        <f>IFERROR(__xludf.DUMMYFUNCTION("GOOGLETRANSLATE(D3063,""EN"",""JA"")"),"水銀")</f>
        <v>水銀</v>
      </c>
      <c r="I3063" s="1" t="str">
        <f>IFERROR(__xludf.DUMMYFUNCTION("GOOGLETRANSLATE(E3063,""EN"",""JA"")"),"Hg; 水銀")</f>
        <v>Hg; 水銀</v>
      </c>
      <c r="J3063" s="1" t="str">
        <f>IFERROR(__xludf.DUMMYFUNCTION("GOOGLETRANSLATE(F3063,""EN"",""JA"")"),"標本内の水銀の測定。")</f>
        <v>標本内の水銀の測定。</v>
      </c>
      <c r="K3063" s="1" t="str">
        <f>IFERROR(__xludf.DUMMYFUNCTION("GOOGLETRANSLATE(G3063,""EN"",""JA"")"),"水銀測定")</f>
        <v>水銀測定</v>
      </c>
    </row>
    <row r="3064" ht="13.5" customHeight="1">
      <c r="A3064" s="1" t="s">
        <v>67</v>
      </c>
      <c r="B3064" s="1" t="s">
        <v>15362</v>
      </c>
      <c r="C3064" s="1" t="s">
        <v>15363</v>
      </c>
      <c r="D3064" s="1" t="s">
        <v>15364</v>
      </c>
      <c r="E3064" s="1" t="s">
        <v>15364</v>
      </c>
      <c r="F3064" s="1" t="s">
        <v>15365</v>
      </c>
      <c r="G3064" s="1" t="s">
        <v>15366</v>
      </c>
      <c r="H3064" s="1" t="str">
        <f>IFERROR(__xludf.DUMMYFUNCTION("GOOGLETRANSLATE(D3064,""EN"",""JA"")"),"MERS-CoV RNA")</f>
        <v>MERS-CoV RNA</v>
      </c>
      <c r="I3064" s="1" t="str">
        <f>IFERROR(__xludf.DUMMYFUNCTION("GOOGLETRANSLATE(E3064,""EN"",""JA"")"),"MERS-CoV RNA")</f>
        <v>MERS-CoV RNA</v>
      </c>
      <c r="J3064" s="1" t="str">
        <f>IFERROR(__xludf.DUMMYFUNCTION("GOOGLETRANSLATE(F3064,""EN"",""JA"")"),"生物標本中の MERS-CoV RNA の測定。")</f>
        <v>生物標本中の MERS-CoV RNA の測定。</v>
      </c>
      <c r="K3064" s="1" t="str">
        <f>IFERROR(__xludf.DUMMYFUNCTION("GOOGLETRANSLATE(G3064,""EN"",""JA"")"),"MERS-CoV RNA測定")</f>
        <v>MERS-CoV RNA測定</v>
      </c>
    </row>
    <row r="3065" ht="13.5" customHeight="1">
      <c r="A3065" s="1" t="s">
        <v>11</v>
      </c>
      <c r="B3065" s="1" t="s">
        <v>15367</v>
      </c>
      <c r="C3065" s="1" t="s">
        <v>15368</v>
      </c>
      <c r="D3065" s="1" t="s">
        <v>15369</v>
      </c>
      <c r="E3065" s="1" t="s">
        <v>15370</v>
      </c>
      <c r="F3065" s="1" t="s">
        <v>15371</v>
      </c>
      <c r="G3065" s="1" t="s">
        <v>15372</v>
      </c>
      <c r="H3065" s="1" t="str">
        <f>IFERROR(__xludf.DUMMYFUNCTION("GOOGLETRANSLATE(D3065,""EN"",""JA"")"),"メスカリン")</f>
        <v>メスカリン</v>
      </c>
      <c r="I3065" s="1" t="str">
        <f>IFERROR(__xludf.DUMMYFUNCTION("GOOGLETRANSLATE(E3065,""EN"",""JA"")"),"3,4,5-トリメトキシフェネチルアミン; メスカリン")</f>
        <v>3,4,5-トリメトキシフェネチルアミン; メスカリン</v>
      </c>
      <c r="J3065" s="1" t="str">
        <f>IFERROR(__xludf.DUMMYFUNCTION("GOOGLETRANSLATE(F3065,""EN"",""JA"")"),"生物標本中のメスカリンの測定。")</f>
        <v>生物標本中のメスカリンの測定。</v>
      </c>
      <c r="K3065" s="1" t="str">
        <f>IFERROR(__xludf.DUMMYFUNCTION("GOOGLETRANSLATE(G3065,""EN"",""JA"")"),"メスカリンの測定")</f>
        <v>メスカリンの測定</v>
      </c>
    </row>
    <row r="3066" ht="13.5" customHeight="1">
      <c r="A3066" s="1" t="s">
        <v>11</v>
      </c>
      <c r="B3066" s="1" t="s">
        <v>15373</v>
      </c>
      <c r="C3066" s="1" t="s">
        <v>15374</v>
      </c>
      <c r="D3066" s="1" t="s">
        <v>15375</v>
      </c>
      <c r="E3066" s="1" t="s">
        <v>15375</v>
      </c>
      <c r="F3066" s="1" t="s">
        <v>15376</v>
      </c>
      <c r="G3066" s="1" t="s">
        <v>15377</v>
      </c>
      <c r="H3066" s="1" t="str">
        <f>IFERROR(__xludf.DUMMYFUNCTION("GOOGLETRANSLATE(D3066,""EN"",""JA"")"),"メソリダジン")</f>
        <v>メソリダジン</v>
      </c>
      <c r="I3066" s="1" t="str">
        <f>IFERROR(__xludf.DUMMYFUNCTION("GOOGLETRANSLATE(E3066,""EN"",""JA"")"),"メソリダジン")</f>
        <v>メソリダジン</v>
      </c>
      <c r="J3066" s="1" t="str">
        <f>IFERROR(__xludf.DUMMYFUNCTION("GOOGLETRANSLATE(F3066,""EN"",""JA"")"),"生物標本中のメソリダジンの測定。")</f>
        <v>生物標本中のメソリダジンの測定。</v>
      </c>
      <c r="K3066" s="1" t="str">
        <f>IFERROR(__xludf.DUMMYFUNCTION("GOOGLETRANSLATE(G3066,""EN"",""JA"")"),"メソリダジン測定")</f>
        <v>メソリダジン測定</v>
      </c>
    </row>
    <row r="3067" ht="13.5" customHeight="1">
      <c r="A3067" s="1" t="s">
        <v>11</v>
      </c>
      <c r="B3067" s="1" t="s">
        <v>15378</v>
      </c>
      <c r="C3067" s="1" t="s">
        <v>15379</v>
      </c>
      <c r="D3067" s="1" t="s">
        <v>15380</v>
      </c>
      <c r="E3067" s="1" t="s">
        <v>15380</v>
      </c>
      <c r="F3067" s="1" t="s">
        <v>15381</v>
      </c>
      <c r="G3067" s="1" t="s">
        <v>15382</v>
      </c>
      <c r="H3067" s="1" t="str">
        <f>IFERROR(__xludf.DUMMYFUNCTION("GOOGLETRANSLATE(D3067,""EN"",""JA"")"),"メチオニン")</f>
        <v>メチオニン</v>
      </c>
      <c r="I3067" s="1" t="str">
        <f>IFERROR(__xludf.DUMMYFUNCTION("GOOGLETRANSLATE(E3067,""EN"",""JA"")"),"メチオニン")</f>
        <v>メチオニン</v>
      </c>
      <c r="J3067" s="1" t="str">
        <f>IFERROR(__xludf.DUMMYFUNCTION("GOOGLETRANSLATE(F3067,""EN"",""JA"")"),"生物標本中のメチオニンの測定。")</f>
        <v>生物標本中のメチオニンの測定。</v>
      </c>
      <c r="K3067" s="1" t="str">
        <f>IFERROR(__xludf.DUMMYFUNCTION("GOOGLETRANSLATE(G3067,""EN"",""JA"")"),"メチオニン測定")</f>
        <v>メチオニン測定</v>
      </c>
    </row>
    <row r="3068" ht="13.5" customHeight="1">
      <c r="A3068" s="1" t="s">
        <v>11</v>
      </c>
      <c r="B3068" s="1" t="s">
        <v>15383</v>
      </c>
      <c r="C3068" s="1" t="s">
        <v>15384</v>
      </c>
      <c r="D3068" s="1" t="s">
        <v>15385</v>
      </c>
      <c r="E3068" s="1" t="s">
        <v>15385</v>
      </c>
      <c r="F3068" s="1" t="s">
        <v>15386</v>
      </c>
      <c r="G3068" s="1" t="s">
        <v>15387</v>
      </c>
      <c r="H3068" s="1" t="str">
        <f>IFERROR(__xludf.DUMMYFUNCTION("GOOGLETRANSLATE(D3068,""EN"",""JA"")"),"後骨髄球")</f>
        <v>後骨髄球</v>
      </c>
      <c r="I3068" s="1" t="str">
        <f>IFERROR(__xludf.DUMMYFUNCTION("GOOGLETRANSLATE(E3068,""EN"",""JA"")"),"後骨髄球")</f>
        <v>後骨髄球</v>
      </c>
      <c r="J3068" s="1" t="str">
        <f>IFERROR(__xludf.DUMMYFUNCTION("GOOGLETRANSLATE(F3068,""EN"",""JA"")"),"生物標本中の後骨髄球（陥入した核を持つ小型の骨髄球性好中球）の測定。")</f>
        <v>生物標本中の後骨髄球（陥入した核を持つ小型の骨髄球性好中球）の測定。</v>
      </c>
      <c r="K3068" s="1" t="str">
        <f>IFERROR(__xludf.DUMMYFUNCTION("GOOGLETRANSLATE(G3068,""EN"",""JA"")"),"後骨髄球数")</f>
        <v>後骨髄球数</v>
      </c>
    </row>
    <row r="3069" ht="13.5" customHeight="1">
      <c r="A3069" s="1" t="s">
        <v>134</v>
      </c>
      <c r="B3069" s="1" t="s">
        <v>15388</v>
      </c>
      <c r="C3069" s="1" t="s">
        <v>15389</v>
      </c>
      <c r="D3069" s="1" t="s">
        <v>15390</v>
      </c>
      <c r="E3069" s="1" t="s">
        <v>15390</v>
      </c>
      <c r="F3069" s="1" t="s">
        <v>15391</v>
      </c>
      <c r="G3069" s="1" t="s">
        <v>15392</v>
      </c>
      <c r="H3069" s="1" t="str">
        <f>IFERROR(__xludf.DUMMYFUNCTION("GOOGLETRANSLATE(D3069,""EN"",""JA"")"),"後骨髄球/総細胞")</f>
        <v>後骨髄球/総細胞</v>
      </c>
      <c r="I3069" s="1" t="str">
        <f>IFERROR(__xludf.DUMMYFUNCTION("GOOGLETRANSLATE(E3069,""EN"",""JA"")"),"後骨髄球/総細胞")</f>
        <v>後骨髄球/総細胞</v>
      </c>
      <c r="J3069" s="1" t="str">
        <f>IFERROR(__xludf.DUMMYFUNCTION("GOOGLETRANSLATE(F3069,""EN"",""JA"")"),"生物学的標本（骨髄標本など）中の全細胞に対する後骨髄球（陥入した核を持つ小型の骨髄球性好中球）の相対的な測定値（比率またはパーセンテージ）。")</f>
        <v>生物学的標本（骨髄標本など）中の全細胞に対する後骨髄球（陥入した核を持つ小型の骨髄球性好中球）の相対的な測定値（比率またはパーセンテージ）。</v>
      </c>
      <c r="K3069" s="1" t="str">
        <f>IFERROR(__xludf.DUMMYFUNCTION("GOOGLETRANSLATE(G3069,""EN"",""JA"")"),"後骨髄球と全細胞比の測定")</f>
        <v>後骨髄球と全細胞比の測定</v>
      </c>
    </row>
    <row r="3070" ht="13.5" customHeight="1">
      <c r="A3070" s="1" t="s">
        <v>11</v>
      </c>
      <c r="B3070" s="1" t="s">
        <v>15388</v>
      </c>
      <c r="C3070" s="1" t="s">
        <v>15389</v>
      </c>
      <c r="D3070" s="1" t="s">
        <v>15390</v>
      </c>
      <c r="E3070" s="1" t="s">
        <v>15390</v>
      </c>
      <c r="F3070" s="1" t="s">
        <v>15391</v>
      </c>
      <c r="G3070" s="1" t="s">
        <v>15392</v>
      </c>
      <c r="H3070" s="1" t="str">
        <f>IFERROR(__xludf.DUMMYFUNCTION("GOOGLETRANSLATE(D3070,""EN"",""JA"")"),"後骨髄球/総細胞")</f>
        <v>後骨髄球/総細胞</v>
      </c>
      <c r="I3070" s="1" t="str">
        <f>IFERROR(__xludf.DUMMYFUNCTION("GOOGLETRANSLATE(E3070,""EN"",""JA"")"),"後骨髄球/総細胞")</f>
        <v>後骨髄球/総細胞</v>
      </c>
      <c r="J3070" s="1" t="str">
        <f>IFERROR(__xludf.DUMMYFUNCTION("GOOGLETRANSLATE(F3070,""EN"",""JA"")"),"生物学的標本（骨髄標本など）中の全細胞に対する後骨髄球（陥入した核を持つ小型の骨髄球性好中球）の相対的な測定値（比率またはパーセンテージ）。")</f>
        <v>生物学的標本（骨髄標本など）中の全細胞に対する後骨髄球（陥入した核を持つ小型の骨髄球性好中球）の相対的な測定値（比率またはパーセンテージ）。</v>
      </c>
      <c r="K3070" s="1" t="str">
        <f>IFERROR(__xludf.DUMMYFUNCTION("GOOGLETRANSLATE(G3070,""EN"",""JA"")"),"後骨髄球と全細胞比の測定")</f>
        <v>後骨髄球と全細胞比の測定</v>
      </c>
    </row>
    <row r="3071" ht="13.5" customHeight="1">
      <c r="A3071" s="1" t="s">
        <v>11</v>
      </c>
      <c r="B3071" s="1" t="s">
        <v>15393</v>
      </c>
      <c r="C3071" s="1" t="s">
        <v>15394</v>
      </c>
      <c r="D3071" s="1" t="s">
        <v>15395</v>
      </c>
      <c r="E3071" s="1" t="s">
        <v>15395</v>
      </c>
      <c r="F3071" s="1" t="s">
        <v>15396</v>
      </c>
      <c r="G3071" s="1" t="s">
        <v>15397</v>
      </c>
      <c r="H3071" s="1" t="str">
        <f>IFERROR(__xludf.DUMMYFUNCTION("GOOGLETRANSLATE(D3071,""EN"",""JA"")"),"後骨髄球/白血球")</f>
        <v>後骨髄球/白血球</v>
      </c>
      <c r="I3071" s="1" t="str">
        <f>IFERROR(__xludf.DUMMYFUNCTION("GOOGLETRANSLATE(E3071,""EN"",""JA"")"),"後骨髄球/白血球")</f>
        <v>後骨髄球/白血球</v>
      </c>
      <c r="J3071" s="1" t="str">
        <f>IFERROR(__xludf.DUMMYFUNCTION("GOOGLETRANSLATE(F3071,""EN"",""JA"")"),"生物標本中のすべての白血球に対する後骨髄球（陥入した核を持つ小型の骨髄球性好中球）の相対的な測定値（比率またはパーセンテージ）。")</f>
        <v>生物標本中のすべての白血球に対する後骨髄球（陥入した核を持つ小型の骨髄球性好中球）の相対的な測定値（比率またはパーセンテージ）。</v>
      </c>
      <c r="K3071" s="1" t="str">
        <f>IFERROR(__xludf.DUMMYFUNCTION("GOOGLETRANSLATE(G3071,""EN"",""JA"")"),"後骨髄球と白血球の比率の測定")</f>
        <v>後骨髄球と白血球の比率の測定</v>
      </c>
    </row>
    <row r="3072" ht="13.5" customHeight="1">
      <c r="A3072" s="1" t="s">
        <v>11</v>
      </c>
      <c r="B3072" s="1" t="s">
        <v>15398</v>
      </c>
      <c r="C3072" s="1" t="s">
        <v>15399</v>
      </c>
      <c r="D3072" s="1" t="s">
        <v>15400</v>
      </c>
      <c r="E3072" s="1" t="s">
        <v>15401</v>
      </c>
      <c r="F3072" s="1" t="s">
        <v>15402</v>
      </c>
      <c r="G3072" s="1" t="s">
        <v>15403</v>
      </c>
      <c r="H3072" s="1" t="str">
        <f>IFERROR(__xludf.DUMMYFUNCTION("GOOGLETRANSLATE(D3072,""EN"",""JA"")"),"メタネフリン")</f>
        <v>メタネフリン</v>
      </c>
      <c r="I3072" s="1" t="str">
        <f>IFERROR(__xludf.DUMMYFUNCTION("GOOGLETRANSLATE(E3072,""EN"",""JA"")"),"メタアドレナリン; メタネフリン")</f>
        <v>メタアドレナリン; メタネフリン</v>
      </c>
      <c r="J3072" s="1" t="str">
        <f>IFERROR(__xludf.DUMMYFUNCTION("GOOGLETRANSLATE(F3072,""EN"",""JA"")"),"生物標本中のメタネフリンの測定。")</f>
        <v>生物標本中のメタネフリンの測定。</v>
      </c>
      <c r="K3072" s="1" t="str">
        <f>IFERROR(__xludf.DUMMYFUNCTION("GOOGLETRANSLATE(G3072,""EN"",""JA"")"),"メタネフリン測定")</f>
        <v>メタネフリン測定</v>
      </c>
    </row>
    <row r="3073" ht="13.5" customHeight="1">
      <c r="A3073" s="1" t="s">
        <v>11</v>
      </c>
      <c r="B3073" s="1" t="s">
        <v>15404</v>
      </c>
      <c r="C3073" s="1" t="s">
        <v>15405</v>
      </c>
      <c r="D3073" s="1" t="s">
        <v>15406</v>
      </c>
      <c r="E3073" s="1" t="s">
        <v>15406</v>
      </c>
      <c r="F3073" s="1" t="s">
        <v>15407</v>
      </c>
      <c r="G3073" s="1" t="s">
        <v>15406</v>
      </c>
      <c r="H3073" s="1" t="str">
        <f>IFERROR(__xludf.DUMMYFUNCTION("GOOGLETRANSLATE(D3073,""EN"",""JA"")"),"メタネフリン排泄率")</f>
        <v>メタネフリン排泄率</v>
      </c>
      <c r="I3073" s="1" t="str">
        <f>IFERROR(__xludf.DUMMYFUNCTION("GOOGLETRANSLATE(E3073,""EN"",""JA"")"),"メタネフリン排泄率")</f>
        <v>メタネフリン排泄率</v>
      </c>
      <c r="J3073" s="1" t="str">
        <f>IFERROR(__xludf.DUMMYFUNCTION("GOOGLETRANSLATE(F3073,""EN"",""JA"")"),"定義された時間（例：1 時間）にわたって生物学的標本中に排泄されるメタネフリンの量を測定します。")</f>
        <v>定義された時間（例：1 時間）にわたって生物学的標本中に排泄されるメタネフリンの量を測定します。</v>
      </c>
      <c r="K3073" s="1" t="str">
        <f>IFERROR(__xludf.DUMMYFUNCTION("GOOGLETRANSLATE(G3073,""EN"",""JA"")"),"メタネフリン排泄率")</f>
        <v>メタネフリン排泄率</v>
      </c>
    </row>
    <row r="3074" ht="13.5" customHeight="1">
      <c r="A3074" s="1" t="s">
        <v>11</v>
      </c>
      <c r="B3074" s="1" t="s">
        <v>15408</v>
      </c>
      <c r="C3074" s="1" t="s">
        <v>15409</v>
      </c>
      <c r="D3074" s="1" t="s">
        <v>15410</v>
      </c>
      <c r="E3074" s="1" t="s">
        <v>15410</v>
      </c>
      <c r="F3074" s="1" t="s">
        <v>15411</v>
      </c>
      <c r="G3074" s="1" t="s">
        <v>15412</v>
      </c>
      <c r="H3074" s="1" t="str">
        <f>IFERROR(__xludf.DUMMYFUNCTION("GOOGLETRANSLATE(D3074,""EN"",""JA"")"),"メタ赤血球/総細胞")</f>
        <v>メタ赤血球/総細胞</v>
      </c>
      <c r="I3074" s="1" t="str">
        <f>IFERROR(__xludf.DUMMYFUNCTION("GOOGLETRANSLATE(E3074,""EN"",""JA"")"),"メタ赤血球/総細胞")</f>
        <v>メタ赤血球/総細胞</v>
      </c>
      <c r="J3074" s="1" t="str">
        <f>IFERROR(__xludf.DUMMYFUNCTION("GOOGLETRANSLATE(F3074,""EN"",""JA"")"),"生物標本中のメタ赤血球と総細胞の相対的な測定値（比率またはパーセンテージ）。")</f>
        <v>生物標本中のメタ赤血球と総細胞の相対的な測定値（比率またはパーセンテージ）。</v>
      </c>
      <c r="K3074" s="1" t="str">
        <f>IFERROR(__xludf.DUMMYFUNCTION("GOOGLETRANSLATE(G3074,""EN"",""JA"")"),"メタ赤血球対総細胞比測定")</f>
        <v>メタ赤血球対総細胞比測定</v>
      </c>
    </row>
    <row r="3075" ht="13.5" customHeight="1">
      <c r="A3075" s="1" t="s">
        <v>11</v>
      </c>
      <c r="B3075" s="1" t="s">
        <v>15413</v>
      </c>
      <c r="C3075" s="1" t="s">
        <v>15414</v>
      </c>
      <c r="D3075" s="1" t="s">
        <v>15415</v>
      </c>
      <c r="E3075" s="1" t="s">
        <v>15415</v>
      </c>
      <c r="F3075" s="1" t="s">
        <v>15416</v>
      </c>
      <c r="G3075" s="1" t="s">
        <v>15417</v>
      </c>
      <c r="H3075" s="1" t="str">
        <f>IFERROR(__xludf.DUMMYFUNCTION("GOOGLETRANSLATE(D3075,""EN"",""JA"")"),"メタ赤血球/白血球")</f>
        <v>メタ赤血球/白血球</v>
      </c>
      <c r="I3075" s="1" t="str">
        <f>IFERROR(__xludf.DUMMYFUNCTION("GOOGLETRANSLATE(E3075,""EN"",""JA"")"),"メタ赤血球/白血球")</f>
        <v>メタ赤血球/白血球</v>
      </c>
      <c r="J3075" s="1" t="str">
        <f>IFERROR(__xludf.DUMMYFUNCTION("GOOGLETRANSLATE(F3075,""EN"",""JA"")"),"生物標本中の白血球に対するメタ赤血球の相対的な測定値（比率またはパーセンテージ）。")</f>
        <v>生物標本中の白血球に対するメタ赤血球の相対的な測定値（比率またはパーセンテージ）。</v>
      </c>
      <c r="K3075" s="1" t="str">
        <f>IFERROR(__xludf.DUMMYFUNCTION("GOOGLETRANSLATE(G3075,""EN"",""JA"")"),"メタ赤血球対白血球比測定")</f>
        <v>メタ赤血球対白血球比測定</v>
      </c>
    </row>
    <row r="3076" ht="13.5" customHeight="1">
      <c r="A3076" s="1" t="s">
        <v>11</v>
      </c>
      <c r="B3076" s="1" t="s">
        <v>15418</v>
      </c>
      <c r="C3076" s="1" t="s">
        <v>15419</v>
      </c>
      <c r="D3076" s="1" t="s">
        <v>15420</v>
      </c>
      <c r="E3076" s="1" t="s">
        <v>15421</v>
      </c>
      <c r="F3076" s="1" t="s">
        <v>15422</v>
      </c>
      <c r="G3076" s="1" t="s">
        <v>15423</v>
      </c>
      <c r="H3076" s="1" t="str">
        <f>IFERROR(__xludf.DUMMYFUNCTION("GOOGLETRANSLATE(D3076,""EN"",""JA"")"),"メタ赤血球")</f>
        <v>メタ赤血球</v>
      </c>
      <c r="I3076" s="1" t="str">
        <f>IFERROR(__xludf.DUMMYFUNCTION("GOOGLETRANSLATE(E3076,""EN"",""JA"")"),"好酸性赤芽球; メタ赤血球; 好酸性正赤芽球; 正色素性赤芽球; 正色素性正赤芽球")</f>
        <v>好酸性赤芽球; メタ赤血球; 好酸性正赤芽球; 正色素性赤芽球; 正色素性正赤芽球</v>
      </c>
      <c r="J3076" s="1" t="str">
        <f>IFERROR(__xludf.DUMMYFUNCTION("GOOGLETRANSLATE(F3076,""EN"",""JA"")"),"生物標本中のメタ赤血球数の測定。")</f>
        <v>生物標本中のメタ赤血球数の測定。</v>
      </c>
      <c r="K3076" s="1" t="str">
        <f>IFERROR(__xludf.DUMMYFUNCTION("GOOGLETRANSLATE(G3076,""EN"",""JA"")"),"メタ赤血球数")</f>
        <v>メタ赤血球数</v>
      </c>
    </row>
    <row r="3077" ht="13.5" customHeight="1">
      <c r="A3077" s="1" t="s">
        <v>11</v>
      </c>
      <c r="B3077" s="1" t="s">
        <v>15424</v>
      </c>
      <c r="C3077" s="1" t="s">
        <v>15425</v>
      </c>
      <c r="D3077" s="1" t="s">
        <v>15426</v>
      </c>
      <c r="E3077" s="1" t="s">
        <v>15426</v>
      </c>
      <c r="F3077" s="1" t="s">
        <v>15427</v>
      </c>
      <c r="G3077" s="1" t="s">
        <v>15428</v>
      </c>
      <c r="H3077" s="1" t="str">
        <f>IFERROR(__xludf.DUMMYFUNCTION("GOOGLETRANSLATE(D3077,""EN"",""JA"")"),"メチルトランスフェラーゼ")</f>
        <v>メチルトランスフェラーゼ</v>
      </c>
      <c r="I3077" s="1" t="str">
        <f>IFERROR(__xludf.DUMMYFUNCTION("GOOGLETRANSLATE(E3077,""EN"",""JA"")"),"メチルトランスフェラーゼ")</f>
        <v>メチルトランスフェラーゼ</v>
      </c>
      <c r="J3077" s="1" t="str">
        <f>IFERROR(__xludf.DUMMYFUNCTION("GOOGLETRANSLATE(F3077,""EN"",""JA"")"),"生物標本中のメチルトランスフェラーゼの総量の測定。")</f>
        <v>生物標本中のメチルトランスフェラーゼの総量の測定。</v>
      </c>
      <c r="K3077" s="1" t="str">
        <f>IFERROR(__xludf.DUMMYFUNCTION("GOOGLETRANSLATE(G3077,""EN"",""JA"")"),"メチルトランスフェラーゼ測定")</f>
        <v>メチルトランスフェラーゼ測定</v>
      </c>
    </row>
    <row r="3078" ht="13.5" customHeight="1">
      <c r="A3078" s="1" t="s">
        <v>1342</v>
      </c>
      <c r="B3078" s="1" t="s">
        <v>15429</v>
      </c>
      <c r="C3078" s="1" t="s">
        <v>15430</v>
      </c>
      <c r="D3078" s="1" t="s">
        <v>15431</v>
      </c>
      <c r="E3078" s="1" t="s">
        <v>15431</v>
      </c>
      <c r="F3078" s="1" t="s">
        <v>15432</v>
      </c>
      <c r="G3078" s="1" t="s">
        <v>15431</v>
      </c>
      <c r="H3078" s="1" t="str">
        <f>IFERROR(__xludf.DUMMYFUNCTION("GOOGLETRANSLATE(D3078,""EN"",""JA"")"),"代謝反応")</f>
        <v>代謝反応</v>
      </c>
      <c r="I3078" s="1" t="str">
        <f>IFERROR(__xludf.DUMMYFUNCTION("GOOGLETRANSLATE(E3078,""EN"",""JA"")"),"代謝反応")</f>
        <v>代謝反応</v>
      </c>
      <c r="J3078" s="1" t="str">
        <f>IFERROR(__xludf.DUMMYFUNCTION("GOOGLETRANSLATE(F3078,""EN"",""JA"")"),"治療に対する疾患の代謝反応の評価。")</f>
        <v>治療に対する疾患の代謝反応の評価。</v>
      </c>
      <c r="K3078" s="1" t="str">
        <f>IFERROR(__xludf.DUMMYFUNCTION("GOOGLETRANSLATE(G3078,""EN"",""JA"")"),"代謝反応")</f>
        <v>代謝反応</v>
      </c>
    </row>
    <row r="3079" ht="13.5" customHeight="1">
      <c r="A3079" s="1" t="s">
        <v>11</v>
      </c>
      <c r="B3079" s="1" t="s">
        <v>15433</v>
      </c>
      <c r="C3079" s="1" t="s">
        <v>15434</v>
      </c>
      <c r="D3079" s="1" t="s">
        <v>15435</v>
      </c>
      <c r="E3079" s="1" t="s">
        <v>15435</v>
      </c>
      <c r="F3079" s="1" t="s">
        <v>15436</v>
      </c>
      <c r="G3079" s="1" t="s">
        <v>15437</v>
      </c>
      <c r="H3079" s="1" t="str">
        <f>IFERROR(__xludf.DUMMYFUNCTION("GOOGLETRANSLATE(D3079,""EN"",""JA"")"),"メタンフェタミン")</f>
        <v>メタンフェタミン</v>
      </c>
      <c r="I3079" s="1" t="str">
        <f>IFERROR(__xludf.DUMMYFUNCTION("GOOGLETRANSLATE(E3079,""EN"",""JA"")"),"メタンフェタミン")</f>
        <v>メタンフェタミン</v>
      </c>
      <c r="J3079" s="1" t="str">
        <f>IFERROR(__xludf.DUMMYFUNCTION("GOOGLETRANSLATE(F3079,""EN"",""JA"")"),"生物学的標本中に存在するメタンフェタミン薬物の測定。")</f>
        <v>生物学的標本中に存在するメタンフェタミン薬物の測定。</v>
      </c>
      <c r="K3079" s="1" t="str">
        <f>IFERROR(__xludf.DUMMYFUNCTION("GOOGLETRANSLATE(G3079,""EN"",""JA"")"),"メタンフェタミン測定")</f>
        <v>メタンフェタミン測定</v>
      </c>
    </row>
    <row r="3080" ht="13.5" customHeight="1">
      <c r="A3080" s="1" t="s">
        <v>11</v>
      </c>
      <c r="B3080" s="1" t="s">
        <v>15438</v>
      </c>
      <c r="C3080" s="1" t="s">
        <v>15439</v>
      </c>
      <c r="D3080" s="1" t="s">
        <v>15440</v>
      </c>
      <c r="E3080" s="1" t="s">
        <v>15441</v>
      </c>
      <c r="F3080" s="1" t="s">
        <v>15442</v>
      </c>
      <c r="G3080" s="1" t="s">
        <v>15443</v>
      </c>
      <c r="H3080" s="1" t="str">
        <f>IFERROR(__xludf.DUMMYFUNCTION("GOOGLETRANSLATE(D3080,""EN"",""JA"")"),"メタン")</f>
        <v>メタン</v>
      </c>
      <c r="I3080" s="1" t="str">
        <f>IFERROR(__xludf.DUMMYFUNCTION("GOOGLETRANSLATE(E3080,""EN"",""JA"")"),"CH4; メタン")</f>
        <v>CH4; メタン</v>
      </c>
      <c r="J3080" s="1" t="str">
        <f>IFERROR(__xludf.DUMMYFUNCTION("GOOGLETRANSLATE(F3080,""EN"",""JA"")"),"生物標本中のメタンの測定。")</f>
        <v>生物標本中のメタンの測定。</v>
      </c>
      <c r="K3080" s="1" t="str">
        <f>IFERROR(__xludf.DUMMYFUNCTION("GOOGLETRANSLATE(G3080,""EN"",""JA"")"),"メタン測定")</f>
        <v>メタン測定</v>
      </c>
    </row>
    <row r="3081" ht="13.5" customHeight="1">
      <c r="A3081" s="1" t="s">
        <v>11</v>
      </c>
      <c r="B3081" s="1" t="s">
        <v>15444</v>
      </c>
      <c r="C3081" s="1" t="s">
        <v>15445</v>
      </c>
      <c r="D3081" s="1" t="s">
        <v>15446</v>
      </c>
      <c r="E3081" s="1" t="s">
        <v>15446</v>
      </c>
      <c r="F3081" s="1" t="s">
        <v>15447</v>
      </c>
      <c r="G3081" s="1" t="s">
        <v>15448</v>
      </c>
      <c r="H3081" s="1" t="str">
        <f>IFERROR(__xludf.DUMMYFUNCTION("GOOGLETRANSLATE(D3081,""EN"",""JA"")"),"メタノール")</f>
        <v>メタノール</v>
      </c>
      <c r="I3081" s="1" t="str">
        <f>IFERROR(__xludf.DUMMYFUNCTION("GOOGLETRANSLATE(E3081,""EN"",""JA"")"),"メタノール")</f>
        <v>メタノール</v>
      </c>
      <c r="J3081" s="1" t="str">
        <f>IFERROR(__xludf.DUMMYFUNCTION("GOOGLETRANSLATE(F3081,""EN"",""JA"")"),"生物標本中のメタノールの測定。")</f>
        <v>生物標本中のメタノールの測定。</v>
      </c>
      <c r="K3081" s="1" t="str">
        <f>IFERROR(__xludf.DUMMYFUNCTION("GOOGLETRANSLATE(G3081,""EN"",""JA"")"),"メタノール測定")</f>
        <v>メタノール測定</v>
      </c>
    </row>
    <row r="3082" ht="13.5" customHeight="1">
      <c r="A3082" s="1" t="s">
        <v>11</v>
      </c>
      <c r="B3082" s="1" t="s">
        <v>15449</v>
      </c>
      <c r="C3082" s="1" t="s">
        <v>15450</v>
      </c>
      <c r="D3082" s="1" t="s">
        <v>15451</v>
      </c>
      <c r="E3082" s="1" t="s">
        <v>15451</v>
      </c>
      <c r="F3082" s="1" t="s">
        <v>15452</v>
      </c>
      <c r="G3082" s="1" t="s">
        <v>15453</v>
      </c>
      <c r="H3082" s="1" t="str">
        <f>IFERROR(__xludf.DUMMYFUNCTION("GOOGLETRANSLATE(D3082,""EN"",""JA"")"),"メサドン")</f>
        <v>メサドン</v>
      </c>
      <c r="I3082" s="1" t="str">
        <f>IFERROR(__xludf.DUMMYFUNCTION("GOOGLETRANSLATE(E3082,""EN"",""JA"")"),"メサドン")</f>
        <v>メサドン</v>
      </c>
      <c r="J3082" s="1" t="str">
        <f>IFERROR(__xludf.DUMMYFUNCTION("GOOGLETRANSLATE(F3082,""EN"",""JA"")"),"生物学的標本中に存在するメサドンの測定。")</f>
        <v>生物学的標本中に存在するメサドンの測定。</v>
      </c>
      <c r="K3082" s="1" t="str">
        <f>IFERROR(__xludf.DUMMYFUNCTION("GOOGLETRANSLATE(G3082,""EN"",""JA"")"),"メサドン測定")</f>
        <v>メサドン測定</v>
      </c>
    </row>
    <row r="3083" ht="13.5" customHeight="1">
      <c r="A3083" s="1" t="s">
        <v>11</v>
      </c>
      <c r="B3083" s="1" t="s">
        <v>15454</v>
      </c>
      <c r="C3083" s="1" t="s">
        <v>15455</v>
      </c>
      <c r="D3083" s="1" t="s">
        <v>15456</v>
      </c>
      <c r="E3083" s="1" t="s">
        <v>15456</v>
      </c>
      <c r="F3083" s="1" t="s">
        <v>15457</v>
      </c>
      <c r="G3083" s="1" t="s">
        <v>15458</v>
      </c>
      <c r="H3083" s="1" t="str">
        <f>IFERROR(__xludf.DUMMYFUNCTION("GOOGLETRANSLATE(D3083,""EN"",""JA"")"),"メチルフェニデート")</f>
        <v>メチルフェニデート</v>
      </c>
      <c r="I3083" s="1" t="str">
        <f>IFERROR(__xludf.DUMMYFUNCTION("GOOGLETRANSLATE(E3083,""EN"",""JA"")"),"メチルフェニデート")</f>
        <v>メチルフェニデート</v>
      </c>
      <c r="J3083" s="1" t="str">
        <f>IFERROR(__xludf.DUMMYFUNCTION("GOOGLETRANSLATE(F3083,""EN"",""JA"")"),"生物標本中のメチルフェニデートの測定。")</f>
        <v>生物標本中のメチルフェニデートの測定。</v>
      </c>
      <c r="K3083" s="1" t="str">
        <f>IFERROR(__xludf.DUMMYFUNCTION("GOOGLETRANSLATE(G3083,""EN"",""JA"")"),"メチルフェニデート測定")</f>
        <v>メチルフェニデート測定</v>
      </c>
    </row>
    <row r="3084" ht="13.5" customHeight="1">
      <c r="A3084" s="1" t="s">
        <v>11</v>
      </c>
      <c r="B3084" s="1" t="s">
        <v>15459</v>
      </c>
      <c r="C3084" s="1" t="s">
        <v>15460</v>
      </c>
      <c r="D3084" s="1" t="s">
        <v>15461</v>
      </c>
      <c r="E3084" s="1" t="s">
        <v>15461</v>
      </c>
      <c r="F3084" s="1" t="s">
        <v>15462</v>
      </c>
      <c r="G3084" s="1" t="s">
        <v>15463</v>
      </c>
      <c r="H3084" s="1" t="str">
        <f>IFERROR(__xludf.DUMMYFUNCTION("GOOGLETRANSLATE(D3084,""EN"",""JA"")"),"メタクアロン")</f>
        <v>メタクアロン</v>
      </c>
      <c r="I3084" s="1" t="str">
        <f>IFERROR(__xludf.DUMMYFUNCTION("GOOGLETRANSLATE(E3084,""EN"",""JA"")"),"メタクアロン")</f>
        <v>メタクアロン</v>
      </c>
      <c r="J3084" s="1" t="str">
        <f>IFERROR(__xludf.DUMMYFUNCTION("GOOGLETRANSLATE(F3084,""EN"",""JA"")"),"生物標本中に存在するメタクアロンの測定。")</f>
        <v>生物標本中に存在するメタクアロンの測定。</v>
      </c>
      <c r="K3084" s="1" t="str">
        <f>IFERROR(__xludf.DUMMYFUNCTION("GOOGLETRANSLATE(G3084,""EN"",""JA"")"),"メタクアロン測定")</f>
        <v>メタクアロン測定</v>
      </c>
    </row>
    <row r="3085" ht="13.5" customHeight="1">
      <c r="A3085" s="1" t="s">
        <v>6439</v>
      </c>
      <c r="B3085" s="1" t="s">
        <v>15464</v>
      </c>
      <c r="C3085" s="1" t="s">
        <v>15465</v>
      </c>
      <c r="D3085" s="1" t="s">
        <v>15466</v>
      </c>
      <c r="E3085" s="1" t="s">
        <v>15466</v>
      </c>
      <c r="F3085" s="1" t="s">
        <v>15467</v>
      </c>
      <c r="G3085" s="1" t="s">
        <v>15466</v>
      </c>
      <c r="H3085" s="1" t="str">
        <f>IFERROR(__xludf.DUMMYFUNCTION("GOOGLETRANSLATE(D3085,""EN"",""JA"")"),"転移性腫瘍部位指標")</f>
        <v>転移性腫瘍部位指標</v>
      </c>
      <c r="I3085" s="1" t="str">
        <f>IFERROR(__xludf.DUMMYFUNCTION("GOOGLETRANSLATE(E3085,""EN"",""JA"")"),"転移性腫瘍部位指標")</f>
        <v>転移性腫瘍部位指標</v>
      </c>
      <c r="J3085" s="1" t="str">
        <f>IFERROR(__xludf.DUMMYFUNCTION("GOOGLETRANSLATE(F3085,""EN"",""JA"")"),"解剖学的な場所に転移があるかどうかを示します。")</f>
        <v>解剖学的な場所に転移があるかどうかを示します。</v>
      </c>
      <c r="K3085" s="1" t="str">
        <f>IFERROR(__xludf.DUMMYFUNCTION("GOOGLETRANSLATE(G3085,""EN"",""JA"")"),"転移性腫瘍部位指標")</f>
        <v>転移性腫瘍部位指標</v>
      </c>
    </row>
    <row r="3086" ht="13.5" customHeight="1">
      <c r="A3086" s="1" t="s">
        <v>870</v>
      </c>
      <c r="B3086" s="1" t="s">
        <v>15468</v>
      </c>
      <c r="C3086" s="1" t="s">
        <v>15469</v>
      </c>
      <c r="D3086" s="1" t="s">
        <v>15470</v>
      </c>
      <c r="E3086" s="1" t="s">
        <v>15470</v>
      </c>
      <c r="F3086" s="1" t="s">
        <v>15471</v>
      </c>
      <c r="G3086" s="1" t="s">
        <v>15470</v>
      </c>
      <c r="H3086" s="1" t="str">
        <f>IFERROR(__xludf.DUMMYFUNCTION("GOOGLETRANSLATE(D3086,""EN"",""JA"")"),"蓄積比率の代謝比率")</f>
        <v>蓄積比率の代謝比率</v>
      </c>
      <c r="I3086" s="1" t="str">
        <f>IFERROR(__xludf.DUMMYFUNCTION("GOOGLETRANSLATE(E3086,""EN"",""JA"")"),"蓄積比率の代謝比率")</f>
        <v>蓄積比率の代謝比率</v>
      </c>
      <c r="J3086" s="1" t="str">
        <f>IFERROR(__xludf.DUMMYFUNCTION("GOOGLETRANSLATE(F3086,""EN"",""JA"")"),"2 つの蓄積比率値の代謝比率。")</f>
        <v>2 つの蓄積比率値の代謝比率。</v>
      </c>
      <c r="K3086" s="1" t="str">
        <f>IFERROR(__xludf.DUMMYFUNCTION("GOOGLETRANSLATE(G3086,""EN"",""JA"")"),"蓄積比率の代謝比率")</f>
        <v>蓄積比率の代謝比率</v>
      </c>
    </row>
    <row r="3087" ht="13.5" customHeight="1">
      <c r="A3087" s="1" t="s">
        <v>1342</v>
      </c>
      <c r="B3087" s="1" t="s">
        <v>15472</v>
      </c>
      <c r="C3087" s="1" t="s">
        <v>15473</v>
      </c>
      <c r="D3087" s="1" t="s">
        <v>15474</v>
      </c>
      <c r="E3087" s="1" t="s">
        <v>15474</v>
      </c>
      <c r="F3087" s="1" t="s">
        <v>15475</v>
      </c>
      <c r="G3087" s="1" t="s">
        <v>15476</v>
      </c>
      <c r="H3087" s="1" t="str">
        <f>IFERROR(__xludf.DUMMYFUNCTION("GOOGLETRANSLATE(D3087,""EN"",""JA"")"),"転移指標")</f>
        <v>転移指標</v>
      </c>
      <c r="I3087" s="1" t="str">
        <f>IFERROR(__xludf.DUMMYFUNCTION("GOOGLETRANSLATE(E3087,""EN"",""JA"")"),"転移指標")</f>
        <v>転移指標</v>
      </c>
      <c r="J3087" s="1" t="str">
        <f>IFERROR(__xludf.DUMMYFUNCTION("GOOGLETRANSLATE(F3087,""EN"",""JA"")"),"病気の転移が起こったかどうかを示すもの。")</f>
        <v>病気の転移が起こったかどうかを示すもの。</v>
      </c>
      <c r="K3087" s="1" t="str">
        <f>IFERROR(__xludf.DUMMYFUNCTION("GOOGLETRANSLATE(G3087,""EN"",""JA"")"),"転移性疾患指標")</f>
        <v>転移性疾患指標</v>
      </c>
    </row>
    <row r="3088" ht="13.5" customHeight="1">
      <c r="A3088" s="1" t="s">
        <v>11</v>
      </c>
      <c r="B3088" s="1" t="s">
        <v>15477</v>
      </c>
      <c r="C3088" s="1" t="s">
        <v>15478</v>
      </c>
      <c r="D3088" s="1" t="s">
        <v>15479</v>
      </c>
      <c r="E3088" s="1" t="s">
        <v>15479</v>
      </c>
      <c r="F3088" s="1" t="s">
        <v>15480</v>
      </c>
      <c r="G3088" s="1" t="s">
        <v>15481</v>
      </c>
      <c r="H3088" s="1" t="str">
        <f>IFERROR(__xludf.DUMMYFUNCTION("GOOGLETRANSLATE(D3088,""EN"",""JA"")"),"メフェノレックス")</f>
        <v>メフェノレックス</v>
      </c>
      <c r="I3088" s="1" t="str">
        <f>IFERROR(__xludf.DUMMYFUNCTION("GOOGLETRANSLATE(E3088,""EN"",""JA"")"),"メフェノレックス")</f>
        <v>メフェノレックス</v>
      </c>
      <c r="J3088" s="1" t="str">
        <f>IFERROR(__xludf.DUMMYFUNCTION("GOOGLETRANSLATE(F3088,""EN"",""JA"")"),"生物標本中のメフェノレックスの測定。")</f>
        <v>生物標本中のメフェノレックスの測定。</v>
      </c>
      <c r="K3088" s="1" t="str">
        <f>IFERROR(__xludf.DUMMYFUNCTION("GOOGLETRANSLATE(G3088,""EN"",""JA"")"),"メフェノレックス測定")</f>
        <v>メフェノレックス測定</v>
      </c>
    </row>
    <row r="3089" ht="13.5" customHeight="1">
      <c r="A3089" s="1" t="s">
        <v>67</v>
      </c>
      <c r="B3089" s="1" t="s">
        <v>15482</v>
      </c>
      <c r="C3089" s="1" t="s">
        <v>15483</v>
      </c>
      <c r="D3089" s="1" t="s">
        <v>15484</v>
      </c>
      <c r="E3089" s="1" t="s">
        <v>15484</v>
      </c>
      <c r="F3089" s="1" t="s">
        <v>15485</v>
      </c>
      <c r="G3089" s="1" t="s">
        <v>15486</v>
      </c>
      <c r="H3089" s="1" t="str">
        <f>IFERROR(__xludf.DUMMYFUNCTION("GOOGLETRANSLATE(D3089,""EN"",""JA"")"),"ミクロフィラリア")</f>
        <v>ミクロフィラリア</v>
      </c>
      <c r="I3089" s="1" t="str">
        <f>IFERROR(__xludf.DUMMYFUNCTION("GOOGLETRANSLATE(E3089,""EN"",""JA"")"),"ミクロフィラリア")</f>
        <v>ミクロフィラリア</v>
      </c>
      <c r="J3089" s="1" t="str">
        <f>IFERROR(__xludf.DUMMYFUNCTION("GOOGLETRANSLATE(F3089,""EN"",""JA"")"),"全血またはその他の体液から調製した塗抹標本中にフィラリア線虫のミクロフィラリア段階が存在すること。")</f>
        <v>全血またはその他の体液から調製した塗抹標本中にフィラリア線虫のミクロフィラリア段階が存在すること。</v>
      </c>
      <c r="K3089" s="1" t="str">
        <f>IFERROR(__xludf.DUMMYFUNCTION("GOOGLETRANSLATE(G3089,""EN"",""JA"")"),"ミクロフィラリア測定")</f>
        <v>ミクロフィラリア測定</v>
      </c>
    </row>
    <row r="3090" ht="13.5" customHeight="1">
      <c r="A3090" s="1" t="s">
        <v>67</v>
      </c>
      <c r="B3090" s="1" t="s">
        <v>15487</v>
      </c>
      <c r="C3090" s="1" t="s">
        <v>15488</v>
      </c>
      <c r="D3090" s="1" t="s">
        <v>15489</v>
      </c>
      <c r="E3090" s="1" t="s">
        <v>15489</v>
      </c>
      <c r="F3090" s="1" t="s">
        <v>15490</v>
      </c>
      <c r="G3090" s="1" t="s">
        <v>15491</v>
      </c>
      <c r="H3090" s="1" t="str">
        <f>IFERROR(__xludf.DUMMYFUNCTION("GOOGLETRANSLATE(D3090,""EN"",""JA"")"),"マイコバクテリウム・フォルトゥイタム")</f>
        <v>マイコバクテリウム・フォルトゥイタム</v>
      </c>
      <c r="I3090" s="1" t="str">
        <f>IFERROR(__xludf.DUMMYFUNCTION("GOOGLETRANSLATE(E3090,""EN"",""JA"")"),"マイコバクテリウム・フォルトゥイタム")</f>
        <v>マイコバクテリウム・フォルトゥイタム</v>
      </c>
      <c r="J3090" s="1" t="str">
        <f>IFERROR(__xludf.DUMMYFUNCTION("GOOGLETRANSLATE(F3090,""EN"",""JA"")"),"生物標本中の Mycobacterium fortuitum の測定。")</f>
        <v>生物標本中の Mycobacterium fortuitum の測定。</v>
      </c>
      <c r="K3090" s="1" t="str">
        <f>IFERROR(__xludf.DUMMYFUNCTION("GOOGLETRANSLATE(G3090,""EN"",""JA"")"),"マイコバクテリウム・フォルトゥイタムの測定")</f>
        <v>マイコバクテリウム・フォルトゥイタムの測定</v>
      </c>
    </row>
    <row r="3091" ht="13.5" customHeight="1">
      <c r="A3091" s="1" t="s">
        <v>11</v>
      </c>
      <c r="B3091" s="1" t="s">
        <v>15492</v>
      </c>
      <c r="C3091" s="1" t="s">
        <v>15493</v>
      </c>
      <c r="D3091" s="1" t="s">
        <v>15494</v>
      </c>
      <c r="E3091" s="1" t="s">
        <v>15494</v>
      </c>
      <c r="F3091" s="1" t="s">
        <v>15495</v>
      </c>
      <c r="G3091" s="1" t="s">
        <v>15496</v>
      </c>
      <c r="H3091" s="1" t="str">
        <f>IFERROR(__xludf.DUMMYFUNCTION("GOOGLETRANSLATE(D3091,""EN"",""JA"")"),"マグネシウム")</f>
        <v>マグネシウム</v>
      </c>
      <c r="I3091" s="1" t="str">
        <f>IFERROR(__xludf.DUMMYFUNCTION("GOOGLETRANSLATE(E3091,""EN"",""JA"")"),"マグネシウム")</f>
        <v>マグネシウム</v>
      </c>
      <c r="J3091" s="1" t="str">
        <f>IFERROR(__xludf.DUMMYFUNCTION("GOOGLETRANSLATE(F3091,""EN"",""JA"")"),"生物標本中のマグネシウムの測定。")</f>
        <v>生物標本中のマグネシウムの測定。</v>
      </c>
      <c r="K3091" s="1" t="str">
        <f>IFERROR(__xludf.DUMMYFUNCTION("GOOGLETRANSLATE(G3091,""EN"",""JA"")"),"マグネシウム測定")</f>
        <v>マグネシウム測定</v>
      </c>
    </row>
    <row r="3092" ht="13.5" customHeight="1">
      <c r="A3092" s="1" t="s">
        <v>11</v>
      </c>
      <c r="B3092" s="1" t="s">
        <v>15497</v>
      </c>
      <c r="C3092" s="1" t="s">
        <v>15498</v>
      </c>
      <c r="D3092" s="1" t="s">
        <v>15499</v>
      </c>
      <c r="E3092" s="1" t="s">
        <v>15499</v>
      </c>
      <c r="F3092" s="1" t="s">
        <v>15500</v>
      </c>
      <c r="G3092" s="1" t="s">
        <v>15501</v>
      </c>
      <c r="H3092" s="1" t="str">
        <f>IFERROR(__xludf.DUMMYFUNCTION("GOOGLETRANSLATE(D3092,""EN"",""JA"")"),"ミオグロビン")</f>
        <v>ミオグロビン</v>
      </c>
      <c r="I3092" s="1" t="str">
        <f>IFERROR(__xludf.DUMMYFUNCTION("GOOGLETRANSLATE(E3092,""EN"",""JA"")"),"ミオグロビン")</f>
        <v>ミオグロビン</v>
      </c>
      <c r="J3092" s="1" t="str">
        <f>IFERROR(__xludf.DUMMYFUNCTION("GOOGLETRANSLATE(F3092,""EN"",""JA"")"),"生物標本中のミオグロビンの測定。")</f>
        <v>生物標本中のミオグロビンの測定。</v>
      </c>
      <c r="K3092" s="1" t="str">
        <f>IFERROR(__xludf.DUMMYFUNCTION("GOOGLETRANSLATE(G3092,""EN"",""JA"")"),"ミオグロビン測定")</f>
        <v>ミオグロビン測定</v>
      </c>
    </row>
    <row r="3093" ht="13.5" customHeight="1">
      <c r="A3093" s="1" t="s">
        <v>11</v>
      </c>
      <c r="B3093" s="1" t="s">
        <v>15502</v>
      </c>
      <c r="C3093" s="1" t="s">
        <v>15503</v>
      </c>
      <c r="D3093" s="1" t="s">
        <v>15504</v>
      </c>
      <c r="E3093" s="1" t="s">
        <v>15504</v>
      </c>
      <c r="F3093" s="1" t="s">
        <v>15505</v>
      </c>
      <c r="G3093" s="1" t="s">
        <v>15506</v>
      </c>
      <c r="H3093" s="1" t="str">
        <f>IFERROR(__xludf.DUMMYFUNCTION("GOOGLETRANSLATE(D3093,""EN"",""JA"")"),"ミオグロビン/クレアチニン")</f>
        <v>ミオグロビン/クレアチニン</v>
      </c>
      <c r="I3093" s="1" t="str">
        <f>IFERROR(__xludf.DUMMYFUNCTION("GOOGLETRANSLATE(E3093,""EN"",""JA"")"),"ミオグロビン/クレアチニン")</f>
        <v>ミオグロビン/クレアチニン</v>
      </c>
      <c r="J3093" s="1" t="str">
        <f>IFERROR(__xludf.DUMMYFUNCTION("GOOGLETRANSLATE(F3093,""EN"",""JA"")"),"サンプル中に存在するミオグロビンとクレアチニンの相対的な測定値 (比率またはパーセンテージ)。")</f>
        <v>サンプル中に存在するミオグロビンとクレアチニンの相対的な測定値 (比率またはパーセンテージ)。</v>
      </c>
      <c r="K3093" s="1" t="str">
        <f>IFERROR(__xludf.DUMMYFUNCTION("GOOGLETRANSLATE(G3093,""EN"",""JA"")"),"ミオグロビン対クレアチニン比測定")</f>
        <v>ミオグロビン対クレアチニン比測定</v>
      </c>
    </row>
    <row r="3094" ht="13.5" customHeight="1">
      <c r="A3094" s="1" t="s">
        <v>1034</v>
      </c>
      <c r="B3094" s="1" t="s">
        <v>15507</v>
      </c>
      <c r="C3094" s="1" t="s">
        <v>15508</v>
      </c>
      <c r="D3094" s="1" t="s">
        <v>15509</v>
      </c>
      <c r="E3094" s="1" t="s">
        <v>15509</v>
      </c>
      <c r="F3094" s="1" t="s">
        <v>15510</v>
      </c>
      <c r="G3094" s="1" t="s">
        <v>15509</v>
      </c>
      <c r="H3094" s="1" t="str">
        <f>IFERROR(__xludf.DUMMYFUNCTION("GOOGLETRANSLATE(D3094,""EN"",""JA"")"),"ミオグロビン脱酸素化速度")</f>
        <v>ミオグロビン脱酸素化速度</v>
      </c>
      <c r="I3094" s="1" t="str">
        <f>IFERROR(__xludf.DUMMYFUNCTION("GOOGLETRANSLATE(E3094,""EN"",""JA"")"),"ミオグロビン脱酸素化速度")</f>
        <v>ミオグロビン脱酸素化速度</v>
      </c>
      <c r="J3094" s="1" t="str">
        <f>IFERROR(__xludf.DUMMYFUNCTION("GOOGLETRANSLATE(F3094,""EN"",""JA"")"),"単位時間あたりのミオグロビンの脱酸素化の測定値。")</f>
        <v>単位時間あたりのミオグロビンの脱酸素化の測定値。</v>
      </c>
      <c r="K3094" s="1" t="str">
        <f>IFERROR(__xludf.DUMMYFUNCTION("GOOGLETRANSLATE(G3094,""EN"",""JA"")"),"ミオグロビン脱酸素化速度")</f>
        <v>ミオグロビン脱酸素化速度</v>
      </c>
    </row>
    <row r="3095" ht="13.5" customHeight="1">
      <c r="A3095" s="1" t="s">
        <v>1034</v>
      </c>
      <c r="B3095" s="1" t="s">
        <v>15511</v>
      </c>
      <c r="C3095" s="1" t="s">
        <v>15512</v>
      </c>
      <c r="D3095" s="1" t="s">
        <v>15513</v>
      </c>
      <c r="E3095" s="1" t="s">
        <v>15513</v>
      </c>
      <c r="F3095" s="1" t="s">
        <v>15514</v>
      </c>
      <c r="G3095" s="1" t="s">
        <v>15515</v>
      </c>
      <c r="H3095" s="1" t="str">
        <f>IFERROR(__xludf.DUMMYFUNCTION("GOOGLETRANSLATE(D3095,""EN"",""JA"")"),"ミオグロビン脱酸素化時間")</f>
        <v>ミオグロビン脱酸素化時間</v>
      </c>
      <c r="I3095" s="1" t="str">
        <f>IFERROR(__xludf.DUMMYFUNCTION("GOOGLETRANSLATE(E3095,""EN"",""JA"")"),"ミオグロビン脱酸素化時間")</f>
        <v>ミオグロビン脱酸素化時間</v>
      </c>
      <c r="J3095" s="1" t="str">
        <f>IFERROR(__xludf.DUMMYFUNCTION("GOOGLETRANSLATE(F3095,""EN"",""JA"")"),"ミオグロビンが完全に脱酸素化されるまでにかかる時間を測定します。")</f>
        <v>ミオグロビンが完全に脱酸素化されるまでにかかる時間を測定します。</v>
      </c>
      <c r="K3095" s="1" t="str">
        <f>IFERROR(__xludf.DUMMYFUNCTION("GOOGLETRANSLATE(G3095,""EN"",""JA"")"),"ミオグロビン脱酸素化時間測定")</f>
        <v>ミオグロビン脱酸素化時間測定</v>
      </c>
    </row>
    <row r="3096" ht="13.5" customHeight="1">
      <c r="A3096" s="1" t="s">
        <v>1034</v>
      </c>
      <c r="B3096" s="1" t="s">
        <v>15516</v>
      </c>
      <c r="C3096" s="1" t="s">
        <v>15517</v>
      </c>
      <c r="D3096" s="1" t="s">
        <v>15518</v>
      </c>
      <c r="E3096" s="1" t="s">
        <v>15518</v>
      </c>
      <c r="F3096" s="1" t="s">
        <v>15519</v>
      </c>
      <c r="G3096" s="1" t="s">
        <v>15520</v>
      </c>
      <c r="H3096" s="1" t="str">
        <f>IFERROR(__xludf.DUMMYFUNCTION("GOOGLETRANSLATE(D3096,""EN"",""JA"")"),"ミオグロビンの再酸素化時間定数")</f>
        <v>ミオグロビンの再酸素化時間定数</v>
      </c>
      <c r="I3096" s="1" t="str">
        <f>IFERROR(__xludf.DUMMYFUNCTION("GOOGLETRANSLATE(E3096,""EN"",""JA"")"),"ミオグロビンの再酸素化時間定数")</f>
        <v>ミオグロビンの再酸素化時間定数</v>
      </c>
      <c r="J3096" s="1" t="str">
        <f>IFERROR(__xludf.DUMMYFUNCTION("GOOGLETRANSLATE(F3096,""EN"",""JA"")"),"ミオグロビンの再酸素化の指数時間定数の測定。")</f>
        <v>ミオグロビンの再酸素化の指数時間定数の測定。</v>
      </c>
      <c r="K3096" s="1" t="str">
        <f>IFERROR(__xludf.DUMMYFUNCTION("GOOGLETRANSLATE(G3096,""EN"",""JA"")"),"ミオグロビン再酸素化時間定数測定")</f>
        <v>ミオグロビン再酸素化時間定数測定</v>
      </c>
    </row>
    <row r="3097" ht="13.5" customHeight="1">
      <c r="A3097" s="1" t="s">
        <v>11</v>
      </c>
      <c r="B3097" s="1" t="s">
        <v>15521</v>
      </c>
      <c r="C3097" s="1" t="s">
        <v>15522</v>
      </c>
      <c r="D3097" s="1" t="s">
        <v>15523</v>
      </c>
      <c r="E3097" s="1" t="s">
        <v>15523</v>
      </c>
      <c r="F3097" s="1" t="s">
        <v>15524</v>
      </c>
      <c r="G3097" s="1" t="s">
        <v>15525</v>
      </c>
      <c r="H3097" s="1" t="str">
        <f>IFERROR(__xludf.DUMMYFUNCTION("GOOGLETRANSLATE(D3097,""EN"",""JA"")"),"マグネシウム/クレアチニン")</f>
        <v>マグネシウム/クレアチニン</v>
      </c>
      <c r="I3097" s="1" t="str">
        <f>IFERROR(__xludf.DUMMYFUNCTION("GOOGLETRANSLATE(E3097,""EN"",""JA"")"),"マグネシウム/クレアチニン")</f>
        <v>マグネシウム/クレアチニン</v>
      </c>
      <c r="J3097" s="1" t="str">
        <f>IFERROR(__xludf.DUMMYFUNCTION("GOOGLETRANSLATE(F3097,""EN"",""JA"")"),"生物標本中のマグネシウムとクレアチニンの相対的な測定値（比率またはパーセンテージ）。")</f>
        <v>生物標本中のマグネシウムとクレアチニンの相対的な測定値（比率またはパーセンテージ）。</v>
      </c>
      <c r="K3097" s="1" t="str">
        <f>IFERROR(__xludf.DUMMYFUNCTION("GOOGLETRANSLATE(G3097,""EN"",""JA"")"),"マグネシウムとクレアチニンの比の測定")</f>
        <v>マグネシウムとクレアチニンの比の測定</v>
      </c>
    </row>
    <row r="3098" ht="13.5" customHeight="1">
      <c r="A3098" s="1" t="s">
        <v>67</v>
      </c>
      <c r="B3098" s="1" t="s">
        <v>15526</v>
      </c>
      <c r="C3098" s="1" t="s">
        <v>15527</v>
      </c>
      <c r="D3098" s="1" t="s">
        <v>15528</v>
      </c>
      <c r="E3098" s="1" t="s">
        <v>15528</v>
      </c>
      <c r="F3098" s="1" t="s">
        <v>15529</v>
      </c>
      <c r="G3098" s="1" t="s">
        <v>15530</v>
      </c>
      <c r="H3098" s="1" t="str">
        <f>IFERROR(__xludf.DUMMYFUNCTION("GOOGLETRANSLATE(D3098,""EN"",""JA"")"),"マイコプラズマ・ジェニタリウム")</f>
        <v>マイコプラズマ・ジェニタリウム</v>
      </c>
      <c r="I3098" s="1" t="str">
        <f>IFERROR(__xludf.DUMMYFUNCTION("GOOGLETRANSLATE(E3098,""EN"",""JA"")"),"マイコプラズマ・ジェニタリウム")</f>
        <v>マイコプラズマ・ジェニタリウム</v>
      </c>
      <c r="J3098" s="1" t="str">
        <f>IFERROR(__xludf.DUMMYFUNCTION("GOOGLETRANSLATE(F3098,""EN"",""JA"")"),"生物標本中のマイコプラズマ・ジェニタリウムの測定。")</f>
        <v>生物標本中のマイコプラズマ・ジェニタリウムの測定。</v>
      </c>
      <c r="K3098" s="1" t="str">
        <f>IFERROR(__xludf.DUMMYFUNCTION("GOOGLETRANSLATE(G3098,""EN"",""JA"")"),"マイコプラズマ・ジェニタリウムの測定")</f>
        <v>マイコプラズマ・ジェニタリウムの測定</v>
      </c>
    </row>
    <row r="3099" ht="13.5" customHeight="1">
      <c r="A3099" s="1" t="s">
        <v>67</v>
      </c>
      <c r="B3099" s="1" t="s">
        <v>15531</v>
      </c>
      <c r="C3099" s="1" t="s">
        <v>15532</v>
      </c>
      <c r="D3099" s="1" t="s">
        <v>15533</v>
      </c>
      <c r="E3099" s="1" t="s">
        <v>15533</v>
      </c>
      <c r="F3099" s="1" t="s">
        <v>15534</v>
      </c>
      <c r="G3099" s="1" t="s">
        <v>15535</v>
      </c>
      <c r="H3099" s="1" t="str">
        <f>IFERROR(__xludf.DUMMYFUNCTION("GOOGLETRANSLATE(D3099,""EN"",""JA"")"),"マイコプラズマ・ジェニタリウムDNA")</f>
        <v>マイコプラズマ・ジェニタリウムDNA</v>
      </c>
      <c r="I3099" s="1" t="str">
        <f>IFERROR(__xludf.DUMMYFUNCTION("GOOGLETRANSLATE(E3099,""EN"",""JA"")"),"マイコプラズマ・ジェニタリウムDNA")</f>
        <v>マイコプラズマ・ジェニタリウムDNA</v>
      </c>
      <c r="J3099" s="1" t="str">
        <f>IFERROR(__xludf.DUMMYFUNCTION("GOOGLETRANSLATE(F3099,""EN"",""JA"")"),"生物標本中の Mycoplasma genitalium DNA の測定。")</f>
        <v>生物標本中の Mycoplasma genitalium DNA の測定。</v>
      </c>
      <c r="K3099" s="1" t="str">
        <f>IFERROR(__xludf.DUMMYFUNCTION("GOOGLETRANSLATE(G3099,""EN"",""JA"")"),"マイコプラズマ・ジェニタリウムのDNA測定")</f>
        <v>マイコプラズマ・ジェニタリウムのDNA測定</v>
      </c>
    </row>
    <row r="3100" ht="13.5" customHeight="1">
      <c r="A3100" s="1" t="s">
        <v>11</v>
      </c>
      <c r="B3100" s="1" t="s">
        <v>15536</v>
      </c>
      <c r="C3100" s="1" t="s">
        <v>15537</v>
      </c>
      <c r="D3100" s="1" t="s">
        <v>15538</v>
      </c>
      <c r="E3100" s="1" t="s">
        <v>15538</v>
      </c>
      <c r="F3100" s="1" t="s">
        <v>15539</v>
      </c>
      <c r="G3100" s="1" t="s">
        <v>15540</v>
      </c>
      <c r="H3100" s="1" t="str">
        <f>IFERROR(__xludf.DUMMYFUNCTION("GOOGLETRANSLATE(D3100,""EN"",""JA"")"),"マグネシウム、イオン化")</f>
        <v>マグネシウム、イオン化</v>
      </c>
      <c r="I3100" s="1" t="str">
        <f>IFERROR(__xludf.DUMMYFUNCTION("GOOGLETRANSLATE(E3100,""EN"",""JA"")"),"マグネシウム、イオン化")</f>
        <v>マグネシウム、イオン化</v>
      </c>
      <c r="J3100" s="1" t="str">
        <f>IFERROR(__xludf.DUMMYFUNCTION("GOOGLETRANSLATE(F3100,""EN"",""JA"")"),"生物標本中のイオン化マグネシウムの測定。")</f>
        <v>生物標本中のイオン化マグネシウムの測定。</v>
      </c>
      <c r="K3100" s="1" t="str">
        <f>IFERROR(__xludf.DUMMYFUNCTION("GOOGLETRANSLATE(G3100,""EN"",""JA"")"),"イオン化マグネシウム測定")</f>
        <v>イオン化マグネシウム測定</v>
      </c>
    </row>
    <row r="3101" ht="13.5" customHeight="1">
      <c r="A3101" s="1" t="s">
        <v>90</v>
      </c>
      <c r="B3101" s="1" t="s">
        <v>15541</v>
      </c>
      <c r="C3101" s="1" t="s">
        <v>15542</v>
      </c>
      <c r="D3101" s="1" t="s">
        <v>15543</v>
      </c>
      <c r="E3101" s="1" t="s">
        <v>15543</v>
      </c>
      <c r="F3101" s="1" t="s">
        <v>15544</v>
      </c>
      <c r="G3101" s="1" t="s">
        <v>15543</v>
      </c>
      <c r="H3101" s="1" t="str">
        <f>IFERROR(__xludf.DUMMYFUNCTION("GOOGLETRANSLATE(D3101,""EN"",""JA"")"),"平均圧力勾配")</f>
        <v>平均圧力勾配</v>
      </c>
      <c r="I3101" s="1" t="str">
        <f>IFERROR(__xludf.DUMMYFUNCTION("GOOGLETRANSLATE(E3101,""EN"",""JA"")"),"平均圧力勾配")</f>
        <v>平均圧力勾配</v>
      </c>
      <c r="J3101" s="1" t="str">
        <f>IFERROR(__xludf.DUMMYFUNCTION("GOOGLETRANSLATE(F3101,""EN"",""JA"")"),"構造上の 2 点間に存在する平均圧力勾配を表す値。")</f>
        <v>構造上の 2 点間に存在する平均圧力勾配を表す値。</v>
      </c>
      <c r="K3101" s="1" t="str">
        <f>IFERROR(__xludf.DUMMYFUNCTION("GOOGLETRANSLATE(G3101,""EN"",""JA"")"),"平均圧力勾配")</f>
        <v>平均圧力勾配</v>
      </c>
    </row>
    <row r="3102" ht="13.5" customHeight="1">
      <c r="A3102" s="1" t="s">
        <v>67</v>
      </c>
      <c r="B3102" s="1" t="s">
        <v>15545</v>
      </c>
      <c r="C3102" s="1" t="s">
        <v>15546</v>
      </c>
      <c r="D3102" s="1" t="s">
        <v>15547</v>
      </c>
      <c r="E3102" s="1" t="s">
        <v>15547</v>
      </c>
      <c r="F3102" s="1" t="s">
        <v>15548</v>
      </c>
      <c r="G3102" s="1" t="s">
        <v>15549</v>
      </c>
      <c r="H3102" s="1" t="str">
        <f>IFERROR(__xludf.DUMMYFUNCTION("GOOGLETRANSLATE(D3102,""EN"",""JA"")"),"マイコプラズマ・ホミニスDNA")</f>
        <v>マイコプラズマ・ホミニスDNA</v>
      </c>
      <c r="I3102" s="1" t="str">
        <f>IFERROR(__xludf.DUMMYFUNCTION("GOOGLETRANSLATE(E3102,""EN"",""JA"")"),"マイコプラズマ・ホミニスDNA")</f>
        <v>マイコプラズマ・ホミニスDNA</v>
      </c>
      <c r="J3102" s="1" t="str">
        <f>IFERROR(__xludf.DUMMYFUNCTION("GOOGLETRANSLATE(F3102,""EN"",""JA"")"),"生物標本中の Mycoplasma hominis DNA の測定。")</f>
        <v>生物標本中の Mycoplasma hominis DNA の測定。</v>
      </c>
      <c r="K3102" s="1" t="str">
        <f>IFERROR(__xludf.DUMMYFUNCTION("GOOGLETRANSLATE(G3102,""EN"",""JA"")"),"マイコプラズマ・ホミニスのDNA測定")</f>
        <v>マイコプラズマ・ホミニスのDNA測定</v>
      </c>
    </row>
    <row r="3103" ht="13.5" customHeight="1">
      <c r="A3103" s="1" t="s">
        <v>11</v>
      </c>
      <c r="B3103" s="1" t="s">
        <v>15550</v>
      </c>
      <c r="C3103" s="1" t="s">
        <v>15551</v>
      </c>
      <c r="D3103" s="1" t="s">
        <v>15552</v>
      </c>
      <c r="E3103" s="1" t="s">
        <v>15553</v>
      </c>
      <c r="F3103" s="1" t="s">
        <v>15554</v>
      </c>
      <c r="G3103" s="1" t="s">
        <v>15555</v>
      </c>
      <c r="H3103" s="1" t="str">
        <f>IFERROR(__xludf.DUMMYFUNCTION("GOOGLETRANSLATE(D3103,""EN"",""JA"")"),"モノヒドロキシブテニルメルカプツール酸")</f>
        <v>モノヒドロキシブテニルメルカプツール酸</v>
      </c>
      <c r="I3103" s="1" t="str">
        <f>IFERROR(__xludf.DUMMYFUNCTION("GOOGLETRANSLATE(E3103,""EN"",""JA"")"),"MHBMA; モノヒドロキシ-3-ブテニルメルカプツール酸; モノヒドロキシブテニルメルカプツール酸; モノヒドロキシブテニルメルカプツール酸")</f>
        <v>MHBMA; モノヒドロキシ-3-ブテニルメルカプツール酸; モノヒドロキシブテニルメルカプツール酸; モノヒドロキシブテニルメルカプツール酸</v>
      </c>
      <c r="J3103" s="1" t="str">
        <f>IFERROR(__xludf.DUMMYFUNCTION("GOOGLETRANSLATE(F3103,""EN"",""JA"")"),"検体中のモノヒドロキシブテニルメルカプツール酸の測定。")</f>
        <v>検体中のモノヒドロキシブテニルメルカプツール酸の測定。</v>
      </c>
      <c r="K3103" s="1" t="str">
        <f>IFERROR(__xludf.DUMMYFUNCTION("GOOGLETRANSLATE(G3103,""EN"",""JA"")"),"モノヒドロキシブテニルメルカプツール酸測定")</f>
        <v>モノヒドロキシブテニルメルカプツール酸測定</v>
      </c>
    </row>
    <row r="3104" ht="13.5" customHeight="1">
      <c r="A3104" s="1" t="s">
        <v>1168</v>
      </c>
      <c r="B3104" s="1" t="s">
        <v>15556</v>
      </c>
      <c r="C3104" s="1" t="s">
        <v>134</v>
      </c>
      <c r="D3104" s="1" t="s">
        <v>15557</v>
      </c>
      <c r="E3104" s="1" t="s">
        <v>15557</v>
      </c>
      <c r="F3104" s="1" t="s">
        <v>15558</v>
      </c>
      <c r="G3104" s="1" t="s">
        <v>15559</v>
      </c>
      <c r="H3104" s="1" t="str">
        <f>IFERROR(__xludf.DUMMYFUNCTION("GOOGLETRANSLATE(D3104,""EN"",""JA"")"),"心筋梗塞")</f>
        <v>心筋梗塞</v>
      </c>
      <c r="I3104" s="1" t="str">
        <f>IFERROR(__xludf.DUMMYFUNCTION("GOOGLETRANSLATE(E3104,""EN"",""JA"")"),"心筋梗塞")</f>
        <v>心筋梗塞</v>
      </c>
      <c r="J3104" s="1" t="str">
        <f>IFERROR(__xludf.DUMMYFUNCTION("GOOGLETRANSLATE(F3104,""EN"",""JA"")"),"心筋梗塞を示唆する所見の心電図評価。")</f>
        <v>心筋梗塞を示唆する所見の心電図評価。</v>
      </c>
      <c r="K3104" s="1" t="str">
        <f>IFERROR(__xludf.DUMMYFUNCTION("GOOGLETRANSLATE(G3104,""EN"",""JA"")"),"心筋梗塞の心電図評価")</f>
        <v>心筋梗塞の心電図評価</v>
      </c>
    </row>
    <row r="3105" ht="13.5" customHeight="1">
      <c r="A3105" s="1" t="s">
        <v>1168</v>
      </c>
      <c r="B3105" s="1" t="s">
        <v>15556</v>
      </c>
      <c r="C3105" s="1" t="s">
        <v>134</v>
      </c>
      <c r="D3105" s="1" t="s">
        <v>15557</v>
      </c>
      <c r="E3105" s="1" t="s">
        <v>15557</v>
      </c>
      <c r="F3105" s="1" t="s">
        <v>15558</v>
      </c>
      <c r="G3105" s="1" t="s">
        <v>15559</v>
      </c>
      <c r="H3105" s="1" t="str">
        <f>IFERROR(__xludf.DUMMYFUNCTION("GOOGLETRANSLATE(D3105,""EN"",""JA"")"),"心筋梗塞")</f>
        <v>心筋梗塞</v>
      </c>
      <c r="I3105" s="1" t="str">
        <f>IFERROR(__xludf.DUMMYFUNCTION("GOOGLETRANSLATE(E3105,""EN"",""JA"")"),"心筋梗塞")</f>
        <v>心筋梗塞</v>
      </c>
      <c r="J3105" s="1" t="str">
        <f>IFERROR(__xludf.DUMMYFUNCTION("GOOGLETRANSLATE(F3105,""EN"",""JA"")"),"心筋梗塞を示唆する所見の心電図評価。")</f>
        <v>心筋梗塞を示唆する所見の心電図評価。</v>
      </c>
      <c r="K3105" s="1" t="str">
        <f>IFERROR(__xludf.DUMMYFUNCTION("GOOGLETRANSLATE(G3105,""EN"",""JA"")"),"心筋梗塞の心電図評価")</f>
        <v>心筋梗塞の心電図評価</v>
      </c>
    </row>
    <row r="3106" ht="13.5" customHeight="1">
      <c r="A3106" s="1" t="s">
        <v>1168</v>
      </c>
      <c r="B3106" s="1" t="s">
        <v>15556</v>
      </c>
      <c r="C3106" s="1" t="s">
        <v>134</v>
      </c>
      <c r="D3106" s="1" t="s">
        <v>15557</v>
      </c>
      <c r="E3106" s="1" t="s">
        <v>15557</v>
      </c>
      <c r="F3106" s="1" t="s">
        <v>15558</v>
      </c>
      <c r="G3106" s="1" t="s">
        <v>15559</v>
      </c>
      <c r="H3106" s="1" t="str">
        <f>IFERROR(__xludf.DUMMYFUNCTION("GOOGLETRANSLATE(D3106,""EN"",""JA"")"),"心筋梗塞")</f>
        <v>心筋梗塞</v>
      </c>
      <c r="I3106" s="1" t="str">
        <f>IFERROR(__xludf.DUMMYFUNCTION("GOOGLETRANSLATE(E3106,""EN"",""JA"")"),"心筋梗塞")</f>
        <v>心筋梗塞</v>
      </c>
      <c r="J3106" s="1" t="str">
        <f>IFERROR(__xludf.DUMMYFUNCTION("GOOGLETRANSLATE(F3106,""EN"",""JA"")"),"心筋梗塞を示唆する所見の心電図評価。")</f>
        <v>心筋梗塞を示唆する所見の心電図評価。</v>
      </c>
      <c r="K3106" s="1" t="str">
        <f>IFERROR(__xludf.DUMMYFUNCTION("GOOGLETRANSLATE(G3106,""EN"",""JA"")"),"心筋梗塞の心電図評価")</f>
        <v>心筋梗塞の心電図評価</v>
      </c>
    </row>
    <row r="3107" ht="13.5" customHeight="1">
      <c r="A3107" s="1" t="s">
        <v>1168</v>
      </c>
      <c r="B3107" s="1" t="s">
        <v>15556</v>
      </c>
      <c r="C3107" s="1" t="s">
        <v>134</v>
      </c>
      <c r="D3107" s="1" t="s">
        <v>15557</v>
      </c>
      <c r="E3107" s="1" t="s">
        <v>15557</v>
      </c>
      <c r="F3107" s="1" t="s">
        <v>15558</v>
      </c>
      <c r="G3107" s="1" t="s">
        <v>15559</v>
      </c>
      <c r="H3107" s="1" t="str">
        <f>IFERROR(__xludf.DUMMYFUNCTION("GOOGLETRANSLATE(D3107,""EN"",""JA"")"),"心筋梗塞")</f>
        <v>心筋梗塞</v>
      </c>
      <c r="I3107" s="1" t="str">
        <f>IFERROR(__xludf.DUMMYFUNCTION("GOOGLETRANSLATE(E3107,""EN"",""JA"")"),"心筋梗塞")</f>
        <v>心筋梗塞</v>
      </c>
      <c r="J3107" s="1" t="str">
        <f>IFERROR(__xludf.DUMMYFUNCTION("GOOGLETRANSLATE(F3107,""EN"",""JA"")"),"心筋梗塞を示唆する所見の心電図評価。")</f>
        <v>心筋梗塞を示唆する所見の心電図評価。</v>
      </c>
      <c r="K3107" s="1" t="str">
        <f>IFERROR(__xludf.DUMMYFUNCTION("GOOGLETRANSLATE(G3107,""EN"",""JA"")"),"心筋梗塞の心電図評価")</f>
        <v>心筋梗塞の心電図評価</v>
      </c>
    </row>
    <row r="3108" ht="13.5" customHeight="1">
      <c r="A3108" s="1" t="s">
        <v>7009</v>
      </c>
      <c r="B3108" s="1" t="s">
        <v>15560</v>
      </c>
      <c r="C3108" s="1" t="s">
        <v>15561</v>
      </c>
      <c r="D3108" s="1" t="s">
        <v>15562</v>
      </c>
      <c r="E3108" s="1" t="s">
        <v>15562</v>
      </c>
      <c r="F3108" s="1" t="s">
        <v>15563</v>
      </c>
      <c r="G3108" s="1" t="s">
        <v>15564</v>
      </c>
      <c r="H3108" s="1" t="str">
        <f>IFERROR(__xludf.DUMMYFUNCTION("GOOGLETRANSLATE(D3108,""EN"",""JA"")"),"最小発育阻止濃度")</f>
        <v>最小発育阻止濃度</v>
      </c>
      <c r="I3108" s="1" t="str">
        <f>IFERROR(__xludf.DUMMYFUNCTION("GOOGLETRANSLATE(E3108,""EN"",""JA"")"),"最小発育阻止濃度")</f>
        <v>最小発育阻止濃度</v>
      </c>
      <c r="J3108" s="1" t="str">
        <f>IFERROR(__xludf.DUMMYFUNCTION("GOOGLETRANSLATE(F3108,""EN"",""JA"")"),"生物の成長が抑制される薬剤の最小濃度を指定する測定値。")</f>
        <v>生物の成長が抑制される薬剤の最小濃度を指定する測定値。</v>
      </c>
      <c r="K3108" s="1" t="str">
        <f>IFERROR(__xludf.DUMMYFUNCTION("GOOGLETRANSLATE(G3108,""EN"",""JA"")"),"最小発育阻止濃度試験")</f>
        <v>最小発育阻止濃度試験</v>
      </c>
    </row>
    <row r="3109" ht="13.5" customHeight="1">
      <c r="A3109" s="1" t="s">
        <v>7009</v>
      </c>
      <c r="B3109" s="1" t="s">
        <v>15565</v>
      </c>
      <c r="C3109" s="1" t="s">
        <v>15566</v>
      </c>
      <c r="D3109" s="1" t="s">
        <v>15567</v>
      </c>
      <c r="E3109" s="1" t="s">
        <v>15567</v>
      </c>
      <c r="F3109" s="1" t="s">
        <v>15568</v>
      </c>
      <c r="G3109" s="1" t="s">
        <v>15567</v>
      </c>
      <c r="H3109" s="1" t="str">
        <f>IFERROR(__xludf.DUMMYFUNCTION("GOOGLETRANSLATE(D3109,""EN"",""JA"")"),"微生物のIC50ベースラインからの変化")</f>
        <v>微生物のIC50ベースラインからの変化</v>
      </c>
      <c r="I3109" s="1" t="str">
        <f>IFERROR(__xludf.DUMMYFUNCTION("GOOGLETRANSLATE(E3109,""EN"",""JA"")"),"微生物のIC50ベースラインからの変化")</f>
        <v>微生物のIC50ベースラインからの変化</v>
      </c>
      <c r="J3109" s="1" t="str">
        <f>IFERROR(__xludf.DUMMYFUNCTION("GOOGLETRANSLATE(F3109,""EN"",""JA"")"),"微生物の酵素活性を50%阻害すると予想される特定の薬剤の濃度に基づく倍率変化。これは、現在のIC50被験者結果を、前のIC50被験者結果で割って算出される比率です。")</f>
        <v>微生物の酵素活性を50%阻害すると予想される特定の薬剤の濃度に基づく倍率変化。これは、現在のIC50被験者結果を、前のIC50被験者結果で割って算出される比率です。</v>
      </c>
      <c r="K3109" s="1" t="str">
        <f>IFERROR(__xludf.DUMMYFUNCTION("GOOGLETRANSLATE(G3109,""EN"",""JA"")"),"微生物のIC50ベースラインからの変化")</f>
        <v>微生物のIC50ベースラインからの変化</v>
      </c>
    </row>
    <row r="3110" ht="13.5" customHeight="1">
      <c r="A3110" s="1" t="s">
        <v>7009</v>
      </c>
      <c r="B3110" s="1" t="s">
        <v>15569</v>
      </c>
      <c r="C3110" s="1" t="s">
        <v>15570</v>
      </c>
      <c r="D3110" s="1" t="s">
        <v>15571</v>
      </c>
      <c r="E3110" s="1" t="s">
        <v>15572</v>
      </c>
      <c r="F3110" s="1" t="s">
        <v>15573</v>
      </c>
      <c r="G3110" s="1" t="s">
        <v>15574</v>
      </c>
      <c r="H3110" s="1" t="str">
        <f>IFERROR(__xludf.DUMMYFUNCTION("GOOGLETRANSLATE(D3110,""EN"",""JA"")"),"微生物のIC50の参照値からの変化")</f>
        <v>微生物のIC50の参照値からの変化</v>
      </c>
      <c r="I3110" s="1" t="str">
        <f>IFERROR(__xludf.DUMMYFUNCTION("GOOGLETRANSLATE(E3110,""EN"",""JA"")"),"微生物のIC50の参照からの倍率変化; 微生物のIC50の参照からの倍率変化")</f>
        <v>微生物のIC50の参照からの倍率変化; 微生物のIC50の参照からの倍率変化</v>
      </c>
      <c r="J3110" s="1" t="str">
        <f>IFERROR(__xludf.DUMMYFUNCTION("GOOGLETRANSLATE(F3110,""EN"",""JA"")"),"微生物の酵素活性を50%阻害すると予想される特定の薬剤の濃度に基づく変化率。IC50被験者結果とIC50参照対照結果の比で算出されます。")</f>
        <v>微生物の酵素活性を50%阻害すると予想される特定の薬剤の濃度に基づく変化率。IC50被験者結果とIC50参照対照結果の比で算出されます。</v>
      </c>
      <c r="K3110" s="1" t="str">
        <f>IFERROR(__xludf.DUMMYFUNCTION("GOOGLETRANSLATE(G3110,""EN"",""JA"")"),"微生物のIC50参照値からの変化")</f>
        <v>微生物のIC50参照値からの変化</v>
      </c>
    </row>
    <row r="3111" ht="13.5" customHeight="1">
      <c r="A3111" s="1" t="s">
        <v>7009</v>
      </c>
      <c r="B3111" s="1" t="s">
        <v>15575</v>
      </c>
      <c r="C3111" s="1" t="s">
        <v>15576</v>
      </c>
      <c r="D3111" s="1" t="s">
        <v>15577</v>
      </c>
      <c r="E3111" s="1" t="s">
        <v>15577</v>
      </c>
      <c r="F3111" s="1" t="s">
        <v>15578</v>
      </c>
      <c r="G3111" s="1" t="s">
        <v>15577</v>
      </c>
      <c r="H3111" s="1" t="str">
        <f>IFERROR(__xludf.DUMMYFUNCTION("GOOGLETRANSLATE(D3111,""EN"",""JA"")"),"微生物IC50参照コントロール結果")</f>
        <v>微生物IC50参照コントロール結果</v>
      </c>
      <c r="I3111" s="1" t="str">
        <f>IFERROR(__xludf.DUMMYFUNCTION("GOOGLETRANSLATE(E3111,""EN"",""JA"")"),"微生物IC50参照コントロール結果")</f>
        <v>微生物IC50参照コントロール結果</v>
      </c>
      <c r="J3111" s="1" t="str">
        <f>IFERROR(__xludf.DUMMYFUNCTION("GOOGLETRANSLATE(F3111,""EN"",""JA"")"),"微生物の酵素活性を 50 パーセント阻害すると予想される特定の薬剤の濃度に基づいた参照コントロール サンプル応答。")</f>
        <v>微生物の酵素活性を 50 パーセント阻害すると予想される特定の薬剤の濃度に基づいた参照コントロール サンプル応答。</v>
      </c>
      <c r="K3111" s="1" t="str">
        <f>IFERROR(__xludf.DUMMYFUNCTION("GOOGLETRANSLATE(G3111,""EN"",""JA"")"),"微生物IC50参照コントロール結果")</f>
        <v>微生物IC50参照コントロール結果</v>
      </c>
    </row>
    <row r="3112" ht="13.5" customHeight="1">
      <c r="A3112" s="1" t="s">
        <v>7009</v>
      </c>
      <c r="B3112" s="1" t="s">
        <v>15579</v>
      </c>
      <c r="C3112" s="1" t="s">
        <v>15580</v>
      </c>
      <c r="D3112" s="1" t="s">
        <v>15581</v>
      </c>
      <c r="E3112" s="1" t="s">
        <v>15581</v>
      </c>
      <c r="F3112" s="1" t="s">
        <v>15582</v>
      </c>
      <c r="G3112" s="1" t="s">
        <v>15581</v>
      </c>
      <c r="H3112" s="1" t="str">
        <f>IFERROR(__xludf.DUMMYFUNCTION("GOOGLETRANSLATE(D3112,""EN"",""JA"")"),"微生物IC50被験者結果")</f>
        <v>微生物IC50被験者結果</v>
      </c>
      <c r="I3112" s="1" t="str">
        <f>IFERROR(__xludf.DUMMYFUNCTION("GOOGLETRANSLATE(E3112,""EN"",""JA"")"),"微生物IC50被験者結果")</f>
        <v>微生物IC50被験者結果</v>
      </c>
      <c r="J3112" s="1" t="str">
        <f>IFERROR(__xludf.DUMMYFUNCTION("GOOGLETRANSLATE(F3112,""EN"",""JA"")"),"微生物の酵素活性を 50 パーセント阻害すると予測される特定の薬剤の濃度に曝露された微生物の生物学的/生化学的反応の測定値。")</f>
        <v>微生物の酵素活性を 50 パーセント阻害すると予測される特定の薬剤の濃度に曝露された微生物の生物学的/生化学的反応の測定値。</v>
      </c>
      <c r="K3112" s="1" t="str">
        <f>IFERROR(__xludf.DUMMYFUNCTION("GOOGLETRANSLATE(G3112,""EN"",""JA"")"),"微生物IC50被験者結果")</f>
        <v>微生物IC50被験者結果</v>
      </c>
    </row>
    <row r="3113" ht="13.5" customHeight="1">
      <c r="A3113" s="1" t="s">
        <v>7009</v>
      </c>
      <c r="B3113" s="1" t="s">
        <v>15583</v>
      </c>
      <c r="C3113" s="1" t="s">
        <v>15584</v>
      </c>
      <c r="D3113" s="1" t="s">
        <v>15585</v>
      </c>
      <c r="E3113" s="1" t="s">
        <v>15586</v>
      </c>
      <c r="F3113" s="1" t="s">
        <v>15587</v>
      </c>
      <c r="G3113" s="1" t="s">
        <v>15585</v>
      </c>
      <c r="H3113" s="1" t="str">
        <f>IFERROR(__xludf.DUMMYFUNCTION("GOOGLETRANSLATE(D3113,""EN"",""JA"")"),"微生物のIC95ベースラインからの変化")</f>
        <v>微生物のIC95ベースラインからの変化</v>
      </c>
      <c r="I3113" s="1" t="str">
        <f>IFERROR(__xludf.DUMMYFUNCTION("GOOGLETRANSLATE(E3113,""EN"",""JA"")"),"IC95 ベースラインからの倍数変化; 微生物 IC95 ベースラインからの倍数変化")</f>
        <v>IC95 ベースラインからの倍数変化; 微生物 IC95 ベースラインからの倍数変化</v>
      </c>
      <c r="J3113" s="1" t="str">
        <f>IFERROR(__xludf.DUMMYFUNCTION("GOOGLETRANSLATE(F3113,""EN"",""JA"")"),"微生物の酵素活性を95%阻害すると予想される特定の薬剤の濃度に基づく倍率変化。これは、現在のIC95被験者結果を、前のIC95被験者結果で割って算出される比率です。")</f>
        <v>微生物の酵素活性を95%阻害すると予想される特定の薬剤の濃度に基づく倍率変化。これは、現在のIC95被験者結果を、前のIC95被験者結果で割って算出される比率です。</v>
      </c>
      <c r="K3113" s="1" t="str">
        <f>IFERROR(__xludf.DUMMYFUNCTION("GOOGLETRANSLATE(G3113,""EN"",""JA"")"),"微生物のIC95ベースラインからの変化")</f>
        <v>微生物のIC95ベースラインからの変化</v>
      </c>
    </row>
    <row r="3114" ht="13.5" customHeight="1">
      <c r="A3114" s="1" t="s">
        <v>7009</v>
      </c>
      <c r="B3114" s="1" t="s">
        <v>15588</v>
      </c>
      <c r="C3114" s="1" t="s">
        <v>15589</v>
      </c>
      <c r="D3114" s="1" t="s">
        <v>15590</v>
      </c>
      <c r="E3114" s="1" t="s">
        <v>15591</v>
      </c>
      <c r="F3114" s="1" t="s">
        <v>15592</v>
      </c>
      <c r="G3114" s="1" t="s">
        <v>15590</v>
      </c>
      <c r="H3114" s="1" t="str">
        <f>IFERROR(__xludf.DUMMYFUNCTION("GOOGLETRANSLATE(D3114,""EN"",""JA"")"),"微生物のIC95の参照値からの変化")</f>
        <v>微生物のIC95の参照値からの変化</v>
      </c>
      <c r="I3114" s="1" t="str">
        <f>IFERROR(__xludf.DUMMYFUNCTION("GOOGLETRANSLATE(E3114,""EN"",""JA"")"),"IC95 参照値からの倍率変化; 微生物の IC95 参照値からの倍率変化")</f>
        <v>IC95 参照値からの倍率変化; 微生物の IC95 参照値からの倍率変化</v>
      </c>
      <c r="J3114" s="1" t="str">
        <f>IFERROR(__xludf.DUMMYFUNCTION("GOOGLETRANSLATE(F3114,""EN"",""JA"")"),"微生物の酵素活性を95%阻害すると予想される特定の薬剤の濃度に基づく倍率変化。IC95被験者結果とIC95参照対照結果の比で算出されます。")</f>
        <v>微生物の酵素活性を95%阻害すると予想される特定の薬剤の濃度に基づく倍率変化。IC95被験者結果とIC95参照対照結果の比で算出されます。</v>
      </c>
      <c r="K3114" s="1" t="str">
        <f>IFERROR(__xludf.DUMMYFUNCTION("GOOGLETRANSLATE(G3114,""EN"",""JA"")"),"微生物のIC95の参照値からの変化")</f>
        <v>微生物のIC95の参照値からの変化</v>
      </c>
    </row>
    <row r="3115" ht="13.5" customHeight="1">
      <c r="A3115" s="1" t="s">
        <v>7009</v>
      </c>
      <c r="B3115" s="1" t="s">
        <v>15593</v>
      </c>
      <c r="C3115" s="1" t="s">
        <v>15594</v>
      </c>
      <c r="D3115" s="1" t="s">
        <v>15595</v>
      </c>
      <c r="E3115" s="1" t="s">
        <v>15596</v>
      </c>
      <c r="F3115" s="1" t="s">
        <v>15597</v>
      </c>
      <c r="G3115" s="1" t="s">
        <v>15595</v>
      </c>
      <c r="H3115" s="1" t="str">
        <f>IFERROR(__xludf.DUMMYFUNCTION("GOOGLETRANSLATE(D3115,""EN"",""JA"")"),"微生物IC95参照コントロール結果")</f>
        <v>微生物IC95参照コントロール結果</v>
      </c>
      <c r="I3115" s="1" t="str">
        <f>IFERROR(__xludf.DUMMYFUNCTION("GOOGLETRANSLATE(E3115,""EN"",""JA"")"),"IC95参照コントロール結果; 微生物IC95参照コントロール結果")</f>
        <v>IC95参照コントロール結果; 微生物IC95参照コントロール結果</v>
      </c>
      <c r="J3115" s="1" t="str">
        <f>IFERROR(__xludf.DUMMYFUNCTION("GOOGLETRANSLATE(F3115,""EN"",""JA"")"),"微生物の酵素活性を 95 パーセント阻害すると予想される特定の薬剤の濃度に基づいた参照コントロール サンプル応答。")</f>
        <v>微生物の酵素活性を 95 パーセント阻害すると予想される特定の薬剤の濃度に基づいた参照コントロール サンプル応答。</v>
      </c>
      <c r="K3115" s="1" t="str">
        <f>IFERROR(__xludf.DUMMYFUNCTION("GOOGLETRANSLATE(G3115,""EN"",""JA"")"),"微生物IC95参照コントロール結果")</f>
        <v>微生物IC95参照コントロール結果</v>
      </c>
    </row>
    <row r="3116" ht="13.5" customHeight="1">
      <c r="A3116" s="1" t="s">
        <v>7009</v>
      </c>
      <c r="B3116" s="1" t="s">
        <v>15598</v>
      </c>
      <c r="C3116" s="1" t="s">
        <v>15599</v>
      </c>
      <c r="D3116" s="1" t="s">
        <v>15600</v>
      </c>
      <c r="E3116" s="1" t="s">
        <v>15601</v>
      </c>
      <c r="F3116" s="1" t="s">
        <v>15602</v>
      </c>
      <c r="G3116" s="1" t="s">
        <v>15600</v>
      </c>
      <c r="H3116" s="1" t="str">
        <f>IFERROR(__xludf.DUMMYFUNCTION("GOOGLETRANSLATE(D3116,""EN"",""JA"")"),"微生物IC95被験者結果")</f>
        <v>微生物IC95被験者結果</v>
      </c>
      <c r="I3116" s="1" t="str">
        <f>IFERROR(__xludf.DUMMYFUNCTION("GOOGLETRANSLATE(E3116,""EN"",""JA"")"),"IC95 被験者結果; 微生物 IC95 被験者結果")</f>
        <v>IC95 被験者結果; 微生物 IC95 被験者結果</v>
      </c>
      <c r="J3116" s="1" t="str">
        <f>IFERROR(__xludf.DUMMYFUNCTION("GOOGLETRANSLATE(F3116,""EN"",""JA"")"),"微生物の酵素活性を 95 パーセント阻害すると予測される特定の薬剤の濃度に曝露された微生物の生物学的/生化学的反応の測定値。")</f>
        <v>微生物の酵素活性を 95 パーセント阻害すると予測される特定の薬剤の濃度に曝露された微生物の生物学的/生化学的反応の測定値。</v>
      </c>
      <c r="K3116" s="1" t="str">
        <f>IFERROR(__xludf.DUMMYFUNCTION("GOOGLETRANSLATE(G3116,""EN"",""JA"")"),"微生物IC95被験者結果")</f>
        <v>微生物IC95被験者結果</v>
      </c>
    </row>
    <row r="3117" ht="13.5" customHeight="1">
      <c r="A3117" s="1" t="s">
        <v>11</v>
      </c>
      <c r="B3117" s="1" t="s">
        <v>15603</v>
      </c>
      <c r="C3117" s="1" t="s">
        <v>15604</v>
      </c>
      <c r="D3117" s="1" t="s">
        <v>15605</v>
      </c>
      <c r="E3117" s="1" t="s">
        <v>15605</v>
      </c>
      <c r="F3117" s="1" t="s">
        <v>15606</v>
      </c>
      <c r="G3117" s="1" t="s">
        <v>15607</v>
      </c>
      <c r="H3117" s="1" t="str">
        <f>IFERROR(__xludf.DUMMYFUNCTION("GOOGLETRANSLATE(D3117,""EN"",""JA"")"),"MHCクラスI鎖関連タンパク質A")</f>
        <v>MHCクラスI鎖関連タンパク質A</v>
      </c>
      <c r="I3117" s="1" t="str">
        <f>IFERROR(__xludf.DUMMYFUNCTION("GOOGLETRANSLATE(E3117,""EN"",""JA"")"),"MHCクラスI鎖関連タンパク質A")</f>
        <v>MHCクラスI鎖関連タンパク質A</v>
      </c>
      <c r="J3117" s="1" t="str">
        <f>IFERROR(__xludf.DUMMYFUNCTION("GOOGLETRANSLATE(F3117,""EN"",""JA"")"),"生物標本中の MHC クラス I 鎖関連タンパク質 A の測定。")</f>
        <v>生物標本中の MHC クラス I 鎖関連タンパク質 A の測定。</v>
      </c>
      <c r="K3117" s="1" t="str">
        <f>IFERROR(__xludf.DUMMYFUNCTION("GOOGLETRANSLATE(G3117,""EN"",""JA"")"),"MHCクラスI鎖関連タンパク質A測定")</f>
        <v>MHCクラスI鎖関連タンパク質A測定</v>
      </c>
    </row>
    <row r="3118" ht="13.5" customHeight="1">
      <c r="A3118" s="1" t="s">
        <v>11</v>
      </c>
      <c r="B3118" s="1" t="s">
        <v>15608</v>
      </c>
      <c r="C3118" s="1" t="s">
        <v>15609</v>
      </c>
      <c r="D3118" s="1" t="s">
        <v>15610</v>
      </c>
      <c r="E3118" s="1" t="s">
        <v>15610</v>
      </c>
      <c r="F3118" s="1" t="s">
        <v>15611</v>
      </c>
      <c r="G3118" s="1" t="s">
        <v>15612</v>
      </c>
      <c r="H3118" s="1" t="str">
        <f>IFERROR(__xludf.DUMMYFUNCTION("GOOGLETRANSLATE(D3118,""EN"",""JA"")"),"小赤血球")</f>
        <v>小赤血球</v>
      </c>
      <c r="I3118" s="1" t="str">
        <f>IFERROR(__xludf.DUMMYFUNCTION("GOOGLETRANSLATE(E3118,""EN"",""JA"")"),"小赤血球")</f>
        <v>小赤血球</v>
      </c>
      <c r="J3118" s="1" t="str">
        <f>IFERROR(__xludf.DUMMYFUNCTION("GOOGLETRANSLATE(F3118,""EN"",""JA"")"),"生物標本内の小赤血球の測定。")</f>
        <v>生物標本内の小赤血球の測定。</v>
      </c>
      <c r="K3118" s="1" t="str">
        <f>IFERROR(__xludf.DUMMYFUNCTION("GOOGLETRANSLATE(G3118,""EN"",""JA"")"),"小赤血球数")</f>
        <v>小赤血球数</v>
      </c>
    </row>
    <row r="3119" ht="13.5" customHeight="1">
      <c r="A3119" s="1" t="s">
        <v>7009</v>
      </c>
      <c r="B3119" s="1" t="s">
        <v>15613</v>
      </c>
      <c r="C3119" s="1" t="s">
        <v>15614</v>
      </c>
      <c r="D3119" s="1" t="s">
        <v>15615</v>
      </c>
      <c r="E3119" s="1" t="s">
        <v>15615</v>
      </c>
      <c r="F3119" s="1" t="s">
        <v>15616</v>
      </c>
      <c r="G3119" s="1" t="s">
        <v>15617</v>
      </c>
      <c r="H3119" s="1" t="str">
        <f>IFERROR(__xludf.DUMMYFUNCTION("GOOGLETRANSLATE(D3119,""EN"",""JA"")"),"微生物感受性")</f>
        <v>微生物感受性</v>
      </c>
      <c r="I3119" s="1" t="str">
        <f>IFERROR(__xludf.DUMMYFUNCTION("GOOGLETRANSLATE(E3119,""EN"",""JA"")"),"微生物感受性")</f>
        <v>微生物感受性</v>
      </c>
      <c r="J3119" s="1" t="str">
        <f>IFERROR(__xludf.DUMMYFUNCTION("GOOGLETRANSLATE(F3119,""EN"",""JA"")"),"抗菌剤に対する微生物の反応の表現型または遺伝子型の評価。")</f>
        <v>抗菌剤に対する微生物の反応の表現型または遺伝子型の評価。</v>
      </c>
      <c r="K3119" s="1" t="str">
        <f>IFERROR(__xludf.DUMMYFUNCTION("GOOGLETRANSLATE(G3119,""EN"",""JA"")"),"微生物感受性試験")</f>
        <v>微生物感受性試験</v>
      </c>
    </row>
    <row r="3120" ht="13.5" customHeight="1">
      <c r="A3120" s="1" t="s">
        <v>11</v>
      </c>
      <c r="B3120" s="1" t="s">
        <v>15618</v>
      </c>
      <c r="C3120" s="1" t="s">
        <v>15619</v>
      </c>
      <c r="D3120" s="1" t="s">
        <v>15620</v>
      </c>
      <c r="E3120" s="1" t="s">
        <v>15621</v>
      </c>
      <c r="F3120" s="1" t="s">
        <v>15622</v>
      </c>
      <c r="G3120" s="1" t="s">
        <v>15623</v>
      </c>
      <c r="H3120" s="1" t="str">
        <f>IFERROR(__xludf.DUMMYFUNCTION("GOOGLETRANSLATE(D3120,""EN"",""JA"")"),"中細胞分画")</f>
        <v>中細胞分画</v>
      </c>
      <c r="I3120" s="1" t="str">
        <f>IFERROR(__xludf.DUMMYFUNCTION("GOOGLETRANSLATE(E3120,""EN"",""JA"")"),"中細胞分率; 中細胞")</f>
        <v>中細胞分率; 中細胞</v>
      </c>
      <c r="J3120" s="1" t="str">
        <f>IFERROR(__xludf.DUMMYFUNCTION("GOOGLETRANSLATE(F3120,""EN"",""JA"")"),"生物学的標本中の好酸球、好塩基球、単球、その他の白血球前駆細胞を含む中間細胞分画の測定。")</f>
        <v>生物学的標本中の好酸球、好塩基球、単球、その他の白血球前駆細胞を含む中間細胞分画の測定。</v>
      </c>
      <c r="K3120" s="1" t="str">
        <f>IFERROR(__xludf.DUMMYFUNCTION("GOOGLETRANSLATE(G3120,""EN"",""JA"")"),"中細胞分率測定")</f>
        <v>中細胞分率測定</v>
      </c>
    </row>
    <row r="3121" ht="13.5" customHeight="1">
      <c r="A3121" s="1" t="s">
        <v>134</v>
      </c>
      <c r="B3121" s="1" t="s">
        <v>15624</v>
      </c>
      <c r="C3121" s="1" t="s">
        <v>15625</v>
      </c>
      <c r="D3121" s="1" t="s">
        <v>15626</v>
      </c>
      <c r="E3121" s="1" t="s">
        <v>15626</v>
      </c>
      <c r="F3121" s="1" t="s">
        <v>15627</v>
      </c>
      <c r="G3121" s="1" t="s">
        <v>15626</v>
      </c>
      <c r="H3121" s="1" t="str">
        <f>IFERROR(__xludf.DUMMYFUNCTION("GOOGLETRANSLATE(D3121,""EN"",""JA"")"),"顕微鏡検査")</f>
        <v>顕微鏡検査</v>
      </c>
      <c r="I3121" s="1" t="str">
        <f>IFERROR(__xludf.DUMMYFUNCTION("GOOGLETRANSLATE(E3121,""EN"",""JA"")"),"顕微鏡検査")</f>
        <v>顕微鏡検査</v>
      </c>
      <c r="J3121" s="1" t="str">
        <f>IFERROR(__xludf.DUMMYFUNCTION("GOOGLETRANSLATE(F3121,""EN"",""JA"")"),"顕微鏡（光学、電子、共焦点など）による評価。")</f>
        <v>顕微鏡（光学、電子、共焦点など）による評価。</v>
      </c>
      <c r="K3121" s="1" t="str">
        <f>IFERROR(__xludf.DUMMYFUNCTION("GOOGLETRANSLATE(G3121,""EN"",""JA"")"),"顕微鏡検査")</f>
        <v>顕微鏡検査</v>
      </c>
    </row>
    <row r="3122" ht="13.5" customHeight="1">
      <c r="A3122" s="1" t="s">
        <v>601</v>
      </c>
      <c r="B3122" s="1" t="s">
        <v>15628</v>
      </c>
      <c r="C3122" s="1" t="s">
        <v>15629</v>
      </c>
      <c r="D3122" s="1" t="s">
        <v>15630</v>
      </c>
      <c r="E3122" s="1" t="s">
        <v>15630</v>
      </c>
      <c r="F3122" s="1" t="s">
        <v>15631</v>
      </c>
      <c r="G3122" s="1" t="s">
        <v>15630</v>
      </c>
      <c r="H3122" s="1" t="str">
        <f>IFERROR(__xludf.DUMMYFUNCTION("GOOGLETRANSLATE(D3122,""EN"",""JA"")"),"軍の地位")</f>
        <v>軍の地位</v>
      </c>
      <c r="I3122" s="1" t="str">
        <f>IFERROR(__xludf.DUMMYFUNCTION("GOOGLETRANSLATE(E3122,""EN"",""JA"")"),"軍の地位")</f>
        <v>軍の地位</v>
      </c>
      <c r="J3122" s="1" t="str">
        <f>IFERROR(__xludf.DUMMYFUNCTION("GOOGLETRANSLATE(F3122,""EN"",""JA"")"),"兵役に関する個人の地位。")</f>
        <v>兵役に関する個人の地位。</v>
      </c>
      <c r="K3122" s="1" t="str">
        <f>IFERROR(__xludf.DUMMYFUNCTION("GOOGLETRANSLATE(G3122,""EN"",""JA"")"),"軍の地位")</f>
        <v>軍の地位</v>
      </c>
    </row>
    <row r="3123" ht="13.5" customHeight="1">
      <c r="A3123" s="1" t="s">
        <v>90</v>
      </c>
      <c r="B3123" s="1" t="s">
        <v>15632</v>
      </c>
      <c r="C3123" s="1" t="s">
        <v>15633</v>
      </c>
      <c r="D3123" s="1" t="s">
        <v>15634</v>
      </c>
      <c r="E3123" s="1" t="s">
        <v>15634</v>
      </c>
      <c r="F3123" s="1" t="s">
        <v>15635</v>
      </c>
      <c r="G3123" s="1" t="s">
        <v>15634</v>
      </c>
      <c r="H3123" s="1" t="str">
        <f>IFERROR(__xludf.DUMMYFUNCTION("GOOGLETRANSLATE(D3123,""EN"",""JA"")"),"最小血管内腔径")</f>
        <v>最小血管内腔径</v>
      </c>
      <c r="I3123" s="1" t="str">
        <f>IFERROR(__xludf.DUMMYFUNCTION("GOOGLETRANSLATE(E3123,""EN"",""JA"")"),"最小血管内腔径")</f>
        <v>最小血管内腔径</v>
      </c>
      <c r="J3123" s="1" t="str">
        <f>IFERROR(__xludf.DUMMYFUNCTION("GOOGLETRANSLATE(F3123,""EN"",""JA"")"),"血管内部（内腔）の最小直径を一回の観察で定量的に算出します。")</f>
        <v>血管内部（内腔）の最小直径を一回の観察で定量的に算出します。</v>
      </c>
      <c r="K3123" s="1" t="str">
        <f>IFERROR(__xludf.DUMMYFUNCTION("GOOGLETRANSLATE(G3123,""EN"",""JA"")"),"最小血管内腔径")</f>
        <v>最小血管内腔径</v>
      </c>
    </row>
    <row r="3124" ht="13.5" customHeight="1">
      <c r="A3124" s="1" t="s">
        <v>580</v>
      </c>
      <c r="B3124" s="1" t="s">
        <v>15636</v>
      </c>
      <c r="C3124" s="1" t="s">
        <v>15637</v>
      </c>
      <c r="D3124" s="1" t="s">
        <v>15638</v>
      </c>
      <c r="E3124" s="1" t="s">
        <v>15639</v>
      </c>
      <c r="F3124" s="1" t="s">
        <v>15640</v>
      </c>
      <c r="G3124" s="1" t="s">
        <v>15638</v>
      </c>
      <c r="H3124" s="1" t="str">
        <f>IFERROR(__xludf.DUMMYFUNCTION("GOOGLETRANSLATE(D3124,""EN"",""JA"")"),"最大吸気圧")</f>
        <v>最大吸気圧</v>
      </c>
      <c r="I3124" s="1" t="str">
        <f>IFERROR(__xludf.DUMMYFUNCTION("GOOGLETRANSLATE(E3124,""EN"",""JA"")"),"最大吸気圧; 吸気陰圧; NIF")</f>
        <v>最大吸気圧; 吸気陰圧; NIF</v>
      </c>
      <c r="J3124" s="1" t="str">
        <f>IFERROR(__xludf.DUMMYFUNCTION("GOOGLETRANSLATE(F3124,""EN"",""JA"")"),"完全に閉塞した気道に対して吸入時に発生する最大圧力。呼吸筋の強さを測定するために使用されます。(NCI)")</f>
        <v>完全に閉塞した気道に対して吸入時に発生する最大圧力。呼吸筋の強さを測定するために使用されます。(NCI)</v>
      </c>
      <c r="K3124" s="1" t="str">
        <f>IFERROR(__xludf.DUMMYFUNCTION("GOOGLETRANSLATE(G3124,""EN"",""JA"")"),"最大吸気圧")</f>
        <v>最大吸気圧</v>
      </c>
    </row>
    <row r="3125" ht="13.5" customHeight="1">
      <c r="A3125" s="1" t="s">
        <v>11</v>
      </c>
      <c r="B3125" s="1" t="s">
        <v>15641</v>
      </c>
      <c r="C3125" s="1" t="s">
        <v>15642</v>
      </c>
      <c r="D3125" s="1" t="s">
        <v>15643</v>
      </c>
      <c r="E3125" s="1" t="s">
        <v>15643</v>
      </c>
      <c r="F3125" s="1" t="s">
        <v>15644</v>
      </c>
      <c r="G3125" s="1" t="s">
        <v>15645</v>
      </c>
      <c r="H3125" s="1" t="str">
        <f>IFERROR(__xludf.DUMMYFUNCTION("GOOGLETRANSLATE(D3125,""EN"",""JA"")"),"マクロファージ炎症性タンパク質1")</f>
        <v>マクロファージ炎症性タンパク質1</v>
      </c>
      <c r="I3125" s="1" t="str">
        <f>IFERROR(__xludf.DUMMYFUNCTION("GOOGLETRANSLATE(E3125,""EN"",""JA"")"),"マクロファージ炎症性タンパク質1")</f>
        <v>マクロファージ炎症性タンパク質1</v>
      </c>
      <c r="J3125" s="1" t="str">
        <f>IFERROR(__xludf.DUMMYFUNCTION("GOOGLETRANSLATE(F3125,""EN"",""JA"")"),"生物標本中のマクロファージ炎症性タンパク質 1 の総量の測定。")</f>
        <v>生物標本中のマクロファージ炎症性タンパク質 1 の総量の測定。</v>
      </c>
      <c r="K3125" s="1" t="str">
        <f>IFERROR(__xludf.DUMMYFUNCTION("GOOGLETRANSLATE(G3125,""EN"",""JA"")"),"マクロファージ炎症性タンパク質1の測定")</f>
        <v>マクロファージ炎症性タンパク質1の測定</v>
      </c>
    </row>
    <row r="3126" ht="13.5" customHeight="1">
      <c r="A3126" s="1" t="s">
        <v>11</v>
      </c>
      <c r="B3126" s="1" t="s">
        <v>15646</v>
      </c>
      <c r="C3126" s="1" t="s">
        <v>15647</v>
      </c>
      <c r="D3126" s="1" t="s">
        <v>15648</v>
      </c>
      <c r="E3126" s="1" t="s">
        <v>15649</v>
      </c>
      <c r="F3126" s="1" t="s">
        <v>15650</v>
      </c>
      <c r="G3126" s="1" t="s">
        <v>15651</v>
      </c>
      <c r="H3126" s="1" t="str">
        <f>IFERROR(__xludf.DUMMYFUNCTION("GOOGLETRANSLATE(D3126,""EN"",""JA"")"),"マクロファージ炎症性タンパク質1アルファ")</f>
        <v>マクロファージ炎症性タンパク質1アルファ</v>
      </c>
      <c r="I3126" s="1" t="str">
        <f>IFERROR(__xludf.DUMMYFUNCTION("GOOGLETRANSLATE(E3126,""EN"",""JA"")"),"ケモカインリガンド3; マクロファージ炎症性タンパク質1アルファ")</f>
        <v>ケモカインリガンド3; マクロファージ炎症性タンパク質1アルファ</v>
      </c>
      <c r="J3126" s="1" t="str">
        <f>IFERROR(__xludf.DUMMYFUNCTION("GOOGLETRANSLATE(F3126,""EN"",""JA"")"),"生物標本中のマクロファージ炎症性タンパク質 1 アルファの測定。")</f>
        <v>生物標本中のマクロファージ炎症性タンパク質 1 アルファの測定。</v>
      </c>
      <c r="K3126" s="1" t="str">
        <f>IFERROR(__xludf.DUMMYFUNCTION("GOOGLETRANSLATE(G3126,""EN"",""JA"")"),"マクロファージ炎症性タンパク質1α測定")</f>
        <v>マクロファージ炎症性タンパク質1α測定</v>
      </c>
    </row>
    <row r="3127" ht="13.5" customHeight="1">
      <c r="A3127" s="1" t="s">
        <v>11</v>
      </c>
      <c r="B3127" s="1" t="s">
        <v>15652</v>
      </c>
      <c r="C3127" s="1" t="s">
        <v>15653</v>
      </c>
      <c r="D3127" s="1" t="s">
        <v>15654</v>
      </c>
      <c r="E3127" s="1" t="s">
        <v>15655</v>
      </c>
      <c r="F3127" s="1" t="s">
        <v>15656</v>
      </c>
      <c r="G3127" s="1" t="s">
        <v>15657</v>
      </c>
      <c r="H3127" s="1" t="str">
        <f>IFERROR(__xludf.DUMMYFUNCTION("GOOGLETRANSLATE(D3127,""EN"",""JA"")"),"マクロファージ炎症性タンパク質1ベータ")</f>
        <v>マクロファージ炎症性タンパク質1ベータ</v>
      </c>
      <c r="I3127" s="1" t="str">
        <f>IFERROR(__xludf.DUMMYFUNCTION("GOOGLETRANSLATE(E3127,""EN"",""JA"")"),"ケモカインリガンド4; マクロファージ炎症性タンパク質1ベータ")</f>
        <v>ケモカインリガンド4; マクロファージ炎症性タンパク質1ベータ</v>
      </c>
      <c r="J3127" s="1" t="str">
        <f>IFERROR(__xludf.DUMMYFUNCTION("GOOGLETRANSLATE(F3127,""EN"",""JA"")"),"生物標本中のマクロファージ炎症性タンパク質 1 ベータの測定。")</f>
        <v>生物標本中のマクロファージ炎症性タンパク質 1 ベータの測定。</v>
      </c>
      <c r="K3127" s="1" t="str">
        <f>IFERROR(__xludf.DUMMYFUNCTION("GOOGLETRANSLATE(G3127,""EN"",""JA"")"),"マクロファージ炎症性タンパク質1ベータ測定")</f>
        <v>マクロファージ炎症性タンパク質1ベータ測定</v>
      </c>
    </row>
    <row r="3128" ht="13.5" customHeight="1">
      <c r="A3128" s="1" t="s">
        <v>11</v>
      </c>
      <c r="B3128" s="1" t="s">
        <v>15658</v>
      </c>
      <c r="C3128" s="1" t="s">
        <v>15659</v>
      </c>
      <c r="D3128" s="1" t="s">
        <v>15660</v>
      </c>
      <c r="E3128" s="1" t="s">
        <v>15660</v>
      </c>
      <c r="F3128" s="1" t="s">
        <v>15661</v>
      </c>
      <c r="G3128" s="1" t="s">
        <v>15662</v>
      </c>
      <c r="H3128" s="1" t="str">
        <f>IFERROR(__xludf.DUMMYFUNCTION("GOOGLETRANSLATE(D3128,""EN"",""JA"")"),"マクロファージ炎症性タンパク質1ガンマ")</f>
        <v>マクロファージ炎症性タンパク質1ガンマ</v>
      </c>
      <c r="I3128" s="1" t="str">
        <f>IFERROR(__xludf.DUMMYFUNCTION("GOOGLETRANSLATE(E3128,""EN"",""JA"")"),"マクロファージ炎症性タンパク質1ガンマ")</f>
        <v>マクロファージ炎症性タンパク質1ガンマ</v>
      </c>
      <c r="J3128" s="1" t="str">
        <f>IFERROR(__xludf.DUMMYFUNCTION("GOOGLETRANSLATE(F3128,""EN"",""JA"")"),"生物標本中のマクロファージ炎症性タンパク質 1 ガンマの測定。")</f>
        <v>生物標本中のマクロファージ炎症性タンパク質 1 ガンマの測定。</v>
      </c>
      <c r="K3128" s="1" t="str">
        <f>IFERROR(__xludf.DUMMYFUNCTION("GOOGLETRANSLATE(G3128,""EN"",""JA"")"),"マクロファージ炎症性タンパク質1ガンマ測定")</f>
        <v>マクロファージ炎症性タンパク質1ガンマ測定</v>
      </c>
    </row>
    <row r="3129" ht="13.5" customHeight="1">
      <c r="A3129" s="1" t="s">
        <v>580</v>
      </c>
      <c r="B3129" s="1" t="s">
        <v>15663</v>
      </c>
      <c r="C3129" s="1" t="s">
        <v>15664</v>
      </c>
      <c r="D3129" s="1" t="s">
        <v>15665</v>
      </c>
      <c r="E3129" s="1" t="s">
        <v>15665</v>
      </c>
      <c r="F3129" s="1" t="s">
        <v>15666</v>
      </c>
      <c r="G3129" s="1" t="s">
        <v>15667</v>
      </c>
      <c r="H3129" s="1" t="str">
        <f>IFERROR(__xludf.DUMMYFUNCTION("GOOGLETRANSLATE(D3129,""EN"",""JA"")"),"予測MIPの割合")</f>
        <v>予測MIPの割合</v>
      </c>
      <c r="I3129" s="1" t="str">
        <f>IFERROR(__xludf.DUMMYFUNCTION("GOOGLETRANSLATE(E3129,""EN"",""JA"")"),"予測MIPの割合")</f>
        <v>予測MIPの割合</v>
      </c>
      <c r="J3129" s="1" t="str">
        <f>IFERROR(__xludf.DUMMYFUNCTION("GOOGLETRANSLATE(F3129,""EN"",""JA"")"),"完全に閉塞した気道に対して吸入時に発生する最大圧力。予測される正常値の割合として表される呼吸筋の強さを測定するために使用されます。(NCI)")</f>
        <v>完全に閉塞した気道に対して吸入時に発生する最大圧力。予測される正常値の割合として表される呼吸筋の強さを測定するために使用されます。(NCI)</v>
      </c>
      <c r="K3129" s="1" t="str">
        <f>IFERROR(__xludf.DUMMYFUNCTION("GOOGLETRANSLATE(G3129,""EN"",""JA"")"),"予測最大吸気圧のパーセント")</f>
        <v>予測最大吸気圧のパーセント</v>
      </c>
    </row>
    <row r="3130" ht="13.5" customHeight="1">
      <c r="A3130" s="1" t="s">
        <v>134</v>
      </c>
      <c r="B3130" s="1" t="s">
        <v>15668</v>
      </c>
      <c r="C3130" s="1" t="s">
        <v>15669</v>
      </c>
      <c r="D3130" s="1" t="s">
        <v>15670</v>
      </c>
      <c r="E3130" s="1" t="s">
        <v>15671</v>
      </c>
      <c r="F3130" s="1" t="s">
        <v>15672</v>
      </c>
      <c r="G3130" s="1" t="s">
        <v>15673</v>
      </c>
      <c r="H3130" s="1" t="str">
        <f>IFERROR(__xludf.DUMMYFUNCTION("GOOGLETRANSLATE(D3130,""EN"",""JA"")"),"有糸分裂像")</f>
        <v>有糸分裂像</v>
      </c>
      <c r="I3130" s="1" t="str">
        <f>IFERROR(__xludf.DUMMYFUNCTION("GOOGLETRANSLATE(E3130,""EN"",""JA"")"),"有糸分裂像; 有糸分裂像")</f>
        <v>有糸分裂像; 有糸分裂像</v>
      </c>
      <c r="J3130" s="1" t="str">
        <f>IFERROR(__xludf.DUMMYFUNCTION("GOOGLETRANSLATE(F3130,""EN"",""JA"")"),"生物標本中の有糸分裂像を含む細胞の測定。")</f>
        <v>生物標本中の有糸分裂像を含む細胞の測定。</v>
      </c>
      <c r="K3130" s="1" t="str">
        <f>IFERROR(__xludf.DUMMYFUNCTION("GOOGLETRANSLATE(G3130,""EN"",""JA"")"),"有糸分裂像の評価")</f>
        <v>有糸分裂像の評価</v>
      </c>
    </row>
    <row r="3131" ht="13.5" customHeight="1">
      <c r="A3131" s="1" t="s">
        <v>134</v>
      </c>
      <c r="B3131" s="1" t="s">
        <v>15674</v>
      </c>
      <c r="C3131" s="1" t="s">
        <v>15675</v>
      </c>
      <c r="D3131" s="1" t="s">
        <v>15676</v>
      </c>
      <c r="E3131" s="1" t="s">
        <v>15677</v>
      </c>
      <c r="F3131" s="1" t="s">
        <v>15678</v>
      </c>
      <c r="G3131" s="1" t="s">
        <v>15679</v>
      </c>
      <c r="H3131" s="1" t="str">
        <f>IFERROR(__xludf.DUMMYFUNCTION("GOOGLETRANSLATE(D3131,""EN"",""JA"")"),"有糸分裂スコア")</f>
        <v>有糸分裂スコア</v>
      </c>
      <c r="I3131" s="1" t="str">
        <f>IFERROR(__xludf.DUMMYFUNCTION("GOOGLETRANSLATE(E3131,""EN"",""JA"")"),"有糸分裂カウントスコア; 有糸分裂スコア")</f>
        <v>有糸分裂カウントスコア; 有糸分裂スコア</v>
      </c>
      <c r="J3131" s="1" t="str">
        <f>IFERROR(__xludf.DUMMYFUNCTION("GOOGLETRANSLATE(F3131,""EN"",""JA"")"),"生物標本における有糸分裂スコアの評価。")</f>
        <v>生物標本における有糸分裂スコアの評価。</v>
      </c>
      <c r="K3131" s="1" t="str">
        <f>IFERROR(__xludf.DUMMYFUNCTION("GOOGLETRANSLATE(G3131,""EN"",""JA"")"),"有糸分裂率スコア")</f>
        <v>有糸分裂率スコア</v>
      </c>
    </row>
    <row r="3132" ht="13.5" customHeight="1">
      <c r="A3132" s="1" t="s">
        <v>90</v>
      </c>
      <c r="B3132" s="1" t="s">
        <v>15680</v>
      </c>
      <c r="C3132" s="1" t="s">
        <v>15681</v>
      </c>
      <c r="D3132" s="1" t="s">
        <v>15682</v>
      </c>
      <c r="E3132" s="1" t="s">
        <v>15682</v>
      </c>
      <c r="F3132" s="1" t="s">
        <v>15683</v>
      </c>
      <c r="G3132" s="1" t="s">
        <v>15682</v>
      </c>
      <c r="H3132" s="1" t="str">
        <f>IFERROR(__xludf.DUMMYFUNCTION("GOOGLETRANSLATE(D3132,""EN"",""JA"")"),"僧帽弁E/A比")</f>
        <v>僧帽弁E/A比</v>
      </c>
      <c r="I3132" s="1" t="str">
        <f>IFERROR(__xludf.DUMMYFUNCTION("GOOGLETRANSLATE(E3132,""EN"",""JA"")"),"僧帽弁E/A比")</f>
        <v>僧帽弁E/A比</v>
      </c>
      <c r="J3132" s="1" t="str">
        <f>IFERROR(__xludf.DUMMYFUNCTION("GOOGLETRANSLATE(F3132,""EN"",""JA"")"),"心室拡張期早期（E）のピーク伝導速度と心室拡張期後期（A）のピーク伝導速度の比。")</f>
        <v>心室拡張期早期（E）のピーク伝導速度と心室拡張期後期（A）のピーク伝導速度の比。</v>
      </c>
      <c r="K3132" s="1" t="str">
        <f>IFERROR(__xludf.DUMMYFUNCTION("GOOGLETRANSLATE(G3132,""EN"",""JA"")"),"僧帽弁E/A比")</f>
        <v>僧帽弁E/A比</v>
      </c>
    </row>
    <row r="3133" ht="13.5" customHeight="1">
      <c r="A3133" s="1" t="s">
        <v>90</v>
      </c>
      <c r="B3133" s="1" t="s">
        <v>15684</v>
      </c>
      <c r="C3133" s="1" t="s">
        <v>15685</v>
      </c>
      <c r="D3133" s="1" t="s">
        <v>15686</v>
      </c>
      <c r="E3133" s="1" t="s">
        <v>15686</v>
      </c>
      <c r="F3133" s="1" t="s">
        <v>15687</v>
      </c>
      <c r="G3133" s="1" t="s">
        <v>15686</v>
      </c>
      <c r="H3133" s="1" t="str">
        <f>IFERROR(__xludf.DUMMYFUNCTION("GOOGLETRANSLATE(D3133,""EN"",""JA"")"),"僧帽弁E/e'比")</f>
        <v>僧帽弁E/e'比</v>
      </c>
      <c r="I3133" s="1" t="str">
        <f>IFERROR(__xludf.DUMMYFUNCTION("GOOGLETRANSLATE(E3133,""EN"",""JA"")"),"僧帽弁E/e'比")</f>
        <v>僧帽弁E/e'比</v>
      </c>
      <c r="J3133" s="1" t="str">
        <f>IFERROR(__xludf.DUMMYFUNCTION("GOOGLETRANSLATE(F3133,""EN"",""JA"")"),"心室拡張期（E）のピーク早期伝播速度と僧帽弁輪運動のピーク早期速度（e'）の比。")</f>
        <v>心室拡張期（E）のピーク早期伝播速度と僧帽弁輪運動のピーク早期速度（e'）の比。</v>
      </c>
      <c r="K3133" s="1" t="str">
        <f>IFERROR(__xludf.DUMMYFUNCTION("GOOGLETRANSLATE(G3133,""EN"",""JA"")"),"僧帽弁E/e'比")</f>
        <v>僧帽弁E/e'比</v>
      </c>
    </row>
    <row r="3134" ht="13.5" customHeight="1">
      <c r="A3134" s="1" t="s">
        <v>90</v>
      </c>
      <c r="B3134" s="1" t="s">
        <v>15688</v>
      </c>
      <c r="C3134" s="1" t="s">
        <v>15689</v>
      </c>
      <c r="D3134" s="1" t="s">
        <v>15690</v>
      </c>
      <c r="E3134" s="1" t="s">
        <v>15691</v>
      </c>
      <c r="F3134" s="1" t="s">
        <v>15692</v>
      </c>
      <c r="G3134" s="1" t="s">
        <v>15693</v>
      </c>
      <c r="H3134" s="1" t="str">
        <f>IFERROR(__xludf.DUMMYFUNCTION("GOOGLETRANSLATE(D3134,""EN"",""JA"")"),"長軸断面積直径")</f>
        <v>長軸断面積直径</v>
      </c>
      <c r="I3134" s="1" t="str">
        <f>IFERROR(__xludf.DUMMYFUNCTION("GOOGLETRANSLATE(E3134,""EN"",""JA"")"),"長軸断面直径; 長軸断面直径")</f>
        <v>長軸断面直径; 長軸断面直径</v>
      </c>
      <c r="J3134" s="1" t="str">
        <f>IFERROR(__xludf.DUMMYFUNCTION("GOOGLETRANSLATE(F3134,""EN"",""JA"")"),"組織、臓器、または構造の主軸に沿って測定された断面の直径。(NCI)")</f>
        <v>組織、臓器、または構造の主軸に沿って測定された断面の直径。(NCI)</v>
      </c>
      <c r="K3134" s="1" t="str">
        <f>IFERROR(__xludf.DUMMYFUNCTION("GOOGLETRANSLATE(G3134,""EN"",""JA"")"),"長軸断面直径")</f>
        <v>長軸断面直径</v>
      </c>
    </row>
    <row r="3135" ht="13.5" customHeight="1">
      <c r="A3135" s="1" t="s">
        <v>90</v>
      </c>
      <c r="B3135" s="1" t="s">
        <v>15694</v>
      </c>
      <c r="C3135" s="1" t="s">
        <v>15695</v>
      </c>
      <c r="D3135" s="1" t="s">
        <v>15696</v>
      </c>
      <c r="E3135" s="1" t="s">
        <v>15697</v>
      </c>
      <c r="F3135" s="1" t="s">
        <v>15698</v>
      </c>
      <c r="G3135" s="1" t="s">
        <v>15699</v>
      </c>
      <c r="H3135" s="1" t="str">
        <f>IFERROR(__xludf.DUMMYFUNCTION("GOOGLETRANSLATE(D3135,""EN"",""JA"")"),"長軸交差秒直径、EVD")</f>
        <v>長軸交差秒直径、EVD</v>
      </c>
      <c r="I3135" s="1" t="str">
        <f>IFERROR(__xludf.DUMMYFUNCTION("GOOGLETRANSLATE(E3135,""EN"",""JA"")"),"主軸断面積、EVD; 主軸断面積、心室拡張末期")</f>
        <v>主軸断面積、EVD; 主軸断面積、心室拡張末期</v>
      </c>
      <c r="J3135" s="1" t="str">
        <f>IFERROR(__xludf.DUMMYFUNCTION("GOOGLETRANSLATE(F3135,""EN"",""JA"")"),"心室拡張期末期の主軸に沿って測定された心血管構造の断面直径。")</f>
        <v>心室拡張期末期の主軸に沿って測定された心血管構造の断面直径。</v>
      </c>
      <c r="K3135" s="1" t="str">
        <f>IFERROR(__xludf.DUMMYFUNCTION("GOOGLETRANSLATE(G3135,""EN"",""JA"")"),"心室拡張末期における長軸断面直径")</f>
        <v>心室拡張末期における長軸断面直径</v>
      </c>
    </row>
    <row r="3136" ht="13.5" customHeight="1">
      <c r="A3136" s="1" t="s">
        <v>90</v>
      </c>
      <c r="B3136" s="1" t="s">
        <v>15700</v>
      </c>
      <c r="C3136" s="1" t="s">
        <v>15701</v>
      </c>
      <c r="D3136" s="1" t="s">
        <v>15702</v>
      </c>
      <c r="E3136" s="1" t="s">
        <v>15703</v>
      </c>
      <c r="F3136" s="1" t="s">
        <v>15704</v>
      </c>
      <c r="G3136" s="1" t="s">
        <v>15705</v>
      </c>
      <c r="H3136" s="1" t="str">
        <f>IFERROR(__xludf.DUMMYFUNCTION("GOOGLETRANSLATE(D3136,""EN"",""JA"")"),"長軸交差秒直径、EVS")</f>
        <v>長軸交差秒直径、EVS</v>
      </c>
      <c r="I3136" s="1" t="str">
        <f>IFERROR(__xludf.DUMMYFUNCTION("GOOGLETRANSLATE(E3136,""EN"",""JA"")"),"主軸断面積、EVS; 主軸断面積、心室収縮終期")</f>
        <v>主軸断面積、EVS; 主軸断面積、心室収縮終期</v>
      </c>
      <c r="J3136" s="1" t="str">
        <f>IFERROR(__xludf.DUMMYFUNCTION("GOOGLETRANSLATE(F3136,""EN"",""JA"")"),"心室収縮末期の主軸に沿って測定された心血管構造の断面直径。")</f>
        <v>心室収縮末期の主軸に沿って測定された心血管構造の断面直径。</v>
      </c>
      <c r="K3136" s="1" t="str">
        <f>IFERROR(__xludf.DUMMYFUNCTION("GOOGLETRANSLATE(G3136,""EN"",""JA"")"),"心室収縮終期における長軸断面直径")</f>
        <v>心室収縮終期における長軸断面直径</v>
      </c>
    </row>
    <row r="3137" ht="13.5" customHeight="1">
      <c r="A3137" s="1" t="s">
        <v>90</v>
      </c>
      <c r="B3137" s="1" t="s">
        <v>15706</v>
      </c>
      <c r="C3137" s="1" t="s">
        <v>15707</v>
      </c>
      <c r="D3137" s="1" t="s">
        <v>15708</v>
      </c>
      <c r="E3137" s="1" t="s">
        <v>15709</v>
      </c>
      <c r="F3137" s="1" t="s">
        <v>15710</v>
      </c>
      <c r="G3137" s="1" t="s">
        <v>15711</v>
      </c>
      <c r="H3137" s="1" t="str">
        <f>IFERROR(__xludf.DUMMYFUNCTION("GOOGLETRANSLATE(D3137,""EN"",""JA"")"),"長軸断面積、MVS")</f>
        <v>長軸断面積、MVS</v>
      </c>
      <c r="I3137" s="1" t="str">
        <f>IFERROR(__xludf.DUMMYFUNCTION("GOOGLETRANSLATE(E3137,""EN"",""JA"")"),"主軸断面積、MVS; 主軸断面積、心室収縮期中期")</f>
        <v>主軸断面積、MVS; 主軸断面積、心室収縮期中期</v>
      </c>
      <c r="J3137" s="1" t="str">
        <f>IFERROR(__xludf.DUMMYFUNCTION("GOOGLETRANSLATE(F3137,""EN"",""JA"")"),"心室収縮期中期における主軸に沿って測定された心血管構造の断面直径。")</f>
        <v>心室収縮期中期における主軸に沿って測定された心血管構造の断面直径。</v>
      </c>
      <c r="K3137" s="1" t="str">
        <f>IFERROR(__xludf.DUMMYFUNCTION("GOOGLETRANSLATE(G3137,""EN"",""JA"")"),"心室収縮期中期における長軸断面直径")</f>
        <v>心室収縮期中期における長軸断面直径</v>
      </c>
    </row>
    <row r="3138" ht="13.5" customHeight="1">
      <c r="A3138" s="1" t="s">
        <v>90</v>
      </c>
      <c r="B3138" s="1" t="s">
        <v>15712</v>
      </c>
      <c r="C3138" s="1" t="s">
        <v>15713</v>
      </c>
      <c r="D3138" s="1" t="s">
        <v>15714</v>
      </c>
      <c r="E3138" s="1" t="s">
        <v>15715</v>
      </c>
      <c r="F3138" s="1" t="s">
        <v>15716</v>
      </c>
      <c r="G3138" s="1" t="s">
        <v>15717</v>
      </c>
      <c r="H3138" s="1" t="str">
        <f>IFERROR(__xludf.DUMMYFUNCTION("GOOGLETRANSLATE(D3138,""EN"",""JA"")"),"長軸内径、EVD")</f>
        <v>長軸内径、EVD</v>
      </c>
      <c r="I3138" s="1" t="str">
        <f>IFERROR(__xludf.DUMMYFUNCTION("GOOGLETRANSLATE(E3138,""EN"",""JA"")"),"心室拡張末期の長軸内径；心室中隔延長の長軸内径")</f>
        <v>心室拡張末期の長軸内径；心室中隔延長の長軸内径</v>
      </c>
      <c r="J3138" s="1" t="str">
        <f>IFERROR(__xludf.DUMMYFUNCTION("GOOGLETRANSLATE(F3138,""EN"",""JA"")"),"心室拡張期末期に主軸に沿って測定された心血管構造の内径。")</f>
        <v>心室拡張期末期に主軸に沿って測定された心血管構造の内径。</v>
      </c>
      <c r="K3138" s="1" t="str">
        <f>IFERROR(__xludf.DUMMYFUNCTION("GOOGLETRANSLATE(G3138,""EN"",""JA"")"),"心室拡張末期における長軸内径")</f>
        <v>心室拡張末期における長軸内径</v>
      </c>
    </row>
    <row r="3139" ht="13.5" customHeight="1">
      <c r="A3139" s="1" t="s">
        <v>90</v>
      </c>
      <c r="B3139" s="1" t="s">
        <v>15718</v>
      </c>
      <c r="C3139" s="1" t="s">
        <v>15719</v>
      </c>
      <c r="D3139" s="1" t="s">
        <v>15720</v>
      </c>
      <c r="E3139" s="1" t="s">
        <v>15721</v>
      </c>
      <c r="F3139" s="1" t="s">
        <v>15722</v>
      </c>
      <c r="G3139" s="1" t="s">
        <v>15723</v>
      </c>
      <c r="H3139" s="1" t="str">
        <f>IFERROR(__xludf.DUMMYFUNCTION("GOOGLETRANSLATE(D3139,""EN"",""JA"")"),"長軸内径、EVS")</f>
        <v>長軸内径、EVS</v>
      </c>
      <c r="I3139" s="1" t="str">
        <f>IFERROR(__xludf.DUMMYFUNCTION("GOOGLETRANSLATE(E3139,""EN"",""JA"")"),"心室収縮末期の長軸内径; 心室中隔延長部の長軸内径")</f>
        <v>心室収縮末期の長軸内径; 心室中隔延長部の長軸内径</v>
      </c>
      <c r="J3139" s="1" t="str">
        <f>IFERROR(__xludf.DUMMYFUNCTION("GOOGLETRANSLATE(F3139,""EN"",""JA"")"),"心室収縮末期に主軸に沿って測定された心血管構造の内径。")</f>
        <v>心室収縮末期に主軸に沿って測定された心血管構造の内径。</v>
      </c>
      <c r="K3139" s="1" t="str">
        <f>IFERROR(__xludf.DUMMYFUNCTION("GOOGLETRANSLATE(G3139,""EN"",""JA"")"),"心室収縮末期における長軸内径")</f>
        <v>心室収縮末期における長軸内径</v>
      </c>
    </row>
    <row r="3140" ht="13.5" customHeight="1">
      <c r="A3140" s="1" t="s">
        <v>1342</v>
      </c>
      <c r="B3140" s="1" t="s">
        <v>15724</v>
      </c>
      <c r="C3140" s="1" t="s">
        <v>15725</v>
      </c>
      <c r="D3140" s="1" t="s">
        <v>15726</v>
      </c>
      <c r="E3140" s="1" t="s">
        <v>15726</v>
      </c>
      <c r="F3140" s="1" t="s">
        <v>15727</v>
      </c>
      <c r="G3140" s="1" t="s">
        <v>15726</v>
      </c>
      <c r="H3140" s="1" t="str">
        <f>IFERROR(__xludf.DUMMYFUNCTION("GOOGLETRANSLATE(D3140,""EN"",""JA"")"),"主要病理学的反応指標")</f>
        <v>主要病理学的反応指標</v>
      </c>
      <c r="I3140" s="1" t="str">
        <f>IFERROR(__xludf.DUMMYFUNCTION("GOOGLETRANSLATE(E3140,""EN"",""JA"")"),"主要病理学的反応指標")</f>
        <v>主要病理学的反応指標</v>
      </c>
      <c r="J3140" s="1" t="str">
        <f>IFERROR(__xludf.DUMMYFUNCTION("GOOGLETRANSLATE(F3140,""EN"",""JA"")"),"重大な病理学的反応が発生したかどうかを示す指標。")</f>
        <v>重大な病理学的反応が発生したかどうかを示す指標。</v>
      </c>
      <c r="K3140" s="1" t="str">
        <f>IFERROR(__xludf.DUMMYFUNCTION("GOOGLETRANSLATE(G3140,""EN"",""JA"")"),"主要病理学的反応指標")</f>
        <v>主要病理学的反応指標</v>
      </c>
    </row>
    <row r="3141" ht="13.5" customHeight="1">
      <c r="A3141" s="1" t="s">
        <v>67</v>
      </c>
      <c r="B3141" s="1" t="s">
        <v>15728</v>
      </c>
      <c r="C3141" s="1" t="s">
        <v>15729</v>
      </c>
      <c r="D3141" s="1" t="s">
        <v>15730</v>
      </c>
      <c r="E3141" s="1" t="s">
        <v>15730</v>
      </c>
      <c r="F3141" s="1" t="s">
        <v>15731</v>
      </c>
      <c r="G3141" s="1" t="s">
        <v>15732</v>
      </c>
      <c r="H3141" s="1" t="str">
        <f>IFERROR(__xludf.DUMMYFUNCTION("GOOGLETRANSLATE(D3141,""EN"",""JA"")"),"マイコバクテリウム・カンサシ")</f>
        <v>マイコバクテリウム・カンサシ</v>
      </c>
      <c r="I3141" s="1" t="str">
        <f>IFERROR(__xludf.DUMMYFUNCTION("GOOGLETRANSLATE(E3141,""EN"",""JA"")"),"マイコバクテリウム・カンサシ")</f>
        <v>マイコバクテリウム・カンサシ</v>
      </c>
      <c r="J3141" s="1" t="str">
        <f>IFERROR(__xludf.DUMMYFUNCTION("GOOGLETRANSLATE(F3141,""EN"",""JA"")"),"生物標本中の Mycobacterium kansasii の測定。")</f>
        <v>生物標本中の Mycobacterium kansasii の測定。</v>
      </c>
      <c r="K3141" s="1" t="str">
        <f>IFERROR(__xludf.DUMMYFUNCTION("GOOGLETRANSLATE(G3141,""EN"",""JA"")"),"マイコバクテリウム・カンサシ測定")</f>
        <v>マイコバクテリウム・カンサシ測定</v>
      </c>
    </row>
    <row r="3142" ht="13.5" customHeight="1">
      <c r="A3142" s="1" t="s">
        <v>11</v>
      </c>
      <c r="B3142" s="1" t="s">
        <v>15733</v>
      </c>
      <c r="C3142" s="1" t="s">
        <v>15734</v>
      </c>
      <c r="D3142" s="1" t="s">
        <v>15735</v>
      </c>
      <c r="E3142" s="1" t="s">
        <v>15736</v>
      </c>
      <c r="F3142" s="1" t="s">
        <v>15737</v>
      </c>
      <c r="G3142" s="1" t="s">
        <v>15738</v>
      </c>
      <c r="H3142" s="1" t="str">
        <f>IFERROR(__xludf.DUMMYFUNCTION("GOOGLETRANSLATE(D3142,""EN"",""JA"")"),"巨核球と巨核芽球のモルフ")</f>
        <v>巨核球と巨核芽球のモルフ</v>
      </c>
      <c r="I3142" s="1" t="str">
        <f>IFERROR(__xludf.DUMMYFUNCTION("GOOGLETRANSLATE(E3142,""EN"",""JA"")"),"巨核球と巨核芽球の形態; 巨核球と巨核芽球の形態学")</f>
        <v>巨核球と巨核芽球の形態; 巨核球と巨核芽球の形態学</v>
      </c>
      <c r="J3142" s="1" t="str">
        <f>IFERROR(__xludf.DUMMYFUNCTION("GOOGLETRANSLATE(F3142,""EN"",""JA"")"),"巨核芽球および巨核球の形状および構造の検査または評価。")</f>
        <v>巨核芽球および巨核球の形状および構造の検査または評価。</v>
      </c>
      <c r="K3142" s="1" t="str">
        <f>IFERROR(__xludf.DUMMYFUNCTION("GOOGLETRANSLATE(G3142,""EN"",""JA"")"),"巨核球および巨核芽球の形態評価")</f>
        <v>巨核球および巨核芽球の形態評価</v>
      </c>
    </row>
    <row r="3143" ht="13.5" customHeight="1">
      <c r="A3143" s="1" t="s">
        <v>134</v>
      </c>
      <c r="B3143" s="1" t="s">
        <v>15739</v>
      </c>
      <c r="C3143" s="1" t="s">
        <v>15740</v>
      </c>
      <c r="D3143" s="1" t="s">
        <v>15741</v>
      </c>
      <c r="E3143" s="1" t="s">
        <v>15741</v>
      </c>
      <c r="F3143" s="1" t="s">
        <v>15742</v>
      </c>
      <c r="G3143" s="1" t="s">
        <v>15743</v>
      </c>
      <c r="H3143" s="1" t="str">
        <f>IFERROR(__xludf.DUMMYFUNCTION("GOOGLETRANSLATE(D3143,""EN"",""JA"")"),"巨核球の増殖")</f>
        <v>巨核球の増殖</v>
      </c>
      <c r="I3143" s="1" t="str">
        <f>IFERROR(__xludf.DUMMYFUNCTION("GOOGLETRANSLATE(E3143,""EN"",""JA"")"),"巨核球の増殖")</f>
        <v>巨核球の増殖</v>
      </c>
      <c r="J3143" s="1" t="str">
        <f>IFERROR(__xludf.DUMMYFUNCTION("GOOGLETRANSLATE(F3143,""EN"",""JA"")"),"生物標本における巨核球増殖の評価。")</f>
        <v>生物標本における巨核球増殖の評価。</v>
      </c>
      <c r="K3143" s="1" t="str">
        <f>IFERROR(__xludf.DUMMYFUNCTION("GOOGLETRANSLATE(G3143,""EN"",""JA"")"),"巨核球増殖測定")</f>
        <v>巨核球増殖測定</v>
      </c>
    </row>
    <row r="3144" ht="13.5" customHeight="1">
      <c r="A3144" s="1" t="s">
        <v>1034</v>
      </c>
      <c r="B3144" s="1" t="s">
        <v>15744</v>
      </c>
      <c r="C3144" s="1" t="s">
        <v>15745</v>
      </c>
      <c r="D3144" s="1" t="s">
        <v>15746</v>
      </c>
      <c r="E3144" s="1" t="s">
        <v>15746</v>
      </c>
      <c r="F3144" s="1" t="s">
        <v>15747</v>
      </c>
      <c r="G3144" s="1" t="s">
        <v>15748</v>
      </c>
      <c r="H3144" s="1" t="str">
        <f>IFERROR(__xludf.DUMMYFUNCTION("GOOGLETRANSLATE(D3144,""EN"",""JA"")"),"筋骨格系検査")</f>
        <v>筋骨格系検査</v>
      </c>
      <c r="I3144" s="1" t="str">
        <f>IFERROR(__xludf.DUMMYFUNCTION("GOOGLETRANSLATE(E3144,""EN"",""JA"")"),"筋骨格系検査")</f>
        <v>筋骨格系検査</v>
      </c>
      <c r="J3144" s="1" t="str">
        <f>IFERROR(__xludf.DUMMYFUNCTION("GOOGLETRANSLATE(F3144,""EN"",""JA"")"),"筋骨格系の観察、評価、または検査。")</f>
        <v>筋骨格系の観察、評価、または検査。</v>
      </c>
      <c r="K3144" s="1" t="str">
        <f>IFERROR(__xludf.DUMMYFUNCTION("GOOGLETRANSLATE(G3144,""EN"",""JA"")"),"筋骨格検査")</f>
        <v>筋骨格検査</v>
      </c>
    </row>
    <row r="3145" ht="13.5" customHeight="1">
      <c r="A3145" s="1" t="s">
        <v>134</v>
      </c>
      <c r="B3145" s="1" t="s">
        <v>15749</v>
      </c>
      <c r="C3145" s="1" t="s">
        <v>15750</v>
      </c>
      <c r="D3145" s="1" t="s">
        <v>15751</v>
      </c>
      <c r="E3145" s="1" t="s">
        <v>15752</v>
      </c>
      <c r="F3145" s="1" t="s">
        <v>15753</v>
      </c>
      <c r="G3145" s="1" t="s">
        <v>15754</v>
      </c>
      <c r="H3145" s="1" t="str">
        <f>IFERROR(__xludf.DUMMYFUNCTION("GOOGLETRANSLATE(D3145,""EN"",""JA"")"),"メランA")</f>
        <v>メランA</v>
      </c>
      <c r="I3145" s="1" t="str">
        <f>IFERROR(__xludf.DUMMYFUNCTION("GOOGLETRANSLATE(E3145,""EN"",""JA"")"),"MART1; Melan-A; T細胞によって認識されるメラノーマ抗原1")</f>
        <v>MART1; Melan-A; T細胞によって認識されるメラノーマ抗原1</v>
      </c>
      <c r="J3145" s="1" t="str">
        <f>IFERROR(__xludf.DUMMYFUNCTION("GOOGLETRANSLATE(F3145,""EN"",""JA"")"),"生物標本中のメランAの測定。")</f>
        <v>生物標本中のメランAの測定。</v>
      </c>
      <c r="K3145" s="1" t="str">
        <f>IFERROR(__xludf.DUMMYFUNCTION("GOOGLETRANSLATE(G3145,""EN"",""JA"")"),"MART-1抗原測定")</f>
        <v>MART-1抗原測定</v>
      </c>
    </row>
    <row r="3146" ht="13.5" customHeight="1">
      <c r="A3146" s="1" t="s">
        <v>11</v>
      </c>
      <c r="B3146" s="1" t="s">
        <v>15755</v>
      </c>
      <c r="C3146" s="1" t="s">
        <v>15756</v>
      </c>
      <c r="D3146" s="1" t="s">
        <v>15757</v>
      </c>
      <c r="E3146" s="1" t="s">
        <v>15757</v>
      </c>
      <c r="F3146" s="1" t="s">
        <v>15758</v>
      </c>
      <c r="G3146" s="1" t="s">
        <v>15759</v>
      </c>
      <c r="H3146" s="1" t="str">
        <f>IFERROR(__xludf.DUMMYFUNCTION("GOOGLETRANSLATE(D3146,""EN"",""JA"")"),"メラトニン")</f>
        <v>メラトニン</v>
      </c>
      <c r="I3146" s="1" t="str">
        <f>IFERROR(__xludf.DUMMYFUNCTION("GOOGLETRANSLATE(E3146,""EN"",""JA"")"),"メラトニン")</f>
        <v>メラトニン</v>
      </c>
      <c r="J3146" s="1" t="str">
        <f>IFERROR(__xludf.DUMMYFUNCTION("GOOGLETRANSLATE(F3146,""EN"",""JA"")"),"生物標本中のメラトニン ホルモンの測定。")</f>
        <v>生物標本中のメラトニン ホルモンの測定。</v>
      </c>
      <c r="K3146" s="1" t="str">
        <f>IFERROR(__xludf.DUMMYFUNCTION("GOOGLETRANSLATE(G3146,""EN"",""JA"")"),"メラトニン測定")</f>
        <v>メラトニン測定</v>
      </c>
    </row>
    <row r="3147" ht="13.5" customHeight="1">
      <c r="A3147" s="1" t="s">
        <v>1997</v>
      </c>
      <c r="B3147" s="1" t="s">
        <v>15760</v>
      </c>
      <c r="C3147" s="1" t="s">
        <v>15761</v>
      </c>
      <c r="D3147" s="1" t="s">
        <v>15762</v>
      </c>
      <c r="E3147" s="1" t="s">
        <v>15762</v>
      </c>
      <c r="F3147" s="1" t="s">
        <v>15763</v>
      </c>
      <c r="G3147" s="1" t="s">
        <v>15762</v>
      </c>
      <c r="H3147" s="1" t="str">
        <f>IFERROR(__xludf.DUMMYFUNCTION("GOOGLETRANSLATE(D3147,""EN"",""JA"")"),"縁辺縁距離")</f>
        <v>縁辺縁距離</v>
      </c>
      <c r="I3147" s="1" t="str">
        <f>IFERROR(__xludf.DUMMYFUNCTION("GOOGLETRANSLATE(E3147,""EN"",""JA"")"),"縁辺縁距離")</f>
        <v>縁辺縁距離</v>
      </c>
      <c r="J3147" s="1" t="str">
        <f>IFERROR(__xludf.DUMMYFUNCTION("GOOGLETRANSLATE(F3147,""EN"",""JA"")"),"患者の視線を上に向けた状態で、下眼瞼輪部から上眼瞼の中央縁までの距離を測定します。")</f>
        <v>患者の視線を上に向けた状態で、下眼瞼輪部から上眼瞼の中央縁までの距離を測定します。</v>
      </c>
      <c r="K3147" s="1" t="str">
        <f>IFERROR(__xludf.DUMMYFUNCTION("GOOGLETRANSLATE(G3147,""EN"",""JA"")"),"縁辺縁距離")</f>
        <v>縁辺縁距離</v>
      </c>
    </row>
    <row r="3148" ht="13.5" customHeight="1">
      <c r="A3148" s="1" t="s">
        <v>134</v>
      </c>
      <c r="B3148" s="1" t="s">
        <v>15764</v>
      </c>
      <c r="C3148" s="1" t="s">
        <v>15765</v>
      </c>
      <c r="D3148" s="1" t="s">
        <v>15766</v>
      </c>
      <c r="E3148" s="1" t="s">
        <v>15766</v>
      </c>
      <c r="F3148" s="1" t="s">
        <v>15767</v>
      </c>
      <c r="G3148" s="1" t="s">
        <v>15768</v>
      </c>
      <c r="H3148" s="1" t="str">
        <f>IFERROR(__xludf.DUMMYFUNCTION("GOOGLETRANSLATE(D3148,""EN"",""JA"")"),"MutLホモログ1")</f>
        <v>MutLホモログ1</v>
      </c>
      <c r="I3148" s="1" t="str">
        <f>IFERROR(__xludf.DUMMYFUNCTION("GOOGLETRANSLATE(E3148,""EN"",""JA"")"),"MutLホモログ1")</f>
        <v>MutLホモログ1</v>
      </c>
      <c r="J3148" s="1" t="str">
        <f>IFERROR(__xludf.DUMMYFUNCTION("GOOGLETRANSLATE(F3148,""EN"",""JA"")"),"生物学的標本中の MLH1 ミスマッチ修復タンパク質の測定。")</f>
        <v>生物学的標本中の MLH1 ミスマッチ修復タンパク質の測定。</v>
      </c>
      <c r="K3148" s="1" t="str">
        <f>IFERROR(__xludf.DUMMYFUNCTION("GOOGLETRANSLATE(G3148,""EN"",""JA"")"),"MutLホモログ1の測定")</f>
        <v>MutLホモログ1の測定</v>
      </c>
    </row>
    <row r="3149" ht="13.5" customHeight="1">
      <c r="A3149" s="1" t="s">
        <v>134</v>
      </c>
      <c r="B3149" s="1" t="s">
        <v>15769</v>
      </c>
      <c r="C3149" s="1" t="s">
        <v>15770</v>
      </c>
      <c r="D3149" s="1" t="s">
        <v>15771</v>
      </c>
      <c r="E3149" s="1" t="s">
        <v>15771</v>
      </c>
      <c r="F3149" s="1" t="s">
        <v>15772</v>
      </c>
      <c r="G3149" s="1" t="s">
        <v>15773</v>
      </c>
      <c r="H3149" s="1" t="str">
        <f>IFERROR(__xludf.DUMMYFUNCTION("GOOGLETRANSLATE(D3149,""EN"",""JA"")"),"MutLホモログ3")</f>
        <v>MutLホモログ3</v>
      </c>
      <c r="I3149" s="1" t="str">
        <f>IFERROR(__xludf.DUMMYFUNCTION("GOOGLETRANSLATE(E3149,""EN"",""JA"")"),"MutLホモログ3")</f>
        <v>MutLホモログ3</v>
      </c>
      <c r="J3149" s="1" t="str">
        <f>IFERROR(__xludf.DUMMYFUNCTION("GOOGLETRANSLATE(F3149,""EN"",""JA"")"),"生物学的標本中の MLH3 ミスマッチ修復タンパク質の測定。")</f>
        <v>生物学的標本中の MLH3 ミスマッチ修復タンパク質の測定。</v>
      </c>
      <c r="K3149" s="1" t="str">
        <f>IFERROR(__xludf.DUMMYFUNCTION("GOOGLETRANSLATE(G3149,""EN"",""JA"")"),"MutLホモログ3の測定")</f>
        <v>MutLホモログ3の測定</v>
      </c>
    </row>
    <row r="3150" ht="13.5" customHeight="1">
      <c r="A3150" s="1" t="s">
        <v>11</v>
      </c>
      <c r="B3150" s="1" t="s">
        <v>15774</v>
      </c>
      <c r="C3150" s="1" t="s">
        <v>15775</v>
      </c>
      <c r="D3150" s="1" t="s">
        <v>15776</v>
      </c>
      <c r="E3150" s="1" t="s">
        <v>15776</v>
      </c>
      <c r="F3150" s="1" t="s">
        <v>15777</v>
      </c>
      <c r="G3150" s="1" t="s">
        <v>15778</v>
      </c>
      <c r="H3150" s="1" t="str">
        <f>IFERROR(__xludf.DUMMYFUNCTION("GOOGLETRANSLATE(D3150,""EN"",""JA"")"),"悪性細胞、NOS")</f>
        <v>悪性細胞、NOS</v>
      </c>
      <c r="I3150" s="1" t="str">
        <f>IFERROR(__xludf.DUMMYFUNCTION("GOOGLETRANSLATE(E3150,""EN"",""JA"")"),"悪性細胞、NOS")</f>
        <v>悪性細胞、NOS</v>
      </c>
      <c r="J3150" s="1" t="str">
        <f>IFERROR(__xludf.DUMMYFUNCTION("GOOGLETRANSLATE(F3150,""EN"",""JA"")"),"生物標本中のあらゆる種類の悪性細胞の測定。")</f>
        <v>生物標本中のあらゆる種類の悪性細胞の測定。</v>
      </c>
      <c r="K3150" s="1" t="str">
        <f>IFERROR(__xludf.DUMMYFUNCTION("GOOGLETRANSLATE(G3150,""EN"",""JA"")"),"悪性細胞数")</f>
        <v>悪性細胞数</v>
      </c>
    </row>
    <row r="3151" ht="13.5" customHeight="1">
      <c r="A3151" s="1" t="s">
        <v>11</v>
      </c>
      <c r="B3151" s="1" t="s">
        <v>15779</v>
      </c>
      <c r="C3151" s="1" t="s">
        <v>15780</v>
      </c>
      <c r="D3151" s="1" t="s">
        <v>15781</v>
      </c>
      <c r="E3151" s="1" t="s">
        <v>15781</v>
      </c>
      <c r="F3151" s="1" t="s">
        <v>15782</v>
      </c>
      <c r="G3151" s="1" t="s">
        <v>15783</v>
      </c>
      <c r="H3151" s="1" t="str">
        <f>IFERROR(__xludf.DUMMYFUNCTION("GOOGLETRANSLATE(D3151,""EN"",""JA"")"),"悪性細胞、NOS/血液細胞")</f>
        <v>悪性細胞、NOS/血液細胞</v>
      </c>
      <c r="I3151" s="1" t="str">
        <f>IFERROR(__xludf.DUMMYFUNCTION("GOOGLETRANSLATE(E3151,""EN"",""JA"")"),"悪性細胞、NOS/血液細胞")</f>
        <v>悪性細胞、NOS/血液細胞</v>
      </c>
      <c r="J3151" s="1" t="str">
        <f>IFERROR(__xludf.DUMMYFUNCTION("GOOGLETRANSLATE(F3151,""EN"",""JA"")"),"生物標本中のすべての血液細胞に対するすべての種類の悪性細胞の相対的な測定値 (比率またはパーセンテージ)。")</f>
        <v>生物標本中のすべての血液細胞に対するすべての種類の悪性細胞の相対的な測定値 (比率またはパーセンテージ)。</v>
      </c>
      <c r="K3151" s="1" t="str">
        <f>IFERROR(__xludf.DUMMYFUNCTION("GOOGLETRANSLATE(G3151,""EN"",""JA"")"),"悪性細胞と血球の比率測定")</f>
        <v>悪性細胞と血球の比率測定</v>
      </c>
    </row>
    <row r="3152" ht="13.5" customHeight="1">
      <c r="A3152" s="1" t="s">
        <v>11</v>
      </c>
      <c r="B3152" s="1" t="s">
        <v>15784</v>
      </c>
      <c r="C3152" s="1" t="s">
        <v>15785</v>
      </c>
      <c r="D3152" s="1" t="s">
        <v>15786</v>
      </c>
      <c r="E3152" s="1" t="s">
        <v>15786</v>
      </c>
      <c r="F3152" s="1" t="s">
        <v>15787</v>
      </c>
      <c r="G3152" s="1" t="s">
        <v>15788</v>
      </c>
      <c r="H3152" s="1" t="str">
        <f>IFERROR(__xludf.DUMMYFUNCTION("GOOGLETRANSLATE(D3152,""EN"",""JA"")"),"ミルナシプラン")</f>
        <v>ミルナシプラン</v>
      </c>
      <c r="I3152" s="1" t="str">
        <f>IFERROR(__xludf.DUMMYFUNCTION("GOOGLETRANSLATE(E3152,""EN"",""JA"")"),"ミルナシプラン")</f>
        <v>ミルナシプラン</v>
      </c>
      <c r="J3152" s="1" t="str">
        <f>IFERROR(__xludf.DUMMYFUNCTION("GOOGLETRANSLATE(F3152,""EN"",""JA"")"),"生物標本中のミルナシプランの測定。")</f>
        <v>生物標本中のミルナシプランの測定。</v>
      </c>
      <c r="K3152" s="1" t="str">
        <f>IFERROR(__xludf.DUMMYFUNCTION("GOOGLETRANSLATE(G3152,""EN"",""JA"")"),"ミルナシプラン測定")</f>
        <v>ミルナシプラン測定</v>
      </c>
    </row>
    <row r="3153" ht="13.5" customHeight="1">
      <c r="A3153" s="1" t="s">
        <v>11</v>
      </c>
      <c r="B3153" s="1" t="s">
        <v>15789</v>
      </c>
      <c r="C3153" s="1" t="s">
        <v>15790</v>
      </c>
      <c r="D3153" s="1" t="s">
        <v>15791</v>
      </c>
      <c r="E3153" s="1" t="s">
        <v>15792</v>
      </c>
      <c r="F3153" s="1" t="s">
        <v>15793</v>
      </c>
      <c r="G3153" s="1" t="s">
        <v>15794</v>
      </c>
      <c r="H3153" s="1" t="str">
        <f>IFERROR(__xludf.DUMMYFUNCTION("GOOGLETRANSLATE(D3153,""EN"",""JA"")"),"混合リンパ球反応")</f>
        <v>混合リンパ球反応</v>
      </c>
      <c r="I3153" s="1" t="str">
        <f>IFERROR(__xludf.DUMMYFUNCTION("GOOGLETRANSLATE(E3153,""EN"",""JA"")"),"混合白血球反応; 混合リンパ球反応")</f>
        <v>混合白血球反応; 混合リンパ球反応</v>
      </c>
      <c r="J3153" s="1" t="str">
        <f>IFERROR(__xludf.DUMMYFUNCTION("GOOGLETRANSLATE(F3153,""EN"",""JA"")"),"2 人の別々の個人から採取した 2 つのリンパ球集団間の HL-A 遺伝子座における組織適合性の測定。")</f>
        <v>2 人の別々の個人から採取した 2 つのリンパ球集団間の HL-A 遺伝子座における組織適合性の測定。</v>
      </c>
      <c r="K3153" s="1" t="str">
        <f>IFERROR(__xludf.DUMMYFUNCTION("GOOGLETRANSLATE(G3153,""EN"",""JA"")"),"混合リンパ球反応試験")</f>
        <v>混合リンパ球反応試験</v>
      </c>
    </row>
    <row r="3154" ht="13.5" customHeight="1">
      <c r="A3154" s="1" t="s">
        <v>160</v>
      </c>
      <c r="B3154" s="1" t="s">
        <v>15795</v>
      </c>
      <c r="C3154" s="1" t="s">
        <v>15796</v>
      </c>
      <c r="D3154" s="1" t="s">
        <v>15797</v>
      </c>
      <c r="E3154" s="1" t="s">
        <v>15798</v>
      </c>
      <c r="F3154" s="1" t="s">
        <v>15799</v>
      </c>
      <c r="G3154" s="1" t="s">
        <v>15797</v>
      </c>
      <c r="H3154" s="1" t="str">
        <f>IFERROR(__xludf.DUMMYFUNCTION("GOOGLETRANSLATE(D3154,""EN"",""JA"")"),"胞状奇胎妊娠指標")</f>
        <v>胞状奇胎妊娠指標</v>
      </c>
      <c r="I3154" s="1" t="str">
        <f>IFERROR(__xludf.DUMMYFUNCTION("GOOGLETRANSLATE(E3154,""EN"",""JA"")"),"胞状奇胎の指標; 胞状奇胎妊娠の指標")</f>
        <v>胞状奇胎の指標; 胞状奇胎妊娠の指標</v>
      </c>
      <c r="J3154" s="1" t="str">
        <f>IFERROR(__xludf.DUMMYFUNCTION("GOOGLETRANSLATE(F3154,""EN"",""JA"")"),"胞状奇胎（胞状奇胎）が発生したかどうかを示します。")</f>
        <v>胞状奇胎（胞状奇胎）が発生したかどうかを示します。</v>
      </c>
      <c r="K3154" s="1" t="str">
        <f>IFERROR(__xludf.DUMMYFUNCTION("GOOGLETRANSLATE(G3154,""EN"",""JA"")"),"胞状奇胎妊娠指標")</f>
        <v>胞状奇胎妊娠指標</v>
      </c>
    </row>
    <row r="3155" ht="13.5" customHeight="1">
      <c r="A3155" s="1" t="s">
        <v>11</v>
      </c>
      <c r="B3155" s="1" t="s">
        <v>15800</v>
      </c>
      <c r="C3155" s="1" t="s">
        <v>15801</v>
      </c>
      <c r="D3155" s="1" t="s">
        <v>15802</v>
      </c>
      <c r="E3155" s="1" t="s">
        <v>15803</v>
      </c>
      <c r="F3155" s="1" t="s">
        <v>15804</v>
      </c>
      <c r="G3155" s="1" t="s">
        <v>15805</v>
      </c>
      <c r="H3155" s="1" t="str">
        <f>IFERROR(__xludf.DUMMYFUNCTION("GOOGLETRANSLATE(D3155,""EN"",""JA"")"),"メチルマロン酸")</f>
        <v>メチルマロン酸</v>
      </c>
      <c r="I3155" s="1" t="str">
        <f>IFERROR(__xludf.DUMMYFUNCTION("GOOGLETRANSLATE(E3155,""EN"",""JA"")"),"メチルマロン酸")</f>
        <v>メチルマロン酸</v>
      </c>
      <c r="J3155" s="1" t="str">
        <f>IFERROR(__xludf.DUMMYFUNCTION("GOOGLETRANSLATE(F3155,""EN"",""JA"")"),"生物標本中のメチルマロン酸の測定。")</f>
        <v>生物標本中のメチルマロン酸の測定。</v>
      </c>
      <c r="K3155" s="1" t="str">
        <f>IFERROR(__xludf.DUMMYFUNCTION("GOOGLETRANSLATE(G3155,""EN"",""JA"")"),"メチルマロン酸測定")</f>
        <v>メチルマロン酸測定</v>
      </c>
    </row>
    <row r="3156" ht="13.5" customHeight="1">
      <c r="A3156" s="1" t="s">
        <v>11</v>
      </c>
      <c r="B3156" s="1" t="s">
        <v>15806</v>
      </c>
      <c r="C3156" s="1" t="s">
        <v>15807</v>
      </c>
      <c r="D3156" s="1" t="s">
        <v>15808</v>
      </c>
      <c r="E3156" s="1" t="s">
        <v>15809</v>
      </c>
      <c r="F3156" s="1" t="s">
        <v>15810</v>
      </c>
      <c r="G3156" s="1" t="s">
        <v>15811</v>
      </c>
      <c r="H3156" s="1" t="str">
        <f>IFERROR(__xludf.DUMMYFUNCTION("GOOGLETRANSLATE(D3156,""EN"",""JA"")"),"モノメチルアルギニン")</f>
        <v>モノメチルアルギニン</v>
      </c>
      <c r="I3156" s="1" t="str">
        <f>IFERROR(__xludf.DUMMYFUNCTION("GOOGLETRANSLATE(E3156,""EN"",""JA"")"),"モノメチルアルギニン; チラルギニン")</f>
        <v>モノメチルアルギニン; チラルギニン</v>
      </c>
      <c r="J3156" s="1" t="str">
        <f>IFERROR(__xludf.DUMMYFUNCTION("GOOGLETRANSLATE(F3156,""EN"",""JA"")"),"生物標本中のモノメチルアルギニンの測定。")</f>
        <v>生物標本中のモノメチルアルギニンの測定。</v>
      </c>
      <c r="K3156" s="1" t="str">
        <f>IFERROR(__xludf.DUMMYFUNCTION("GOOGLETRANSLATE(G3156,""EN"",""JA"")"),"モノメチルアルギニン測定")</f>
        <v>モノメチルアルギニン測定</v>
      </c>
    </row>
    <row r="3157" ht="13.5" customHeight="1">
      <c r="A3157" s="1" t="s">
        <v>11</v>
      </c>
      <c r="B3157" s="1" t="s">
        <v>15812</v>
      </c>
      <c r="C3157" s="1" t="s">
        <v>15813</v>
      </c>
      <c r="D3157" s="1" t="s">
        <v>15814</v>
      </c>
      <c r="E3157" s="1" t="s">
        <v>15815</v>
      </c>
      <c r="F3157" s="1" t="s">
        <v>15816</v>
      </c>
      <c r="G3157" s="1" t="s">
        <v>15817</v>
      </c>
      <c r="H3157" s="1" t="str">
        <f>IFERROR(__xludf.DUMMYFUNCTION("GOOGLETRANSLATE(D3157,""EN"",""JA"")"),"マクロファージ遊走阻害因子")</f>
        <v>マクロファージ遊走阻害因子</v>
      </c>
      <c r="I3157" s="1" t="str">
        <f>IFERROR(__xludf.DUMMYFUNCTION("GOOGLETRANSLATE(E3157,""EN"",""JA"")"),"マクロファージ遊走阻止因子; MIF")</f>
        <v>マクロファージ遊走阻止因子; MIF</v>
      </c>
      <c r="J3157" s="1" t="str">
        <f>IFERROR(__xludf.DUMMYFUNCTION("GOOGLETRANSLATE(F3157,""EN"",""JA"")"),"生物標本中のマクロファージ遊走阻害因子の測定。")</f>
        <v>生物標本中のマクロファージ遊走阻害因子の測定。</v>
      </c>
      <c r="K3157" s="1" t="str">
        <f>IFERROR(__xludf.DUMMYFUNCTION("GOOGLETRANSLATE(G3157,""EN"",""JA"")"),"マクロファージ遊走阻止因子測定")</f>
        <v>マクロファージ遊走阻止因子測定</v>
      </c>
    </row>
    <row r="3158" ht="13.5" customHeight="1">
      <c r="A3158" s="1" t="s">
        <v>67</v>
      </c>
      <c r="B3158" s="1" t="s">
        <v>15818</v>
      </c>
      <c r="C3158" s="1" t="s">
        <v>15819</v>
      </c>
      <c r="D3158" s="1" t="s">
        <v>15820</v>
      </c>
      <c r="E3158" s="1" t="s">
        <v>15820</v>
      </c>
      <c r="F3158" s="1" t="s">
        <v>15821</v>
      </c>
      <c r="G3158" s="1" t="s">
        <v>15822</v>
      </c>
      <c r="H3158" s="1" t="str">
        <f>IFERROR(__xludf.DUMMYFUNCTION("GOOGLETRANSLATE(D3158,""EN"",""JA"")"),"モルガネラ・モルガニ")</f>
        <v>モルガネラ・モルガニ</v>
      </c>
      <c r="I3158" s="1" t="str">
        <f>IFERROR(__xludf.DUMMYFUNCTION("GOOGLETRANSLATE(E3158,""EN"",""JA"")"),"モルガネラ・モルガニ")</f>
        <v>モルガネラ・モルガニ</v>
      </c>
      <c r="J3158" s="1" t="str">
        <f>IFERROR(__xludf.DUMMYFUNCTION("GOOGLETRANSLATE(F3158,""EN"",""JA"")"),"生物標本中の Morganella morganii の測定。")</f>
        <v>生物標本中の Morganella morganii の測定。</v>
      </c>
      <c r="K3158" s="1" t="str">
        <f>IFERROR(__xludf.DUMMYFUNCTION("GOOGLETRANSLATE(G3158,""EN"",""JA"")"),"モルガネラ・モルガニ測定")</f>
        <v>モルガネラ・モルガニ測定</v>
      </c>
    </row>
    <row r="3159" ht="13.5" customHeight="1">
      <c r="A3159" s="1" t="s">
        <v>11</v>
      </c>
      <c r="B3159" s="1" t="s">
        <v>15823</v>
      </c>
      <c r="C3159" s="1" t="s">
        <v>15824</v>
      </c>
      <c r="D3159" s="1" t="s">
        <v>15825</v>
      </c>
      <c r="E3159" s="1" t="s">
        <v>15826</v>
      </c>
      <c r="F3159" s="1" t="s">
        <v>15827</v>
      </c>
      <c r="G3159" s="1" t="s">
        <v>15828</v>
      </c>
      <c r="H3159" s="1" t="str">
        <f>IFERROR(__xludf.DUMMYFUNCTION("GOOGLETRANSLATE(D3159,""EN"",""JA"")"),"マトリックスメタロプロテアーゼ1")</f>
        <v>マトリックスメタロプロテアーゼ1</v>
      </c>
      <c r="I3159" s="1" t="str">
        <f>IFERROR(__xludf.DUMMYFUNCTION("GOOGLETRANSLATE(E3159,""EN"",""JA"")"),"間質性コラーゲナーゼ; マトリックスメタロプロテアーゼ1")</f>
        <v>間質性コラーゲナーゼ; マトリックスメタロプロテアーゼ1</v>
      </c>
      <c r="J3159" s="1" t="str">
        <f>IFERROR(__xludf.DUMMYFUNCTION("GOOGLETRANSLATE(F3159,""EN"",""JA"")"),"生物標本中のマトリックスメタロプロテアーゼ 1 の測定。")</f>
        <v>生物標本中のマトリックスメタロプロテアーゼ 1 の測定。</v>
      </c>
      <c r="K3159" s="1" t="str">
        <f>IFERROR(__xludf.DUMMYFUNCTION("GOOGLETRANSLATE(G3159,""EN"",""JA"")"),"マトリックスメタロプロテアーゼ1測定")</f>
        <v>マトリックスメタロプロテアーゼ1測定</v>
      </c>
    </row>
    <row r="3160" ht="13.5" customHeight="1">
      <c r="A3160" s="1" t="s">
        <v>11</v>
      </c>
      <c r="B3160" s="1" t="s">
        <v>15829</v>
      </c>
      <c r="C3160" s="1" t="s">
        <v>15830</v>
      </c>
      <c r="D3160" s="1" t="s">
        <v>15831</v>
      </c>
      <c r="E3160" s="1" t="s">
        <v>15832</v>
      </c>
      <c r="F3160" s="1" t="s">
        <v>15833</v>
      </c>
      <c r="G3160" s="1" t="s">
        <v>15834</v>
      </c>
      <c r="H3160" s="1" t="str">
        <f>IFERROR(__xludf.DUMMYFUNCTION("GOOGLETRANSLATE(D3160,""EN"",""JA"")"),"マトリックスメタロプロテアーゼ10")</f>
        <v>マトリックスメタロプロテアーゼ10</v>
      </c>
      <c r="I3160" s="1" t="str">
        <f>IFERROR(__xludf.DUMMYFUNCTION("GOOGLETRANSLATE(E3160,""EN"",""JA"")"),"マトリックスメタロプロテアーゼ10; ストロメリシン2")</f>
        <v>マトリックスメタロプロテアーゼ10; ストロメリシン2</v>
      </c>
      <c r="J3160" s="1" t="str">
        <f>IFERROR(__xludf.DUMMYFUNCTION("GOOGLETRANSLATE(F3160,""EN"",""JA"")"),"検体中のマトリックスメタロプロテアーゼ 10 の測定。")</f>
        <v>検体中のマトリックスメタロプロテアーゼ 10 の測定。</v>
      </c>
      <c r="K3160" s="1" t="str">
        <f>IFERROR(__xludf.DUMMYFUNCTION("GOOGLETRANSLATE(G3160,""EN"",""JA"")"),"マトリックスメタロプロテアーゼ10測定")</f>
        <v>マトリックスメタロプロテアーゼ10測定</v>
      </c>
    </row>
    <row r="3161" ht="13.5" customHeight="1">
      <c r="A3161" s="1" t="s">
        <v>11</v>
      </c>
      <c r="B3161" s="1" t="s">
        <v>15835</v>
      </c>
      <c r="C3161" s="1" t="s">
        <v>15836</v>
      </c>
      <c r="D3161" s="1" t="s">
        <v>15837</v>
      </c>
      <c r="E3161" s="1" t="s">
        <v>15838</v>
      </c>
      <c r="F3161" s="1" t="s">
        <v>15839</v>
      </c>
      <c r="G3161" s="1" t="s">
        <v>15840</v>
      </c>
      <c r="H3161" s="1" t="str">
        <f>IFERROR(__xludf.DUMMYFUNCTION("GOOGLETRANSLATE(D3161,""EN"",""JA"")"),"マトリックスメタロプロテアーゼ12")</f>
        <v>マトリックスメタロプロテアーゼ12</v>
      </c>
      <c r="I3161" s="1" t="str">
        <f>IFERROR(__xludf.DUMMYFUNCTION("GOOGLETRANSLATE(E3161,""EN"",""JA"")"),"マクロファージエラスターゼ; マクロファージメタロエラスターゼ; マトリックスメタロペプチダーゼ12; マトリックスメタロプロテアーゼ12; MME")</f>
        <v>マクロファージエラスターゼ; マクロファージメタロエラスターゼ; マトリックスメタロペプチダーゼ12; マトリックスメタロプロテアーゼ12; MME</v>
      </c>
      <c r="J3161" s="1" t="str">
        <f>IFERROR(__xludf.DUMMYFUNCTION("GOOGLETRANSLATE(F3161,""EN"",""JA"")"),"検体中のマトリックスメタロプロテアーゼ 12 の測定。")</f>
        <v>検体中のマトリックスメタロプロテアーゼ 12 の測定。</v>
      </c>
      <c r="K3161" s="1" t="str">
        <f>IFERROR(__xludf.DUMMYFUNCTION("GOOGLETRANSLATE(G3161,""EN"",""JA"")"),"マトリックスメタロプロテアーゼ12測定")</f>
        <v>マトリックスメタロプロテアーゼ12測定</v>
      </c>
    </row>
    <row r="3162" ht="13.5" customHeight="1">
      <c r="A3162" s="1" t="s">
        <v>11</v>
      </c>
      <c r="B3162" s="1" t="s">
        <v>15841</v>
      </c>
      <c r="C3162" s="1" t="s">
        <v>15842</v>
      </c>
      <c r="D3162" s="1" t="s">
        <v>15843</v>
      </c>
      <c r="E3162" s="1" t="s">
        <v>15844</v>
      </c>
      <c r="F3162" s="1" t="s">
        <v>15845</v>
      </c>
      <c r="G3162" s="1" t="s">
        <v>15846</v>
      </c>
      <c r="H3162" s="1" t="str">
        <f>IFERROR(__xludf.DUMMYFUNCTION("GOOGLETRANSLATE(D3162,""EN"",""JA"")"),"マトリックスメタロプロテアーゼ13")</f>
        <v>マトリックスメタロプロテアーゼ13</v>
      </c>
      <c r="I3162" s="1" t="str">
        <f>IFERROR(__xludf.DUMMYFUNCTION("GOOGLETRANSLATE(E3162,""EN"",""JA"")"),"CLG3; コラーゲナーゼ3; マトリックスメタロプロテアーゼ13")</f>
        <v>CLG3; コラーゲナーゼ3; マトリックスメタロプロテアーゼ13</v>
      </c>
      <c r="J3162" s="1" t="str">
        <f>IFERROR(__xludf.DUMMYFUNCTION("GOOGLETRANSLATE(F3162,""EN"",""JA"")"),"標本中のマトリックスメタロプロテアーゼ 13 の測定。")</f>
        <v>標本中のマトリックスメタロプロテアーゼ 13 の測定。</v>
      </c>
      <c r="K3162" s="1" t="str">
        <f>IFERROR(__xludf.DUMMYFUNCTION("GOOGLETRANSLATE(G3162,""EN"",""JA"")"),"マトリックスメタロプロテアーゼ13測定")</f>
        <v>マトリックスメタロプロテアーゼ13測定</v>
      </c>
    </row>
    <row r="3163" ht="13.5" customHeight="1">
      <c r="A3163" s="1" t="s">
        <v>11</v>
      </c>
      <c r="B3163" s="1" t="s">
        <v>15847</v>
      </c>
      <c r="C3163" s="1" t="s">
        <v>15848</v>
      </c>
      <c r="D3163" s="1" t="s">
        <v>15849</v>
      </c>
      <c r="E3163" s="1" t="s">
        <v>15850</v>
      </c>
      <c r="F3163" s="1" t="s">
        <v>15851</v>
      </c>
      <c r="G3163" s="1" t="s">
        <v>15852</v>
      </c>
      <c r="H3163" s="1" t="str">
        <f>IFERROR(__xludf.DUMMYFUNCTION("GOOGLETRANSLATE(D3163,""EN"",""JA"")"),"マトリックスメタロプロテアーゼ2")</f>
        <v>マトリックスメタロプロテアーゼ2</v>
      </c>
      <c r="I3163" s="1" t="str">
        <f>IFERROR(__xludf.DUMMYFUNCTION("GOOGLETRANSLATE(E3163,""EN"",""JA"")"),"ゼラチナーゼA; マトリックスメタロプロテアーゼ2")</f>
        <v>ゼラチナーゼA; マトリックスメタロプロテアーゼ2</v>
      </c>
      <c r="J3163" s="1" t="str">
        <f>IFERROR(__xludf.DUMMYFUNCTION("GOOGLETRANSLATE(F3163,""EN"",""JA"")"),"生物標本中のマトリックスメタロプロテアーゼ 2 の測定。")</f>
        <v>生物標本中のマトリックスメタロプロテアーゼ 2 の測定。</v>
      </c>
      <c r="K3163" s="1" t="str">
        <f>IFERROR(__xludf.DUMMYFUNCTION("GOOGLETRANSLATE(G3163,""EN"",""JA"")"),"マトリックスメタロプロテアーゼ2測定")</f>
        <v>マトリックスメタロプロテアーゼ2測定</v>
      </c>
    </row>
    <row r="3164" ht="13.5" customHeight="1">
      <c r="A3164" s="1" t="s">
        <v>11</v>
      </c>
      <c r="B3164" s="1" t="s">
        <v>15853</v>
      </c>
      <c r="C3164" s="1" t="s">
        <v>15854</v>
      </c>
      <c r="D3164" s="1" t="s">
        <v>15855</v>
      </c>
      <c r="E3164" s="1" t="s">
        <v>15856</v>
      </c>
      <c r="F3164" s="1" t="s">
        <v>15857</v>
      </c>
      <c r="G3164" s="1" t="s">
        <v>15858</v>
      </c>
      <c r="H3164" s="1" t="str">
        <f>IFERROR(__xludf.DUMMYFUNCTION("GOOGLETRANSLATE(D3164,""EN"",""JA"")"),"マトリックスメタロプロテアーゼ3")</f>
        <v>マトリックスメタロプロテアーゼ3</v>
      </c>
      <c r="I3164" s="1" t="str">
        <f>IFERROR(__xludf.DUMMYFUNCTION("GOOGLETRANSLATE(E3164,""EN"",""JA"")"),"マトリックスメタロプロテアーゼ3; ストロメリシン1")</f>
        <v>マトリックスメタロプロテアーゼ3; ストロメリシン1</v>
      </c>
      <c r="J3164" s="1" t="str">
        <f>IFERROR(__xludf.DUMMYFUNCTION("GOOGLETRANSLATE(F3164,""EN"",""JA"")"),"生物標本中のマトリックスメタロプロテアーゼ 3 の測定。")</f>
        <v>生物標本中のマトリックスメタロプロテアーゼ 3 の測定。</v>
      </c>
      <c r="K3164" s="1" t="str">
        <f>IFERROR(__xludf.DUMMYFUNCTION("GOOGLETRANSLATE(G3164,""EN"",""JA"")"),"マトリックスメタロプロテアーゼ3測定")</f>
        <v>マトリックスメタロプロテアーゼ3測定</v>
      </c>
    </row>
    <row r="3165" ht="13.5" customHeight="1">
      <c r="A3165" s="1" t="s">
        <v>11</v>
      </c>
      <c r="B3165" s="1" t="s">
        <v>15859</v>
      </c>
      <c r="C3165" s="1" t="s">
        <v>15860</v>
      </c>
      <c r="D3165" s="1" t="s">
        <v>15861</v>
      </c>
      <c r="E3165" s="1" t="s">
        <v>15862</v>
      </c>
      <c r="F3165" s="1" t="s">
        <v>15863</v>
      </c>
      <c r="G3165" s="1" t="s">
        <v>15864</v>
      </c>
      <c r="H3165" s="1" t="str">
        <f>IFERROR(__xludf.DUMMYFUNCTION("GOOGLETRANSLATE(D3165,""EN"",""JA"")"),"マトリックスメタロプロテアーゼ7")</f>
        <v>マトリックスメタロプロテアーゼ7</v>
      </c>
      <c r="I3165" s="1" t="str">
        <f>IFERROR(__xludf.DUMMYFUNCTION("GOOGLETRANSLATE(E3165,""EN"",""JA"")"),"マトリライシン; マトリックスメタロプロテアーゼ7")</f>
        <v>マトリライシン; マトリックスメタロプロテアーゼ7</v>
      </c>
      <c r="J3165" s="1" t="str">
        <f>IFERROR(__xludf.DUMMYFUNCTION("GOOGLETRANSLATE(F3165,""EN"",""JA"")"),"生物標本中のマトリックスメタロプロテアーゼ 7 の測定。")</f>
        <v>生物標本中のマトリックスメタロプロテアーゼ 7 の測定。</v>
      </c>
      <c r="K3165" s="1" t="str">
        <f>IFERROR(__xludf.DUMMYFUNCTION("GOOGLETRANSLATE(G3165,""EN"",""JA"")"),"マトリックスメタロプロテアーゼ7測定")</f>
        <v>マトリックスメタロプロテアーゼ7測定</v>
      </c>
    </row>
    <row r="3166" ht="13.5" customHeight="1">
      <c r="A3166" s="1" t="s">
        <v>11</v>
      </c>
      <c r="B3166" s="1" t="s">
        <v>15865</v>
      </c>
      <c r="C3166" s="1" t="s">
        <v>15866</v>
      </c>
      <c r="D3166" s="1" t="s">
        <v>15867</v>
      </c>
      <c r="E3166" s="1" t="s">
        <v>15868</v>
      </c>
      <c r="F3166" s="1" t="s">
        <v>15869</v>
      </c>
      <c r="G3166" s="1" t="s">
        <v>15870</v>
      </c>
      <c r="H3166" s="1" t="str">
        <f>IFERROR(__xludf.DUMMYFUNCTION("GOOGLETRANSLATE(D3166,""EN"",""JA"")"),"マトリックスメタロプロテアーゼ8")</f>
        <v>マトリックスメタロプロテアーゼ8</v>
      </c>
      <c r="I3166" s="1" t="str">
        <f>IFERROR(__xludf.DUMMYFUNCTION("GOOGLETRANSLATE(E3166,""EN"",""JA"")"),"マトリックスメタロプロテアーゼ8; 好中球コラーゲナーゼ")</f>
        <v>マトリックスメタロプロテアーゼ8; 好中球コラーゲナーゼ</v>
      </c>
      <c r="J3166" s="1" t="str">
        <f>IFERROR(__xludf.DUMMYFUNCTION("GOOGLETRANSLATE(F3166,""EN"",""JA"")"),"生物標本中のマトリックスメタロプロテアーゼ 8 の測定。")</f>
        <v>生物標本中のマトリックスメタロプロテアーゼ 8 の測定。</v>
      </c>
      <c r="K3166" s="1" t="str">
        <f>IFERROR(__xludf.DUMMYFUNCTION("GOOGLETRANSLATE(G3166,""EN"",""JA"")"),"マトリックスメタロプロテアーゼ8測定")</f>
        <v>マトリックスメタロプロテアーゼ8測定</v>
      </c>
    </row>
    <row r="3167" ht="13.5" customHeight="1">
      <c r="A3167" s="1" t="s">
        <v>11</v>
      </c>
      <c r="B3167" s="1" t="s">
        <v>15871</v>
      </c>
      <c r="C3167" s="1" t="s">
        <v>15872</v>
      </c>
      <c r="D3167" s="1" t="s">
        <v>15873</v>
      </c>
      <c r="E3167" s="1" t="s">
        <v>15874</v>
      </c>
      <c r="F3167" s="1" t="s">
        <v>15875</v>
      </c>
      <c r="G3167" s="1" t="s">
        <v>15876</v>
      </c>
      <c r="H3167" s="1" t="str">
        <f>IFERROR(__xludf.DUMMYFUNCTION("GOOGLETRANSLATE(D3167,""EN"",""JA"")"),"マトリックスメタロプロテアーゼ9")</f>
        <v>マトリックスメタロプロテアーゼ9</v>
      </c>
      <c r="I3167" s="1" t="str">
        <f>IFERROR(__xludf.DUMMYFUNCTION("GOOGLETRANSLATE(E3167,""EN"",""JA"")"),"ゼラチナーゼB; マトリックスメタロプロテアーゼ9")</f>
        <v>ゼラチナーゼB; マトリックスメタロプロテアーゼ9</v>
      </c>
      <c r="J3167" s="1" t="str">
        <f>IFERROR(__xludf.DUMMYFUNCTION("GOOGLETRANSLATE(F3167,""EN"",""JA"")"),"生物標本中のマトリックスメタロプロテアーゼ 9 の測定。")</f>
        <v>生物標本中のマトリックスメタロプロテアーゼ 9 の測定。</v>
      </c>
      <c r="K3167" s="1" t="str">
        <f>IFERROR(__xludf.DUMMYFUNCTION("GOOGLETRANSLATE(G3167,""EN"",""JA"")"),"マトリックスメタロプロテアーゼ9測定")</f>
        <v>マトリックスメタロプロテアーゼ9測定</v>
      </c>
    </row>
    <row r="3168" ht="13.5" customHeight="1">
      <c r="A3168" s="1" t="s">
        <v>67</v>
      </c>
      <c r="B3168" s="1" t="s">
        <v>15877</v>
      </c>
      <c r="C3168" s="1" t="s">
        <v>15878</v>
      </c>
      <c r="D3168" s="1" t="s">
        <v>15879</v>
      </c>
      <c r="E3168" s="1" t="s">
        <v>15880</v>
      </c>
      <c r="F3168" s="1" t="s">
        <v>15881</v>
      </c>
      <c r="G3168" s="1" t="s">
        <v>15882</v>
      </c>
      <c r="H3168" s="1" t="str">
        <f>IFERROR(__xludf.DUMMYFUNCTION("GOOGLETRANSLATE(D3168,""EN"",""JA"")"),"おたふく風邪ウイルスRNA")</f>
        <v>おたふく風邪ウイルスRNA</v>
      </c>
      <c r="I3168" s="1" t="str">
        <f>IFERROR(__xludf.DUMMYFUNCTION("GOOGLETRANSLATE(E3168,""EN"",""JA"")"),"ムンプスルブラウイルスRNA; ムンプスウイルスRNA")</f>
        <v>ムンプスルブラウイルスRNA; ムンプスウイルスRNA</v>
      </c>
      <c r="J3168" s="1" t="str">
        <f>IFERROR(__xludf.DUMMYFUNCTION("GOOGLETRANSLATE(F3168,""EN"",""JA"")"),"生物標本中のおたふく風邪ルブラウイルス RNA の測定。")</f>
        <v>生物標本中のおたふく風邪ルブラウイルス RNA の測定。</v>
      </c>
      <c r="K3168" s="1" t="str">
        <f>IFERROR(__xludf.DUMMYFUNCTION("GOOGLETRANSLATE(G3168,""EN"",""JA"")"),"おたふく風邪ウイルスRNA測定")</f>
        <v>おたふく風邪ウイルスRNA測定</v>
      </c>
    </row>
    <row r="3169" ht="13.5" customHeight="1">
      <c r="A3169" s="1" t="s">
        <v>134</v>
      </c>
      <c r="B3169" s="1" t="s">
        <v>15883</v>
      </c>
      <c r="C3169" s="1" t="s">
        <v>15884</v>
      </c>
      <c r="D3169" s="1" t="s">
        <v>15885</v>
      </c>
      <c r="E3169" s="1" t="s">
        <v>15885</v>
      </c>
      <c r="F3169" s="1" t="s">
        <v>15886</v>
      </c>
      <c r="G3169" s="1" t="s">
        <v>15885</v>
      </c>
      <c r="H3169" s="1" t="str">
        <f>IFERROR(__xludf.DUMMYFUNCTION("GOOGLETRANSLATE(D3169,""EN"",""JA"")"),"ミスマッチ修復タンパク質の解釈")</f>
        <v>ミスマッチ修復タンパク質の解釈</v>
      </c>
      <c r="I3169" s="1" t="str">
        <f>IFERROR(__xludf.DUMMYFUNCTION("GOOGLETRANSLATE(E3169,""EN"",""JA"")"),"ミスマッチ修復タンパク質の解釈")</f>
        <v>ミスマッチ修復タンパク質の解釈</v>
      </c>
      <c r="J3169" s="1" t="str">
        <f>IFERROR(__xludf.DUMMYFUNCTION("GOOGLETRANSLATE(F3169,""EN"",""JA"")"),"複数のミスマッチ修復タンパク質にわたるタンパク質発現評価の意味の決定。")</f>
        <v>複数のミスマッチ修復タンパク質にわたるタンパク質発現評価の意味の決定。</v>
      </c>
      <c r="K3169" s="1" t="str">
        <f>IFERROR(__xludf.DUMMYFUNCTION("GOOGLETRANSLATE(G3169,""EN"",""JA"")"),"ミスマッチ修復タンパク質の解釈")</f>
        <v>ミスマッチ修復タンパク質の解釈</v>
      </c>
    </row>
    <row r="3170" ht="13.5" customHeight="1">
      <c r="A3170" s="1" t="s">
        <v>134</v>
      </c>
      <c r="B3170" s="1" t="s">
        <v>15887</v>
      </c>
      <c r="C3170" s="1" t="s">
        <v>15888</v>
      </c>
      <c r="D3170" s="1" t="s">
        <v>15889</v>
      </c>
      <c r="E3170" s="1" t="s">
        <v>15890</v>
      </c>
      <c r="F3170" s="1" t="s">
        <v>15891</v>
      </c>
      <c r="G3170" s="1" t="s">
        <v>15892</v>
      </c>
      <c r="H3170" s="1" t="str">
        <f>IFERROR(__xludf.DUMMYFUNCTION("GOOGLETRANSLATE(D3170,""EN"",""JA"")"),"MMRタンパク質")</f>
        <v>MMRタンパク質</v>
      </c>
      <c r="I3170" s="1" t="str">
        <f>IFERROR(__xludf.DUMMYFUNCTION("GOOGLETRANSLATE(E3170,""EN"",""JA"")"),"ミスマッチ修復タンパク質; MMRタンパク質")</f>
        <v>ミスマッチ修復タンパク質; MMRタンパク質</v>
      </c>
      <c r="J3170" s="1" t="str">
        <f>IFERROR(__xludf.DUMMYFUNCTION("GOOGLETRANSLATE(F3170,""EN"",""JA"")"),"生物学的標本におけるミスマッチ修復タンパク質の評価。")</f>
        <v>生物学的標本におけるミスマッチ修復タンパク質の評価。</v>
      </c>
      <c r="K3170" s="1" t="str">
        <f>IFERROR(__xludf.DUMMYFUNCTION("GOOGLETRANSLATE(G3170,""EN"",""JA"")"),"ミスマッチ修復タンパク質測定")</f>
        <v>ミスマッチ修復タンパク質測定</v>
      </c>
    </row>
    <row r="3171" ht="13.5" customHeight="1">
      <c r="A3171" s="1" t="s">
        <v>1034</v>
      </c>
      <c r="B3171" s="1" t="s">
        <v>15893</v>
      </c>
      <c r="C3171" s="1" t="s">
        <v>15894</v>
      </c>
      <c r="D3171" s="1" t="s">
        <v>15895</v>
      </c>
      <c r="E3171" s="1" t="s">
        <v>15896</v>
      </c>
      <c r="F3171" s="1" t="s">
        <v>15897</v>
      </c>
      <c r="G3171" s="1" t="s">
        <v>15898</v>
      </c>
      <c r="H3171" s="1" t="str">
        <f>IFERROR(__xludf.DUMMYFUNCTION("GOOGLETRANSLATE(D3171,""EN"",""JA"")"),"MRC MMTスコア、アブダクション")</f>
        <v>MRC MMTスコア、アブダクション</v>
      </c>
      <c r="I3171" s="1" t="str">
        <f>IFERROR(__xludf.DUMMYFUNCTION("GOOGLETRANSLATE(E3171,""EN"",""JA"")"),"医学研究評議会徒手筋力検査スコア、外転; MRC MMTスコア、外転")</f>
        <v>医学研究評議会徒手筋力検査スコア、外転; MRC MMTスコア、外転</v>
      </c>
      <c r="J3171" s="1" t="str">
        <f>IFERROR(__xludf.DUMMYFUNCTION("GOOGLETRANSLATE(F3171,""EN"",""JA"")"),"医学研究評議会徒手筋力検査に基づく外転時の筋力と機能の臨床評価の結果を表す数値。（医学研究評議会。末梢神経の検査の補助")</f>
        <v>医学研究評議会徒手筋力検査に基づく外転時の筋力と機能の臨床評価の結果を表す数値。（医学研究評議会。末梢神経の検査の補助</v>
      </c>
      <c r="K3171" s="1" t="str">
        <f>IFERROR(__xludf.DUMMYFUNCTION("GOOGLETRANSLATE(G3171,""EN"",""JA"")"),"医学研究評議会徒手筋力検査スコア、外転")</f>
        <v>医学研究評議会徒手筋力検査スコア、外転</v>
      </c>
    </row>
    <row r="3172" ht="13.5" customHeight="1">
      <c r="A3172" s="1" t="s">
        <v>1034</v>
      </c>
      <c r="B3172" s="1" t="s">
        <v>15899</v>
      </c>
      <c r="C3172" s="1" t="s">
        <v>15900</v>
      </c>
      <c r="D3172" s="1" t="s">
        <v>15901</v>
      </c>
      <c r="E3172" s="1" t="s">
        <v>15902</v>
      </c>
      <c r="F3172" s="1" t="s">
        <v>15903</v>
      </c>
      <c r="G3172" s="1" t="s">
        <v>15904</v>
      </c>
      <c r="H3172" s="1" t="str">
        <f>IFERROR(__xludf.DUMMYFUNCTION("GOOGLETRANSLATE(D3172,""EN"",""JA"")"),"MRC MMTスコア、背屈")</f>
        <v>MRC MMTスコア、背屈</v>
      </c>
      <c r="I3172" s="1" t="str">
        <f>IFERROR(__xludf.DUMMYFUNCTION("GOOGLETRANSLATE(E3172,""EN"",""JA"")"),"医学研究評議会徒手筋力検査スコア、背屈; MRC MMTスコア、背屈")</f>
        <v>医学研究評議会徒手筋力検査スコア、背屈; MRC MMTスコア、背屈</v>
      </c>
      <c r="J3172" s="1" t="str">
        <f>IFERROR(__xludf.DUMMYFUNCTION("GOOGLETRANSLATE(F3172,""EN"",""JA"")"),"医学研究評議会徒手筋力テストに基づく背屈時の筋力と機能の臨床評価の結果を表す数値。（医学研究評議会。末梢筋力検査の補助")</f>
        <v>医学研究評議会徒手筋力テストに基づく背屈時の筋力と機能の臨床評価の結果を表す数値。（医学研究評議会。末梢筋力検査の補助</v>
      </c>
      <c r="K3172" s="1" t="str">
        <f>IFERROR(__xludf.DUMMYFUNCTION("GOOGLETRANSLATE(G3172,""EN"",""JA"")"),"医学研究評議会徒手筋力検査スコア、背屈")</f>
        <v>医学研究評議会徒手筋力検査スコア、背屈</v>
      </c>
    </row>
    <row r="3173" ht="13.5" customHeight="1">
      <c r="A3173" s="1" t="s">
        <v>1034</v>
      </c>
      <c r="B3173" s="1" t="s">
        <v>15905</v>
      </c>
      <c r="C3173" s="1" t="s">
        <v>15906</v>
      </c>
      <c r="D3173" s="1" t="s">
        <v>15907</v>
      </c>
      <c r="E3173" s="1" t="s">
        <v>15908</v>
      </c>
      <c r="F3173" s="1" t="s">
        <v>15909</v>
      </c>
      <c r="G3173" s="1" t="s">
        <v>15910</v>
      </c>
      <c r="H3173" s="1" t="str">
        <f>IFERROR(__xludf.DUMMYFUNCTION("GOOGLETRANSLATE(D3173,""EN"",""JA"")"),"MRC MMTスコア、外転")</f>
        <v>MRC MMTスコア、外転</v>
      </c>
      <c r="I3173" s="1" t="str">
        <f>IFERROR(__xludf.DUMMYFUNCTION("GOOGLETRANSLATE(E3173,""EN"",""JA"")"),"医学研究評議会徒手筋力検査スコア、外反; MRC MMTスコア、外反")</f>
        <v>医学研究評議会徒手筋力検査スコア、外反; MRC MMTスコア、外反</v>
      </c>
      <c r="J3173" s="1" t="str">
        <f>IFERROR(__xludf.DUMMYFUNCTION("GOOGLETRANSLATE(F3173,""EN"",""JA"")"),"医学研究評議会徒手筋力検査に基づく、外反時の筋力と機能の臨床評価の結果を表す数値。（医学研究評議会。末梢神経検査の補助")</f>
        <v>医学研究評議会徒手筋力検査に基づく、外反時の筋力と機能の臨床評価の結果を表す数値。（医学研究評議会。末梢神経検査の補助</v>
      </c>
      <c r="K3173" s="1" t="str">
        <f>IFERROR(__xludf.DUMMYFUNCTION("GOOGLETRANSLATE(G3173,""EN"",""JA"")"),"医学研究評議会徒手筋力検査スコア、外反")</f>
        <v>医学研究評議会徒手筋力検査スコア、外反</v>
      </c>
    </row>
    <row r="3174" ht="13.5" customHeight="1">
      <c r="A3174" s="1" t="s">
        <v>1034</v>
      </c>
      <c r="B3174" s="1" t="s">
        <v>15911</v>
      </c>
      <c r="C3174" s="1" t="s">
        <v>15912</v>
      </c>
      <c r="D3174" s="1" t="s">
        <v>15913</v>
      </c>
      <c r="E3174" s="1" t="s">
        <v>15914</v>
      </c>
      <c r="F3174" s="1" t="s">
        <v>15915</v>
      </c>
      <c r="G3174" s="1" t="s">
        <v>15916</v>
      </c>
      <c r="H3174" s="1" t="str">
        <f>IFERROR(__xludf.DUMMYFUNCTION("GOOGLETRANSLATE(D3174,""EN"",""JA"")"),"MRC MMTスコア、拡張")</f>
        <v>MRC MMTスコア、拡張</v>
      </c>
      <c r="I3174" s="1" t="str">
        <f>IFERROR(__xludf.DUMMYFUNCTION("GOOGLETRANSLATE(E3174,""EN"",""JA"")"),"医学研究評議会徒手筋力テストスコア、拡張版；MRC MMTスコア、拡張版")</f>
        <v>医学研究評議会徒手筋力テストスコア、拡張版；MRC MMTスコア、拡張版</v>
      </c>
      <c r="J3174" s="1" t="str">
        <f>IFERROR(__xludf.DUMMYFUNCTION("GOOGLETRANSLATE(F3174,""EN"",""JA"")"),"医学研究評議会徒手筋力検査に基づく、伸展時の筋力と機能の臨床評価の結果を表す数値。（医学研究評議会。末梢神経の検査補助")</f>
        <v>医学研究評議会徒手筋力検査に基づく、伸展時の筋力と機能の臨床評価の結果を表す数値。（医学研究評議会。末梢神経の検査補助</v>
      </c>
      <c r="K3174" s="1" t="str">
        <f>IFERROR(__xludf.DUMMYFUNCTION("GOOGLETRANSLATE(G3174,""EN"",""JA"")"),"医学研究評議会徒手筋力検査スコア、拡張")</f>
        <v>医学研究評議会徒手筋力検査スコア、拡張</v>
      </c>
    </row>
    <row r="3175" ht="13.5" customHeight="1">
      <c r="A3175" s="1" t="s">
        <v>1034</v>
      </c>
      <c r="B3175" s="1" t="s">
        <v>15917</v>
      </c>
      <c r="C3175" s="1" t="s">
        <v>15918</v>
      </c>
      <c r="D3175" s="1" t="s">
        <v>15919</v>
      </c>
      <c r="E3175" s="1" t="s">
        <v>15920</v>
      </c>
      <c r="F3175" s="1" t="s">
        <v>15921</v>
      </c>
      <c r="G3175" s="1" t="s">
        <v>15922</v>
      </c>
      <c r="H3175" s="1" t="str">
        <f>IFERROR(__xludf.DUMMYFUNCTION("GOOGLETRANSLATE(D3175,""EN"",""JA"")"),"MRC MMTスコア、屈曲")</f>
        <v>MRC MMTスコア、屈曲</v>
      </c>
      <c r="I3175" s="1" t="str">
        <f>IFERROR(__xludf.DUMMYFUNCTION("GOOGLETRANSLATE(E3175,""EN"",""JA"")"),"医学研究評議会徒手筋力検査スコア、屈曲；MRC MMTスコア、屈曲")</f>
        <v>医学研究評議会徒手筋力検査スコア、屈曲；MRC MMTスコア、屈曲</v>
      </c>
      <c r="J3175" s="1" t="str">
        <f>IFERROR(__xludf.DUMMYFUNCTION("GOOGLETRANSLATE(F3175,""EN"",""JA"")"),"医学研究評議会の徒手筋力評価基準に基づく屈曲時の筋力と機能の臨床評価結果を表す数値。（医学研究評議会。末梢神経系の検査の補助")</f>
        <v>医学研究評議会の徒手筋力評価基準に基づく屈曲時の筋力と機能の臨床評価結果を表す数値。（医学研究評議会。末梢神経系の検査の補助</v>
      </c>
      <c r="K3175" s="1" t="str">
        <f>IFERROR(__xludf.DUMMYFUNCTION("GOOGLETRANSLATE(G3175,""EN"",""JA"")"),"医学研究評議会徒手筋力検査スコア、屈曲")</f>
        <v>医学研究評議会徒手筋力検査スコア、屈曲</v>
      </c>
    </row>
    <row r="3176" ht="13.5" customHeight="1">
      <c r="A3176" s="1" t="s">
        <v>1034</v>
      </c>
      <c r="B3176" s="1" t="s">
        <v>15923</v>
      </c>
      <c r="C3176" s="1" t="s">
        <v>15924</v>
      </c>
      <c r="D3176" s="1" t="s">
        <v>15925</v>
      </c>
      <c r="E3176" s="1" t="s">
        <v>15926</v>
      </c>
      <c r="F3176" s="1" t="s">
        <v>15927</v>
      </c>
      <c r="G3176" s="1" t="s">
        <v>15928</v>
      </c>
      <c r="H3176" s="1" t="str">
        <f>IFERROR(__xludf.DUMMYFUNCTION("GOOGLETRANSLATE(D3176,""EN"",""JA"")"),"MRC MMTスコア、反転")</f>
        <v>MRC MMTスコア、反転</v>
      </c>
      <c r="I3176" s="1" t="str">
        <f>IFERROR(__xludf.DUMMYFUNCTION("GOOGLETRANSLATE(E3176,""EN"",""JA"")"),"医学研究評議会徒手筋力テストスコア、反転; MRC MMTスコア、反転")</f>
        <v>医学研究評議会徒手筋力テストスコア、反転; MRC MMTスコア、反転</v>
      </c>
      <c r="J3176" s="1" t="str">
        <f>IFERROR(__xludf.DUMMYFUNCTION("GOOGLETRANSLATE(F3176,""EN"",""JA"")"),"医学研究評議会徒手筋力テストに基づく、反転中の筋力と機能の臨床評価の結果を表す数値。（医学研究評議会。末梢神経の検査の補助")</f>
        <v>医学研究評議会徒手筋力テストに基づく、反転中の筋力と機能の臨床評価の結果を表す数値。（医学研究評議会。末梢神経の検査の補助</v>
      </c>
      <c r="K3176" s="1" t="str">
        <f>IFERROR(__xludf.DUMMYFUNCTION("GOOGLETRANSLATE(G3176,""EN"",""JA"")"),"医学研究評議会徒手筋力テストスコア、反転")</f>
        <v>医学研究評議会徒手筋力テストスコア、反転</v>
      </c>
    </row>
    <row r="3177" ht="13.5" customHeight="1">
      <c r="A3177" s="1" t="s">
        <v>1034</v>
      </c>
      <c r="B3177" s="1" t="s">
        <v>15929</v>
      </c>
      <c r="C3177" s="1" t="s">
        <v>15930</v>
      </c>
      <c r="D3177" s="1" t="s">
        <v>15931</v>
      </c>
      <c r="E3177" s="1" t="s">
        <v>15932</v>
      </c>
      <c r="F3177" s="1" t="s">
        <v>15933</v>
      </c>
      <c r="G3177" s="1" t="s">
        <v>15934</v>
      </c>
      <c r="H3177" s="1" t="str">
        <f>IFERROR(__xludf.DUMMYFUNCTION("GOOGLETRANSLATE(D3177,""EN"",""JA"")"),"MRC MMT スコア、緯度回転。")</f>
        <v>MRC MMT スコア、緯度回転。</v>
      </c>
      <c r="I3177" s="1" t="str">
        <f>IFERROR(__xludf.DUMMYFUNCTION("GOOGLETRANSLATE(E3177,""EN"",""JA"")"),"医学研究評議会徒手筋力テストスコア、外側回転; MRC MMT スコア、外側回転。")</f>
        <v>医学研究評議会徒手筋力テストスコア、外側回転; MRC MMT スコア、外側回転。</v>
      </c>
      <c r="J3177" s="1" t="str">
        <f>IFERROR(__xludf.DUMMYFUNCTION("GOOGLETRANSLATE(F3177,""EN"",""JA"")"),"医学研究評議会徒手筋力検査に基づく、外側回転時の筋力と機能の臨床評価の結果を表す数値。（医学研究評議会。末梢神経検査の補助")</f>
        <v>医学研究評議会徒手筋力検査に基づく、外側回転時の筋力と機能の臨床評価の結果を表す数値。（医学研究評議会。末梢神経検査の補助</v>
      </c>
      <c r="K3177" s="1" t="str">
        <f>IFERROR(__xludf.DUMMYFUNCTION("GOOGLETRANSLATE(G3177,""EN"",""JA"")"),"医学研究評議会徒手筋力検査スコア、外側回転")</f>
        <v>医学研究評議会徒手筋力検査スコア、外側回転</v>
      </c>
    </row>
    <row r="3178" ht="13.5" customHeight="1">
      <c r="A3178" s="1" t="s">
        <v>1034</v>
      </c>
      <c r="B3178" s="1" t="s">
        <v>15935</v>
      </c>
      <c r="C3178" s="1" t="s">
        <v>15936</v>
      </c>
      <c r="D3178" s="1" t="s">
        <v>15937</v>
      </c>
      <c r="E3178" s="1" t="s">
        <v>15938</v>
      </c>
      <c r="F3178" s="1" t="s">
        <v>15939</v>
      </c>
      <c r="G3178" s="1" t="s">
        <v>15940</v>
      </c>
      <c r="H3178" s="1" t="str">
        <f>IFERROR(__xludf.DUMMYFUNCTION("GOOGLETRANSLATE(D3178,""EN"",""JA"")"),"MRC MMTスコア、足底屈曲")</f>
        <v>MRC MMTスコア、足底屈曲</v>
      </c>
      <c r="I3178" s="1" t="str">
        <f>IFERROR(__xludf.DUMMYFUNCTION("GOOGLETRANSLATE(E3178,""EN"",""JA"")"),"医学研究評議会徒手筋力検査スコア、足底屈曲；MRC MMTスコア、足底屈曲")</f>
        <v>医学研究評議会徒手筋力検査スコア、足底屈曲；MRC MMTスコア、足底屈曲</v>
      </c>
      <c r="J3178" s="1" t="str">
        <f>IFERROR(__xludf.DUMMYFUNCTION("GOOGLETRANSLATE(F3178,""EN"",""JA"")"),"医学研究評議会徒手筋力検査に基づく、足底屈曲時の筋力と機能の臨床評価の結果を表す数値。（医学研究評議会。末梢筋力検査の補助")</f>
        <v>医学研究評議会徒手筋力検査に基づく、足底屈曲時の筋力と機能の臨床評価の結果を表す数値。（医学研究評議会。末梢筋力検査の補助</v>
      </c>
      <c r="K3178" s="1" t="str">
        <f>IFERROR(__xludf.DUMMYFUNCTION("GOOGLETRANSLATE(G3178,""EN"",""JA"")"),"医学研究評議会徒手筋力検査スコア、足底屈曲")</f>
        <v>医学研究評議会徒手筋力検査スコア、足底屈曲</v>
      </c>
    </row>
    <row r="3179" ht="13.5" customHeight="1">
      <c r="A3179" s="1" t="s">
        <v>11</v>
      </c>
      <c r="B3179" s="1" t="s">
        <v>15941</v>
      </c>
      <c r="C3179" s="1" t="s">
        <v>15942</v>
      </c>
      <c r="D3179" s="1" t="s">
        <v>15943</v>
      </c>
      <c r="E3179" s="1" t="s">
        <v>15944</v>
      </c>
      <c r="F3179" s="1" t="s">
        <v>15945</v>
      </c>
      <c r="G3179" s="1" t="s">
        <v>15946</v>
      </c>
      <c r="H3179" s="1" t="str">
        <f>IFERROR(__xludf.DUMMYFUNCTION("GOOGLETRANSLATE(D3179,""EN"",""JA"")"),"成熟骨髄細胞／総細胞")</f>
        <v>成熟骨髄細胞／総細胞</v>
      </c>
      <c r="I3179" s="1" t="str">
        <f>IFERROR(__xludf.DUMMYFUNCTION("GOOGLETRANSLATE(E3179,""EN"",""JA"")"),"成熟骨髄細胞/総細胞")</f>
        <v>成熟骨髄細胞/総細胞</v>
      </c>
      <c r="J3179" s="1" t="str">
        <f>IFERROR(__xludf.DUMMYFUNCTION("GOOGLETRANSLATE(F3179,""EN"",""JA"")"),"生物学的標本中の成熟した骨髄細胞と総細胞の相対的な測定値（比率またはパーセンテージ）。")</f>
        <v>生物学的標本中の成熟した骨髄細胞と総細胞の相対的な測定値（比率またはパーセンテージ）。</v>
      </c>
      <c r="K3179" s="1" t="str">
        <f>IFERROR(__xludf.DUMMYFUNCTION("GOOGLETRANSLATE(G3179,""EN"",""JA"")"),"成熟骨髄細胞と全細胞比の測定")</f>
        <v>成熟骨髄細胞と全細胞比の測定</v>
      </c>
    </row>
    <row r="3180" ht="13.5" customHeight="1">
      <c r="A3180" s="1" t="s">
        <v>1997</v>
      </c>
      <c r="B3180" s="1" t="s">
        <v>15947</v>
      </c>
      <c r="C3180" s="1" t="s">
        <v>15948</v>
      </c>
      <c r="D3180" s="1" t="s">
        <v>15949</v>
      </c>
      <c r="E3180" s="1" t="s">
        <v>15949</v>
      </c>
      <c r="F3180" s="1" t="s">
        <v>15950</v>
      </c>
      <c r="G3180" s="1" t="s">
        <v>15949</v>
      </c>
      <c r="H3180" s="1" t="str">
        <f>IFERROR(__xludf.DUMMYFUNCTION("GOOGLETRANSLATE(D3180,""EN"",""JA"")"),"最小解像度角度")</f>
        <v>最小解像度角度</v>
      </c>
      <c r="I3180" s="1" t="str">
        <f>IFERROR(__xludf.DUMMYFUNCTION("GOOGLETRANSLATE(E3180,""EN"",""JA"")"),"最小解像度角度")</f>
        <v>最小解像度角度</v>
      </c>
      <c r="J3180" s="1" t="str">
        <f>IFERROR(__xludf.DUMMYFUNCTION("GOOGLETRANSLATE(F3180,""EN"",""JA"")"),"網膜を含む画像形成デバイスが 2 つの物体を別個の存在として区別できるようにする最小の分離角度。")</f>
        <v>網膜を含む画像形成デバイスが 2 つの物体を別個の存在として区別できるようにする最小の分離角度。</v>
      </c>
      <c r="K3180" s="1" t="str">
        <f>IFERROR(__xludf.DUMMYFUNCTION("GOOGLETRANSLATE(G3180,""EN"",""JA"")"),"最小解像度角度")</f>
        <v>最小解像度角度</v>
      </c>
    </row>
    <row r="3181" ht="13.5" customHeight="1">
      <c r="A3181" s="1" t="s">
        <v>1997</v>
      </c>
      <c r="B3181" s="1" t="s">
        <v>15951</v>
      </c>
      <c r="C3181" s="1" t="s">
        <v>15952</v>
      </c>
      <c r="D3181" s="1" t="s">
        <v>15953</v>
      </c>
      <c r="E3181" s="1" t="s">
        <v>15953</v>
      </c>
      <c r="F3181" s="1" t="s">
        <v>15954</v>
      </c>
      <c r="G3181" s="1" t="s">
        <v>15955</v>
      </c>
      <c r="H3181" s="1" t="str">
        <f>IFERROR(__xludf.DUMMYFUNCTION("GOOGLETRANSLATE(D3181,""EN"",""JA"")"),"最小分解能角度、Log10")</f>
        <v>最小分解能角度、Log10</v>
      </c>
      <c r="I3181" s="1" t="str">
        <f>IFERROR(__xludf.DUMMYFUNCTION("GOOGLETRANSLATE(E3181,""EN"",""JA"")"),"最小分解能角度、Log10")</f>
        <v>最小分解能角度、Log10</v>
      </c>
      <c r="J3181" s="1" t="str">
        <f>IFERROR(__xludf.DUMMYFUNCTION("GOOGLETRANSLATE(F3181,""EN"",""JA"")"),"テスト中に個人が達成した解像度の最小角度の 10 を底とする対数。")</f>
        <v>テスト中に個人が達成した解像度の最小角度の 10 を底とする対数。</v>
      </c>
      <c r="K3181" s="1" t="str">
        <f>IFERROR(__xludf.DUMMYFUNCTION("GOOGLETRANSLATE(G3181,""EN"",""JA"")"),"Log10 最小解像度角度")</f>
        <v>Log10 最小解像度角度</v>
      </c>
    </row>
    <row r="3182" ht="13.5" customHeight="1">
      <c r="A3182" s="1" t="s">
        <v>134</v>
      </c>
      <c r="B3182" s="1" t="s">
        <v>15956</v>
      </c>
      <c r="C3182" s="1" t="s">
        <v>15957</v>
      </c>
      <c r="D3182" s="1" t="s">
        <v>15958</v>
      </c>
      <c r="E3182" s="1" t="s">
        <v>15959</v>
      </c>
      <c r="F3182" s="1" t="s">
        <v>15960</v>
      </c>
      <c r="G3182" s="1" t="s">
        <v>15961</v>
      </c>
      <c r="H3182" s="1" t="str">
        <f>IFERROR(__xludf.DUMMYFUNCTION("GOOGLETRANSLATE(D3182,""EN"",""JA"")"),"単核細胞")</f>
        <v>単核細胞</v>
      </c>
      <c r="I3182" s="1" t="str">
        <f>IFERROR(__xludf.DUMMYFUNCTION("GOOGLETRANSLATE(E3182,""EN"",""JA"")"),"単核細胞; 単核細胞")</f>
        <v>単核細胞; 単核細胞</v>
      </c>
      <c r="J3182" s="1" t="str">
        <f>IFERROR(__xludf.DUMMYFUNCTION("GOOGLETRANSLATE(F3182,""EN"",""JA"")"),"生物標本内の単核細胞の測定。")</f>
        <v>生物標本内の単核細胞の測定。</v>
      </c>
      <c r="K3182" s="1" t="str">
        <f>IFERROR(__xludf.DUMMYFUNCTION("GOOGLETRANSLATE(G3182,""EN"",""JA"")"),"単核細胞数")</f>
        <v>単核細胞数</v>
      </c>
    </row>
    <row r="3183" ht="13.5" customHeight="1">
      <c r="A3183" s="1" t="s">
        <v>11</v>
      </c>
      <c r="B3183" s="1" t="s">
        <v>15956</v>
      </c>
      <c r="C3183" s="1" t="s">
        <v>15957</v>
      </c>
      <c r="D3183" s="1" t="s">
        <v>15958</v>
      </c>
      <c r="E3183" s="1" t="s">
        <v>15959</v>
      </c>
      <c r="F3183" s="1" t="s">
        <v>15960</v>
      </c>
      <c r="G3183" s="1" t="s">
        <v>15961</v>
      </c>
      <c r="H3183" s="1" t="str">
        <f>IFERROR(__xludf.DUMMYFUNCTION("GOOGLETRANSLATE(D3183,""EN"",""JA"")"),"単核細胞")</f>
        <v>単核細胞</v>
      </c>
      <c r="I3183" s="1" t="str">
        <f>IFERROR(__xludf.DUMMYFUNCTION("GOOGLETRANSLATE(E3183,""EN"",""JA"")"),"単核細胞; 単核細胞")</f>
        <v>単核細胞; 単核細胞</v>
      </c>
      <c r="J3183" s="1" t="str">
        <f>IFERROR(__xludf.DUMMYFUNCTION("GOOGLETRANSLATE(F3183,""EN"",""JA"")"),"生物標本内の単核細胞の測定。")</f>
        <v>生物標本内の単核細胞の測定。</v>
      </c>
      <c r="K3183" s="1" t="str">
        <f>IFERROR(__xludf.DUMMYFUNCTION("GOOGLETRANSLATE(G3183,""EN"",""JA"")"),"単核細胞数")</f>
        <v>単核細胞数</v>
      </c>
    </row>
    <row r="3184" ht="13.5" customHeight="1">
      <c r="A3184" s="1" t="s">
        <v>11</v>
      </c>
      <c r="B3184" s="1" t="s">
        <v>15962</v>
      </c>
      <c r="C3184" s="1" t="s">
        <v>15963</v>
      </c>
      <c r="D3184" s="1" t="s">
        <v>15964</v>
      </c>
      <c r="E3184" s="1" t="s">
        <v>15964</v>
      </c>
      <c r="F3184" s="1" t="s">
        <v>15965</v>
      </c>
      <c r="G3184" s="1" t="s">
        <v>15966</v>
      </c>
      <c r="H3184" s="1" t="str">
        <f>IFERROR(__xludf.DUMMYFUNCTION("GOOGLETRANSLATE(D3184,""EN"",""JA"")"),"単核細胞非定型")</f>
        <v>単核細胞非定型</v>
      </c>
      <c r="I3184" s="1" t="str">
        <f>IFERROR(__xludf.DUMMYFUNCTION("GOOGLETRANSLATE(E3184,""EN"",""JA"")"),"単核細胞非定型")</f>
        <v>単核細胞非定型</v>
      </c>
      <c r="J3184" s="1" t="str">
        <f>IFERROR(__xludf.DUMMYFUNCTION("GOOGLETRANSLATE(F3184,""EN"",""JA"")"),"生物標本中の異型単核細胞の測定。")</f>
        <v>生物標本中の異型単核細胞の測定。</v>
      </c>
      <c r="K3184" s="1" t="str">
        <f>IFERROR(__xludf.DUMMYFUNCTION("GOOGLETRANSLATE(G3184,""EN"",""JA"")"),"異型単核細胞数")</f>
        <v>異型単核細胞数</v>
      </c>
    </row>
    <row r="3185" ht="13.5" customHeight="1">
      <c r="A3185" s="1" t="s">
        <v>11</v>
      </c>
      <c r="B3185" s="1" t="s">
        <v>15967</v>
      </c>
      <c r="C3185" s="1" t="s">
        <v>15968</v>
      </c>
      <c r="D3185" s="1" t="s">
        <v>15969</v>
      </c>
      <c r="E3185" s="1" t="s">
        <v>15969</v>
      </c>
      <c r="F3185" s="1" t="s">
        <v>15970</v>
      </c>
      <c r="G3185" s="1" t="s">
        <v>15971</v>
      </c>
      <c r="H3185" s="1" t="str">
        <f>IFERROR(__xludf.DUMMYFUNCTION("GOOGLETRANSLATE(D3185,""EN"",""JA"")"),"単核細胞異型/白血球")</f>
        <v>単核細胞異型/白血球</v>
      </c>
      <c r="I3185" s="1" t="str">
        <f>IFERROR(__xludf.DUMMYFUNCTION("GOOGLETRANSLATE(E3185,""EN"",""JA"")"),"単核細胞異型/白血球")</f>
        <v>単核細胞異型/白血球</v>
      </c>
      <c r="J3185" s="1" t="str">
        <f>IFERROR(__xludf.DUMMYFUNCTION("GOOGLETRANSLATE(F3185,""EN"",""JA"")"),"生物標本中の白血球に対する異型単核細胞の相対的な測定値（比率またはパーセンテージ）。")</f>
        <v>生物標本中の白血球に対する異型単核細胞の相対的な測定値（比率またはパーセンテージ）。</v>
      </c>
      <c r="K3185" s="1" t="str">
        <f>IFERROR(__xludf.DUMMYFUNCTION("GOOGLETRANSLATE(G3185,""EN"",""JA"")"),"異型単核細胞と白血球の比の測定")</f>
        <v>異型単核細胞と白血球の比の測定</v>
      </c>
    </row>
    <row r="3186" ht="13.5" customHeight="1">
      <c r="A3186" s="1" t="s">
        <v>134</v>
      </c>
      <c r="B3186" s="1" t="s">
        <v>15972</v>
      </c>
      <c r="C3186" s="1" t="s">
        <v>15973</v>
      </c>
      <c r="D3186" s="1" t="s">
        <v>15974</v>
      </c>
      <c r="E3186" s="1" t="s">
        <v>15975</v>
      </c>
      <c r="F3186" s="1" t="s">
        <v>15976</v>
      </c>
      <c r="G3186" s="1" t="s">
        <v>15977</v>
      </c>
      <c r="H3186" s="1" t="str">
        <f>IFERROR(__xludf.DUMMYFUNCTION("GOOGLETRANSLATE(D3186,""EN"",""JA"")"),"固有層における単細胞の浸潤")</f>
        <v>固有層における単細胞の浸潤</v>
      </c>
      <c r="I3186" s="1" t="str">
        <f>IFERROR(__xludf.DUMMYFUNCTION("GOOGLETRANSLATE(E3186,""EN"",""JA"")"),"固有層における単細胞の浸潤;固有層における単核細胞の浸潤")</f>
        <v>固有層における単細胞の浸潤;固有層における単核細胞の浸潤</v>
      </c>
      <c r="J3186" s="1" t="str">
        <f>IFERROR(__xludf.DUMMYFUNCTION("GOOGLETRANSLATE(F3186,""EN"",""JA"")"),"生物標本の粘膜固有層における単核細胞の浸潤の評価。")</f>
        <v>生物標本の粘膜固有層における単核細胞の浸潤の評価。</v>
      </c>
      <c r="K3186" s="1" t="str">
        <f>IFERROR(__xludf.DUMMYFUNCTION("GOOGLETRANSLATE(G3186,""EN"",""JA"")"),"粘膜固有層への単核細胞の浸潤の評価")</f>
        <v>粘膜固有層への単核細胞の浸潤の評価</v>
      </c>
    </row>
    <row r="3187" ht="13.5" customHeight="1">
      <c r="A3187" s="1" t="s">
        <v>90</v>
      </c>
      <c r="B3187" s="1" t="s">
        <v>15978</v>
      </c>
      <c r="C3187" s="1" t="s">
        <v>15979</v>
      </c>
      <c r="D3187" s="1" t="s">
        <v>15980</v>
      </c>
      <c r="E3187" s="1" t="s">
        <v>15981</v>
      </c>
      <c r="F3187" s="1" t="s">
        <v>15982</v>
      </c>
      <c r="G3187" s="1" t="s">
        <v>15983</v>
      </c>
      <c r="H3187" s="1" t="str">
        <f>IFERROR(__xludf.DUMMYFUNCTION("GOOGLETRANSLATE(D3187,""EN"",""JA"")"),"短軸断面積直径")</f>
        <v>短軸断面積直径</v>
      </c>
      <c r="I3187" s="1" t="str">
        <f>IFERROR(__xludf.DUMMYFUNCTION("GOOGLETRANSLATE(E3187,""EN"",""JA"")"),"短軸断面直径; 短軸断面直径")</f>
        <v>短軸断面直径; 短軸断面直径</v>
      </c>
      <c r="J3187" s="1" t="str">
        <f>IFERROR(__xludf.DUMMYFUNCTION("GOOGLETRANSLATE(F3187,""EN"",""JA"")"),"組織、臓器、または構造の短軸に沿って測定された断面の直径。(NCI)")</f>
        <v>組織、臓器、または構造の短軸に沿って測定された断面の直径。(NCI)</v>
      </c>
      <c r="K3187" s="1" t="str">
        <f>IFERROR(__xludf.DUMMYFUNCTION("GOOGLETRANSLATE(G3187,""EN"",""JA"")"),"短軸断面直径")</f>
        <v>短軸断面直径</v>
      </c>
    </row>
    <row r="3188" ht="13.5" customHeight="1">
      <c r="A3188" s="1" t="s">
        <v>90</v>
      </c>
      <c r="B3188" s="1" t="s">
        <v>15984</v>
      </c>
      <c r="C3188" s="1" t="s">
        <v>15985</v>
      </c>
      <c r="D3188" s="1" t="s">
        <v>15986</v>
      </c>
      <c r="E3188" s="1" t="s">
        <v>15987</v>
      </c>
      <c r="F3188" s="1" t="s">
        <v>15988</v>
      </c>
      <c r="G3188" s="1" t="s">
        <v>15989</v>
      </c>
      <c r="H3188" s="1" t="str">
        <f>IFERROR(__xludf.DUMMYFUNCTION("GOOGLETRANSLATE(D3188,""EN"",""JA"")"),"短軸交差秒直径、EVD")</f>
        <v>短軸交差秒直径、EVD</v>
      </c>
      <c r="I3188" s="1" t="str">
        <f>IFERROR(__xludf.DUMMYFUNCTION("GOOGLETRANSLATE(E3188,""EN"",""JA"")"),"短軸断面積、EVD; 短軸断面積、心室拡張末期")</f>
        <v>短軸断面積、EVD; 短軸断面積、心室拡張末期</v>
      </c>
      <c r="J3188" s="1" t="str">
        <f>IFERROR(__xludf.DUMMYFUNCTION("GOOGLETRANSLATE(F3188,""EN"",""JA"")"),"心室拡張期末期の短軸に沿って測定された心血管構造の断面直径。")</f>
        <v>心室拡張期末期の短軸に沿って測定された心血管構造の断面直径。</v>
      </c>
      <c r="K3188" s="1" t="str">
        <f>IFERROR(__xludf.DUMMYFUNCTION("GOOGLETRANSLATE(G3188,""EN"",""JA"")"),"心室拡張末期における短軸断面直径")</f>
        <v>心室拡張末期における短軸断面直径</v>
      </c>
    </row>
    <row r="3189" ht="13.5" customHeight="1">
      <c r="A3189" s="1" t="s">
        <v>90</v>
      </c>
      <c r="B3189" s="1" t="s">
        <v>15990</v>
      </c>
      <c r="C3189" s="1" t="s">
        <v>15991</v>
      </c>
      <c r="D3189" s="1" t="s">
        <v>15992</v>
      </c>
      <c r="E3189" s="1" t="s">
        <v>15993</v>
      </c>
      <c r="F3189" s="1" t="s">
        <v>15994</v>
      </c>
      <c r="G3189" s="1" t="s">
        <v>15995</v>
      </c>
      <c r="H3189" s="1" t="str">
        <f>IFERROR(__xludf.DUMMYFUNCTION("GOOGLETRANSLATE(D3189,""EN"",""JA"")"),"短軸交差秒直径、EVS")</f>
        <v>短軸交差秒直径、EVS</v>
      </c>
      <c r="I3189" s="1" t="str">
        <f>IFERROR(__xludf.DUMMYFUNCTION("GOOGLETRANSLATE(E3189,""EN"",""JA"")"),"短軸断面積、EVS; 短軸断面積、心室収縮終期")</f>
        <v>短軸断面積、EVS; 短軸断面積、心室収縮終期</v>
      </c>
      <c r="J3189" s="1" t="str">
        <f>IFERROR(__xludf.DUMMYFUNCTION("GOOGLETRANSLATE(F3189,""EN"",""JA"")"),"心室収縮末期の短軸に沿って測定された心血管構造の断面直径。")</f>
        <v>心室収縮末期の短軸に沿って測定された心血管構造の断面直径。</v>
      </c>
      <c r="K3189" s="1" t="str">
        <f>IFERROR(__xludf.DUMMYFUNCTION("GOOGLETRANSLATE(G3189,""EN"",""JA"")"),"心室収縮末期における短軸断面径")</f>
        <v>心室収縮末期における短軸断面径</v>
      </c>
    </row>
    <row r="3190" ht="13.5" customHeight="1">
      <c r="A3190" s="1" t="s">
        <v>90</v>
      </c>
      <c r="B3190" s="1" t="s">
        <v>15996</v>
      </c>
      <c r="C3190" s="1" t="s">
        <v>15997</v>
      </c>
      <c r="D3190" s="1" t="s">
        <v>15998</v>
      </c>
      <c r="E3190" s="1" t="s">
        <v>15999</v>
      </c>
      <c r="F3190" s="1" t="s">
        <v>16000</v>
      </c>
      <c r="G3190" s="1" t="s">
        <v>16001</v>
      </c>
      <c r="H3190" s="1" t="str">
        <f>IFERROR(__xludf.DUMMYFUNCTION("GOOGLETRANSLATE(D3190,""EN"",""JA"")"),"短軸断面積、MVS")</f>
        <v>短軸断面積、MVS</v>
      </c>
      <c r="I3190" s="1" t="str">
        <f>IFERROR(__xludf.DUMMYFUNCTION("GOOGLETRANSLATE(E3190,""EN"",""JA"")"),"短軸断面積、MVS; 短軸断面積、心室収縮期中期")</f>
        <v>短軸断面積、MVS; 短軸断面積、心室収縮期中期</v>
      </c>
      <c r="J3190" s="1" t="str">
        <f>IFERROR(__xludf.DUMMYFUNCTION("GOOGLETRANSLATE(F3190,""EN"",""JA"")"),"心室収縮期中期における短軸に沿って測定された心血管構造の断面直径。")</f>
        <v>心室収縮期中期における短軸に沿って測定された心血管構造の断面直径。</v>
      </c>
      <c r="K3190" s="1" t="str">
        <f>IFERROR(__xludf.DUMMYFUNCTION("GOOGLETRANSLATE(G3190,""EN"",""JA"")"),"心室収縮期中期における短軸断面直径")</f>
        <v>心室収縮期中期における短軸断面直径</v>
      </c>
    </row>
    <row r="3191" ht="13.5" customHeight="1">
      <c r="A3191" s="1" t="s">
        <v>397</v>
      </c>
      <c r="B3191" s="1" t="s">
        <v>16002</v>
      </c>
      <c r="C3191" s="1" t="s">
        <v>16003</v>
      </c>
      <c r="D3191" s="1" t="s">
        <v>16004</v>
      </c>
      <c r="E3191" s="1" t="s">
        <v>16004</v>
      </c>
      <c r="F3191" s="1" t="s">
        <v>16005</v>
      </c>
      <c r="G3191" s="1" t="s">
        <v>16004</v>
      </c>
      <c r="H3191" s="1" t="str">
        <f>IFERROR(__xludf.DUMMYFUNCTION("GOOGLETRANSLATE(D3191,""EN"",""JA"")"),"製造国")</f>
        <v>製造国</v>
      </c>
      <c r="I3191" s="1" t="str">
        <f>IFERROR(__xludf.DUMMYFUNCTION("GOOGLETRANSLATE(E3191,""EN"",""JA"")"),"製造国")</f>
        <v>製造国</v>
      </c>
      <c r="J3191" s="1" t="str">
        <f>IFERROR(__xludf.DUMMYFUNCTION("GOOGLETRANSLATE(F3191,""EN"",""JA"")"),"調査対象の最終製品が生産される国の名前。")</f>
        <v>調査対象の最終製品が生産される国の名前。</v>
      </c>
      <c r="K3191" s="1" t="str">
        <f>IFERROR(__xludf.DUMMYFUNCTION("GOOGLETRANSLATE(G3191,""EN"",""JA"")"),"製造国")</f>
        <v>製造国</v>
      </c>
    </row>
    <row r="3192" ht="13.5" customHeight="1">
      <c r="A3192" s="1" t="s">
        <v>90</v>
      </c>
      <c r="B3192" s="1" t="s">
        <v>16006</v>
      </c>
      <c r="C3192" s="1" t="s">
        <v>16007</v>
      </c>
      <c r="D3192" s="1" t="s">
        <v>16008</v>
      </c>
      <c r="E3192" s="1" t="s">
        <v>16009</v>
      </c>
      <c r="F3192" s="1" t="s">
        <v>16010</v>
      </c>
      <c r="G3192" s="1" t="s">
        <v>16011</v>
      </c>
      <c r="H3192" s="1" t="str">
        <f>IFERROR(__xludf.DUMMYFUNCTION("GOOGLETRANSLATE(D3192,""EN"",""JA"")"),"短軸内径、EVD")</f>
        <v>短軸内径、EVD</v>
      </c>
      <c r="I3192" s="1" t="str">
        <f>IFERROR(__xludf.DUMMYFUNCTION("GOOGLETRANSLATE(E3192,""EN"",""JA"")"),"心室拡張末期の短軸内径；心室中隔欠損の短軸内径")</f>
        <v>心室拡張末期の短軸内径；心室中隔欠損の短軸内径</v>
      </c>
      <c r="J3192" s="1" t="str">
        <f>IFERROR(__xludf.DUMMYFUNCTION("GOOGLETRANSLATE(F3192,""EN"",""JA"")"),"心室拡張期末期の短軸に沿って測定された心血管構造の内径。")</f>
        <v>心室拡張期末期の短軸に沿って測定された心血管構造の内径。</v>
      </c>
      <c r="K3192" s="1" t="str">
        <f>IFERROR(__xludf.DUMMYFUNCTION("GOOGLETRANSLATE(G3192,""EN"",""JA"")"),"心室拡張末期の短軸内径")</f>
        <v>心室拡張末期の短軸内径</v>
      </c>
    </row>
    <row r="3193" ht="13.5" customHeight="1">
      <c r="A3193" s="1" t="s">
        <v>90</v>
      </c>
      <c r="B3193" s="1" t="s">
        <v>16012</v>
      </c>
      <c r="C3193" s="1" t="s">
        <v>16013</v>
      </c>
      <c r="D3193" s="1" t="s">
        <v>16014</v>
      </c>
      <c r="E3193" s="1" t="s">
        <v>16015</v>
      </c>
      <c r="F3193" s="1" t="s">
        <v>16016</v>
      </c>
      <c r="G3193" s="1" t="s">
        <v>16017</v>
      </c>
      <c r="H3193" s="1" t="str">
        <f>IFERROR(__xludf.DUMMYFUNCTION("GOOGLETRANSLATE(D3193,""EN"",""JA"")"),"短軸内径、EVS")</f>
        <v>短軸内径、EVS</v>
      </c>
      <c r="I3193" s="1" t="str">
        <f>IFERROR(__xludf.DUMMYFUNCTION("GOOGLETRANSLATE(E3193,""EN"",""JA"")"),"短軸内径、心室収縮終期; 短軸内径、EVS")</f>
        <v>短軸内径、心室収縮終期; 短軸内径、EVS</v>
      </c>
      <c r="J3193" s="1" t="str">
        <f>IFERROR(__xludf.DUMMYFUNCTION("GOOGLETRANSLATE(F3193,""EN"",""JA"")"),"心室収縮末期の短軸に沿って測定された心血管構造の内径。")</f>
        <v>心室収縮末期の短軸に沿って測定された心血管構造の内径。</v>
      </c>
      <c r="K3193" s="1" t="str">
        <f>IFERROR(__xludf.DUMMYFUNCTION("GOOGLETRANSLATE(G3193,""EN"",""JA"")"),"心室収縮末期の短軸内径")</f>
        <v>心室収縮末期の短軸内径</v>
      </c>
    </row>
    <row r="3194" ht="13.5" customHeight="1">
      <c r="A3194" s="1" t="s">
        <v>1342</v>
      </c>
      <c r="B3194" s="1" t="s">
        <v>16018</v>
      </c>
      <c r="C3194" s="1" t="s">
        <v>16019</v>
      </c>
      <c r="D3194" s="1" t="s">
        <v>16020</v>
      </c>
      <c r="E3194" s="1" t="s">
        <v>16020</v>
      </c>
      <c r="F3194" s="1" t="s">
        <v>16021</v>
      </c>
      <c r="G3194" s="1" t="s">
        <v>16020</v>
      </c>
      <c r="H3194" s="1" t="str">
        <f>IFERROR(__xludf.DUMMYFUNCTION("GOOGLETRANSLATE(D3194,""EN"",""JA"")"),"軽微な病理学的反応指標")</f>
        <v>軽微な病理学的反応指標</v>
      </c>
      <c r="I3194" s="1" t="str">
        <f>IFERROR(__xludf.DUMMYFUNCTION("GOOGLETRANSLATE(E3194,""EN"",""JA"")"),"軽微な病理学的反応指標")</f>
        <v>軽微な病理学的反応指標</v>
      </c>
      <c r="J3194" s="1" t="str">
        <f>IFERROR(__xludf.DUMMYFUNCTION("GOOGLETRANSLATE(F3194,""EN"",""JA"")"),"軽度の病理学的反応が発生したかどうかを示します。")</f>
        <v>軽度の病理学的反応が発生したかどうかを示します。</v>
      </c>
      <c r="K3194" s="1" t="str">
        <f>IFERROR(__xludf.DUMMYFUNCTION("GOOGLETRANSLATE(G3194,""EN"",""JA"")"),"軽微な病理学的反応指標")</f>
        <v>軽微な病理学的反応指標</v>
      </c>
    </row>
    <row r="3195" ht="13.5" customHeight="1">
      <c r="A3195" s="1" t="s">
        <v>67</v>
      </c>
      <c r="B3195" s="1" t="s">
        <v>16022</v>
      </c>
      <c r="C3195" s="1" t="s">
        <v>16023</v>
      </c>
      <c r="D3195" s="1" t="s">
        <v>16024</v>
      </c>
      <c r="E3195" s="1" t="s">
        <v>16024</v>
      </c>
      <c r="F3195" s="1" t="s">
        <v>16025</v>
      </c>
      <c r="G3195" s="1" t="s">
        <v>16026</v>
      </c>
      <c r="H3195" s="1" t="str">
        <f>IFERROR(__xludf.DUMMYFUNCTION("GOOGLETRANSLATE(D3195,""EN"",""JA"")"),"伝染性軟属腫ウイルス DNA")</f>
        <v>伝染性軟属腫ウイルス DNA</v>
      </c>
      <c r="I3195" s="1" t="str">
        <f>IFERROR(__xludf.DUMMYFUNCTION("GOOGLETRANSLATE(E3195,""EN"",""JA"")"),"伝染性軟属腫ウイルス DNA")</f>
        <v>伝染性軟属腫ウイルス DNA</v>
      </c>
      <c r="J3195" s="1" t="str">
        <f>IFERROR(__xludf.DUMMYFUNCTION("GOOGLETRANSLATE(F3195,""EN"",""JA"")"),"生物標本中の伝染性軟属腫ウイルス DNA の測定。")</f>
        <v>生物標本中の伝染性軟属腫ウイルス DNA の測定。</v>
      </c>
      <c r="K3195" s="1" t="str">
        <f>IFERROR(__xludf.DUMMYFUNCTION("GOOGLETRANSLATE(G3195,""EN"",""JA"")"),"伝染性軟属腫ウイルス DNA 測定")</f>
        <v>伝染性軟属腫ウイルス DNA 測定</v>
      </c>
    </row>
    <row r="3196" ht="13.5" customHeight="1">
      <c r="A3196" s="1" t="s">
        <v>11</v>
      </c>
      <c r="B3196" s="1" t="s">
        <v>16027</v>
      </c>
      <c r="C3196" s="1" t="s">
        <v>16028</v>
      </c>
      <c r="D3196" s="1" t="s">
        <v>16029</v>
      </c>
      <c r="E3196" s="1" t="s">
        <v>16029</v>
      </c>
      <c r="F3196" s="1" t="s">
        <v>16030</v>
      </c>
      <c r="G3196" s="1" t="s">
        <v>16031</v>
      </c>
      <c r="H3196" s="1" t="str">
        <f>IFERROR(__xludf.DUMMYFUNCTION("GOOGLETRANSLATE(D3196,""EN"",""JA"")"),"単球様細胞")</f>
        <v>単球様細胞</v>
      </c>
      <c r="I3196" s="1" t="str">
        <f>IFERROR(__xludf.DUMMYFUNCTION("GOOGLETRANSLATE(E3196,""EN"",""JA"")"),"単球様細胞")</f>
        <v>単球様細胞</v>
      </c>
      <c r="J3196" s="1" t="str">
        <f>IFERROR(__xludf.DUMMYFUNCTION("GOOGLETRANSLATE(F3196,""EN"",""JA"")"),"生物標本中の単球細胞の測定。")</f>
        <v>生物標本中の単球細胞の測定。</v>
      </c>
      <c r="K3196" s="1" t="str">
        <f>IFERROR(__xludf.DUMMYFUNCTION("GOOGLETRANSLATE(G3196,""EN"",""JA"")"),"単球様細胞数")</f>
        <v>単球様細胞数</v>
      </c>
    </row>
    <row r="3197" ht="13.5" customHeight="1">
      <c r="A3197" s="1" t="s">
        <v>11</v>
      </c>
      <c r="B3197" s="1" t="s">
        <v>16032</v>
      </c>
      <c r="C3197" s="1" t="s">
        <v>16033</v>
      </c>
      <c r="D3197" s="1" t="s">
        <v>16034</v>
      </c>
      <c r="E3197" s="1" t="s">
        <v>16034</v>
      </c>
      <c r="F3197" s="1" t="s">
        <v>16035</v>
      </c>
      <c r="G3197" s="1" t="s">
        <v>16036</v>
      </c>
      <c r="H3197" s="1" t="str">
        <f>IFERROR(__xludf.DUMMYFUNCTION("GOOGLETRANSLATE(D3197,""EN"",""JA"")"),"単球様細胞/総細胞")</f>
        <v>単球様細胞/総細胞</v>
      </c>
      <c r="I3197" s="1" t="str">
        <f>IFERROR(__xludf.DUMMYFUNCTION("GOOGLETRANSLATE(E3197,""EN"",""JA"")"),"単球様細胞/総細胞")</f>
        <v>単球様細胞/総細胞</v>
      </c>
      <c r="J3197" s="1" t="str">
        <f>IFERROR(__xludf.DUMMYFUNCTION("GOOGLETRANSLATE(F3197,""EN"",""JA"")"),"生物標本中の単球細胞と総細胞の相対的な測定値（比率またはパーセンテージ）。")</f>
        <v>生物標本中の単球細胞と総細胞の相対的な測定値（比率またはパーセンテージ）。</v>
      </c>
      <c r="K3197" s="1" t="str">
        <f>IFERROR(__xludf.DUMMYFUNCTION("GOOGLETRANSLATE(G3197,""EN"",""JA"")"),"単球系細胞と全細胞との比率測定")</f>
        <v>単球系細胞と全細胞との比率測定</v>
      </c>
    </row>
    <row r="3198" ht="13.5" customHeight="1">
      <c r="A3198" s="1" t="s">
        <v>11</v>
      </c>
      <c r="B3198" s="1" t="s">
        <v>16037</v>
      </c>
      <c r="C3198" s="1" t="s">
        <v>16038</v>
      </c>
      <c r="D3198" s="1" t="s">
        <v>16039</v>
      </c>
      <c r="E3198" s="1" t="s">
        <v>16039</v>
      </c>
      <c r="F3198" s="1" t="s">
        <v>16040</v>
      </c>
      <c r="G3198" s="1" t="s">
        <v>16041</v>
      </c>
      <c r="H3198" s="1" t="str">
        <f>IFERROR(__xludf.DUMMYFUNCTION("GOOGLETRANSLATE(D3198,""EN"",""JA"")"),"単球様細胞/白血球")</f>
        <v>単球様細胞/白血球</v>
      </c>
      <c r="I3198" s="1" t="str">
        <f>IFERROR(__xludf.DUMMYFUNCTION("GOOGLETRANSLATE(E3198,""EN"",""JA"")"),"単球様細胞/白血球")</f>
        <v>単球様細胞/白血球</v>
      </c>
      <c r="J3198" s="1" t="str">
        <f>IFERROR(__xludf.DUMMYFUNCTION("GOOGLETRANSLATE(F3198,""EN"",""JA"")"),"生物標本中の白血球に対する単球様細胞の相対的な測定値（比率またはパーセンテージ）。")</f>
        <v>生物標本中の白血球に対する単球様細胞の相対的な測定値（比率またはパーセンテージ）。</v>
      </c>
      <c r="K3198" s="1" t="str">
        <f>IFERROR(__xludf.DUMMYFUNCTION("GOOGLETRANSLATE(G3198,""EN"",""JA"")"),"単球様細胞と白血球の比率測定")</f>
        <v>単球様細胞と白血球の比率測定</v>
      </c>
    </row>
    <row r="3199" ht="13.5" customHeight="1">
      <c r="A3199" s="1" t="s">
        <v>11</v>
      </c>
      <c r="B3199" s="1" t="s">
        <v>16042</v>
      </c>
      <c r="C3199" s="1" t="s">
        <v>16043</v>
      </c>
      <c r="D3199" s="1" t="s">
        <v>16044</v>
      </c>
      <c r="E3199" s="1" t="s">
        <v>16044</v>
      </c>
      <c r="F3199" s="1" t="s">
        <v>16045</v>
      </c>
      <c r="G3199" s="1" t="s">
        <v>16046</v>
      </c>
      <c r="H3199" s="1" t="str">
        <f>IFERROR(__xludf.DUMMYFUNCTION("GOOGLETRANSLATE(D3199,""EN"",""JA"")"),"モダフィニル")</f>
        <v>モダフィニル</v>
      </c>
      <c r="I3199" s="1" t="str">
        <f>IFERROR(__xludf.DUMMYFUNCTION("GOOGLETRANSLATE(E3199,""EN"",""JA"")"),"モダフィニル")</f>
        <v>モダフィニル</v>
      </c>
      <c r="J3199" s="1" t="str">
        <f>IFERROR(__xludf.DUMMYFUNCTION("GOOGLETRANSLATE(F3199,""EN"",""JA"")"),"生物標本中のモダフィニルの測定。")</f>
        <v>生物標本中のモダフィニルの測定。</v>
      </c>
      <c r="K3199" s="1" t="str">
        <f>IFERROR(__xludf.DUMMYFUNCTION("GOOGLETRANSLATE(G3199,""EN"",""JA"")"),"モダフィニル測定")</f>
        <v>モダフィニル測定</v>
      </c>
    </row>
    <row r="3200" ht="13.5" customHeight="1">
      <c r="A3200" s="1" t="s">
        <v>11</v>
      </c>
      <c r="B3200" s="1" t="s">
        <v>16047</v>
      </c>
      <c r="C3200" s="1" t="s">
        <v>16048</v>
      </c>
      <c r="D3200" s="1" t="s">
        <v>16049</v>
      </c>
      <c r="E3200" s="1" t="s">
        <v>16049</v>
      </c>
      <c r="F3200" s="1" t="s">
        <v>16050</v>
      </c>
      <c r="G3200" s="1" t="s">
        <v>16051</v>
      </c>
      <c r="H3200" s="1" t="str">
        <f>IFERROR(__xludf.DUMMYFUNCTION("GOOGLETRANSLATE(D3200,""EN"",""JA"")"),"メトヘキシタール")</f>
        <v>メトヘキシタール</v>
      </c>
      <c r="I3200" s="1" t="str">
        <f>IFERROR(__xludf.DUMMYFUNCTION("GOOGLETRANSLATE(E3200,""EN"",""JA"")"),"メトヘキシタール")</f>
        <v>メトヘキシタール</v>
      </c>
      <c r="J3200" s="1" t="str">
        <f>IFERROR(__xludf.DUMMYFUNCTION("GOOGLETRANSLATE(F3200,""EN"",""JA"")"),"生物標本中のメトヘキシタールの測定。")</f>
        <v>生物標本中のメトヘキシタールの測定。</v>
      </c>
      <c r="K3200" s="1" t="str">
        <f>IFERROR(__xludf.DUMMYFUNCTION("GOOGLETRANSLATE(G3200,""EN"",""JA"")"),"メトヘキシタール測定")</f>
        <v>メトヘキシタール測定</v>
      </c>
    </row>
    <row r="3201" ht="13.5" customHeight="1">
      <c r="A3201" s="1" t="s">
        <v>11</v>
      </c>
      <c r="B3201" s="1" t="s">
        <v>16052</v>
      </c>
      <c r="C3201" s="1" t="s">
        <v>16053</v>
      </c>
      <c r="D3201" s="1" t="s">
        <v>16054</v>
      </c>
      <c r="E3201" s="1" t="s">
        <v>16054</v>
      </c>
      <c r="F3201" s="1" t="s">
        <v>16055</v>
      </c>
      <c r="G3201" s="1" t="s">
        <v>16056</v>
      </c>
      <c r="H3201" s="1" t="str">
        <f>IFERROR(__xludf.DUMMYFUNCTION("GOOGLETRANSLATE(D3201,""EN"",""JA"")"),"モリンドン")</f>
        <v>モリンドン</v>
      </c>
      <c r="I3201" s="1" t="str">
        <f>IFERROR(__xludf.DUMMYFUNCTION("GOOGLETRANSLATE(E3201,""EN"",""JA"")"),"モリンドン")</f>
        <v>モリンドン</v>
      </c>
      <c r="J3201" s="1" t="str">
        <f>IFERROR(__xludf.DUMMYFUNCTION("GOOGLETRANSLATE(F3201,""EN"",""JA"")"),"生物標本中のモリンドンの測定。")</f>
        <v>生物標本中のモリンドンの測定。</v>
      </c>
      <c r="K3201" s="1" t="str">
        <f>IFERROR(__xludf.DUMMYFUNCTION("GOOGLETRANSLATE(G3201,""EN"",""JA"")"),"モリンドン測定")</f>
        <v>モリンドン測定</v>
      </c>
    </row>
    <row r="3202" ht="13.5" customHeight="1">
      <c r="A3202" s="1" t="s">
        <v>1342</v>
      </c>
      <c r="B3202" s="1" t="s">
        <v>16057</v>
      </c>
      <c r="C3202" s="1" t="s">
        <v>16058</v>
      </c>
      <c r="D3202" s="1" t="s">
        <v>16059</v>
      </c>
      <c r="E3202" s="1" t="s">
        <v>16059</v>
      </c>
      <c r="F3202" s="1" t="s">
        <v>16060</v>
      </c>
      <c r="G3202" s="1" t="s">
        <v>16059</v>
      </c>
      <c r="H3202" s="1" t="str">
        <f>IFERROR(__xludf.DUMMYFUNCTION("GOOGLETRANSLATE(D3202,""EN"",""JA"")"),"分子応答")</f>
        <v>分子応答</v>
      </c>
      <c r="I3202" s="1" t="str">
        <f>IFERROR(__xludf.DUMMYFUNCTION("GOOGLETRANSLATE(E3202,""EN"",""JA"")"),"分子応答")</f>
        <v>分子応答</v>
      </c>
      <c r="J3202" s="1" t="str">
        <f>IFERROR(__xludf.DUMMYFUNCTION("GOOGLETRANSLATE(F3202,""EN"",""JA"")"),"治療に対する疾患の分子反応の評価。")</f>
        <v>治療に対する疾患の分子反応の評価。</v>
      </c>
      <c r="K3202" s="1" t="str">
        <f>IFERROR(__xludf.DUMMYFUNCTION("GOOGLETRANSLATE(G3202,""EN"",""JA"")"),"分子応答")</f>
        <v>分子応答</v>
      </c>
    </row>
    <row r="3203" ht="13.5" customHeight="1">
      <c r="A3203" s="1" t="s">
        <v>11</v>
      </c>
      <c r="B3203" s="1" t="s">
        <v>16061</v>
      </c>
      <c r="C3203" s="1" t="s">
        <v>16062</v>
      </c>
      <c r="D3203" s="1" t="s">
        <v>16063</v>
      </c>
      <c r="E3203" s="1" t="s">
        <v>16063</v>
      </c>
      <c r="F3203" s="1" t="s">
        <v>16064</v>
      </c>
      <c r="G3203" s="1" t="s">
        <v>16065</v>
      </c>
      <c r="H3203" s="1" t="str">
        <f>IFERROR(__xludf.DUMMYFUNCTION("GOOGLETRANSLATE(D3203,""EN"",""JA"")"),"単球とマクロファージ/白血球")</f>
        <v>単球とマクロファージ/白血球</v>
      </c>
      <c r="I3203" s="1" t="str">
        <f>IFERROR(__xludf.DUMMYFUNCTION("GOOGLETRANSLATE(E3203,""EN"",""JA"")"),"単球とマクロファージ/白血球")</f>
        <v>単球とマクロファージ/白血球</v>
      </c>
      <c r="J3203" s="1" t="str">
        <f>IFERROR(__xludf.DUMMYFUNCTION("GOOGLETRANSLATE(F3203,""EN"",""JA"")"),"生物標本中の白血球総数に対する単球およびマクロファージの相対的な測定値（比率またはパーセンテージ）。")</f>
        <v>生物標本中の白血球総数に対する単球およびマクロファージの相対的な測定値（比率またはパーセンテージ）。</v>
      </c>
      <c r="K3203" s="1" t="str">
        <f>IFERROR(__xludf.DUMMYFUNCTION("GOOGLETRANSLATE(G3203,""EN"",""JA"")"),"単球およびマクロファージと白血球の比率測定")</f>
        <v>単球およびマクロファージと白血球の比率測定</v>
      </c>
    </row>
    <row r="3204" ht="13.5" customHeight="1">
      <c r="A3204" s="1" t="s">
        <v>11</v>
      </c>
      <c r="B3204" s="1" t="s">
        <v>16066</v>
      </c>
      <c r="C3204" s="1" t="s">
        <v>16067</v>
      </c>
      <c r="D3204" s="1" t="s">
        <v>16068</v>
      </c>
      <c r="E3204" s="1" t="s">
        <v>16068</v>
      </c>
      <c r="F3204" s="1" t="s">
        <v>16069</v>
      </c>
      <c r="G3204" s="1" t="s">
        <v>16070</v>
      </c>
      <c r="H3204" s="1" t="str">
        <f>IFERROR(__xludf.DUMMYFUNCTION("GOOGLETRANSLATE(D3204,""EN"",""JA"")"),"単球")</f>
        <v>単球</v>
      </c>
      <c r="I3204" s="1" t="str">
        <f>IFERROR(__xludf.DUMMYFUNCTION("GOOGLETRANSLATE(E3204,""EN"",""JA"")"),"単球")</f>
        <v>単球</v>
      </c>
      <c r="J3204" s="1" t="str">
        <f>IFERROR(__xludf.DUMMYFUNCTION("GOOGLETRANSLATE(F3204,""EN"",""JA"")"),"生物標本中の単球の測定。")</f>
        <v>生物標本中の単球の測定。</v>
      </c>
      <c r="K3204" s="1" t="str">
        <f>IFERROR(__xludf.DUMMYFUNCTION("GOOGLETRANSLATE(G3204,""EN"",""JA"")"),"単球数")</f>
        <v>単球数</v>
      </c>
    </row>
    <row r="3205" ht="13.5" customHeight="1">
      <c r="A3205" s="1" t="s">
        <v>11</v>
      </c>
      <c r="B3205" s="1" t="s">
        <v>16071</v>
      </c>
      <c r="C3205" s="1" t="s">
        <v>16072</v>
      </c>
      <c r="D3205" s="1" t="s">
        <v>16073</v>
      </c>
      <c r="E3205" s="1" t="s">
        <v>16073</v>
      </c>
      <c r="F3205" s="1" t="s">
        <v>16074</v>
      </c>
      <c r="G3205" s="1" t="s">
        <v>16075</v>
      </c>
      <c r="H3205" s="1" t="str">
        <f>IFERROR(__xludf.DUMMYFUNCTION("GOOGLETRANSLATE(D3205,""EN"",""JA"")"),"単芽球")</f>
        <v>単芽球</v>
      </c>
      <c r="I3205" s="1" t="str">
        <f>IFERROR(__xludf.DUMMYFUNCTION("GOOGLETRANSLATE(E3205,""EN"",""JA"")"),"単芽球")</f>
        <v>単芽球</v>
      </c>
      <c r="J3205" s="1" t="str">
        <f>IFERROR(__xludf.DUMMYFUNCTION("GOOGLETRANSLATE(F3205,""EN"",""JA"")"),"生物標本中の単芽球細胞の測定。")</f>
        <v>生物標本中の単芽球細胞の測定。</v>
      </c>
      <c r="K3205" s="1" t="str">
        <f>IFERROR(__xludf.DUMMYFUNCTION("GOOGLETRANSLATE(G3205,""EN"",""JA"")"),"単芽球数")</f>
        <v>単芽球数</v>
      </c>
    </row>
    <row r="3206" ht="13.5" customHeight="1">
      <c r="A3206" s="1" t="s">
        <v>134</v>
      </c>
      <c r="B3206" s="1" t="s">
        <v>16076</v>
      </c>
      <c r="C3206" s="1" t="s">
        <v>16077</v>
      </c>
      <c r="D3206" s="1" t="s">
        <v>16078</v>
      </c>
      <c r="E3206" s="1" t="s">
        <v>16078</v>
      </c>
      <c r="F3206" s="1" t="s">
        <v>16079</v>
      </c>
      <c r="G3206" s="1" t="s">
        <v>16080</v>
      </c>
      <c r="H3206" s="1" t="str">
        <f>IFERROR(__xludf.DUMMYFUNCTION("GOOGLETRANSLATE(D3206,""EN"",""JA"")"),"単芽球/総細胞")</f>
        <v>単芽球/総細胞</v>
      </c>
      <c r="I3206" s="1" t="str">
        <f>IFERROR(__xludf.DUMMYFUNCTION("GOOGLETRANSLATE(E3206,""EN"",""JA"")"),"単芽球/総細胞")</f>
        <v>単芽球/総細胞</v>
      </c>
      <c r="J3206" s="1" t="str">
        <f>IFERROR(__xludf.DUMMYFUNCTION("GOOGLETRANSLATE(F3206,""EN"",""JA"")"),"生物標本中の全細胞に対する単芽球の相対的な測定値（比率またはパーセンテージ）。")</f>
        <v>生物標本中の全細胞に対する単芽球の相対的な測定値（比率またはパーセンテージ）。</v>
      </c>
      <c r="K3206" s="1" t="str">
        <f>IFERROR(__xludf.DUMMYFUNCTION("GOOGLETRANSLATE(G3206,""EN"",""JA"")"),"単芽球と全細胞比の測定")</f>
        <v>単芽球と全細胞比の測定</v>
      </c>
    </row>
    <row r="3207" ht="13.5" customHeight="1">
      <c r="A3207" s="1" t="s">
        <v>11</v>
      </c>
      <c r="B3207" s="1" t="s">
        <v>16076</v>
      </c>
      <c r="C3207" s="1" t="s">
        <v>16077</v>
      </c>
      <c r="D3207" s="1" t="s">
        <v>16078</v>
      </c>
      <c r="E3207" s="1" t="s">
        <v>16078</v>
      </c>
      <c r="F3207" s="1" t="s">
        <v>16079</v>
      </c>
      <c r="G3207" s="1" t="s">
        <v>16080</v>
      </c>
      <c r="H3207" s="1" t="str">
        <f>IFERROR(__xludf.DUMMYFUNCTION("GOOGLETRANSLATE(D3207,""EN"",""JA"")"),"単芽球/総細胞")</f>
        <v>単芽球/総細胞</v>
      </c>
      <c r="I3207" s="1" t="str">
        <f>IFERROR(__xludf.DUMMYFUNCTION("GOOGLETRANSLATE(E3207,""EN"",""JA"")"),"単芽球/総細胞")</f>
        <v>単芽球/総細胞</v>
      </c>
      <c r="J3207" s="1" t="str">
        <f>IFERROR(__xludf.DUMMYFUNCTION("GOOGLETRANSLATE(F3207,""EN"",""JA"")"),"生物標本中の全細胞に対する単芽球の相対的な測定値（比率またはパーセンテージ）。")</f>
        <v>生物標本中の全細胞に対する単芽球の相対的な測定値（比率またはパーセンテージ）。</v>
      </c>
      <c r="K3207" s="1" t="str">
        <f>IFERROR(__xludf.DUMMYFUNCTION("GOOGLETRANSLATE(G3207,""EN"",""JA"")"),"単芽球と全細胞比の測定")</f>
        <v>単芽球と全細胞比の測定</v>
      </c>
    </row>
    <row r="3208" ht="13.5" customHeight="1">
      <c r="A3208" s="1" t="s">
        <v>11</v>
      </c>
      <c r="B3208" s="1" t="s">
        <v>16081</v>
      </c>
      <c r="C3208" s="1" t="s">
        <v>16082</v>
      </c>
      <c r="D3208" s="1" t="s">
        <v>16083</v>
      </c>
      <c r="E3208" s="1" t="s">
        <v>16083</v>
      </c>
      <c r="F3208" s="1" t="s">
        <v>16084</v>
      </c>
      <c r="G3208" s="1" t="s">
        <v>16085</v>
      </c>
      <c r="H3208" s="1" t="str">
        <f>IFERROR(__xludf.DUMMYFUNCTION("GOOGLETRANSLATE(D3208,""EN"",""JA"")"),"単芽球/白血球")</f>
        <v>単芽球/白血球</v>
      </c>
      <c r="I3208" s="1" t="str">
        <f>IFERROR(__xludf.DUMMYFUNCTION("GOOGLETRANSLATE(E3208,""EN"",""JA"")"),"単芽球/白血球")</f>
        <v>単芽球/白血球</v>
      </c>
      <c r="J3208" s="1" t="str">
        <f>IFERROR(__xludf.DUMMYFUNCTION("GOOGLETRANSLATE(F3208,""EN"",""JA"")"),"生物標本中の白血球に対する単芽球の相対的な測定値（比率またはパーセンテージ）。")</f>
        <v>生物標本中の白血球に対する単芽球の相対的な測定値（比率またはパーセンテージ）。</v>
      </c>
      <c r="K3208" s="1" t="str">
        <f>IFERROR(__xludf.DUMMYFUNCTION("GOOGLETRANSLATE(G3208,""EN"",""JA"")"),"単芽球対白血球比測定")</f>
        <v>単芽球対白血球比測定</v>
      </c>
    </row>
    <row r="3209" ht="13.5" customHeight="1">
      <c r="A3209" s="1" t="s">
        <v>134</v>
      </c>
      <c r="B3209" s="1" t="s">
        <v>16086</v>
      </c>
      <c r="C3209" s="1" t="s">
        <v>16087</v>
      </c>
      <c r="D3209" s="1" t="s">
        <v>16088</v>
      </c>
      <c r="E3209" s="1" t="s">
        <v>16088</v>
      </c>
      <c r="F3209" s="1" t="s">
        <v>16089</v>
      </c>
      <c r="G3209" s="1" t="s">
        <v>16090</v>
      </c>
      <c r="H3209" s="1" t="str">
        <f>IFERROR(__xludf.DUMMYFUNCTION("GOOGLETRANSLATE(D3209,""EN"",""JA"")"),"単球/総細胞")</f>
        <v>単球/総細胞</v>
      </c>
      <c r="I3209" s="1" t="str">
        <f>IFERROR(__xludf.DUMMYFUNCTION("GOOGLETRANSLATE(E3209,""EN"",""JA"")"),"単球/総細胞")</f>
        <v>単球/総細胞</v>
      </c>
      <c r="J3209" s="1" t="str">
        <f>IFERROR(__xludf.DUMMYFUNCTION("GOOGLETRANSLATE(F3209,""EN"",""JA"")"),"生物学的標本（骨髄標本など）内の総細胞に対する単球の相対的な測定値（比率またはパーセンテージ）。")</f>
        <v>生物学的標本（骨髄標本など）内の総細胞に対する単球の相対的な測定値（比率またはパーセンテージ）。</v>
      </c>
      <c r="K3209" s="1" t="str">
        <f>IFERROR(__xludf.DUMMYFUNCTION("GOOGLETRANSLATE(G3209,""EN"",""JA"")"),"単球対総細胞比測定")</f>
        <v>単球対総細胞比測定</v>
      </c>
    </row>
    <row r="3210" ht="13.5" customHeight="1">
      <c r="A3210" s="1" t="s">
        <v>11</v>
      </c>
      <c r="B3210" s="1" t="s">
        <v>16086</v>
      </c>
      <c r="C3210" s="1" t="s">
        <v>16087</v>
      </c>
      <c r="D3210" s="1" t="s">
        <v>16088</v>
      </c>
      <c r="E3210" s="1" t="s">
        <v>16088</v>
      </c>
      <c r="F3210" s="1" t="s">
        <v>16089</v>
      </c>
      <c r="G3210" s="1" t="s">
        <v>16090</v>
      </c>
      <c r="H3210" s="1" t="str">
        <f>IFERROR(__xludf.DUMMYFUNCTION("GOOGLETRANSLATE(D3210,""EN"",""JA"")"),"単球/総細胞")</f>
        <v>単球/総細胞</v>
      </c>
      <c r="I3210" s="1" t="str">
        <f>IFERROR(__xludf.DUMMYFUNCTION("GOOGLETRANSLATE(E3210,""EN"",""JA"")"),"単球/総細胞")</f>
        <v>単球/総細胞</v>
      </c>
      <c r="J3210" s="1" t="str">
        <f>IFERROR(__xludf.DUMMYFUNCTION("GOOGLETRANSLATE(F3210,""EN"",""JA"")"),"生物学的標本（骨髄標本など）内の総細胞に対する単球の相対的な測定値（比率またはパーセンテージ）。")</f>
        <v>生物学的標本（骨髄標本など）内の総細胞に対する単球の相対的な測定値（比率またはパーセンテージ）。</v>
      </c>
      <c r="K3210" s="1" t="str">
        <f>IFERROR(__xludf.DUMMYFUNCTION("GOOGLETRANSLATE(G3210,""EN"",""JA"")"),"単球対総細胞比測定")</f>
        <v>単球対総細胞比測定</v>
      </c>
    </row>
    <row r="3211" ht="13.5" customHeight="1">
      <c r="A3211" s="1" t="s">
        <v>11</v>
      </c>
      <c r="B3211" s="1" t="s">
        <v>16091</v>
      </c>
      <c r="C3211" s="1" t="s">
        <v>16092</v>
      </c>
      <c r="D3211" s="1" t="s">
        <v>16093</v>
      </c>
      <c r="E3211" s="1" t="s">
        <v>16093</v>
      </c>
      <c r="F3211" s="1" t="s">
        <v>16094</v>
      </c>
      <c r="G3211" s="1" t="s">
        <v>16095</v>
      </c>
      <c r="H3211" s="1" t="str">
        <f>IFERROR(__xludf.DUMMYFUNCTION("GOOGLETRANSLATE(D3211,""EN"",""JA"")"),"未熟な単球")</f>
        <v>未熟な単球</v>
      </c>
      <c r="I3211" s="1" t="str">
        <f>IFERROR(__xludf.DUMMYFUNCTION("GOOGLETRANSLATE(E3211,""EN"",""JA"")"),"未熟な単球")</f>
        <v>未熟な単球</v>
      </c>
      <c r="J3211" s="1" t="str">
        <f>IFERROR(__xludf.DUMMYFUNCTION("GOOGLETRANSLATE(F3211,""EN"",""JA"")"),"生物標本中の未熟単球の測定。")</f>
        <v>生物標本中の未熟単球の測定。</v>
      </c>
      <c r="K3211" s="1" t="str">
        <f>IFERROR(__xludf.DUMMYFUNCTION("GOOGLETRANSLATE(G3211,""EN"",""JA"")"),"未熟単球数")</f>
        <v>未熟単球数</v>
      </c>
    </row>
    <row r="3212" ht="13.5" customHeight="1">
      <c r="A3212" s="1" t="s">
        <v>11</v>
      </c>
      <c r="B3212" s="1" t="s">
        <v>16096</v>
      </c>
      <c r="C3212" s="1" t="s">
        <v>16097</v>
      </c>
      <c r="D3212" s="1" t="s">
        <v>16098</v>
      </c>
      <c r="E3212" s="1" t="s">
        <v>16098</v>
      </c>
      <c r="F3212" s="1" t="s">
        <v>16099</v>
      </c>
      <c r="G3212" s="1" t="s">
        <v>16100</v>
      </c>
      <c r="H3212" s="1" t="str">
        <f>IFERROR(__xludf.DUMMYFUNCTION("GOOGLETRANSLATE(D3212,""EN"",""JA"")"),"未熟な単球/白血球")</f>
        <v>未熟な単球/白血球</v>
      </c>
      <c r="I3212" s="1" t="str">
        <f>IFERROR(__xludf.DUMMYFUNCTION("GOOGLETRANSLATE(E3212,""EN"",""JA"")"),"未熟な単球/白血球")</f>
        <v>未熟な単球/白血球</v>
      </c>
      <c r="J3212" s="1" t="str">
        <f>IFERROR(__xludf.DUMMYFUNCTION("GOOGLETRANSLATE(F3212,""EN"",""JA"")"),"生物標本中の全白血球に対する未熟単球の相対的な測定値（比率またはパーセンテージ）。")</f>
        <v>生物標本中の全白血球に対する未熟単球の相対的な測定値（比率またはパーセンテージ）。</v>
      </c>
      <c r="K3212" s="1" t="str">
        <f>IFERROR(__xludf.DUMMYFUNCTION("GOOGLETRANSLATE(G3212,""EN"",""JA"")"),"未熟単球と白血球の比の測定")</f>
        <v>未熟単球と白血球の比の測定</v>
      </c>
    </row>
    <row r="3213" ht="13.5" customHeight="1">
      <c r="A3213" s="1" t="s">
        <v>11</v>
      </c>
      <c r="B3213" s="1" t="s">
        <v>16101</v>
      </c>
      <c r="C3213" s="1" t="s">
        <v>16102</v>
      </c>
      <c r="D3213" s="1" t="s">
        <v>16103</v>
      </c>
      <c r="E3213" s="1" t="s">
        <v>16103</v>
      </c>
      <c r="F3213" s="1" t="s">
        <v>16104</v>
      </c>
      <c r="G3213" s="1" t="s">
        <v>16105</v>
      </c>
      <c r="H3213" s="1" t="str">
        <f>IFERROR(__xludf.DUMMYFUNCTION("GOOGLETRANSLATE(D3213,""EN"",""JA"")"),"単球/白血球")</f>
        <v>単球/白血球</v>
      </c>
      <c r="I3213" s="1" t="str">
        <f>IFERROR(__xludf.DUMMYFUNCTION("GOOGLETRANSLATE(E3213,""EN"",""JA"")"),"単球/白血球")</f>
        <v>単球/白血球</v>
      </c>
      <c r="J3213" s="1" t="str">
        <f>IFERROR(__xludf.DUMMYFUNCTION("GOOGLETRANSLATE(F3213,""EN"",""JA"")"),"生物標本中の単球と白血球の相対的な測定値（比率またはパーセンテージ）。")</f>
        <v>生物標本中の単球と白血球の相対的な測定値（比率またはパーセンテージ）。</v>
      </c>
      <c r="K3213" s="1" t="str">
        <f>IFERROR(__xludf.DUMMYFUNCTION("GOOGLETRANSLATE(G3213,""EN"",""JA"")"),"単球対白血球比")</f>
        <v>単球対白血球比</v>
      </c>
    </row>
    <row r="3214" ht="13.5" customHeight="1">
      <c r="A3214" s="1" t="s">
        <v>11</v>
      </c>
      <c r="B3214" s="1" t="s">
        <v>16106</v>
      </c>
      <c r="C3214" s="1" t="s">
        <v>16107</v>
      </c>
      <c r="D3214" s="1" t="s">
        <v>16108</v>
      </c>
      <c r="E3214" s="1" t="s">
        <v>16108</v>
      </c>
      <c r="F3214" s="1" t="s">
        <v>16109</v>
      </c>
      <c r="G3214" s="1" t="s">
        <v>16110</v>
      </c>
      <c r="H3214" s="1" t="str">
        <f>IFERROR(__xludf.DUMMYFUNCTION("GOOGLETRANSLATE(D3214,""EN"",""JA"")"),"単球/大球")</f>
        <v>単球/大球</v>
      </c>
      <c r="I3214" s="1" t="str">
        <f>IFERROR(__xludf.DUMMYFUNCTION("GOOGLETRANSLATE(E3214,""EN"",""JA"")"),"単球/大球")</f>
        <v>単球/大球</v>
      </c>
      <c r="J3214" s="1" t="str">
        <f>IFERROR(__xludf.DUMMYFUNCTION("GOOGLETRANSLATE(F3214,""EN"",""JA"")"),"サンプル中に存在する単球と大赤血球の相対的な測定値 (比率またはパーセンテージ)。")</f>
        <v>サンプル中に存在する単球と大赤血球の相対的な測定値 (比率またはパーセンテージ)。</v>
      </c>
      <c r="K3214" s="1" t="str">
        <f>IFERROR(__xludf.DUMMYFUNCTION("GOOGLETRANSLATE(G3214,""EN"",""JA"")"),"単球と大球の比率測定")</f>
        <v>単球と大球の比率測定</v>
      </c>
    </row>
    <row r="3215" ht="13.5" customHeight="1">
      <c r="A3215" s="1" t="s">
        <v>11</v>
      </c>
      <c r="B3215" s="1" t="s">
        <v>16111</v>
      </c>
      <c r="C3215" s="1" t="s">
        <v>16112</v>
      </c>
      <c r="D3215" s="1" t="s">
        <v>16113</v>
      </c>
      <c r="E3215" s="1" t="s">
        <v>16113</v>
      </c>
      <c r="F3215" s="1" t="s">
        <v>16114</v>
      </c>
      <c r="G3215" s="1" t="s">
        <v>16115</v>
      </c>
      <c r="H3215" s="1" t="str">
        <f>IFERROR(__xludf.DUMMYFUNCTION("GOOGLETRANSLATE(D3215,""EN"",""JA"")"),"単球/非扁平上皮細胞")</f>
        <v>単球/非扁平上皮細胞</v>
      </c>
      <c r="I3215" s="1" t="str">
        <f>IFERROR(__xludf.DUMMYFUNCTION("GOOGLETRANSLATE(E3215,""EN"",""JA"")"),"単球/非扁平上皮細胞")</f>
        <v>単球/非扁平上皮細胞</v>
      </c>
      <c r="J3215" s="1" t="str">
        <f>IFERROR(__xludf.DUMMYFUNCTION("GOOGLETRANSLATE(F3215,""EN"",""JA"")"),"生物標本中の単球と非扁平上皮細胞の相対的な測定値（比率またはパーセンテージ）。")</f>
        <v>生物標本中の単球と非扁平上皮細胞の相対的な測定値（比率またはパーセンテージ）。</v>
      </c>
      <c r="K3215" s="1" t="str">
        <f>IFERROR(__xludf.DUMMYFUNCTION("GOOGLETRANSLATE(G3215,""EN"",""JA"")"),"単球と非扁平上皮細胞の比率測定")</f>
        <v>単球と非扁平上皮細胞の比率測定</v>
      </c>
    </row>
    <row r="3216" ht="13.5" customHeight="1">
      <c r="A3216" s="1" t="s">
        <v>11</v>
      </c>
      <c r="B3216" s="1" t="s">
        <v>16116</v>
      </c>
      <c r="C3216" s="1" t="s">
        <v>16117</v>
      </c>
      <c r="D3216" s="1" t="s">
        <v>16118</v>
      </c>
      <c r="E3216" s="1" t="s">
        <v>16119</v>
      </c>
      <c r="F3216" s="1" t="s">
        <v>16120</v>
      </c>
      <c r="G3216" s="1" t="s">
        <v>16121</v>
      </c>
      <c r="H3216" s="1" t="str">
        <f>IFERROR(__xludf.DUMMYFUNCTION("GOOGLETRANSLATE(D3216,""EN"",""JA"")"),"モノクローナルタンパク質/総タンパク質")</f>
        <v>モノクローナルタンパク質/総タンパク質</v>
      </c>
      <c r="I3216" s="1" t="str">
        <f>IFERROR(__xludf.DUMMYFUNCTION("GOOGLETRANSLATE(E3216,""EN"",""JA"")"),"Mタンパク質/総タンパク質; Mスパイクタンパク質/総タンパク質; モノクローナルタンパク質スパイク/総タンパク質; モノクローナルタンパク質/総タンパク質; 骨髄腫タンパク質/総タンパク質")</f>
        <v>Mタンパク質/総タンパク質; Mスパイクタンパク質/総タンパク質; モノクローナルタンパク質スパイク/総タンパク質; モノクローナルタンパク質/総タンパク質; 骨髄腫タンパク質/総タンパク質</v>
      </c>
      <c r="J3216" s="1" t="str">
        <f>IFERROR(__xludf.DUMMYFUNCTION("GOOGLETRANSLATE(F3216,""EN"",""JA"")"),"生物標本中の総タンパク質に対するモノクローナルタンパク質の相対的な測定値（比率またはパーセンテージ）。")</f>
        <v>生物標本中の総タンパク質に対するモノクローナルタンパク質の相対的な測定値（比率またはパーセンテージ）。</v>
      </c>
      <c r="K3216" s="1" t="str">
        <f>IFERROR(__xludf.DUMMYFUNCTION("GOOGLETRANSLATE(G3216,""EN"",""JA"")"),"モノクローナルタンパク質と総タンパク質の比率測定")</f>
        <v>モノクローナルタンパク質と総タンパク質の比率測定</v>
      </c>
    </row>
    <row r="3217" ht="13.5" customHeight="1">
      <c r="A3217" s="1" t="s">
        <v>67</v>
      </c>
      <c r="B3217" s="1" t="s">
        <v>16122</v>
      </c>
      <c r="C3217" s="1" t="s">
        <v>16123</v>
      </c>
      <c r="D3217" s="1" t="s">
        <v>16124</v>
      </c>
      <c r="E3217" s="1" t="s">
        <v>16124</v>
      </c>
      <c r="F3217" s="1" t="s">
        <v>16125</v>
      </c>
      <c r="G3217" s="1" t="s">
        <v>16126</v>
      </c>
      <c r="H3217" s="1" t="str">
        <f>IFERROR(__xludf.DUMMYFUNCTION("GOOGLETRANSLATE(D3217,""EN"",""JA"")"),"モルガネラ")</f>
        <v>モルガネラ</v>
      </c>
      <c r="I3217" s="1" t="str">
        <f>IFERROR(__xludf.DUMMYFUNCTION("GOOGLETRANSLATE(E3217,""EN"",""JA"")"),"モルガネラ")</f>
        <v>モルガネラ</v>
      </c>
      <c r="J3217" s="1" t="str">
        <f>IFERROR(__xludf.DUMMYFUNCTION("GOOGLETRANSLATE(F3217,""EN"",""JA"")"),"生物標本において、種レベルには割り当てられていないが、モルガネラ属レベルに割り当てられている生物の測定値。")</f>
        <v>生物標本において、種レベルには割り当てられていないが、モルガネラ属レベルに割り当てられている生物の測定値。</v>
      </c>
      <c r="K3217" s="1" t="str">
        <f>IFERROR(__xludf.DUMMYFUNCTION("GOOGLETRANSLATE(G3217,""EN"",""JA"")"),"モルガネラ測定")</f>
        <v>モルガネラ測定</v>
      </c>
    </row>
    <row r="3218" ht="13.5" customHeight="1">
      <c r="A3218" s="1" t="s">
        <v>176</v>
      </c>
      <c r="B3218" s="1" t="s">
        <v>16127</v>
      </c>
      <c r="C3218" s="1" t="s">
        <v>16128</v>
      </c>
      <c r="D3218" s="1" t="s">
        <v>16129</v>
      </c>
      <c r="E3218" s="1" t="s">
        <v>16129</v>
      </c>
      <c r="F3218" s="1" t="s">
        <v>16130</v>
      </c>
      <c r="G3218" s="1" t="s">
        <v>16129</v>
      </c>
      <c r="H3218" s="1" t="str">
        <f>IFERROR(__xludf.DUMMYFUNCTION("GOOGLETRANSLATE(D3218,""EN"",""JA"")"),"モロー反射")</f>
        <v>モロー反射</v>
      </c>
      <c r="I3218" s="1" t="str">
        <f>IFERROR(__xludf.DUMMYFUNCTION("GOOGLETRANSLATE(E3218,""EN"",""JA"")"),"モロー反射")</f>
        <v>モロー反射</v>
      </c>
      <c r="J3218" s="1" t="str">
        <f>IFERROR(__xludf.DUMMYFUNCTION("GOOGLETRANSLATE(F3218,""EN"",""JA"")"),"新生児が大きな音や落下感に対して示す、無意識の原始的反応。この反応は、乳児の両腕が左右対称に横に広がり、その後正中線に戻り、手指と足指が無意識に屈曲する特徴がある。")</f>
        <v>新生児が大きな音や落下感に対して示す、無意識の原始的反応。この反応は、乳児の両腕が左右対称に横に広がり、その後正中線に戻り、手指と足指が無意識に屈曲する特徴がある。</v>
      </c>
      <c r="K3218" s="1" t="str">
        <f>IFERROR(__xludf.DUMMYFUNCTION("GOOGLETRANSLATE(G3218,""EN"",""JA"")"),"モロー反射")</f>
        <v>モロー反射</v>
      </c>
    </row>
    <row r="3219" ht="13.5" customHeight="1">
      <c r="A3219" s="1" t="s">
        <v>11</v>
      </c>
      <c r="B3219" s="1" t="s">
        <v>16131</v>
      </c>
      <c r="C3219" s="1" t="s">
        <v>16132</v>
      </c>
      <c r="D3219" s="1" t="s">
        <v>16133</v>
      </c>
      <c r="E3219" s="1" t="s">
        <v>16133</v>
      </c>
      <c r="F3219" s="1" t="s">
        <v>16134</v>
      </c>
      <c r="G3219" s="1" t="s">
        <v>16135</v>
      </c>
      <c r="H3219" s="1" t="str">
        <f>IFERROR(__xludf.DUMMYFUNCTION("GOOGLETRANSLATE(D3219,""EN"",""JA"")"),"デソモルフィン")</f>
        <v>デソモルフィン</v>
      </c>
      <c r="I3219" s="1" t="str">
        <f>IFERROR(__xludf.DUMMYFUNCTION("GOOGLETRANSLATE(E3219,""EN"",""JA"")"),"デソモルフィン")</f>
        <v>デソモルフィン</v>
      </c>
      <c r="J3219" s="1" t="str">
        <f>IFERROR(__xludf.DUMMYFUNCTION("GOOGLETRANSLATE(F3219,""EN"",""JA"")"),"生物標本中のデソモルフィンの測定。")</f>
        <v>生物標本中のデソモルフィンの測定。</v>
      </c>
      <c r="K3219" s="1" t="str">
        <f>IFERROR(__xludf.DUMMYFUNCTION("GOOGLETRANSLATE(G3219,""EN"",""JA"")"),"デソモルフィン測定")</f>
        <v>デソモルフィン測定</v>
      </c>
    </row>
    <row r="3220" ht="13.5" customHeight="1">
      <c r="A3220" s="1" t="s">
        <v>11</v>
      </c>
      <c r="B3220" s="1" t="s">
        <v>16136</v>
      </c>
      <c r="C3220" s="1" t="s">
        <v>16137</v>
      </c>
      <c r="D3220" s="1" t="s">
        <v>16138</v>
      </c>
      <c r="E3220" s="1" t="s">
        <v>16138</v>
      </c>
      <c r="F3220" s="1" t="s">
        <v>16139</v>
      </c>
      <c r="G3220" s="1" t="s">
        <v>16140</v>
      </c>
      <c r="H3220" s="1" t="str">
        <f>IFERROR(__xludf.DUMMYFUNCTION("GOOGLETRANSLATE(D3220,""EN"",""JA"")"),"エチルモルヒネ")</f>
        <v>エチルモルヒネ</v>
      </c>
      <c r="I3220" s="1" t="str">
        <f>IFERROR(__xludf.DUMMYFUNCTION("GOOGLETRANSLATE(E3220,""EN"",""JA"")"),"エチルモルヒネ")</f>
        <v>エチルモルヒネ</v>
      </c>
      <c r="J3220" s="1" t="str">
        <f>IFERROR(__xludf.DUMMYFUNCTION("GOOGLETRANSLATE(F3220,""EN"",""JA"")"),"生物標本中のエチルモルヒネの測定。")</f>
        <v>生物標本中のエチルモルヒネの測定。</v>
      </c>
      <c r="K3220" s="1" t="str">
        <f>IFERROR(__xludf.DUMMYFUNCTION("GOOGLETRANSLATE(G3220,""EN"",""JA"")"),"エチルモルヒネ測定")</f>
        <v>エチルモルヒネ測定</v>
      </c>
    </row>
    <row r="3221" ht="13.5" customHeight="1">
      <c r="A3221" s="1" t="s">
        <v>11</v>
      </c>
      <c r="B3221" s="1" t="s">
        <v>16141</v>
      </c>
      <c r="C3221" s="1" t="s">
        <v>16142</v>
      </c>
      <c r="D3221" s="1" t="s">
        <v>16143</v>
      </c>
      <c r="E3221" s="1" t="s">
        <v>16143</v>
      </c>
      <c r="F3221" s="1" t="s">
        <v>16144</v>
      </c>
      <c r="G3221" s="1" t="s">
        <v>16145</v>
      </c>
      <c r="H3221" s="1" t="str">
        <f>IFERROR(__xludf.DUMMYFUNCTION("GOOGLETRANSLATE(D3221,""EN"",""JA"")"),"モルヒネ")</f>
        <v>モルヒネ</v>
      </c>
      <c r="I3221" s="1" t="str">
        <f>IFERROR(__xludf.DUMMYFUNCTION("GOOGLETRANSLATE(E3221,""EN"",""JA"")"),"モルヒネ")</f>
        <v>モルヒネ</v>
      </c>
      <c r="J3221" s="1" t="str">
        <f>IFERROR(__xludf.DUMMYFUNCTION("GOOGLETRANSLATE(F3221,""EN"",""JA"")"),"生物学的標本中に存在するモルヒネの測定。")</f>
        <v>生物学的標本中に存在するモルヒネの測定。</v>
      </c>
      <c r="K3221" s="1" t="str">
        <f>IFERROR(__xludf.DUMMYFUNCTION("GOOGLETRANSLATE(G3221,""EN"",""JA"")"),"モルヒネ測定")</f>
        <v>モルヒネ測定</v>
      </c>
    </row>
    <row r="3222" ht="13.5" customHeight="1">
      <c r="A3222" s="1" t="s">
        <v>11</v>
      </c>
      <c r="B3222" s="1" t="s">
        <v>16146</v>
      </c>
      <c r="C3222" s="1" t="s">
        <v>16147</v>
      </c>
      <c r="D3222" s="1" t="s">
        <v>16148</v>
      </c>
      <c r="E3222" s="1" t="s">
        <v>16148</v>
      </c>
      <c r="F3222" s="1" t="s">
        <v>16149</v>
      </c>
      <c r="G3222" s="1" t="s">
        <v>16150</v>
      </c>
      <c r="H3222" s="1" t="str">
        <f>IFERROR(__xludf.DUMMYFUNCTION("GOOGLETRANSLATE(D3222,""EN"",""JA"")"),"ニコモルフィン")</f>
        <v>ニコモルフィン</v>
      </c>
      <c r="I3222" s="1" t="str">
        <f>IFERROR(__xludf.DUMMYFUNCTION("GOOGLETRANSLATE(E3222,""EN"",""JA"")"),"ニコモルフィン")</f>
        <v>ニコモルフィン</v>
      </c>
      <c r="J3222" s="1" t="str">
        <f>IFERROR(__xludf.DUMMYFUNCTION("GOOGLETRANSLATE(F3222,""EN"",""JA"")"),"生物標本中のニコモルフィンの測定。")</f>
        <v>生物標本中のニコモルフィンの測定。</v>
      </c>
      <c r="K3222" s="1" t="str">
        <f>IFERROR(__xludf.DUMMYFUNCTION("GOOGLETRANSLATE(G3222,""EN"",""JA"")"),"ニコモルフィン測定")</f>
        <v>ニコモルフィン測定</v>
      </c>
    </row>
    <row r="3223" ht="13.5" customHeight="1">
      <c r="A3223" s="1" t="s">
        <v>11</v>
      </c>
      <c r="B3223" s="1" t="s">
        <v>16151</v>
      </c>
      <c r="C3223" s="1" t="s">
        <v>16152</v>
      </c>
      <c r="D3223" s="1" t="s">
        <v>16153</v>
      </c>
      <c r="E3223" s="1" t="s">
        <v>16153</v>
      </c>
      <c r="F3223" s="1" t="s">
        <v>16154</v>
      </c>
      <c r="G3223" s="1" t="s">
        <v>16155</v>
      </c>
      <c r="H3223" s="1" t="str">
        <f>IFERROR(__xludf.DUMMYFUNCTION("GOOGLETRANSLATE(D3223,""EN"",""JA"")"),"ノルモルヒネ")</f>
        <v>ノルモルヒネ</v>
      </c>
      <c r="I3223" s="1" t="str">
        <f>IFERROR(__xludf.DUMMYFUNCTION("GOOGLETRANSLATE(E3223,""EN"",""JA"")"),"ノルモルヒネ")</f>
        <v>ノルモルヒネ</v>
      </c>
      <c r="J3223" s="1" t="str">
        <f>IFERROR(__xludf.DUMMYFUNCTION("GOOGLETRANSLATE(F3223,""EN"",""JA"")"),"生物学的標本中のノルモルヒネの測定。")</f>
        <v>生物学的標本中のノルモルヒネの測定。</v>
      </c>
      <c r="K3223" s="1" t="str">
        <f>IFERROR(__xludf.DUMMYFUNCTION("GOOGLETRANSLATE(G3223,""EN"",""JA"")"),"ノルモルヒネ測定")</f>
        <v>ノルモルヒネ測定</v>
      </c>
    </row>
    <row r="3224" ht="13.5" customHeight="1">
      <c r="A3224" s="1" t="s">
        <v>11</v>
      </c>
      <c r="B3224" s="1" t="s">
        <v>16156</v>
      </c>
      <c r="C3224" s="1" t="s">
        <v>16157</v>
      </c>
      <c r="D3224" s="1" t="s">
        <v>16158</v>
      </c>
      <c r="E3224" s="1" t="s">
        <v>16158</v>
      </c>
      <c r="F3224" s="1" t="s">
        <v>16159</v>
      </c>
      <c r="G3224" s="1" t="s">
        <v>16160</v>
      </c>
      <c r="H3224" s="1" t="str">
        <f>IFERROR(__xludf.DUMMYFUNCTION("GOOGLETRANSLATE(D3224,""EN"",""JA"")"),"平均血小板成分")</f>
        <v>平均血小板成分</v>
      </c>
      <c r="I3224" s="1" t="str">
        <f>IFERROR(__xludf.DUMMYFUNCTION("GOOGLETRANSLATE(E3224,""EN"",""JA"")"),"平均血小板成分")</f>
        <v>平均血小板成分</v>
      </c>
      <c r="J3224" s="1" t="str">
        <f>IFERROR(__xludf.DUMMYFUNCTION("GOOGLETRANSLATE(F3224,""EN"",""JA"")"),"血液検体中の平均血小板成分（血小板活性）の測定値。")</f>
        <v>血液検体中の平均血小板成分（血小板活性）の測定値。</v>
      </c>
      <c r="K3224" s="1" t="str">
        <f>IFERROR(__xludf.DUMMYFUNCTION("GOOGLETRANSLATE(G3224,""EN"",""JA"")"),"平均血小板成分測定")</f>
        <v>平均血小板成分測定</v>
      </c>
    </row>
    <row r="3225" ht="13.5" customHeight="1">
      <c r="A3225" s="1" t="s">
        <v>11</v>
      </c>
      <c r="B3225" s="1" t="s">
        <v>16161</v>
      </c>
      <c r="C3225" s="1" t="s">
        <v>16162</v>
      </c>
      <c r="D3225" s="1" t="s">
        <v>16163</v>
      </c>
      <c r="E3225" s="1" t="s">
        <v>16163</v>
      </c>
      <c r="F3225" s="1" t="s">
        <v>16164</v>
      </c>
      <c r="G3225" s="1" t="s">
        <v>16165</v>
      </c>
      <c r="H3225" s="1" t="str">
        <f>IFERROR(__xludf.DUMMYFUNCTION("GOOGLETRANSLATE(D3225,""EN"",""JA"")"),"メフェドロン")</f>
        <v>メフェドロン</v>
      </c>
      <c r="I3225" s="1" t="str">
        <f>IFERROR(__xludf.DUMMYFUNCTION("GOOGLETRANSLATE(E3225,""EN"",""JA"")"),"メフェドロン")</f>
        <v>メフェドロン</v>
      </c>
      <c r="J3225" s="1" t="str">
        <f>IFERROR(__xludf.DUMMYFUNCTION("GOOGLETRANSLATE(F3225,""EN"",""JA"")"),"生物標本中のメフェドロンの測定。")</f>
        <v>生物標本中のメフェドロンの測定。</v>
      </c>
      <c r="K3225" s="1" t="str">
        <f>IFERROR(__xludf.DUMMYFUNCTION("GOOGLETRANSLATE(G3225,""EN"",""JA"")"),"メフェドロン測定")</f>
        <v>メフェドロン測定</v>
      </c>
    </row>
    <row r="3226" ht="13.5" customHeight="1">
      <c r="A3226" s="1" t="s">
        <v>134</v>
      </c>
      <c r="B3226" s="1" t="s">
        <v>16166</v>
      </c>
      <c r="C3226" s="1" t="s">
        <v>16167</v>
      </c>
      <c r="D3226" s="1" t="s">
        <v>16168</v>
      </c>
      <c r="E3226" s="1" t="s">
        <v>16169</v>
      </c>
      <c r="F3226" s="1" t="s">
        <v>16170</v>
      </c>
      <c r="G3226" s="1" t="s">
        <v>16171</v>
      </c>
      <c r="H3226" s="1" t="str">
        <f>IFERROR(__xludf.DUMMYFUNCTION("GOOGLETRANSLATE(D3226,""EN"",""JA"")"),"マクロファージ、色素")</f>
        <v>マクロファージ、色素</v>
      </c>
      <c r="I3226" s="1" t="str">
        <f>IFERROR(__xludf.DUMMYFUNCTION("GOOGLETRANSLATE(E3226,""EN"",""JA"")"),"色素性マクロファージ；色素性マクロファージ")</f>
        <v>色素性マクロファージ；色素性マクロファージ</v>
      </c>
      <c r="J3226" s="1" t="str">
        <f>IFERROR(__xludf.DUMMYFUNCTION("GOOGLETRANSLATE(F3226,""EN"",""JA"")"),"生物標本中の色素マクロファージの評価。")</f>
        <v>生物標本中の色素マクロファージの評価。</v>
      </c>
      <c r="K3226" s="1" t="str">
        <f>IFERROR(__xludf.DUMMYFUNCTION("GOOGLETRANSLATE(G3226,""EN"",""JA"")"),"色素性マクロファージの評価")</f>
        <v>色素性マクロファージの評価</v>
      </c>
    </row>
    <row r="3227" ht="13.5" customHeight="1">
      <c r="A3227" s="1" t="s">
        <v>11</v>
      </c>
      <c r="B3227" s="1" t="s">
        <v>16172</v>
      </c>
      <c r="C3227" s="1" t="s">
        <v>16173</v>
      </c>
      <c r="D3227" s="1" t="s">
        <v>16174</v>
      </c>
      <c r="E3227" s="1" t="s">
        <v>16175</v>
      </c>
      <c r="F3227" s="1" t="s">
        <v>16176</v>
      </c>
      <c r="G3227" s="1" t="s">
        <v>16177</v>
      </c>
      <c r="H3227" s="1" t="str">
        <f>IFERROR(__xludf.DUMMYFUNCTION("GOOGLETRANSLATE(D3227,""EN"",""JA"")"),"メチルフェノバルビタール")</f>
        <v>メチルフェノバルビタール</v>
      </c>
      <c r="I3227" s="1" t="str">
        <f>IFERROR(__xludf.DUMMYFUNCTION("GOOGLETRANSLATE(E3227,""EN"",""JA"")"),"メホバルビタール; メチルフェノバルビタール")</f>
        <v>メホバルビタール; メチルフェノバルビタール</v>
      </c>
      <c r="J3227" s="1" t="str">
        <f>IFERROR(__xludf.DUMMYFUNCTION("GOOGLETRANSLATE(F3227,""EN"",""JA"")"),"生物標本中のメチルフェノバルビタール濃度の測定。")</f>
        <v>生物標本中のメチルフェノバルビタール濃度の測定。</v>
      </c>
      <c r="K3227" s="1" t="str">
        <f>IFERROR(__xludf.DUMMYFUNCTION("GOOGLETRANSLATE(G3227,""EN"",""JA"")"),"メフォバルビタール測定")</f>
        <v>メフォバルビタール測定</v>
      </c>
    </row>
    <row r="3228" ht="13.5" customHeight="1">
      <c r="A3228" s="1" t="s">
        <v>90</v>
      </c>
      <c r="B3228" s="1" t="s">
        <v>16178</v>
      </c>
      <c r="C3228" s="1" t="s">
        <v>16179</v>
      </c>
      <c r="D3228" s="1" t="s">
        <v>16180</v>
      </c>
      <c r="E3228" s="1" t="s">
        <v>16180</v>
      </c>
      <c r="F3228" s="1" t="s">
        <v>16181</v>
      </c>
      <c r="G3228" s="1" t="s">
        <v>16180</v>
      </c>
      <c r="H3228" s="1" t="str">
        <f>IFERROR(__xludf.DUMMYFUNCTION("GOOGLETRANSLATE(D3228,""EN"",""JA"")"),"心筋パフォーマンス指数")</f>
        <v>心筋パフォーマンス指数</v>
      </c>
      <c r="I3228" s="1" t="str">
        <f>IFERROR(__xludf.DUMMYFUNCTION("GOOGLETRANSLATE(E3228,""EN"",""JA"")"),"心筋パフォーマンス指数")</f>
        <v>心筋パフォーマンス指数</v>
      </c>
      <c r="J3228" s="1" t="str">
        <f>IFERROR(__xludf.DUMMYFUNCTION("GOOGLETRANSLATE(F3228,""EN"",""JA"")"),"収縮期および拡張期心室機能を定量化するために次の基本式を使用した計算結果：MPI = (IVCT + IVRT)/VET、ここでIVCTは等容収縮時間、IVRTは等容弛緩時間、VETは心室駆出率である。")</f>
        <v>収縮期および拡張期心室機能を定量化するために次の基本式を使用した計算結果：MPI = (IVCT + IVRT)/VET、ここでIVCTは等容収縮時間、IVRTは等容弛緩時間、VETは心室駆出率である。</v>
      </c>
      <c r="K3228" s="1" t="str">
        <f>IFERROR(__xludf.DUMMYFUNCTION("GOOGLETRANSLATE(G3228,""EN"",""JA"")"),"心筋パフォーマンス指数")</f>
        <v>心筋パフォーマンス指数</v>
      </c>
    </row>
    <row r="3229" ht="13.5" customHeight="1">
      <c r="A3229" s="1" t="s">
        <v>11</v>
      </c>
      <c r="B3229" s="1" t="s">
        <v>16182</v>
      </c>
      <c r="C3229" s="1" t="s">
        <v>16183</v>
      </c>
      <c r="D3229" s="1" t="s">
        <v>16184</v>
      </c>
      <c r="E3229" s="1" t="s">
        <v>16185</v>
      </c>
      <c r="F3229" s="1" t="s">
        <v>16186</v>
      </c>
      <c r="G3229" s="1" t="s">
        <v>16187</v>
      </c>
      <c r="H3229" s="1" t="str">
        <f>IFERROR(__xludf.DUMMYFUNCTION("GOOGLETRANSLATE(D3229,""EN"",""JA"")"),"モノクローナルタンパク質免疫グロブリンアイソタイプ")</f>
        <v>モノクローナルタンパク質免疫グロブリンアイソタイプ</v>
      </c>
      <c r="I3229" s="1" t="str">
        <f>IFERROR(__xludf.DUMMYFUNCTION("GOOGLETRANSLATE(E3229,""EN"",""JA"")"),"免疫グロブリン免疫固定法の解釈; モノクローナルタンパク質免疫グロブリンアイソタイプ; モノクローナルタンパク質免疫グロブリンクラス; モノクローナルタンパク質免疫グロブリンアイソタイプ")</f>
        <v>免疫グロブリン免疫固定法の解釈; モノクローナルタンパク質免疫グロブリンアイソタイプ; モノクローナルタンパク質免疫グロブリンクラス; モノクローナルタンパク質免疫グロブリンアイソタイプ</v>
      </c>
      <c r="J3229" s="1" t="str">
        <f>IFERROR(__xludf.DUMMYFUNCTION("GOOGLETRANSLATE(F3229,""EN"",""JA"")"),"生物標本中のモノクローナルタンパク質免疫グロブリンアイソタイプの識別。")</f>
        <v>生物標本中のモノクローナルタンパク質免疫グロブリンアイソタイプの識別。</v>
      </c>
      <c r="K3229" s="1" t="str">
        <f>IFERROR(__xludf.DUMMYFUNCTION("GOOGLETRANSLATE(G3229,""EN"",""JA"")"),"モノクローナルタンパク質免疫グロブリンアイソタイプ決定")</f>
        <v>モノクローナルタンパク質免疫グロブリンアイソタイプ決定</v>
      </c>
    </row>
    <row r="3230" ht="13.5" customHeight="1">
      <c r="A3230" s="1" t="s">
        <v>11</v>
      </c>
      <c r="B3230" s="1" t="s">
        <v>16188</v>
      </c>
      <c r="C3230" s="1" t="s">
        <v>16189</v>
      </c>
      <c r="D3230" s="1" t="s">
        <v>16190</v>
      </c>
      <c r="E3230" s="1" t="s">
        <v>16190</v>
      </c>
      <c r="F3230" s="1" t="s">
        <v>16191</v>
      </c>
      <c r="G3230" s="1" t="s">
        <v>16190</v>
      </c>
      <c r="H3230" s="1" t="str">
        <f>IFERROR(__xludf.DUMMYFUNCTION("GOOGLETRANSLATE(D3230,""EN"",""JA"")"),"平均血小板乾燥質量")</f>
        <v>平均血小板乾燥質量</v>
      </c>
      <c r="I3230" s="1" t="str">
        <f>IFERROR(__xludf.DUMMYFUNCTION("GOOGLETRANSLATE(E3230,""EN"",""JA"")"),"平均血小板乾燥質量")</f>
        <v>平均血小板乾燥質量</v>
      </c>
      <c r="J3230" s="1" t="str">
        <f>IFERROR(__xludf.DUMMYFUNCTION("GOOGLETRANSLATE(F3230,""EN"",""JA"")"),"生物標本中の血小板乾燥質量の平均測定。")</f>
        <v>生物標本中の血小板乾燥質量の平均測定。</v>
      </c>
      <c r="K3230" s="1" t="str">
        <f>IFERROR(__xludf.DUMMYFUNCTION("GOOGLETRANSLATE(G3230,""EN"",""JA"")"),"平均血小板乾燥質量")</f>
        <v>平均血小板乾燥質量</v>
      </c>
    </row>
    <row r="3231" ht="13.5" customHeight="1">
      <c r="A3231" s="1" t="s">
        <v>67</v>
      </c>
      <c r="B3231" s="1" t="s">
        <v>16192</v>
      </c>
      <c r="C3231" s="1" t="s">
        <v>16193</v>
      </c>
      <c r="D3231" s="1" t="s">
        <v>16194</v>
      </c>
      <c r="E3231" s="1" t="s">
        <v>16194</v>
      </c>
      <c r="F3231" s="1" t="s">
        <v>16195</v>
      </c>
      <c r="G3231" s="1" t="s">
        <v>16196</v>
      </c>
      <c r="H3231" s="1" t="str">
        <f>IFERROR(__xludf.DUMMYFUNCTION("GOOGLETRANSLATE(D3231,""EN"",""JA"")"),"マイコプラズマ肺炎")</f>
        <v>マイコプラズマ肺炎</v>
      </c>
      <c r="I3231" s="1" t="str">
        <f>IFERROR(__xludf.DUMMYFUNCTION("GOOGLETRANSLATE(E3231,""EN"",""JA"")"),"マイコプラズマ肺炎")</f>
        <v>マイコプラズマ肺炎</v>
      </c>
      <c r="J3231" s="1" t="str">
        <f>IFERROR(__xludf.DUMMYFUNCTION("GOOGLETRANSLATE(F3231,""EN"",""JA"")"),"生物標本中のマイコプラズマ肺炎の測定。")</f>
        <v>生物標本中のマイコプラズマ肺炎の測定。</v>
      </c>
      <c r="K3231" s="1" t="str">
        <f>IFERROR(__xludf.DUMMYFUNCTION("GOOGLETRANSLATE(G3231,""EN"",""JA"")"),"マイコプラズマ肺炎測定")</f>
        <v>マイコプラズマ肺炎測定</v>
      </c>
    </row>
    <row r="3232" ht="13.5" customHeight="1">
      <c r="A3232" s="1" t="s">
        <v>67</v>
      </c>
      <c r="B3232" s="1" t="s">
        <v>16197</v>
      </c>
      <c r="C3232" s="1" t="s">
        <v>16198</v>
      </c>
      <c r="D3232" s="1" t="s">
        <v>16199</v>
      </c>
      <c r="E3232" s="1" t="s">
        <v>16199</v>
      </c>
      <c r="F3232" s="1" t="s">
        <v>16200</v>
      </c>
      <c r="G3232" s="1" t="s">
        <v>16201</v>
      </c>
      <c r="H3232" s="1" t="str">
        <f>IFERROR(__xludf.DUMMYFUNCTION("GOOGLETRANSLATE(D3232,""EN"",""JA"")"),"マイコプラズマ肺炎DNA")</f>
        <v>マイコプラズマ肺炎DNA</v>
      </c>
      <c r="I3232" s="1" t="str">
        <f>IFERROR(__xludf.DUMMYFUNCTION("GOOGLETRANSLATE(E3232,""EN"",""JA"")"),"マイコプラズマ肺炎DNA")</f>
        <v>マイコプラズマ肺炎DNA</v>
      </c>
      <c r="J3232" s="1" t="str">
        <f>IFERROR(__xludf.DUMMYFUNCTION("GOOGLETRANSLATE(F3232,""EN"",""JA"")"),"生物標本中のマイコプラズマ肺炎 DNA の測定。")</f>
        <v>生物標本中のマイコプラズマ肺炎 DNA の測定。</v>
      </c>
      <c r="K3232" s="1" t="str">
        <f>IFERROR(__xludf.DUMMYFUNCTION("GOOGLETRANSLATE(G3232,""EN"",""JA"")"),"マイコプラズマ肺炎DNA測定")</f>
        <v>マイコプラズマ肺炎DNA測定</v>
      </c>
    </row>
    <row r="3233" ht="13.5" customHeight="1">
      <c r="A3233" s="1" t="s">
        <v>67</v>
      </c>
      <c r="B3233" s="1" t="s">
        <v>16202</v>
      </c>
      <c r="C3233" s="1" t="s">
        <v>16203</v>
      </c>
      <c r="D3233" s="1" t="s">
        <v>16204</v>
      </c>
      <c r="E3233" s="1" t="s">
        <v>16204</v>
      </c>
      <c r="F3233" s="1" t="s">
        <v>16205</v>
      </c>
      <c r="G3233" s="1" t="s">
        <v>16206</v>
      </c>
      <c r="H3233" s="1" t="str">
        <f>IFERROR(__xludf.DUMMYFUNCTION("GOOGLETRANSLATE(D3233,""EN"",""JA"")"),"マイコプラズマ肺炎核酸")</f>
        <v>マイコプラズマ肺炎核酸</v>
      </c>
      <c r="I3233" s="1" t="str">
        <f>IFERROR(__xludf.DUMMYFUNCTION("GOOGLETRANSLATE(E3233,""EN"",""JA"")"),"マイコプラズマ肺炎核酸")</f>
        <v>マイコプラズマ肺炎核酸</v>
      </c>
      <c r="J3233" s="1" t="str">
        <f>IFERROR(__xludf.DUMMYFUNCTION("GOOGLETRANSLATE(F3233,""EN"",""JA"")"),"生物標本中のマイコプラズマ・ニューモニエ核酸の測定。")</f>
        <v>生物標本中のマイコプラズマ・ニューモニエ核酸の測定。</v>
      </c>
      <c r="K3233" s="1" t="str">
        <f>IFERROR(__xludf.DUMMYFUNCTION("GOOGLETRANSLATE(G3233,""EN"",""JA"")"),"マイコプラズマ肺炎の核酸測定")</f>
        <v>マイコプラズマ肺炎の核酸測定</v>
      </c>
    </row>
    <row r="3234" ht="13.5" customHeight="1">
      <c r="A3234" s="1" t="s">
        <v>11</v>
      </c>
      <c r="B3234" s="1" t="s">
        <v>16207</v>
      </c>
      <c r="C3234" s="1" t="s">
        <v>16208</v>
      </c>
      <c r="D3234" s="1" t="s">
        <v>16209</v>
      </c>
      <c r="E3234" s="1" t="s">
        <v>16209</v>
      </c>
      <c r="F3234" s="1" t="s">
        <v>16210</v>
      </c>
      <c r="G3234" s="1" t="s">
        <v>16211</v>
      </c>
      <c r="H3234" s="1" t="str">
        <f>IFERROR(__xludf.DUMMYFUNCTION("GOOGLETRANSLATE(D3234,""EN"",""JA"")"),"ミエロペルオキシダーゼ")</f>
        <v>ミエロペルオキシダーゼ</v>
      </c>
      <c r="I3234" s="1" t="str">
        <f>IFERROR(__xludf.DUMMYFUNCTION("GOOGLETRANSLATE(E3234,""EN"",""JA"")"),"ミエロペルオキシダーゼ")</f>
        <v>ミエロペルオキシダーゼ</v>
      </c>
      <c r="J3234" s="1" t="str">
        <f>IFERROR(__xludf.DUMMYFUNCTION("GOOGLETRANSLATE(F3234,""EN"",""JA"")"),"生物標本中のミエロペルオキシダーゼの測定。")</f>
        <v>生物標本中のミエロペルオキシダーゼの測定。</v>
      </c>
      <c r="K3234" s="1" t="str">
        <f>IFERROR(__xludf.DUMMYFUNCTION("GOOGLETRANSLATE(G3234,""EN"",""JA"")"),"ミエロペルオキシダーゼ測定")</f>
        <v>ミエロペルオキシダーゼ測定</v>
      </c>
    </row>
    <row r="3235" ht="13.5" customHeight="1">
      <c r="A3235" s="1" t="s">
        <v>11</v>
      </c>
      <c r="B3235" s="1" t="s">
        <v>16212</v>
      </c>
      <c r="C3235" s="1" t="s">
        <v>16213</v>
      </c>
      <c r="D3235" s="1" t="s">
        <v>16214</v>
      </c>
      <c r="E3235" s="1" t="s">
        <v>16214</v>
      </c>
      <c r="F3235" s="1" t="s">
        <v>16215</v>
      </c>
      <c r="G3235" s="1" t="s">
        <v>16216</v>
      </c>
      <c r="H3235" s="1" t="str">
        <f>IFERROR(__xludf.DUMMYFUNCTION("GOOGLETRANSLATE(D3235,""EN"",""JA"")"),"メプロバメート")</f>
        <v>メプロバメート</v>
      </c>
      <c r="I3235" s="1" t="str">
        <f>IFERROR(__xludf.DUMMYFUNCTION("GOOGLETRANSLATE(E3235,""EN"",""JA"")"),"メプロバメート")</f>
        <v>メプロバメート</v>
      </c>
      <c r="J3235" s="1" t="str">
        <f>IFERROR(__xludf.DUMMYFUNCTION("GOOGLETRANSLATE(F3235,""EN"",""JA"")"),"生物標本中のメプロバメートの測定。")</f>
        <v>生物標本中のメプロバメートの測定。</v>
      </c>
      <c r="K3235" s="1" t="str">
        <f>IFERROR(__xludf.DUMMYFUNCTION("GOOGLETRANSLATE(G3235,""EN"",""JA"")"),"メプロバメート測定")</f>
        <v>メプロバメート測定</v>
      </c>
    </row>
    <row r="3236" ht="13.5" customHeight="1">
      <c r="A3236" s="1" t="s">
        <v>11</v>
      </c>
      <c r="B3236" s="1" t="s">
        <v>16217</v>
      </c>
      <c r="C3236" s="1" t="s">
        <v>16218</v>
      </c>
      <c r="D3236" s="1" t="s">
        <v>16219</v>
      </c>
      <c r="E3236" s="1" t="s">
        <v>16220</v>
      </c>
      <c r="F3236" s="1" t="s">
        <v>16221</v>
      </c>
      <c r="G3236" s="1" t="s">
        <v>16219</v>
      </c>
      <c r="H3236" s="1" t="str">
        <f>IFERROR(__xludf.DUMMYFUNCTION("GOOGLETRANSLATE(D3236,""EN"",""JA"")"),"モノクローナルタンパク質排泄率")</f>
        <v>モノクローナルタンパク質排泄率</v>
      </c>
      <c r="I3236" s="1" t="str">
        <f>IFERROR(__xludf.DUMMYFUNCTION("GOOGLETRANSLATE(E3236,""EN"",""JA"")"),"Mタンパク質排泄率、Mスパイクタンパク質排泄率、モノクローナルタンパク質排泄率、モノクローナルタンパク質スパイク排泄率、骨髄腫タンパク質排泄率")</f>
        <v>Mタンパク質排泄率、Mスパイクタンパク質排泄率、モノクローナルタンパク質排泄率、モノクローナルタンパク質スパイク排泄率、骨髄腫タンパク質排泄率</v>
      </c>
      <c r="J3236" s="1" t="str">
        <f>IFERROR(__xludf.DUMMYFUNCTION("GOOGLETRANSLATE(F3236,""EN"",""JA"")"),"定義された時間（例：1 時間）にわたって生物学的標本に排出されるモノクローナル タンパク質の量を測定します。")</f>
        <v>定義された時間（例：1 時間）にわたって生物学的標本に排出されるモノクローナル タンパク質の量を測定します。</v>
      </c>
      <c r="K3236" s="1" t="str">
        <f>IFERROR(__xludf.DUMMYFUNCTION("GOOGLETRANSLATE(G3236,""EN"",""JA"")"),"モノクローナルタンパク質排泄率")</f>
        <v>モノクローナルタンパク質排泄率</v>
      </c>
    </row>
    <row r="3237" ht="13.5" customHeight="1">
      <c r="A3237" s="1" t="s">
        <v>11</v>
      </c>
      <c r="B3237" s="1" t="s">
        <v>16222</v>
      </c>
      <c r="C3237" s="1" t="s">
        <v>16223</v>
      </c>
      <c r="D3237" s="1" t="s">
        <v>16224</v>
      </c>
      <c r="E3237" s="1" t="s">
        <v>16225</v>
      </c>
      <c r="F3237" s="1" t="s">
        <v>16226</v>
      </c>
      <c r="G3237" s="1" t="s">
        <v>16227</v>
      </c>
      <c r="H3237" s="1" t="str">
        <f>IFERROR(__xludf.DUMMYFUNCTION("GOOGLETRANSLATE(D3237,""EN"",""JA"")"),"モノクローナルタンパク質領域")</f>
        <v>モノクローナルタンパク質領域</v>
      </c>
      <c r="I3237" s="1" t="str">
        <f>IFERROR(__xludf.DUMMYFUNCTION("GOOGLETRANSLATE(E3237,""EN"",""JA"")"),"モノクローナルタンパク質バンド領域; モノクローナルタンパク質領域; モノクローナルタンパク質スパイク領域")</f>
        <v>モノクローナルタンパク質バンド領域; モノクローナルタンパク質領域; モノクローナルタンパク質スパイク領域</v>
      </c>
      <c r="J3237" s="1" t="str">
        <f>IFERROR(__xludf.DUMMYFUNCTION("GOOGLETRANSLATE(F3237,""EN"",""JA"")"),"モノクローナルタンパク質が観察されるタンパク質ゾーン (例: アルファ 1 グロブリン、ベータ グロブリンなど) の識別。")</f>
        <v>モノクローナルタンパク質が観察されるタンパク質ゾーン (例: アルファ 1 グロブリン、ベータ グロブリンなど) の識別。</v>
      </c>
      <c r="K3237" s="1" t="str">
        <f>IFERROR(__xludf.DUMMYFUNCTION("GOOGLETRANSLATE(G3237,""EN"",""JA"")"),"モノクローナルタンパク質スパイク領域の同定")</f>
        <v>モノクローナルタンパク質スパイク領域の同定</v>
      </c>
    </row>
    <row r="3238" ht="13.5" customHeight="1">
      <c r="A3238" s="1" t="s">
        <v>11</v>
      </c>
      <c r="B3238" s="1" t="s">
        <v>16228</v>
      </c>
      <c r="C3238" s="1" t="s">
        <v>16229</v>
      </c>
      <c r="D3238" s="1" t="s">
        <v>16230</v>
      </c>
      <c r="E3238" s="1" t="s">
        <v>16230</v>
      </c>
      <c r="F3238" s="1" t="s">
        <v>16231</v>
      </c>
      <c r="G3238" s="1" t="s">
        <v>16232</v>
      </c>
      <c r="H3238" s="1" t="str">
        <f>IFERROR(__xludf.DUMMYFUNCTION("GOOGLETRANSLATE(D3238,""EN"",""JA"")"),"メチプリロン")</f>
        <v>メチプリロン</v>
      </c>
      <c r="I3238" s="1" t="str">
        <f>IFERROR(__xludf.DUMMYFUNCTION("GOOGLETRANSLATE(E3238,""EN"",""JA"")"),"メチプリロン")</f>
        <v>メチプリロン</v>
      </c>
      <c r="J3238" s="1" t="str">
        <f>IFERROR(__xludf.DUMMYFUNCTION("GOOGLETRANSLATE(F3238,""EN"",""JA"")"),"生物標本中のメチルプリロンの測定。")</f>
        <v>生物標本中のメチルプリロンの測定。</v>
      </c>
      <c r="K3238" s="1" t="str">
        <f>IFERROR(__xludf.DUMMYFUNCTION("GOOGLETRANSLATE(G3238,""EN"",""JA"")"),"メチプリロン測定")</f>
        <v>メチプリロン測定</v>
      </c>
    </row>
    <row r="3239" ht="13.5" customHeight="1">
      <c r="A3239" s="1" t="s">
        <v>67</v>
      </c>
      <c r="B3239" s="1" t="s">
        <v>16233</v>
      </c>
      <c r="C3239" s="1" t="s">
        <v>16234</v>
      </c>
      <c r="D3239" s="1" t="s">
        <v>16235</v>
      </c>
      <c r="E3239" s="1" t="s">
        <v>16235</v>
      </c>
      <c r="F3239" s="1" t="s">
        <v>16236</v>
      </c>
      <c r="G3239" s="1" t="s">
        <v>16237</v>
      </c>
      <c r="H3239" s="1" t="str">
        <f>IFERROR(__xludf.DUMMYFUNCTION("GOOGLETRANSLATE(D3239,""EN"",""JA"")"),"マウス肺炎ウイルス")</f>
        <v>マウス肺炎ウイルス</v>
      </c>
      <c r="I3239" s="1" t="str">
        <f>IFERROR(__xludf.DUMMYFUNCTION("GOOGLETRANSLATE(E3239,""EN"",""JA"")"),"マウス肺炎ウイルス")</f>
        <v>マウス肺炎ウイルス</v>
      </c>
      <c r="J3239" s="1" t="str">
        <f>IFERROR(__xludf.DUMMYFUNCTION("GOOGLETRANSLATE(F3239,""EN"",""JA"")"),"生物標本中のマウス肺炎ウイルスの測定。")</f>
        <v>生物標本中のマウス肺炎ウイルスの測定。</v>
      </c>
      <c r="K3239" s="1" t="str">
        <f>IFERROR(__xludf.DUMMYFUNCTION("GOOGLETRANSLATE(G3239,""EN"",""JA"")"),"マウス肺炎ウイルス測定")</f>
        <v>マウス肺炎ウイルス測定</v>
      </c>
    </row>
    <row r="3240" ht="13.5" customHeight="1">
      <c r="A3240" s="1" t="s">
        <v>11</v>
      </c>
      <c r="B3240" s="1" t="s">
        <v>16238</v>
      </c>
      <c r="C3240" s="1" t="s">
        <v>16234</v>
      </c>
      <c r="D3240" s="1" t="s">
        <v>16239</v>
      </c>
      <c r="E3240" s="1" t="s">
        <v>16239</v>
      </c>
      <c r="F3240" s="1" t="s">
        <v>16240</v>
      </c>
      <c r="G3240" s="1" t="s">
        <v>16241</v>
      </c>
      <c r="H3240" s="1" t="str">
        <f>IFERROR(__xludf.DUMMYFUNCTION("GOOGLETRANSLATE(D3240,""EN"",""JA"")"),"平均血小板容積")</f>
        <v>平均血小板容積</v>
      </c>
      <c r="I3240" s="1" t="str">
        <f>IFERROR(__xludf.DUMMYFUNCTION("GOOGLETRANSLATE(E3240,""EN"",""JA"")"),"平均血小板容積")</f>
        <v>平均血小板容積</v>
      </c>
      <c r="J3240" s="1" t="str">
        <f>IFERROR(__xludf.DUMMYFUNCTION("GOOGLETRANSLATE(F3240,""EN"",""JA"")"),"血液サンプル中に存在する血小板の平均サイズの測定値。")</f>
        <v>血液サンプル中に存在する血小板の平均サイズの測定値。</v>
      </c>
      <c r="K3240" s="1" t="str">
        <f>IFERROR(__xludf.DUMMYFUNCTION("GOOGLETRANSLATE(G3240,""EN"",""JA"")"),"平均血小板容積測定")</f>
        <v>平均血小板容積測定</v>
      </c>
    </row>
    <row r="3241" ht="13.5" customHeight="1">
      <c r="A3241" s="1" t="s">
        <v>11</v>
      </c>
      <c r="B3241" s="1" t="s">
        <v>16242</v>
      </c>
      <c r="C3241" s="1" t="s">
        <v>16243</v>
      </c>
      <c r="D3241" s="1" t="s">
        <v>16244</v>
      </c>
      <c r="E3241" s="1" t="s">
        <v>16244</v>
      </c>
      <c r="F3241" s="1" t="s">
        <v>16245</v>
      </c>
      <c r="G3241" s="1" t="s">
        <v>16246</v>
      </c>
      <c r="H3241" s="1" t="str">
        <f>IFERROR(__xludf.DUMMYFUNCTION("GOOGLETRANSLATE(D3241,""EN"",""JA"")"),"ミエロペルオキシダーゼ指数")</f>
        <v>ミエロペルオキシダーゼ指数</v>
      </c>
      <c r="I3241" s="1" t="str">
        <f>IFERROR(__xludf.DUMMYFUNCTION("GOOGLETRANSLATE(E3241,""EN"",""JA"")"),"ミエロペルオキシダーゼ指数")</f>
        <v>ミエロペルオキシダーゼ指数</v>
      </c>
      <c r="J3241" s="1" t="str">
        <f>IFERROR(__xludf.DUMMYFUNCTION("GOOGLETRANSLATE(F3241,""EN"",""JA"")"),"原型と比較した好中球集団の平均ペルオキシダーゼ活性指数または染色強度。")</f>
        <v>原型と比較した好中球集団の平均ペルオキシダーゼ活性指数または染色強度。</v>
      </c>
      <c r="K3241" s="1" t="str">
        <f>IFERROR(__xludf.DUMMYFUNCTION("GOOGLETRANSLATE(G3241,""EN"",""JA"")"),"好中球ミエロペルオキシダーゼ指数")</f>
        <v>好中球ミエロペルオキシダーゼ指数</v>
      </c>
    </row>
    <row r="3242" ht="13.5" customHeight="1">
      <c r="A3242" s="1" t="s">
        <v>67</v>
      </c>
      <c r="B3242" s="1" t="s">
        <v>16247</v>
      </c>
      <c r="C3242" s="1" t="s">
        <v>16248</v>
      </c>
      <c r="D3242" s="1" t="s">
        <v>16249</v>
      </c>
      <c r="E3242" s="1" t="s">
        <v>16250</v>
      </c>
      <c r="F3242" s="1" t="s">
        <v>16251</v>
      </c>
      <c r="G3242" s="1" t="s">
        <v>16252</v>
      </c>
      <c r="H3242" s="1" t="str">
        <f>IFERROR(__xludf.DUMMYFUNCTION("GOOGLETRANSLATE(D3242,""EN"",""JA"")"),"サル痘ウイルス")</f>
        <v>サル痘ウイルス</v>
      </c>
      <c r="I3242" s="1" t="str">
        <f>IFERROR(__xludf.DUMMYFUNCTION("GOOGLETRANSLATE(E3242,""EN"",""JA"")"),"サル痘ウイルス; サル痘ウイルス")</f>
        <v>サル痘ウイルス; サル痘ウイルス</v>
      </c>
      <c r="J3242" s="1" t="str">
        <f>IFERROR(__xludf.DUMMYFUNCTION("GOOGLETRANSLATE(F3242,""EN"",""JA"")"),"生物標本中のサル痘ウイルスの測定。")</f>
        <v>生物標本中のサル痘ウイルスの測定。</v>
      </c>
      <c r="K3242" s="1" t="str">
        <f>IFERROR(__xludf.DUMMYFUNCTION("GOOGLETRANSLATE(G3242,""EN"",""JA"")"),"サル痘ウイルス測定")</f>
        <v>サル痘ウイルス測定</v>
      </c>
    </row>
    <row r="3243" ht="13.5" customHeight="1">
      <c r="A3243" s="1" t="s">
        <v>67</v>
      </c>
      <c r="B3243" s="1" t="s">
        <v>16253</v>
      </c>
      <c r="C3243" s="1" t="s">
        <v>16254</v>
      </c>
      <c r="D3243" s="1" t="s">
        <v>16255</v>
      </c>
      <c r="E3243" s="1" t="s">
        <v>16255</v>
      </c>
      <c r="F3243" s="1" t="s">
        <v>16256</v>
      </c>
      <c r="G3243" s="1" t="s">
        <v>16257</v>
      </c>
      <c r="H3243" s="1" t="str">
        <f>IFERROR(__xludf.DUMMYFUNCTION("GOOGLETRANSLATE(D3243,""EN"",""JA"")"),"サル痘ウイルスDNA")</f>
        <v>サル痘ウイルスDNA</v>
      </c>
      <c r="I3243" s="1" t="str">
        <f>IFERROR(__xludf.DUMMYFUNCTION("GOOGLETRANSLATE(E3243,""EN"",""JA"")"),"サル痘ウイルスDNA")</f>
        <v>サル痘ウイルスDNA</v>
      </c>
      <c r="J3243" s="1" t="str">
        <f>IFERROR(__xludf.DUMMYFUNCTION("GOOGLETRANSLATE(F3243,""EN"",""JA"")"),"生物標本中のサル痘ウイルス DNA の測定。")</f>
        <v>生物標本中のサル痘ウイルス DNA の測定。</v>
      </c>
      <c r="K3243" s="1" t="str">
        <f>IFERROR(__xludf.DUMMYFUNCTION("GOOGLETRANSLATE(G3243,""EN"",""JA"")"),"サル痘ウイルスDNA測定")</f>
        <v>サル痘ウイルスDNA測定</v>
      </c>
    </row>
    <row r="3244" ht="13.5" customHeight="1">
      <c r="A3244" s="1" t="s">
        <v>1997</v>
      </c>
      <c r="B3244" s="1" t="s">
        <v>16258</v>
      </c>
      <c r="C3244" s="1" t="s">
        <v>16259</v>
      </c>
      <c r="D3244" s="1" t="s">
        <v>16260</v>
      </c>
      <c r="E3244" s="1" t="s">
        <v>16261</v>
      </c>
      <c r="F3244" s="1" t="s">
        <v>16262</v>
      </c>
      <c r="G3244" s="1" t="s">
        <v>16260</v>
      </c>
      <c r="H3244" s="1" t="str">
        <f>IFERROR(__xludf.DUMMYFUNCTION("GOOGLETRANSLATE(D3244,""EN"",""JA"")"),"マージン反射距離1")</f>
        <v>マージン反射距離1</v>
      </c>
      <c r="I3244" s="1" t="str">
        <f>IFERROR(__xludf.DUMMYFUNCTION("GOOGLETRANSLATE(E3244,""EN"",""JA"")"),"マージン反射距離 1; マージンから反射までの距離 1; マージン反射距離 1")</f>
        <v>マージン反射距離 1; マージンから反射までの距離 1; マージン反射距離 1</v>
      </c>
      <c r="J3244" s="1" t="str">
        <f>IFERROR(__xludf.DUMMYFUNCTION("GOOGLETRANSLATE(F3244,""EN"",""JA"")"),"患者の視線が主位置（まっすぐ前）にある状態で、角膜の光反射から上まぶたの中央縁までの距離を測定します。")</f>
        <v>患者の視線が主位置（まっすぐ前）にある状態で、角膜の光反射から上まぶたの中央縁までの距離を測定します。</v>
      </c>
      <c r="K3244" s="1" t="str">
        <f>IFERROR(__xludf.DUMMYFUNCTION("GOOGLETRANSLATE(G3244,""EN"",""JA"")"),"マージン反射距離1")</f>
        <v>マージン反射距離1</v>
      </c>
    </row>
    <row r="3245" ht="13.5" customHeight="1">
      <c r="A3245" s="1" t="s">
        <v>1997</v>
      </c>
      <c r="B3245" s="1" t="s">
        <v>16263</v>
      </c>
      <c r="C3245" s="1" t="s">
        <v>16264</v>
      </c>
      <c r="D3245" s="1" t="s">
        <v>16265</v>
      </c>
      <c r="E3245" s="1" t="s">
        <v>16266</v>
      </c>
      <c r="F3245" s="1" t="s">
        <v>16267</v>
      </c>
      <c r="G3245" s="1" t="s">
        <v>16265</v>
      </c>
      <c r="H3245" s="1" t="str">
        <f>IFERROR(__xludf.DUMMYFUNCTION("GOOGLETRANSLATE(D3245,""EN"",""JA"")"),"マージン反射距離2")</f>
        <v>マージン反射距離2</v>
      </c>
      <c r="I3245" s="1" t="str">
        <f>IFERROR(__xludf.DUMMYFUNCTION("GOOGLETRANSLATE(E3245,""EN"",""JA"")"),"マージン反射距離 2; マージンから反射までの距離 2; マージン反射距離 2")</f>
        <v>マージン反射距離 2; マージンから反射までの距離 2; マージン反射距離 2</v>
      </c>
      <c r="J3245" s="1" t="str">
        <f>IFERROR(__xludf.DUMMYFUNCTION("GOOGLETRANSLATE(F3245,""EN"",""JA"")"),"患者の視線が主位置（まっすぐ前）にある状態で、角膜の光反射から下眼瞼の中央縁までの距離を測定します。")</f>
        <v>患者の視線が主位置（まっすぐ前）にある状態で、角膜の光反射から下眼瞼の中央縁までの距離を測定します。</v>
      </c>
      <c r="K3245" s="1" t="str">
        <f>IFERROR(__xludf.DUMMYFUNCTION("GOOGLETRANSLATE(G3245,""EN"",""JA"")"),"マージン反射距離2")</f>
        <v>マージン反射距離2</v>
      </c>
    </row>
    <row r="3246" ht="13.5" customHeight="1">
      <c r="A3246" s="1" t="s">
        <v>1342</v>
      </c>
      <c r="B3246" s="1" t="s">
        <v>16268</v>
      </c>
      <c r="C3246" s="1" t="s">
        <v>16269</v>
      </c>
      <c r="D3246" s="1" t="s">
        <v>16270</v>
      </c>
      <c r="E3246" s="1" t="s">
        <v>16271</v>
      </c>
      <c r="F3246" s="1" t="s">
        <v>16272</v>
      </c>
      <c r="G3246" s="1" t="s">
        <v>16273</v>
      </c>
      <c r="H3246" s="1" t="str">
        <f>IFERROR(__xludf.DUMMYFUNCTION("GOOGLETRANSLATE(D3246,""EN"",""JA"")"),"微小残存病変指標")</f>
        <v>微小残存病変指標</v>
      </c>
      <c r="I3246" s="1" t="str">
        <f>IFERROR(__xludf.DUMMYFUNCTION("GOOGLETRANSLATE(E3246,""EN"",""JA"")"),"微小残存病変指標（MRD指標）")</f>
        <v>微小残存病変指標（MRD指標）</v>
      </c>
      <c r="J3246" s="1" t="str">
        <f>IFERROR(__xludf.DUMMYFUNCTION("GOOGLETRANSLATE(F3246,""EN"",""JA"")"),"被験者に微小残存病変があるかどうかを示します。")</f>
        <v>被験者に微小残存病変があるかどうかを示します。</v>
      </c>
      <c r="K3246" s="1" t="str">
        <f>IFERROR(__xludf.DUMMYFUNCTION("GOOGLETRANSLATE(G3246,""EN"",""JA"")"),"測定可能な残存病変指標")</f>
        <v>測定可能な残存病変指標</v>
      </c>
    </row>
    <row r="3247" ht="13.5" customHeight="1">
      <c r="A3247" s="1" t="s">
        <v>1342</v>
      </c>
      <c r="B3247" s="1" t="s">
        <v>16274</v>
      </c>
      <c r="C3247" s="1" t="s">
        <v>16275</v>
      </c>
      <c r="D3247" s="1" t="s">
        <v>16276</v>
      </c>
      <c r="E3247" s="1" t="s">
        <v>16277</v>
      </c>
      <c r="F3247" s="1" t="s">
        <v>16278</v>
      </c>
      <c r="G3247" s="1" t="s">
        <v>16279</v>
      </c>
      <c r="H3247" s="1" t="str">
        <f>IFERROR(__xludf.DUMMYFUNCTION("GOOGLETRANSLATE(D3247,""EN"",""JA"")"),"微小残存病変反応")</f>
        <v>微小残存病変反応</v>
      </c>
      <c r="I3247" s="1" t="str">
        <f>IFERROR(__xludf.DUMMYFUNCTION("GOOGLETRANSLATE(E3247,""EN"",""JA"")"),"微小残存病変反応; MRD反応")</f>
        <v>微小残存病変反応; MRD反応</v>
      </c>
      <c r="J3247" s="1" t="str">
        <f>IFERROR(__xludf.DUMMYFUNCTION("GOOGLETRANSLATE(F3247,""EN"",""JA"")"),"治療に対する疾患の最小残存病変反応の評価。")</f>
        <v>治療に対する疾患の最小残存病変反応の評価。</v>
      </c>
      <c r="K3247" s="1" t="str">
        <f>IFERROR(__xludf.DUMMYFUNCTION("GOOGLETRANSLATE(G3247,""EN"",""JA"")"),"測定可能な残存病変反応")</f>
        <v>測定可能な残存病変反応</v>
      </c>
    </row>
    <row r="3248" ht="13.5" customHeight="1">
      <c r="A3248" s="1" t="s">
        <v>90</v>
      </c>
      <c r="B3248" s="1" t="s">
        <v>16280</v>
      </c>
      <c r="C3248" s="1" t="s">
        <v>16281</v>
      </c>
      <c r="D3248" s="1" t="s">
        <v>16282</v>
      </c>
      <c r="E3248" s="1" t="s">
        <v>16283</v>
      </c>
      <c r="F3248" s="1" t="s">
        <v>16284</v>
      </c>
      <c r="G3248" s="1" t="s">
        <v>16285</v>
      </c>
      <c r="H3248" s="1" t="str">
        <f>IFERROR(__xludf.DUMMYFUNCTION("GOOGLETRANSLATE(D3248,""EN"",""JA"")"),"僧帽弁逆流ジェット領域L心房領域Rt")</f>
        <v>僧帽弁逆流ジェット領域L心房領域Rt</v>
      </c>
      <c r="I3248" s="1" t="str">
        <f>IFERROR(__xludf.DUMMYFUNCTION("GOOGLETRANSLATE(E3248,""EN"",""JA"")"),"僧帽弁逆流ジェット面積 左心房面積 右心房面積; 僧帽弁逆流ジェット面積と左心房面積の比")</f>
        <v>僧帽弁逆流ジェット面積 左心房面積 右心房面積; 僧帽弁逆流ジェット面積と左心房面積の比</v>
      </c>
      <c r="J3248" s="1" t="str">
        <f>IFERROR(__xludf.DUMMYFUNCTION("GOOGLETRANSLATE(F3248,""EN"",""JA"")"),"僧帽弁逆流ジェット面積と左心房面積の相対的な測定値（比率）。")</f>
        <v>僧帽弁逆流ジェット面積と左心房面積の相対的な測定値（比率）。</v>
      </c>
      <c r="K3248" s="1" t="str">
        <f>IFERROR(__xludf.DUMMYFUNCTION("GOOGLETRANSLATE(G3248,""EN"",""JA"")"),"僧帽弁逆流ジェット面積と左房面積の比")</f>
        <v>僧帽弁逆流ジェット面積と左房面積の比</v>
      </c>
    </row>
    <row r="3249" ht="13.5" customHeight="1">
      <c r="A3249" s="1" t="s">
        <v>1342</v>
      </c>
      <c r="B3249" s="1" t="s">
        <v>16286</v>
      </c>
      <c r="C3249" s="1" t="s">
        <v>16287</v>
      </c>
      <c r="D3249" s="1" t="s">
        <v>16288</v>
      </c>
      <c r="E3249" s="1" t="s">
        <v>16288</v>
      </c>
      <c r="F3249" s="1" t="s">
        <v>16289</v>
      </c>
      <c r="G3249" s="1" t="s">
        <v>16288</v>
      </c>
      <c r="H3249" s="1" t="str">
        <f>IFERROR(__xludf.DUMMYFUNCTION("GOOGLETRANSLATE(D3249,""EN"",""JA"")"),"形態学的反応")</f>
        <v>形態学的反応</v>
      </c>
      <c r="I3249" s="1" t="str">
        <f>IFERROR(__xludf.DUMMYFUNCTION("GOOGLETRANSLATE(E3249,""EN"",""JA"")"),"形態学的反応")</f>
        <v>形態学的反応</v>
      </c>
      <c r="J3249" s="1" t="str">
        <f>IFERROR(__xludf.DUMMYFUNCTION("GOOGLETRANSLATE(F3249,""EN"",""JA"")"),"治療に対する疾患の形態学的反応の評価。")</f>
        <v>治療に対する疾患の形態学的反応の評価。</v>
      </c>
      <c r="K3249" s="1" t="str">
        <f>IFERROR(__xludf.DUMMYFUNCTION("GOOGLETRANSLATE(G3249,""EN"",""JA"")"),"形態学的反応")</f>
        <v>形態学的反応</v>
      </c>
    </row>
    <row r="3250" ht="13.5" customHeight="1">
      <c r="A3250" s="1" t="s">
        <v>67</v>
      </c>
      <c r="B3250" s="1" t="s">
        <v>16290</v>
      </c>
      <c r="C3250" s="1" t="s">
        <v>16291</v>
      </c>
      <c r="D3250" s="1" t="s">
        <v>16292</v>
      </c>
      <c r="E3250" s="1" t="s">
        <v>16293</v>
      </c>
      <c r="F3250" s="1" t="s">
        <v>16294</v>
      </c>
      <c r="G3250" s="1" t="s">
        <v>16295</v>
      </c>
      <c r="H3250" s="1" t="str">
        <f>IFERROR(__xludf.DUMMYFUNCTION("GOOGLETRANSLATE(D3250,""EN"",""JA"")"),"黄色ブドウ球菌、メチシリン耐性")</f>
        <v>黄色ブドウ球菌、メチシリン耐性</v>
      </c>
      <c r="I3250" s="1" t="str">
        <f>IFERROR(__xludf.DUMMYFUNCTION("GOOGLETRANSLATE(E3250,""EN"",""JA"")"),"メチシリン耐性黄色ブドウ球菌; メチシリン耐性黄色ブドウ球菌")</f>
        <v>メチシリン耐性黄色ブドウ球菌; メチシリン耐性黄色ブドウ球菌</v>
      </c>
      <c r="J3250" s="1" t="str">
        <f>IFERROR(__xludf.DUMMYFUNCTION("GOOGLETRANSLATE(F3250,""EN"",""JA"")"),"生物標本中のメチシリン耐性黄色ブドウ球菌株の測定。")</f>
        <v>生物標本中のメチシリン耐性黄色ブドウ球菌株の測定。</v>
      </c>
      <c r="K3250" s="1" t="str">
        <f>IFERROR(__xludf.DUMMYFUNCTION("GOOGLETRANSLATE(G3250,""EN"",""JA"")"),"メチシリン耐性黄色ブドウ球菌の測定")</f>
        <v>メチシリン耐性黄色ブドウ球菌の測定</v>
      </c>
    </row>
    <row r="3251" ht="13.5" customHeight="1">
      <c r="A3251" s="1" t="s">
        <v>160</v>
      </c>
      <c r="B3251" s="1" t="s">
        <v>16296</v>
      </c>
      <c r="C3251" s="1" t="s">
        <v>16297</v>
      </c>
      <c r="D3251" s="1" t="s">
        <v>16298</v>
      </c>
      <c r="E3251" s="1" t="s">
        <v>16298</v>
      </c>
      <c r="F3251" s="1" t="s">
        <v>16299</v>
      </c>
      <c r="G3251" s="1" t="s">
        <v>16300</v>
      </c>
      <c r="H3251" s="1" t="str">
        <f>IFERROR(__xludf.DUMMYFUNCTION("GOOGLETRANSLATE(D3251,""EN"",""JA"")"),"直近の性交日")</f>
        <v>直近の性交日</v>
      </c>
      <c r="I3251" s="1" t="str">
        <f>IFERROR(__xludf.DUMMYFUNCTION("GOOGLETRANSLATE(E3251,""EN"",""JA"")"),"直近の性交日")</f>
        <v>直近の性交日</v>
      </c>
      <c r="J3251" s="1" t="str">
        <f>IFERROR(__xludf.DUMMYFUNCTION("GOOGLETRANSLATE(F3251,""EN"",""JA"")"),"最も最近の性交の日付。")</f>
        <v>最も最近の性交の日付。</v>
      </c>
      <c r="K3251" s="1" t="str">
        <f>IFERROR(__xludf.DUMMYFUNCTION("GOOGLETRANSLATE(G3251,""EN"",""JA"")"),"最後の性交の日付")</f>
        <v>最後の性交の日付</v>
      </c>
    </row>
    <row r="3252" ht="13.5" customHeight="1">
      <c r="A3252" s="1" t="s">
        <v>870</v>
      </c>
      <c r="B3252" s="1" t="s">
        <v>16301</v>
      </c>
      <c r="C3252" s="1" t="s">
        <v>16302</v>
      </c>
      <c r="D3252" s="1" t="s">
        <v>16303</v>
      </c>
      <c r="E3252" s="1" t="s">
        <v>16303</v>
      </c>
      <c r="F3252" s="1" t="s">
        <v>16304</v>
      </c>
      <c r="G3252" s="1" t="s">
        <v>16305</v>
      </c>
      <c r="H3252" s="1" t="str">
        <f>IFERROR(__xludf.DUMMYFUNCTION("GOOGLETRANSLATE(D3252,""EN"",""JA"")"),"MRT血管外無限大観察")</f>
        <v>MRT血管外無限大観察</v>
      </c>
      <c r="I3252" s="1" t="str">
        <f>IFERROR(__xludf.DUMMYFUNCTION("GOOGLETRANSLATE(E3252,""EN"",""JA"")"),"MRT血管外無限大観察")</f>
        <v>MRT血管外無限大観察</v>
      </c>
      <c r="J3252" s="1" t="str">
        <f>IFERROR(__xludf.DUMMYFUNCTION("GOOGLETRANSLATE(F3252,""EN"",""JA"")"),"血管外投与された物質の平均滞留時間（MRT）を無限大に外挿したもので、最後の非ゼロ濃度の測定値を用いて計算されます。血管外MRTには平均吸収時間（MAT）が含まれます。")</f>
        <v>血管外投与された物質の平均滞留時間（MRT）を無限大に外挿したもので、最後の非ゼロ濃度の測定値を用いて計算されます。血管外MRTには平均吸収時間（MAT）が含まれます。</v>
      </c>
      <c r="K3252" s="1" t="str">
        <f>IFERROR(__xludf.DUMMYFUNCTION("GOOGLETRANSLATE(G3252,""EN"",""JA"")"),"血管外投与量で観察される平均滞留時間無限大")</f>
        <v>血管外投与量で観察される平均滞留時間無限大</v>
      </c>
    </row>
    <row r="3253" ht="13.5" customHeight="1">
      <c r="A3253" s="1" t="s">
        <v>870</v>
      </c>
      <c r="B3253" s="1" t="s">
        <v>16306</v>
      </c>
      <c r="C3253" s="1" t="s">
        <v>16307</v>
      </c>
      <c r="D3253" s="1" t="s">
        <v>16308</v>
      </c>
      <c r="E3253" s="1" t="s">
        <v>16308</v>
      </c>
      <c r="F3253" s="1" t="s">
        <v>16309</v>
      </c>
      <c r="G3253" s="1" t="s">
        <v>16310</v>
      </c>
      <c r="H3253" s="1" t="str">
        <f>IFERROR(__xludf.DUMMYFUNCTION("GOOGLETRANSLATE(D3253,""EN"",""JA"")"),"MRT エクストラバスク インフィニティ プレドニソロン")</f>
        <v>MRT エクストラバスク インフィニティ プレドニソロン</v>
      </c>
      <c r="I3253" s="1" t="str">
        <f>IFERROR(__xludf.DUMMYFUNCTION("GOOGLETRANSLATE(E3253,""EN"",""JA"")"),"MRT エクストラバスク インフィニティ プレドニソロン")</f>
        <v>MRT エクストラバスク インフィニティ プレドニソロン</v>
      </c>
      <c r="J3253" s="1" t="str">
        <f>IFERROR(__xludf.DUMMYFUNCTION("GOOGLETRANSLATE(F3253,""EN"",""JA"")"),"血管外投与された物質の平均滞留時間（MRT）を無限大に外挿したもの。これは、最後の非ゼロ濃度の予測値を用いて計算されます。血管外MRTには平均吸収時間（MAT）が含まれます。")</f>
        <v>血管外投与された物質の平均滞留時間（MRT）を無限大に外挿したもの。これは、最後の非ゼロ濃度の予測値を用いて計算されます。血管外MRTには平均吸収時間（MAT）が含まれます。</v>
      </c>
      <c r="K3253" s="1" t="str">
        <f>IFERROR(__xludf.DUMMYFUNCTION("GOOGLETRANSLATE(G3253,""EN"",""JA"")"),"血管外投与量から予測される平均滞留時間無限大")</f>
        <v>血管外投与量から予測される平均滞留時間無限大</v>
      </c>
    </row>
    <row r="3254" ht="13.5" customHeight="1">
      <c r="A3254" s="1" t="s">
        <v>870</v>
      </c>
      <c r="B3254" s="1" t="s">
        <v>16311</v>
      </c>
      <c r="C3254" s="1" t="s">
        <v>16312</v>
      </c>
      <c r="D3254" s="1" t="s">
        <v>16313</v>
      </c>
      <c r="E3254" s="1" t="s">
        <v>16313</v>
      </c>
      <c r="F3254" s="1" t="s">
        <v>16314</v>
      </c>
      <c r="G3254" s="1" t="s">
        <v>16315</v>
      </c>
      <c r="H3254" s="1" t="str">
        <f>IFERROR(__xludf.DUMMYFUNCTION("GOOGLETRANSLATE(D3254,""EN"",""JA"")"),"最後の非ゼロ濃度までのMRT血管外注入")</f>
        <v>最後の非ゼロ濃度までのMRT血管外注入</v>
      </c>
      <c r="I3254" s="1" t="str">
        <f>IFERROR(__xludf.DUMMYFUNCTION("GOOGLETRANSLATE(E3254,""EN"",""JA"")"),"最後の非ゼロ濃度までのMRT血管外注入")</f>
        <v>最後の非ゼロ濃度までのMRT血管外注入</v>
      </c>
      <c r="J3254" s="1" t="str">
        <f>IFERROR(__xludf.DUMMYFUNCTION("GOOGLETRANSLATE(F3254,""EN"",""JA"")"),"血管外投与された物質について、投与時から最終測定濃度到達時までの平均滞留時間（MRT）。血管外MRTには平均吸収時間（MAT）が含まれます。")</f>
        <v>血管外投与された物質について、投与時から最終測定濃度到達時までの平均滞留時間（MRT）。血管外MRTには平均吸収時間（MAT）が含まれます。</v>
      </c>
      <c r="K3254" s="1" t="str">
        <f>IFERROR(__xludf.DUMMYFUNCTION("GOOGLETRANSLATE(G3254,""EN"",""JA"")"),"血管外投与量による最終非ゼロ濃度までの平均滞留時間")</f>
        <v>血管外投与量による最終非ゼロ濃度までの平均滞留時間</v>
      </c>
    </row>
    <row r="3255" ht="13.5" customHeight="1">
      <c r="A3255" s="1" t="s">
        <v>870</v>
      </c>
      <c r="B3255" s="1" t="s">
        <v>16316</v>
      </c>
      <c r="C3255" s="1" t="s">
        <v>16317</v>
      </c>
      <c r="D3255" s="1" t="s">
        <v>16318</v>
      </c>
      <c r="E3255" s="1" t="s">
        <v>16318</v>
      </c>
      <c r="F3255" s="1" t="s">
        <v>16319</v>
      </c>
      <c r="G3255" s="1" t="s">
        <v>16320</v>
      </c>
      <c r="H3255" s="1" t="str">
        <f>IFERROR(__xludf.DUMMYFUNCTION("GOOGLETRANSLATE(D3255,""EN"",""JA"")"),"MRT IV ボーラスインフィニティオブス")</f>
        <v>MRT IV ボーラスインフィニティオブス</v>
      </c>
      <c r="I3255" s="1" t="str">
        <f>IFERROR(__xludf.DUMMYFUNCTION("GOOGLETRANSLATE(E3255,""EN"",""JA"")"),"MRT IV ボーラスインフィニティオブス")</f>
        <v>MRT IV ボーラスインフィニティオブス</v>
      </c>
      <c r="J3255" s="1" t="str">
        <f>IFERROR(__xludf.DUMMYFUNCTION("GOOGLETRANSLATE(F3255,""EN"",""JA"")"),"血管内ボーラス投与により投与された物質の平均滞留時間 (MRT) を無限大に外挿したもので、最後のゼロ以外の濃度の観測値を使用して計算されます。")</f>
        <v>血管内ボーラス投与により投与された物質の平均滞留時間 (MRT) を無限大に外挿したもので、最後のゼロ以外の濃度の観測値を使用して計算されます。</v>
      </c>
      <c r="K3255" s="1" t="str">
        <f>IFERROR(__xludf.DUMMYFUNCTION("GOOGLETRANSLATE(G3255,""EN"",""JA"")"),"血管内ボーラス投与で観察される平均滞留時間無限大")</f>
        <v>血管内ボーラス投与で観察される平均滞留時間無限大</v>
      </c>
    </row>
    <row r="3256" ht="13.5" customHeight="1">
      <c r="A3256" s="1" t="s">
        <v>870</v>
      </c>
      <c r="B3256" s="1" t="s">
        <v>16321</v>
      </c>
      <c r="C3256" s="1" t="s">
        <v>16322</v>
      </c>
      <c r="D3256" s="1" t="s">
        <v>16323</v>
      </c>
      <c r="E3256" s="1" t="s">
        <v>16323</v>
      </c>
      <c r="F3256" s="1" t="s">
        <v>16324</v>
      </c>
      <c r="G3256" s="1" t="s">
        <v>16325</v>
      </c>
      <c r="H3256" s="1" t="str">
        <f>IFERROR(__xludf.DUMMYFUNCTION("GOOGLETRANSLATE(D3256,""EN"",""JA"")"),"MRT IVボーラスインフィニティプレド")</f>
        <v>MRT IVボーラスインフィニティプレド</v>
      </c>
      <c r="I3256" s="1" t="str">
        <f>IFERROR(__xludf.DUMMYFUNCTION("GOOGLETRANSLATE(E3256,""EN"",""JA"")"),"MRT IVボーラスインフィニティプレド")</f>
        <v>MRT IVボーラスインフィニティプレド</v>
      </c>
      <c r="J3256" s="1" t="str">
        <f>IFERROR(__xludf.DUMMYFUNCTION("GOOGLETRANSLATE(F3256,""EN"",""JA"")"),"最後のゼロ以外の濃度の予測値を使用して計算された、血管内ボーラス投与によって投与された物質の無限大に外挿された平均滞留時間 (MRT)。")</f>
        <v>最後のゼロ以外の濃度の予測値を使用して計算された、血管内ボーラス投与によって投与された物質の無限大に外挿された平均滞留時間 (MRT)。</v>
      </c>
      <c r="K3256" s="1" t="str">
        <f>IFERROR(__xludf.DUMMYFUNCTION("GOOGLETRANSLATE(G3256,""EN"",""JA"")"),"血管内ボーラス投与量によって予測される平均滞留時間無限大")</f>
        <v>血管内ボーラス投与量によって予測される平均滞留時間無限大</v>
      </c>
    </row>
    <row r="3257" ht="13.5" customHeight="1">
      <c r="A3257" s="1" t="s">
        <v>870</v>
      </c>
      <c r="B3257" s="1" t="s">
        <v>16326</v>
      </c>
      <c r="C3257" s="1" t="s">
        <v>16327</v>
      </c>
      <c r="D3257" s="1" t="s">
        <v>16328</v>
      </c>
      <c r="E3257" s="1" t="s">
        <v>16328</v>
      </c>
      <c r="F3257" s="1" t="s">
        <v>16329</v>
      </c>
      <c r="G3257" s="1" t="s">
        <v>16330</v>
      </c>
      <c r="H3257" s="1" t="str">
        <f>IFERROR(__xludf.DUMMYFUNCTION("GOOGLETRANSLATE(D3257,""EN"",""JA"")"),"MRT IVボーラスを最後の非ゼロ濃度まで投与")</f>
        <v>MRT IVボーラスを最後の非ゼロ濃度まで投与</v>
      </c>
      <c r="I3257" s="1" t="str">
        <f>IFERROR(__xludf.DUMMYFUNCTION("GOOGLETRANSLATE(E3257,""EN"",""JA"")"),"MRT IVボーラスを最後の非ゼロ濃度まで投与")</f>
        <v>MRT IVボーラスを最後の非ゼロ濃度まで投与</v>
      </c>
      <c r="J3257" s="1" t="str">
        <f>IFERROR(__xludf.DUMMYFUNCTION("GOOGLETRANSLATE(F3257,""EN"",""JA"")"),"血管内ボーラス投与により投与された物質の、投与時から最後の測定可能な濃度に達するまでの平均滞留時間 (MRT)。")</f>
        <v>血管内ボーラス投与により投与された物質の、投与時から最後の測定可能な濃度に達するまでの平均滞留時間 (MRT)。</v>
      </c>
      <c r="K3257" s="1" t="str">
        <f>IFERROR(__xludf.DUMMYFUNCTION("GOOGLETRANSLATE(G3257,""EN"",""JA"")"),"血管内ボーラス投与量による最終非ゼロ濃度までの平均滞留時間")</f>
        <v>血管内ボーラス投与量による最終非ゼロ濃度までの平均滞留時間</v>
      </c>
    </row>
    <row r="3258" ht="13.5" customHeight="1">
      <c r="A3258" s="1" t="s">
        <v>870</v>
      </c>
      <c r="B3258" s="1" t="s">
        <v>16331</v>
      </c>
      <c r="C3258" s="1" t="s">
        <v>16332</v>
      </c>
      <c r="D3258" s="1" t="s">
        <v>16333</v>
      </c>
      <c r="E3258" s="1" t="s">
        <v>16333</v>
      </c>
      <c r="F3258" s="1" t="s">
        <v>16334</v>
      </c>
      <c r="G3258" s="1" t="s">
        <v>16335</v>
      </c>
      <c r="H3258" s="1" t="str">
        <f>IFERROR(__xludf.DUMMYFUNCTION("GOOGLETRANSLATE(D3258,""EN"",""JA"")"),"MRT IV 連続無限大観測")</f>
        <v>MRT IV 連続無限大観測</v>
      </c>
      <c r="I3258" s="1" t="str">
        <f>IFERROR(__xludf.DUMMYFUNCTION("GOOGLETRANSLATE(E3258,""EN"",""JA"")"),"MRT IV 連続無限大観測")</f>
        <v>MRT IV 連続無限大観測</v>
      </c>
      <c r="J3258" s="1" t="str">
        <f>IFERROR(__xludf.DUMMYFUNCTION("GOOGLETRANSLATE(F3258,""EN"",""JA"")"),"一定速度の持続血管内注入によって投与された物質の平均滞留時間 (MRT) を無限大に外挿したもので、最後のゼロ以外の濃度の観測値を使用して計算されます。")</f>
        <v>一定速度の持続血管内注入によって投与された物質の平均滞留時間 (MRT) を無限大に外挿したもので、最後のゼロ以外の濃度の観測値を使用して計算されます。</v>
      </c>
      <c r="K3258" s="1" t="str">
        <f>IFERROR(__xludf.DUMMYFUNCTION("GOOGLETRANSLATE(G3258,""EN"",""JA"")"),"静脈内持続注入における平均滞留時間無限大の観察")</f>
        <v>静脈内持続注入における平均滞留時間無限大の観察</v>
      </c>
    </row>
    <row r="3259" ht="13.5" customHeight="1">
      <c r="A3259" s="1" t="s">
        <v>870</v>
      </c>
      <c r="B3259" s="1" t="s">
        <v>16336</v>
      </c>
      <c r="C3259" s="1" t="s">
        <v>16337</v>
      </c>
      <c r="D3259" s="1" t="s">
        <v>16338</v>
      </c>
      <c r="E3259" s="1" t="s">
        <v>16338</v>
      </c>
      <c r="F3259" s="1" t="s">
        <v>16339</v>
      </c>
      <c r="G3259" s="1" t="s">
        <v>16340</v>
      </c>
      <c r="H3259" s="1" t="str">
        <f>IFERROR(__xludf.DUMMYFUNCTION("GOOGLETRANSLATE(D3259,""EN"",""JA"")"),"MRT IV 持続無限大予測")</f>
        <v>MRT IV 持続無限大予測</v>
      </c>
      <c r="I3259" s="1" t="str">
        <f>IFERROR(__xludf.DUMMYFUNCTION("GOOGLETRANSLATE(E3259,""EN"",""JA"")"),"MRT IV 持続無限大予測")</f>
        <v>MRT IV 持続無限大予測</v>
      </c>
      <c r="J3259" s="1" t="str">
        <f>IFERROR(__xludf.DUMMYFUNCTION("GOOGLETRANSLATE(F3259,""EN"",""JA"")"),"一定速度の持続血管内注入によって投与される物質の平均滞留時間 (MRT) を無限大に外挿したもので、最後のゼロ以外の濃度の予測値を使用して計算されます。")</f>
        <v>一定速度の持続血管内注入によって投与される物質の平均滞留時間 (MRT) を無限大に外挿したもので、最後のゼロ以外の濃度の予測値を使用して計算されます。</v>
      </c>
      <c r="K3259" s="1" t="str">
        <f>IFERROR(__xludf.DUMMYFUNCTION("GOOGLETRANSLATE(G3259,""EN"",""JA"")"),"平均滞留時間 静脈内持続注入 無限大予測")</f>
        <v>平均滞留時間 静脈内持続注入 無限大予測</v>
      </c>
    </row>
    <row r="3260" ht="13.5" customHeight="1">
      <c r="A3260" s="1" t="s">
        <v>870</v>
      </c>
      <c r="B3260" s="1" t="s">
        <v>16341</v>
      </c>
      <c r="C3260" s="1" t="s">
        <v>16342</v>
      </c>
      <c r="D3260" s="1" t="s">
        <v>16343</v>
      </c>
      <c r="E3260" s="1" t="s">
        <v>16343</v>
      </c>
      <c r="F3260" s="1" t="s">
        <v>16344</v>
      </c>
      <c r="G3260" s="1" t="s">
        <v>16345</v>
      </c>
      <c r="H3260" s="1" t="str">
        <f>IFERROR(__xludf.DUMMYFUNCTION("GOOGLETRANSLATE(D3260,""EN"",""JA"")"),"MRT IV Cont Inf から最後の非ゼロ Conc")</f>
        <v>MRT IV Cont Inf から最後の非ゼロ Conc</v>
      </c>
      <c r="I3260" s="1" t="str">
        <f>IFERROR(__xludf.DUMMYFUNCTION("GOOGLETRANSLATE(E3260,""EN"",""JA"")"),"MRT IV Cont Inf から最後の非ゼロ Conc")</f>
        <v>MRT IV Cont Inf から最後の非ゼロ Conc</v>
      </c>
      <c r="J3260" s="1" t="str">
        <f>IFERROR(__xludf.DUMMYFUNCTION("GOOGLETRANSLATE(F3260,""EN"",""JA"")"),"一定速度の持続血管内注入によって投与される物質の、投与時から最後の測定可能な濃度に達するまでの平均滞留時間 (MRT)。")</f>
        <v>一定速度の持続血管内注入によって投与される物質の、投与時から最後の測定可能な濃度に達するまでの平均滞留時間 (MRT)。</v>
      </c>
      <c r="K3260" s="1" t="str">
        <f>IFERROR(__xludf.DUMMYFUNCTION("GOOGLETRANSLATE(G3260,""EN"",""JA"")"),"持続静脈内注入における非ゼロ濃度到達までの平均滞留時間")</f>
        <v>持続静脈内注入における非ゼロ濃度到達までの平均滞留時間</v>
      </c>
    </row>
    <row r="3261" ht="13.5" customHeight="1">
      <c r="A3261" s="1" t="s">
        <v>176</v>
      </c>
      <c r="B3261" s="1" t="s">
        <v>16346</v>
      </c>
      <c r="C3261" s="1" t="s">
        <v>16347</v>
      </c>
      <c r="D3261" s="1" t="s">
        <v>16348</v>
      </c>
      <c r="E3261" s="1" t="s">
        <v>16348</v>
      </c>
      <c r="F3261" s="1" t="s">
        <v>16349</v>
      </c>
      <c r="G3261" s="1" t="s">
        <v>16350</v>
      </c>
      <c r="H3261" s="1" t="str">
        <f>IFERROR(__xludf.DUMMYFUNCTION("GOOGLETRANSLATE(D3261,""EN"",""JA"")"),"筋緊張")</f>
        <v>筋緊張</v>
      </c>
      <c r="I3261" s="1" t="str">
        <f>IFERROR(__xludf.DUMMYFUNCTION("GOOGLETRANSLATE(E3261,""EN"",""JA"")"),"筋緊張")</f>
        <v>筋緊張</v>
      </c>
      <c r="J3261" s="1" t="str">
        <f>IFERROR(__xludf.DUMMYFUNCTION("GOOGLETRANSLATE(F3261,""EN"",""JA"")"),"安静時の受動的なストレッチに対する抵抗として主観的に評価できる残留筋緊張を評価するための評価。")</f>
        <v>安静時の受動的なストレッチに対する抵抗として主観的に評価できる残留筋緊張を評価するための評価。</v>
      </c>
      <c r="K3261" s="1" t="str">
        <f>IFERROR(__xludf.DUMMYFUNCTION("GOOGLETRANSLATE(G3261,""EN"",""JA"")"),"筋緊張評価")</f>
        <v>筋緊張評価</v>
      </c>
    </row>
    <row r="3262" ht="13.5" customHeight="1">
      <c r="A3262" s="1" t="s">
        <v>160</v>
      </c>
      <c r="B3262" s="1" t="s">
        <v>16351</v>
      </c>
      <c r="C3262" s="1" t="s">
        <v>16352</v>
      </c>
      <c r="D3262" s="1" t="s">
        <v>16353</v>
      </c>
      <c r="E3262" s="1" t="s">
        <v>16354</v>
      </c>
      <c r="F3262" s="1" t="s">
        <v>16355</v>
      </c>
      <c r="G3262" s="1" t="s">
        <v>16353</v>
      </c>
      <c r="H3262" s="1" t="str">
        <f>IFERROR(__xludf.DUMMYFUNCTION("GOOGLETRANSLATE(D3262,""EN"",""JA"")"),"流産の兆候")</f>
        <v>流産の兆候</v>
      </c>
      <c r="I3262" s="1" t="str">
        <f>IFERROR(__xludf.DUMMYFUNCTION("GOOGLETRANSLATE(E3262,""EN"",""JA"")"),"流産の指標、自然流産の指標")</f>
        <v>流産の指標、自然流産の指標</v>
      </c>
      <c r="J3262" s="1" t="str">
        <f>IFERROR(__xludf.DUMMYFUNCTION("GOOGLETRANSLATE(F3262,""EN"",""JA"")"),"妊娠が流産に至ったかどうかを示すもの。")</f>
        <v>妊娠が流産に至ったかどうかを示すもの。</v>
      </c>
      <c r="K3262" s="1" t="str">
        <f>IFERROR(__xludf.DUMMYFUNCTION("GOOGLETRANSLATE(G3262,""EN"",""JA"")"),"流産の兆候")</f>
        <v>流産の兆候</v>
      </c>
    </row>
    <row r="3263" ht="13.5" customHeight="1">
      <c r="A3263" s="1" t="s">
        <v>176</v>
      </c>
      <c r="B3263" s="1" t="s">
        <v>16356</v>
      </c>
      <c r="C3263" s="1" t="s">
        <v>16357</v>
      </c>
      <c r="D3263" s="1" t="s">
        <v>16358</v>
      </c>
      <c r="E3263" s="1" t="s">
        <v>16358</v>
      </c>
      <c r="F3263" s="1" t="s">
        <v>16359</v>
      </c>
      <c r="G3263" s="1" t="s">
        <v>16360</v>
      </c>
      <c r="H3263" s="1" t="str">
        <f>IFERROR(__xludf.DUMMYFUNCTION("GOOGLETRANSLATE(D3263,""EN"",""JA"")"),"筋力")</f>
        <v>筋力</v>
      </c>
      <c r="I3263" s="1" t="str">
        <f>IFERROR(__xludf.DUMMYFUNCTION("GOOGLETRANSLATE(E3263,""EN"",""JA"")"),"筋力")</f>
        <v>筋力</v>
      </c>
      <c r="J3263" s="1" t="str">
        <f>IFERROR(__xludf.DUMMYFUNCTION("GOOGLETRANSLATE(F3263,""EN"",""JA"")"),"筋肉を使って物体に力を加える能力を評価する評価。")</f>
        <v>筋肉を使って物体に力を加える能力を評価する評価。</v>
      </c>
      <c r="K3263" s="1" t="str">
        <f>IFERROR(__xludf.DUMMYFUNCTION("GOOGLETRANSLATE(G3263,""EN"",""JA"")"),"筋力評価")</f>
        <v>筋力評価</v>
      </c>
    </row>
    <row r="3264" ht="13.5" customHeight="1">
      <c r="A3264" s="1" t="s">
        <v>397</v>
      </c>
      <c r="B3264" s="1" t="s">
        <v>16361</v>
      </c>
      <c r="C3264" s="1" t="s">
        <v>16362</v>
      </c>
      <c r="D3264" s="1" t="s">
        <v>16363</v>
      </c>
      <c r="E3264" s="1" t="s">
        <v>16363</v>
      </c>
      <c r="F3264" s="1" t="s">
        <v>16364</v>
      </c>
      <c r="G3264" s="1" t="s">
        <v>16365</v>
      </c>
      <c r="H3264" s="1" t="str">
        <f>IFERROR(__xludf.DUMMYFUNCTION("GOOGLETRANSLATE(D3264,""EN"",""JA"")"),"EU州複数施設試験指標")</f>
        <v>EU州複数施設試験指標</v>
      </c>
      <c r="I3264" s="1" t="str">
        <f>IFERROR(__xludf.DUMMYFUNCTION("GOOGLETRANSLATE(E3264,""EN"",""JA"")"),"EU州複数施設試験指標")</f>
        <v>EU州複数施設試験指標</v>
      </c>
      <c r="J3264" s="1" t="str">
        <f>IFERROR(__xludf.DUMMYFUNCTION("GOOGLETRANSLATE(F3264,""EN"",""JA"")"),"申請に関連する欧州連合加盟国内の複数の施設で臨床試験が実施されているかどうかを示します。")</f>
        <v>申請に関連する欧州連合加盟国内の複数の施設で臨床試験が実施されているかどうかを示します。</v>
      </c>
      <c r="K3264" s="1" t="str">
        <f>IFERROR(__xludf.DUMMYFUNCTION("GOOGLETRANSLATE(G3264,""EN"",""JA"")"),"欧州連合の複数施設試験指標")</f>
        <v>欧州連合の複数施設試験指標</v>
      </c>
    </row>
    <row r="3265" ht="13.5" customHeight="1">
      <c r="A3265" s="1" t="s">
        <v>134</v>
      </c>
      <c r="B3265" s="1" t="s">
        <v>16366</v>
      </c>
      <c r="C3265" s="1" t="s">
        <v>16367</v>
      </c>
      <c r="D3265" s="1" t="s">
        <v>16368</v>
      </c>
      <c r="E3265" s="1" t="s">
        <v>16368</v>
      </c>
      <c r="F3265" s="1" t="s">
        <v>16369</v>
      </c>
      <c r="G3265" s="1" t="s">
        <v>16370</v>
      </c>
      <c r="H3265" s="1" t="str">
        <f>IFERROR(__xludf.DUMMYFUNCTION("GOOGLETRANSLATE(D3265,""EN"",""JA"")"),"MutSホモログ2")</f>
        <v>MutSホモログ2</v>
      </c>
      <c r="I3265" s="1" t="str">
        <f>IFERROR(__xludf.DUMMYFUNCTION("GOOGLETRANSLATE(E3265,""EN"",""JA"")"),"MutSホモログ2")</f>
        <v>MutSホモログ2</v>
      </c>
      <c r="J3265" s="1" t="str">
        <f>IFERROR(__xludf.DUMMYFUNCTION("GOOGLETRANSLATE(F3265,""EN"",""JA"")"),"生物学的標本中の MSH2 ミスマッチ修復タンパク質の測定。")</f>
        <v>生物学的標本中の MSH2 ミスマッチ修復タンパク質の測定。</v>
      </c>
      <c r="K3265" s="1" t="str">
        <f>IFERROR(__xludf.DUMMYFUNCTION("GOOGLETRANSLATE(G3265,""EN"",""JA"")"),"MutSホモログ2の測定")</f>
        <v>MutSホモログ2の測定</v>
      </c>
    </row>
    <row r="3266" ht="13.5" customHeight="1">
      <c r="A3266" s="1" t="s">
        <v>134</v>
      </c>
      <c r="B3266" s="1" t="s">
        <v>16371</v>
      </c>
      <c r="C3266" s="1" t="s">
        <v>16372</v>
      </c>
      <c r="D3266" s="1" t="s">
        <v>16373</v>
      </c>
      <c r="E3266" s="1" t="s">
        <v>16373</v>
      </c>
      <c r="F3266" s="1" t="s">
        <v>16374</v>
      </c>
      <c r="G3266" s="1" t="s">
        <v>16375</v>
      </c>
      <c r="H3266" s="1" t="str">
        <f>IFERROR(__xludf.DUMMYFUNCTION("GOOGLETRANSLATE(D3266,""EN"",""JA"")"),"MutSホモログ3")</f>
        <v>MutSホモログ3</v>
      </c>
      <c r="I3266" s="1" t="str">
        <f>IFERROR(__xludf.DUMMYFUNCTION("GOOGLETRANSLATE(E3266,""EN"",""JA"")"),"MutSホモログ3")</f>
        <v>MutSホモログ3</v>
      </c>
      <c r="J3266" s="1" t="str">
        <f>IFERROR(__xludf.DUMMYFUNCTION("GOOGLETRANSLATE(F3266,""EN"",""JA"")"),"生物学的標本中の MSH3 ミスマッチ修復タンパク質の測定。")</f>
        <v>生物学的標本中の MSH3 ミスマッチ修復タンパク質の測定。</v>
      </c>
      <c r="K3266" s="1" t="str">
        <f>IFERROR(__xludf.DUMMYFUNCTION("GOOGLETRANSLATE(G3266,""EN"",""JA"")"),"MutSホモログ3の測定")</f>
        <v>MutSホモログ3の測定</v>
      </c>
    </row>
    <row r="3267" ht="13.5" customHeight="1">
      <c r="A3267" s="1" t="s">
        <v>134</v>
      </c>
      <c r="B3267" s="1" t="s">
        <v>16376</v>
      </c>
      <c r="C3267" s="1" t="s">
        <v>16377</v>
      </c>
      <c r="D3267" s="1" t="s">
        <v>16378</v>
      </c>
      <c r="E3267" s="1" t="s">
        <v>16378</v>
      </c>
      <c r="F3267" s="1" t="s">
        <v>16379</v>
      </c>
      <c r="G3267" s="1" t="s">
        <v>16380</v>
      </c>
      <c r="H3267" s="1" t="str">
        <f>IFERROR(__xludf.DUMMYFUNCTION("GOOGLETRANSLATE(D3267,""EN"",""JA"")"),"MutSホモログ6")</f>
        <v>MutSホモログ6</v>
      </c>
      <c r="I3267" s="1" t="str">
        <f>IFERROR(__xludf.DUMMYFUNCTION("GOOGLETRANSLATE(E3267,""EN"",""JA"")"),"MutSホモログ6")</f>
        <v>MutSホモログ6</v>
      </c>
      <c r="J3267" s="1" t="str">
        <f>IFERROR(__xludf.DUMMYFUNCTION("GOOGLETRANSLATE(F3267,""EN"",""JA"")"),"生物学的標本中の MSH6 ミスマッチ修復タンパク質の測定。")</f>
        <v>生物学的標本中の MSH6 ミスマッチ修復タンパク質の測定。</v>
      </c>
      <c r="K3267" s="1" t="str">
        <f>IFERROR(__xludf.DUMMYFUNCTION("GOOGLETRANSLATE(G3267,""EN"",""JA"")"),"MutSホモログ6の測定")</f>
        <v>MutSホモログ6の測定</v>
      </c>
    </row>
    <row r="3268" ht="13.5" customHeight="1">
      <c r="A3268" s="1" t="s">
        <v>11</v>
      </c>
      <c r="B3268" s="1" t="s">
        <v>16381</v>
      </c>
      <c r="C3268" s="1" t="s">
        <v>16382</v>
      </c>
      <c r="D3268" s="1" t="s">
        <v>16383</v>
      </c>
      <c r="E3268" s="1" t="s">
        <v>16384</v>
      </c>
      <c r="F3268" s="1" t="s">
        <v>16385</v>
      </c>
      <c r="G3268" s="1" t="s">
        <v>16386</v>
      </c>
      <c r="H3268" s="1" t="str">
        <f>IFERROR(__xludf.DUMMYFUNCTION("GOOGLETRANSLATE(D3268,""EN"",""JA"")"),"アルファメラノサイト刺激ホルモン")</f>
        <v>アルファメラノサイト刺激ホルモン</v>
      </c>
      <c r="I3268" s="1" t="str">
        <f>IFERROR(__xludf.DUMMYFUNCTION("GOOGLETRANSLATE(E3268,""EN"",""JA"")"),"アルファメラノサイト刺激ホルモン; アルファMSH")</f>
        <v>アルファメラノサイト刺激ホルモン; アルファMSH</v>
      </c>
      <c r="J3268" s="1" t="str">
        <f>IFERROR(__xludf.DUMMYFUNCTION("GOOGLETRANSLATE(F3268,""EN"",""JA"")"),"生物標本中のアルファメラノサイト刺激ホルモンの測定。")</f>
        <v>生物標本中のアルファメラノサイト刺激ホルモンの測定。</v>
      </c>
      <c r="K3268" s="1" t="str">
        <f>IFERROR(__xludf.DUMMYFUNCTION("GOOGLETRANSLATE(G3268,""EN"",""JA"")"),"アルファメラノサイト刺激ホルモン測定")</f>
        <v>アルファメラノサイト刺激ホルモン測定</v>
      </c>
    </row>
    <row r="3269" ht="13.5" customHeight="1">
      <c r="A3269" s="1" t="s">
        <v>67</v>
      </c>
      <c r="B3269" s="1" t="s">
        <v>16387</v>
      </c>
      <c r="C3269" s="1" t="s">
        <v>16388</v>
      </c>
      <c r="D3269" s="1" t="s">
        <v>16389</v>
      </c>
      <c r="E3269" s="1" t="s">
        <v>16389</v>
      </c>
      <c r="F3269" s="1" t="s">
        <v>16390</v>
      </c>
      <c r="G3269" s="1" t="s">
        <v>16391</v>
      </c>
      <c r="H3269" s="1" t="str">
        <f>IFERROR(__xludf.DUMMYFUNCTION("GOOGLETRANSLATE(D3269,""EN"",""JA"")"),"シミアエ菌")</f>
        <v>シミアエ菌</v>
      </c>
      <c r="I3269" s="1" t="str">
        <f>IFERROR(__xludf.DUMMYFUNCTION("GOOGLETRANSLATE(E3269,""EN"",""JA"")"),"シミアエ菌")</f>
        <v>シミアエ菌</v>
      </c>
      <c r="J3269" s="1" t="str">
        <f>IFERROR(__xludf.DUMMYFUNCTION("GOOGLETRANSLATE(F3269,""EN"",""JA"")"),"生物標本中の Mycobacterium simiae の測定。")</f>
        <v>生物標本中の Mycobacterium simiae の測定。</v>
      </c>
      <c r="K3269" s="1" t="str">
        <f>IFERROR(__xludf.DUMMYFUNCTION("GOOGLETRANSLATE(G3269,""EN"",""JA"")"),"シミアエ菌の測定")</f>
        <v>シミアエ菌の測定</v>
      </c>
    </row>
    <row r="3270" ht="13.5" customHeight="1">
      <c r="A3270" s="1" t="s">
        <v>134</v>
      </c>
      <c r="B3270" s="1" t="s">
        <v>16392</v>
      </c>
      <c r="C3270" s="1" t="s">
        <v>16393</v>
      </c>
      <c r="D3270" s="1" t="s">
        <v>16394</v>
      </c>
      <c r="E3270" s="1" t="s">
        <v>16394</v>
      </c>
      <c r="F3270" s="1" t="s">
        <v>16395</v>
      </c>
      <c r="G3270" s="1" t="s">
        <v>16396</v>
      </c>
      <c r="H3270" s="1" t="str">
        <f>IFERROR(__xludf.DUMMYFUNCTION("GOOGLETRANSLATE(D3270,""EN"",""JA"")"),"メサンギウム基質")</f>
        <v>メサンギウム基質</v>
      </c>
      <c r="I3270" s="1" t="str">
        <f>IFERROR(__xludf.DUMMYFUNCTION("GOOGLETRANSLATE(E3270,""EN"",""JA"")"),"メサンギウム基質")</f>
        <v>メサンギウム基質</v>
      </c>
      <c r="J3270" s="1" t="str">
        <f>IFERROR(__xludf.DUMMYFUNCTION("GOOGLETRANSLATE(F3270,""EN"",""JA"")"),"生物標本におけるメサンギウム基質の評価。")</f>
        <v>生物標本におけるメサンギウム基質の評価。</v>
      </c>
      <c r="K3270" s="1" t="str">
        <f>IFERROR(__xludf.DUMMYFUNCTION("GOOGLETRANSLATE(G3270,""EN"",""JA"")"),"メサンギウム基質評価")</f>
        <v>メサンギウム基質評価</v>
      </c>
    </row>
    <row r="3271" ht="13.5" customHeight="1">
      <c r="A3271" s="1" t="s">
        <v>67</v>
      </c>
      <c r="B3271" s="1" t="s">
        <v>16397</v>
      </c>
      <c r="C3271" s="1" t="s">
        <v>16398</v>
      </c>
      <c r="D3271" s="1" t="s">
        <v>16399</v>
      </c>
      <c r="E3271" s="1" t="s">
        <v>16400</v>
      </c>
      <c r="F3271" s="1" t="s">
        <v>16401</v>
      </c>
      <c r="G3271" s="1" t="s">
        <v>16402</v>
      </c>
      <c r="H3271" s="1" t="str">
        <f>IFERROR(__xludf.DUMMYFUNCTION("GOOGLETRANSLATE(D3271,""EN"",""JA"")"),"メチシリン感受性黄色ブドウ球菌")</f>
        <v>メチシリン感受性黄色ブドウ球菌</v>
      </c>
      <c r="I3271" s="1" t="str">
        <f>IFERROR(__xludf.DUMMYFUNCTION("GOOGLETRANSLATE(E3271,""EN"",""JA"")"),"メチシリン感受性黄色ブドウ球菌; メチシリン感受性黄色ブドウ球菌")</f>
        <v>メチシリン感受性黄色ブドウ球菌; メチシリン感受性黄色ブドウ球菌</v>
      </c>
      <c r="J3271" s="1" t="str">
        <f>IFERROR(__xludf.DUMMYFUNCTION("GOOGLETRANSLATE(F3271,""EN"",""JA"")"),"生物標本中のメチシリン感受性黄色ブドウ球菌株の測定。")</f>
        <v>生物標本中のメチシリン感受性黄色ブドウ球菌株の測定。</v>
      </c>
      <c r="K3271" s="1" t="str">
        <f>IFERROR(__xludf.DUMMYFUNCTION("GOOGLETRANSLATE(G3271,""EN"",""JA"")"),"メチシリン感受性黄色ブドウ球菌の測定")</f>
        <v>メチシリン感受性黄色ブドウ球菌の測定</v>
      </c>
    </row>
    <row r="3272" ht="13.5" customHeight="1">
      <c r="A3272" s="1" t="s">
        <v>11</v>
      </c>
      <c r="B3272" s="1" t="s">
        <v>16403</v>
      </c>
      <c r="C3272" s="1" t="s">
        <v>16404</v>
      </c>
      <c r="D3272" s="1" t="s">
        <v>16405</v>
      </c>
      <c r="E3272" s="1" t="s">
        <v>16405</v>
      </c>
      <c r="F3272" s="1" t="s">
        <v>16406</v>
      </c>
      <c r="G3272" s="1" t="s">
        <v>16407</v>
      </c>
      <c r="H3272" s="1" t="str">
        <f>IFERROR(__xludf.DUMMYFUNCTION("GOOGLETRANSLATE(D3272,""EN"",""JA"")"),"中皮細胞")</f>
        <v>中皮細胞</v>
      </c>
      <c r="I3272" s="1" t="str">
        <f>IFERROR(__xludf.DUMMYFUNCTION("GOOGLETRANSLATE(E3272,""EN"",""JA"")"),"中皮細胞")</f>
        <v>中皮細胞</v>
      </c>
      <c r="J3272" s="1" t="str">
        <f>IFERROR(__xludf.DUMMYFUNCTION("GOOGLETRANSLATE(F3272,""EN"",""JA"")"),"生物標本中の中皮細胞の測定。")</f>
        <v>生物標本中の中皮細胞の測定。</v>
      </c>
      <c r="K3272" s="1" t="str">
        <f>IFERROR(__xludf.DUMMYFUNCTION("GOOGLETRANSLATE(G3272,""EN"",""JA"")"),"中皮細胞数")</f>
        <v>中皮細胞数</v>
      </c>
    </row>
    <row r="3273" ht="13.5" customHeight="1">
      <c r="A3273" s="1" t="s">
        <v>11</v>
      </c>
      <c r="B3273" s="1" t="s">
        <v>16408</v>
      </c>
      <c r="C3273" s="1" t="s">
        <v>16409</v>
      </c>
      <c r="D3273" s="1" t="s">
        <v>16410</v>
      </c>
      <c r="E3273" s="1" t="s">
        <v>16410</v>
      </c>
      <c r="F3273" s="1" t="s">
        <v>16411</v>
      </c>
      <c r="G3273" s="1" t="s">
        <v>16412</v>
      </c>
      <c r="H3273" s="1" t="str">
        <f>IFERROR(__xludf.DUMMYFUNCTION("GOOGLETRANSLATE(D3273,""EN"",""JA"")"),"中皮細胞/白血球")</f>
        <v>中皮細胞/白血球</v>
      </c>
      <c r="I3273" s="1" t="str">
        <f>IFERROR(__xludf.DUMMYFUNCTION("GOOGLETRANSLATE(E3273,""EN"",""JA"")"),"中皮細胞/白血球")</f>
        <v>中皮細胞/白血球</v>
      </c>
      <c r="J3273" s="1" t="str">
        <f>IFERROR(__xludf.DUMMYFUNCTION("GOOGLETRANSLATE(F3273,""EN"",""JA"")"),"生物標本中の中皮細胞と全白血球の相対的な測定値（比率またはパーセンテージ）。")</f>
        <v>生物標本中の中皮細胞と全白血球の相対的な測定値（比率またはパーセンテージ）。</v>
      </c>
      <c r="K3273" s="1" t="str">
        <f>IFERROR(__xludf.DUMMYFUNCTION("GOOGLETRANSLATE(G3273,""EN"",""JA"")"),"中皮細胞と白血球の比率測定")</f>
        <v>中皮細胞と白血球の比率測定</v>
      </c>
    </row>
    <row r="3274" ht="13.5" customHeight="1">
      <c r="A3274" s="1" t="s">
        <v>11</v>
      </c>
      <c r="B3274" s="1" t="s">
        <v>16413</v>
      </c>
      <c r="C3274" s="1" t="s">
        <v>16414</v>
      </c>
      <c r="D3274" s="1" t="s">
        <v>16415</v>
      </c>
      <c r="E3274" s="1" t="s">
        <v>16416</v>
      </c>
      <c r="F3274" s="1" t="s">
        <v>16417</v>
      </c>
      <c r="G3274" s="1" t="s">
        <v>16418</v>
      </c>
      <c r="H3274" s="1" t="str">
        <f>IFERROR(__xludf.DUMMYFUNCTION("GOOGLETRANSLATE(D3274,""EN"",""JA"")"),"メステロロン")</f>
        <v>メステロロン</v>
      </c>
      <c r="I3274" s="1" t="str">
        <f>IFERROR(__xludf.DUMMYFUNCTION("GOOGLETRANSLATE(E3274,""EN"",""JA"")"),"メステロロン; メステロロン")</f>
        <v>メステロロン; メステロロン</v>
      </c>
      <c r="J3274" s="1" t="str">
        <f>IFERROR(__xludf.DUMMYFUNCTION("GOOGLETRANSLATE(F3274,""EN"",""JA"")"),"生物標本中のメステロロンの測定。")</f>
        <v>生物標本中のメステロロンの測定。</v>
      </c>
      <c r="K3274" s="1" t="str">
        <f>IFERROR(__xludf.DUMMYFUNCTION("GOOGLETRANSLATE(G3274,""EN"",""JA"")"),"メステロロン測定")</f>
        <v>メステロロン測定</v>
      </c>
    </row>
    <row r="3275" ht="13.5" customHeight="1">
      <c r="A3275" s="1" t="s">
        <v>67</v>
      </c>
      <c r="B3275" s="1" t="s">
        <v>16419</v>
      </c>
      <c r="C3275" s="1" t="s">
        <v>16420</v>
      </c>
      <c r="D3275" s="1" t="s">
        <v>16421</v>
      </c>
      <c r="E3275" s="1" t="s">
        <v>16421</v>
      </c>
      <c r="F3275" s="1" t="s">
        <v>16422</v>
      </c>
      <c r="G3275" s="1" t="s">
        <v>16423</v>
      </c>
      <c r="H3275" s="1" t="str">
        <f>IFERROR(__xludf.DUMMYFUNCTION("GOOGLETRANSLATE(D3275,""EN"",""JA"")"),"結核菌")</f>
        <v>結核菌</v>
      </c>
      <c r="I3275" s="1" t="str">
        <f>IFERROR(__xludf.DUMMYFUNCTION("GOOGLETRANSLATE(E3275,""EN"",""JA"")"),"結核菌")</f>
        <v>結核菌</v>
      </c>
      <c r="J3275" s="1" t="str">
        <f>IFERROR(__xludf.DUMMYFUNCTION("GOOGLETRANSLATE(F3275,""EN"",""JA"")"),"生物標本中の Mycobacterium tuberculosis 種に割り当てられる微生物の測定値。")</f>
        <v>生物標本中の Mycobacterium tuberculosis 種に割り当てられる微生物の測定値。</v>
      </c>
      <c r="K3275" s="1" t="str">
        <f>IFERROR(__xludf.DUMMYFUNCTION("GOOGLETRANSLATE(G3275,""EN"",""JA"")"),"結核菌測定")</f>
        <v>結核菌測定</v>
      </c>
    </row>
    <row r="3276" ht="13.5" customHeight="1">
      <c r="A3276" s="1" t="s">
        <v>67</v>
      </c>
      <c r="B3276" s="1" t="s">
        <v>16424</v>
      </c>
      <c r="C3276" s="1" t="s">
        <v>16425</v>
      </c>
      <c r="D3276" s="1" t="s">
        <v>16426</v>
      </c>
      <c r="E3276" s="1" t="s">
        <v>16426</v>
      </c>
      <c r="F3276" s="1" t="s">
        <v>16427</v>
      </c>
      <c r="G3276" s="1" t="s">
        <v>16428</v>
      </c>
      <c r="H3276" s="1" t="str">
        <f>IFERROR(__xludf.DUMMYFUNCTION("GOOGLETRANSLATE(D3276,""EN"",""JA"")"),"結核菌複合体")</f>
        <v>結核菌複合体</v>
      </c>
      <c r="I3276" s="1" t="str">
        <f>IFERROR(__xludf.DUMMYFUNCTION("GOOGLETRANSLATE(E3276,""EN"",""JA"")"),"結核菌複合体")</f>
        <v>結核菌複合体</v>
      </c>
      <c r="J3276" s="1" t="str">
        <f>IFERROR(__xludf.DUMMYFUNCTION("GOOGLETRANSLATE(F3276,""EN"",""JA"")"),"生物標本中の結核菌群に帰属可能な微生物の測定値。")</f>
        <v>生物標本中の結核菌群に帰属可能な微生物の測定値。</v>
      </c>
      <c r="K3276" s="1" t="str">
        <f>IFERROR(__xludf.DUMMYFUNCTION("GOOGLETRANSLATE(G3276,""EN"",""JA"")"),"結核菌複合体測定")</f>
        <v>結核菌複合体測定</v>
      </c>
    </row>
    <row r="3277" ht="13.5" customHeight="1">
      <c r="A3277" s="1" t="s">
        <v>233</v>
      </c>
      <c r="B3277" s="1" t="s">
        <v>16429</v>
      </c>
      <c r="C3277" s="1" t="s">
        <v>16430</v>
      </c>
      <c r="D3277" s="1" t="s">
        <v>16431</v>
      </c>
      <c r="E3277" s="1" t="s">
        <v>16431</v>
      </c>
      <c r="F3277" s="1" t="s">
        <v>16432</v>
      </c>
      <c r="G3277" s="1" t="s">
        <v>16431</v>
      </c>
      <c r="H3277" s="1" t="str">
        <f>IFERROR(__xludf.DUMMYFUNCTION("GOOGLETRANSLATE(D3277,""EN"",""JA"")"),"代謝画像解釈")</f>
        <v>代謝画像解釈</v>
      </c>
      <c r="I3277" s="1" t="str">
        <f>IFERROR(__xludf.DUMMYFUNCTION("GOOGLETRANSLATE(E3277,""EN"",""JA"")"),"代謝画像解釈")</f>
        <v>代謝画像解釈</v>
      </c>
      <c r="J3277" s="1" t="str">
        <f>IFERROR(__xludf.DUMMYFUNCTION("GOOGLETRANSLATE(F3277,""EN"",""JA"")"),"画像分析に基づいた腫瘍または病変の代謝活動の解釈要約。")</f>
        <v>画像分析に基づいた腫瘍または病変の代謝活動の解釈要約。</v>
      </c>
      <c r="K3277" s="1" t="str">
        <f>IFERROR(__xludf.DUMMYFUNCTION("GOOGLETRANSLATE(G3277,""EN"",""JA"")"),"代謝画像解釈")</f>
        <v>代謝画像解釈</v>
      </c>
    </row>
    <row r="3278" ht="13.5" customHeight="1">
      <c r="A3278" s="1" t="s">
        <v>67</v>
      </c>
      <c r="B3278" s="1" t="s">
        <v>16433</v>
      </c>
      <c r="C3278" s="1" t="s">
        <v>16434</v>
      </c>
      <c r="D3278" s="1" t="s">
        <v>16435</v>
      </c>
      <c r="E3278" s="1" t="s">
        <v>16436</v>
      </c>
      <c r="F3278" s="1" t="s">
        <v>16437</v>
      </c>
      <c r="G3278" s="1" t="s">
        <v>16438</v>
      </c>
      <c r="H3278" s="1" t="str">
        <f>IFERROR(__xludf.DUMMYFUNCTION("GOOGLETRANSLATE(D3278,""EN"",""JA"")"),"リファンピシン耐性結核菌")</f>
        <v>リファンピシン耐性結核菌</v>
      </c>
      <c r="I3278" s="1" t="str">
        <f>IFERROR(__xludf.DUMMYFUNCTION("GOOGLETRANSLATE(E3278,""EN"",""JA"")"),"M. tuberculosis、リファンピシン耐性; Mycobacterium tuberculosis、リファンピシン耐性")</f>
        <v>M. tuberculosis、リファンピシン耐性; Mycobacterium tuberculosis、リファンピシン耐性</v>
      </c>
      <c r="J3278" s="1" t="str">
        <f>IFERROR(__xludf.DUMMYFUNCTION("GOOGLETRANSLATE(F3278,""EN"",""JA"")"),"生物標本中の結核菌のリファンピシン耐性株の測定。")</f>
        <v>生物標本中の結核菌のリファンピシン耐性株の測定。</v>
      </c>
      <c r="K3278" s="1" t="str">
        <f>IFERROR(__xludf.DUMMYFUNCTION("GOOGLETRANSLATE(G3278,""EN"",""JA"")"),"リファンピシン耐性結核菌測定")</f>
        <v>リファンピシン耐性結核菌測定</v>
      </c>
    </row>
    <row r="3279" ht="13.5" customHeight="1">
      <c r="A3279" s="1" t="s">
        <v>160</v>
      </c>
      <c r="B3279" s="1" t="s">
        <v>16439</v>
      </c>
      <c r="C3279" s="1" t="s">
        <v>16440</v>
      </c>
      <c r="D3279" s="1" t="s">
        <v>16441</v>
      </c>
      <c r="E3279" s="1" t="s">
        <v>16441</v>
      </c>
      <c r="F3279" s="1" t="s">
        <v>16442</v>
      </c>
      <c r="G3279" s="1" t="s">
        <v>16441</v>
      </c>
      <c r="H3279" s="1" t="str">
        <f>IFERROR(__xludf.DUMMYFUNCTION("GOOGLETRANSLATE(D3279,""EN"",""JA"")"),"モーションテンダーネスインジケーター")</f>
        <v>モーションテンダーネスインジケーター</v>
      </c>
      <c r="I3279" s="1" t="str">
        <f>IFERROR(__xludf.DUMMYFUNCTION("GOOGLETRANSLATE(E3279,""EN"",""JA"")"),"モーションテンダーネスインジケーター")</f>
        <v>モーションテンダーネスインジケーター</v>
      </c>
      <c r="J3279" s="1" t="str">
        <f>IFERROR(__xludf.DUMMYFUNCTION("GOOGLETRANSLATE(F3279,""EN"",""JA"")"),"動作痛の症状があるかどうかを示します。")</f>
        <v>動作痛の症状があるかどうかを示します。</v>
      </c>
      <c r="K3279" s="1" t="str">
        <f>IFERROR(__xludf.DUMMYFUNCTION("GOOGLETRANSLATE(G3279,""EN"",""JA"")"),"モーションテンダーネスインジケーター")</f>
        <v>モーションテンダーネスインジケーター</v>
      </c>
    </row>
    <row r="3280" ht="13.5" customHeight="1">
      <c r="A3280" s="1" t="s">
        <v>11</v>
      </c>
      <c r="B3280" s="1" t="s">
        <v>16443</v>
      </c>
      <c r="C3280" s="1" t="s">
        <v>16444</v>
      </c>
      <c r="D3280" s="1" t="s">
        <v>16445</v>
      </c>
      <c r="E3280" s="1" t="s">
        <v>16445</v>
      </c>
      <c r="F3280" s="1" t="s">
        <v>16446</v>
      </c>
      <c r="G3280" s="1" t="s">
        <v>16447</v>
      </c>
      <c r="H3280" s="1" t="str">
        <f>IFERROR(__xludf.DUMMYFUNCTION("GOOGLETRANSLATE(D3280,""EN"",""JA"")"),"メチルテストステロン")</f>
        <v>メチルテストステロン</v>
      </c>
      <c r="I3280" s="1" t="str">
        <f>IFERROR(__xludf.DUMMYFUNCTION("GOOGLETRANSLATE(E3280,""EN"",""JA"")"),"メチルテストステロン")</f>
        <v>メチルテストステロン</v>
      </c>
      <c r="J3280" s="1" t="str">
        <f>IFERROR(__xludf.DUMMYFUNCTION("GOOGLETRANSLATE(F3280,""EN"",""JA"")"),"生物標本中のメチルテストステロンの測定。")</f>
        <v>生物標本中のメチルテストステロンの測定。</v>
      </c>
      <c r="K3280" s="1" t="str">
        <f>IFERROR(__xludf.DUMMYFUNCTION("GOOGLETRANSLATE(G3280,""EN"",""JA"")"),"メチルテストステロン測定")</f>
        <v>メチルテストステロン測定</v>
      </c>
    </row>
    <row r="3281" ht="13.5" customHeight="1">
      <c r="A3281" s="1" t="s">
        <v>11</v>
      </c>
      <c r="B3281" s="1" t="s">
        <v>16448</v>
      </c>
      <c r="C3281" s="1" t="s">
        <v>16449</v>
      </c>
      <c r="D3281" s="1" t="s">
        <v>16450</v>
      </c>
      <c r="E3281" s="1" t="s">
        <v>16450</v>
      </c>
      <c r="F3281" s="1" t="s">
        <v>16451</v>
      </c>
      <c r="G3281" s="1" t="s">
        <v>16452</v>
      </c>
      <c r="H3281" s="1" t="str">
        <f>IFERROR(__xludf.DUMMYFUNCTION("GOOGLETRANSLATE(D3281,""EN"",""JA"")"),"メタステロン")</f>
        <v>メタステロン</v>
      </c>
      <c r="I3281" s="1" t="str">
        <f>IFERROR(__xludf.DUMMYFUNCTION("GOOGLETRANSLATE(E3281,""EN"",""JA"")"),"メタステロン")</f>
        <v>メタステロン</v>
      </c>
      <c r="J3281" s="1" t="str">
        <f>IFERROR(__xludf.DUMMYFUNCTION("GOOGLETRANSLATE(F3281,""EN"",""JA"")"),"生物標本中のメタステロンの測定。")</f>
        <v>生物標本中のメタステロンの測定。</v>
      </c>
      <c r="K3281" s="1" t="str">
        <f>IFERROR(__xludf.DUMMYFUNCTION("GOOGLETRANSLATE(G3281,""EN"",""JA"")"),"メタステロン測定")</f>
        <v>メタステロン測定</v>
      </c>
    </row>
    <row r="3282" ht="13.5" customHeight="1">
      <c r="A3282" s="1" t="s">
        <v>11</v>
      </c>
      <c r="B3282" s="1" t="s">
        <v>16453</v>
      </c>
      <c r="C3282" s="1" t="s">
        <v>16454</v>
      </c>
      <c r="D3282" s="1" t="s">
        <v>16455</v>
      </c>
      <c r="E3282" s="1" t="s">
        <v>16455</v>
      </c>
      <c r="F3282" s="1" t="s">
        <v>16456</v>
      </c>
      <c r="G3282" s="1" t="s">
        <v>16457</v>
      </c>
      <c r="H3282" s="1" t="str">
        <f>IFERROR(__xludf.DUMMYFUNCTION("GOOGLETRANSLATE(D3282,""EN"",""JA"")"),"3-メトキシチラミン")</f>
        <v>3-メトキシチラミン</v>
      </c>
      <c r="I3282" s="1" t="str">
        <f>IFERROR(__xludf.DUMMYFUNCTION("GOOGLETRANSLATE(E3282,""EN"",""JA"")"),"3-メトキシチラミン")</f>
        <v>3-メトキシチラミン</v>
      </c>
      <c r="J3282" s="1" t="str">
        <f>IFERROR(__xludf.DUMMYFUNCTION("GOOGLETRANSLATE(F3282,""EN"",""JA"")"),"生物標本中の 3-メトキシチラミンの総量の測定。")</f>
        <v>生物標本中の 3-メトキシチラミンの総量の測定。</v>
      </c>
      <c r="K3282" s="1" t="str">
        <f>IFERROR(__xludf.DUMMYFUNCTION("GOOGLETRANSLATE(G3282,""EN"",""JA"")"),"総3-メトキシチラミン測定")</f>
        <v>総3-メトキシチラミン測定</v>
      </c>
    </row>
    <row r="3283" ht="13.5" customHeight="1">
      <c r="A3283" s="1" t="s">
        <v>11</v>
      </c>
      <c r="B3283" s="1" t="s">
        <v>16458</v>
      </c>
      <c r="C3283" s="1" t="s">
        <v>16459</v>
      </c>
      <c r="D3283" s="1" t="s">
        <v>16460</v>
      </c>
      <c r="E3283" s="1" t="s">
        <v>16460</v>
      </c>
      <c r="F3283" s="1" t="s">
        <v>16461</v>
      </c>
      <c r="G3283" s="1" t="s">
        <v>16462</v>
      </c>
      <c r="H3283" s="1" t="str">
        <f>IFERROR(__xludf.DUMMYFUNCTION("GOOGLETRANSLATE(D3283,""EN"",""JA"")"),"3-メトキシチラミン、遊離")</f>
        <v>3-メトキシチラミン、遊離</v>
      </c>
      <c r="I3283" s="1" t="str">
        <f>IFERROR(__xludf.DUMMYFUNCTION("GOOGLETRANSLATE(E3283,""EN"",""JA"")"),"3-メトキシチラミン、遊離")</f>
        <v>3-メトキシチラミン、遊離</v>
      </c>
      <c r="J3283" s="1" t="str">
        <f>IFERROR(__xludf.DUMMYFUNCTION("GOOGLETRANSLATE(F3283,""EN"",""JA"")"),"生物標本中の遊離 3-メトキシチラミンの測定。")</f>
        <v>生物標本中の遊離 3-メトキシチラミンの測定。</v>
      </c>
      <c r="K3283" s="1" t="str">
        <f>IFERROR(__xludf.DUMMYFUNCTION("GOOGLETRANSLATE(G3283,""EN"",""JA"")"),"遊離3-メトキシチラミン測定")</f>
        <v>遊離3-メトキシチラミン測定</v>
      </c>
    </row>
    <row r="3284" ht="13.5" customHeight="1">
      <c r="A3284" s="1" t="s">
        <v>11</v>
      </c>
      <c r="B3284" s="1" t="s">
        <v>16463</v>
      </c>
      <c r="C3284" s="1" t="s">
        <v>16464</v>
      </c>
      <c r="D3284" s="1" t="s">
        <v>16465</v>
      </c>
      <c r="E3284" s="1" t="s">
        <v>16465</v>
      </c>
      <c r="F3284" s="1" t="s">
        <v>16466</v>
      </c>
      <c r="G3284" s="1" t="s">
        <v>16467</v>
      </c>
      <c r="H3284" s="1" t="str">
        <f>IFERROR(__xludf.DUMMYFUNCTION("GOOGLETRANSLATE(D3284,""EN"",""JA"")"),"メタネフリン、遊離")</f>
        <v>メタネフリン、遊離</v>
      </c>
      <c r="I3284" s="1" t="str">
        <f>IFERROR(__xludf.DUMMYFUNCTION("GOOGLETRANSLATE(E3284,""EN"",""JA"")"),"メタネフリン、遊離")</f>
        <v>メタネフリン、遊離</v>
      </c>
      <c r="J3284" s="1" t="str">
        <f>IFERROR(__xludf.DUMMYFUNCTION("GOOGLETRANSLATE(F3284,""EN"",""JA"")"),"生物標本中の遊離メタネフリンの測定。")</f>
        <v>生物標本中の遊離メタネフリンの測定。</v>
      </c>
      <c r="K3284" s="1" t="str">
        <f>IFERROR(__xludf.DUMMYFUNCTION("GOOGLETRANSLATE(G3284,""EN"",""JA"")"),"遊離メタネフリン測定")</f>
        <v>遊離メタネフリン測定</v>
      </c>
    </row>
    <row r="3285" ht="13.5" customHeight="1">
      <c r="A3285" s="1" t="s">
        <v>11</v>
      </c>
      <c r="B3285" s="1" t="s">
        <v>16468</v>
      </c>
      <c r="C3285" s="1" t="s">
        <v>16469</v>
      </c>
      <c r="D3285" s="1" t="s">
        <v>16470</v>
      </c>
      <c r="E3285" s="1" t="s">
        <v>16471</v>
      </c>
      <c r="F3285" s="1" t="s">
        <v>16472</v>
      </c>
      <c r="G3285" s="1" t="s">
        <v>16473</v>
      </c>
      <c r="H3285" s="1" t="str">
        <f>IFERROR(__xludf.DUMMYFUNCTION("GOOGLETRANSLATE(D3285,""EN"",""JA"")"),"メタネフリン+ノルメタネフリン放出率")</f>
        <v>メタネフリン+ノルメタネフリン放出率</v>
      </c>
      <c r="I3285" s="1" t="str">
        <f>IFERROR(__xludf.DUMMYFUNCTION("GOOGLETRANSLATE(E3285,""EN"",""JA"")"),"メタネフリン+ノルメタネフリン排泄率; メタネフリン+ノルメタネフリン排泄率")</f>
        <v>メタネフリン+ノルメタネフリン排泄率; メタネフリン+ノルメタネフリン排泄率</v>
      </c>
      <c r="J3285" s="1" t="str">
        <f>IFERROR(__xludf.DUMMYFUNCTION("GOOGLETRANSLATE(F3285,""EN"",""JA"")"),"定義された時間（例：1 時間）にわたって生物学的標本中に排泄されるメタネフリンおよびノルメタネフリンの量を測定します。")</f>
        <v>定義された時間（例：1 時間）にわたって生物学的標本中に排泄されるメタネフリンおよびノルメタネフリンの量を測定します。</v>
      </c>
      <c r="K3285" s="1" t="str">
        <f>IFERROR(__xludf.DUMMYFUNCTION("GOOGLETRANSLATE(G3285,""EN"",""JA"")"),"メタネフリンおよびノルメタネフリン排泄率")</f>
        <v>メタネフリンおよびノルメタネフリン排泄率</v>
      </c>
    </row>
    <row r="3286" ht="13.5" customHeight="1">
      <c r="A3286" s="1" t="s">
        <v>11</v>
      </c>
      <c r="B3286" s="1" t="s">
        <v>16474</v>
      </c>
      <c r="C3286" s="1" t="s">
        <v>16475</v>
      </c>
      <c r="D3286" s="1" t="s">
        <v>16476</v>
      </c>
      <c r="E3286" s="1" t="s">
        <v>16476</v>
      </c>
      <c r="F3286" s="1" t="s">
        <v>16477</v>
      </c>
      <c r="G3286" s="1" t="s">
        <v>16478</v>
      </c>
      <c r="H3286" s="1" t="str">
        <f>IFERROR(__xludf.DUMMYFUNCTION("GOOGLETRANSLATE(D3286,""EN"",""JA"")"),"メタネフリン+ノルメタネフリン")</f>
        <v>メタネフリン+ノルメタネフリン</v>
      </c>
      <c r="I3286" s="1" t="str">
        <f>IFERROR(__xludf.DUMMYFUNCTION("GOOGLETRANSLATE(E3286,""EN"",""JA"")"),"メタネフリン+ノルメタネフリン")</f>
        <v>メタネフリン+ノルメタネフリン</v>
      </c>
      <c r="J3286" s="1" t="str">
        <f>IFERROR(__xludf.DUMMYFUNCTION("GOOGLETRANSLATE(F3286,""EN"",""JA"")"),"生物標本中のメタネフリンおよびノルメタネフリンの測定。")</f>
        <v>生物標本中のメタネフリンおよびノルメタネフリンの測定。</v>
      </c>
      <c r="K3286" s="1" t="str">
        <f>IFERROR(__xludf.DUMMYFUNCTION("GOOGLETRANSLATE(G3286,""EN"",""JA"")"),"メタネフリンおよびノルメタネフリンの測定")</f>
        <v>メタネフリンおよびノルメタネフリンの測定</v>
      </c>
    </row>
    <row r="3287" ht="13.5" customHeight="1">
      <c r="A3287" s="1" t="s">
        <v>129</v>
      </c>
      <c r="B3287" s="1" t="s">
        <v>16479</v>
      </c>
      <c r="C3287" s="1" t="s">
        <v>16480</v>
      </c>
      <c r="D3287" s="1" t="s">
        <v>16481</v>
      </c>
      <c r="E3287" s="1" t="s">
        <v>16481</v>
      </c>
      <c r="F3287" s="1" t="s">
        <v>16482</v>
      </c>
      <c r="G3287" s="1" t="s">
        <v>16481</v>
      </c>
      <c r="H3287" s="1" t="str">
        <f>IFERROR(__xludf.DUMMYFUNCTION("GOOGLETRANSLATE(D3287,""EN"",""JA"")"),"上腕中央周囲径")</f>
        <v>上腕中央周囲径</v>
      </c>
      <c r="I3287" s="1" t="str">
        <f>IFERROR(__xludf.DUMMYFUNCTION("GOOGLETRANSLATE(E3287,""EN"",""JA"")"),"上腕中央周囲径")</f>
        <v>上腕中央周囲径</v>
      </c>
      <c r="J3287" s="1" t="str">
        <f>IFERROR(__xludf.DUMMYFUNCTION("GOOGLETRANSLATE(F3287,""EN"",""JA"")"),"上腕部の最も広い部分の周囲の距離。")</f>
        <v>上腕部の最も広い部分の周囲の距離。</v>
      </c>
      <c r="K3287" s="1" t="str">
        <f>IFERROR(__xludf.DUMMYFUNCTION("GOOGLETRANSLATE(G3287,""EN"",""JA"")"),"上腕中央周囲径")</f>
        <v>上腕中央周囲径</v>
      </c>
    </row>
    <row r="3288" ht="13.5" customHeight="1">
      <c r="A3288" s="1" t="s">
        <v>11</v>
      </c>
      <c r="B3288" s="1" t="s">
        <v>16483</v>
      </c>
      <c r="C3288" s="1" t="s">
        <v>16484</v>
      </c>
      <c r="D3288" s="1" t="s">
        <v>16485</v>
      </c>
      <c r="E3288" s="1" t="s">
        <v>16485</v>
      </c>
      <c r="F3288" s="1" t="s">
        <v>16486</v>
      </c>
      <c r="G3288" s="1" t="s">
        <v>16487</v>
      </c>
      <c r="H3288" s="1" t="str">
        <f>IFERROR(__xludf.DUMMYFUNCTION("GOOGLETRANSLATE(D3288,""EN"",""JA"")"),"粘液糸")</f>
        <v>粘液糸</v>
      </c>
      <c r="I3288" s="1" t="str">
        <f>IFERROR(__xludf.DUMMYFUNCTION("GOOGLETRANSLATE(E3288,""EN"",""JA"")"),"粘液糸")</f>
        <v>粘液糸</v>
      </c>
      <c r="J3288" s="1" t="str">
        <f>IFERROR(__xludf.DUMMYFUNCTION("GOOGLETRANSLATE(F3288,""EN"",""JA"")"),"生物標本中に存在する粘液糸の測定。")</f>
        <v>生物標本中に存在する粘液糸の測定。</v>
      </c>
      <c r="K3288" s="1" t="str">
        <f>IFERROR(__xludf.DUMMYFUNCTION("GOOGLETRANSLATE(G3288,""EN"",""JA"")"),"粘液糸測定")</f>
        <v>粘液糸測定</v>
      </c>
    </row>
    <row r="3289" ht="13.5" customHeight="1">
      <c r="A3289" s="1" t="s">
        <v>11</v>
      </c>
      <c r="B3289" s="1" t="s">
        <v>16488</v>
      </c>
      <c r="C3289" s="1" t="s">
        <v>16489</v>
      </c>
      <c r="D3289" s="1" t="s">
        <v>16490</v>
      </c>
      <c r="E3289" s="1" t="s">
        <v>16490</v>
      </c>
      <c r="F3289" s="1" t="s">
        <v>16491</v>
      </c>
      <c r="G3289" s="1" t="s">
        <v>16492</v>
      </c>
      <c r="H3289" s="1" t="str">
        <f>IFERROR(__xludf.DUMMYFUNCTION("GOOGLETRANSLATE(D3289,""EN"",""JA"")"),"ムリノグロブリン")</f>
        <v>ムリノグロブリン</v>
      </c>
      <c r="I3289" s="1" t="str">
        <f>IFERROR(__xludf.DUMMYFUNCTION("GOOGLETRANSLATE(E3289,""EN"",""JA"")"),"ムリノグロブリン")</f>
        <v>ムリノグロブリン</v>
      </c>
      <c r="J3289" s="1" t="str">
        <f>IFERROR(__xludf.DUMMYFUNCTION("GOOGLETRANSLATE(F3289,""EN"",""JA"")"),"生物標本中のムリノグロブリンの測定。")</f>
        <v>生物標本中のムリノグロブリンの測定。</v>
      </c>
      <c r="K3289" s="1" t="str">
        <f>IFERROR(__xludf.DUMMYFUNCTION("GOOGLETRANSLATE(G3289,""EN"",""JA"")"),"ムリノグロブリン測定")</f>
        <v>ムリノグロブリン測定</v>
      </c>
    </row>
    <row r="3290" ht="13.5" customHeight="1">
      <c r="A3290" s="1" t="s">
        <v>176</v>
      </c>
      <c r="B3290" s="1" t="s">
        <v>16493</v>
      </c>
      <c r="C3290" s="1" t="s">
        <v>16494</v>
      </c>
      <c r="D3290" s="1" t="s">
        <v>16495</v>
      </c>
      <c r="E3290" s="1" t="s">
        <v>16495</v>
      </c>
      <c r="F3290" s="1" t="s">
        <v>16496</v>
      </c>
      <c r="G3290" s="1" t="s">
        <v>16497</v>
      </c>
      <c r="H3290" s="1" t="str">
        <f>IFERROR(__xludf.DUMMYFUNCTION("GOOGLETRANSLATE(D3290,""EN"",""JA"")"),"筋肉の硬直")</f>
        <v>筋肉の硬直</v>
      </c>
      <c r="I3290" s="1" t="str">
        <f>IFERROR(__xludf.DUMMYFUNCTION("GOOGLETRANSLATE(E3290,""EN"",""JA"")"),"筋肉の硬直")</f>
        <v>筋肉の硬直</v>
      </c>
      <c r="J3290" s="1" t="str">
        <f>IFERROR(__xludf.DUMMYFUNCTION("GOOGLETRANSLATE(F3290,""EN"",""JA"")"),"筋肉の硬直（受動運動に対して顕著な抵抗を伴う、不随意で持続的な硬直した筋肉の状態）の評価。")</f>
        <v>筋肉の硬直（受動運動に対して顕著な抵抗を伴う、不随意で持続的な硬直した筋肉の状態）の評価。</v>
      </c>
      <c r="K3290" s="1" t="str">
        <f>IFERROR(__xludf.DUMMYFUNCTION("GOOGLETRANSLATE(G3290,""EN"",""JA"")"),"筋硬直の評価")</f>
        <v>筋硬直の評価</v>
      </c>
    </row>
    <row r="3291" ht="13.5" customHeight="1">
      <c r="A3291" s="1" t="s">
        <v>580</v>
      </c>
      <c r="B3291" s="1" t="s">
        <v>16498</v>
      </c>
      <c r="C3291" s="1" t="s">
        <v>16499</v>
      </c>
      <c r="D3291" s="1" t="s">
        <v>16500</v>
      </c>
      <c r="E3291" s="1" t="s">
        <v>16501</v>
      </c>
      <c r="F3291" s="1" t="s">
        <v>16502</v>
      </c>
      <c r="G3291" s="1" t="s">
        <v>16500</v>
      </c>
      <c r="H3291" s="1" t="str">
        <f>IFERROR(__xludf.DUMMYFUNCTION("GOOGLETRANSLATE(D3291,""EN"",""JA"")"),"分時音量")</f>
        <v>分時音量</v>
      </c>
      <c r="I3291" s="1" t="str">
        <f>IFERROR(__xludf.DUMMYFUNCTION("GOOGLETRANSLATE(E3291,""EN"",""JA"")"),"分時換気量; 分時換気量; VE")</f>
        <v>分時換気量; 分時換気量; VE</v>
      </c>
      <c r="J3291" s="1" t="str">
        <f>IFERROR(__xludf.DUMMYFUNCTION("GOOGLETRANSLATE(F3291,""EN"",""JA"")"),"1 分間に吸入または呼出されるガスの量。")</f>
        <v>1 分間に吸入または呼出されるガスの量。</v>
      </c>
      <c r="K3291" s="1" t="str">
        <f>IFERROR(__xludf.DUMMYFUNCTION("GOOGLETRANSLATE(G3291,""EN"",""JA"")"),"分時音量")</f>
        <v>分時音量</v>
      </c>
    </row>
    <row r="3292" ht="13.5" customHeight="1">
      <c r="A3292" s="1" t="s">
        <v>90</v>
      </c>
      <c r="B3292" s="1" t="s">
        <v>16503</v>
      </c>
      <c r="C3292" s="1" t="s">
        <v>16504</v>
      </c>
      <c r="D3292" s="1" t="s">
        <v>16505</v>
      </c>
      <c r="E3292" s="1" t="s">
        <v>16505</v>
      </c>
      <c r="F3292" s="1" t="s">
        <v>16506</v>
      </c>
      <c r="G3292" s="1" t="s">
        <v>16505</v>
      </c>
      <c r="H3292" s="1" t="str">
        <f>IFERROR(__xludf.DUMMYFUNCTION("GOOGLETRANSLATE(D3292,""EN"",""JA"")"),"僧帽弁逆流率")</f>
        <v>僧帽弁逆流率</v>
      </c>
      <c r="I3292" s="1" t="str">
        <f>IFERROR(__xludf.DUMMYFUNCTION("GOOGLETRANSLATE(E3292,""EN"",""JA"")"),"僧帽弁逆流率")</f>
        <v>僧帽弁逆流率</v>
      </c>
      <c r="J3292" s="1" t="str">
        <f>IFERROR(__xludf.DUMMYFUNCTION("GOOGLETRANSLATE(F3292,""EN"",""JA"")"),"僧帽弁の開口部を通過する逆行性血流量の測定値を、順行性血流量のパーセンテージとして表します。")</f>
        <v>僧帽弁の開口部を通過する逆行性血流量の測定値を、順行性血流量のパーセンテージとして表します。</v>
      </c>
      <c r="K3292" s="1" t="str">
        <f>IFERROR(__xludf.DUMMYFUNCTION("GOOGLETRANSLATE(G3292,""EN"",""JA"")"),"僧帽弁逆流率")</f>
        <v>僧帽弁逆流率</v>
      </c>
    </row>
    <row r="3293" ht="13.5" customHeight="1">
      <c r="A3293" s="1" t="s">
        <v>90</v>
      </c>
      <c r="B3293" s="1" t="s">
        <v>16507</v>
      </c>
      <c r="C3293" s="1" t="s">
        <v>16508</v>
      </c>
      <c r="D3293" s="1" t="s">
        <v>16509</v>
      </c>
      <c r="E3293" s="1" t="s">
        <v>16509</v>
      </c>
      <c r="F3293" s="1" t="s">
        <v>16510</v>
      </c>
      <c r="G3293" s="1" t="s">
        <v>16509</v>
      </c>
      <c r="H3293" s="1" t="str">
        <f>IFERROR(__xludf.DUMMYFUNCTION("GOOGLETRANSLATE(D3293,""EN"",""JA"")"),"僧帽弁逆流ジェット領域")</f>
        <v>僧帽弁逆流ジェット領域</v>
      </c>
      <c r="I3293" s="1" t="str">
        <f>IFERROR(__xludf.DUMMYFUNCTION("GOOGLETRANSLATE(E3293,""EN"",""JA"")"),"僧帽弁逆流ジェット領域")</f>
        <v>僧帽弁逆流ジェット領域</v>
      </c>
      <c r="J3293" s="1" t="str">
        <f>IFERROR(__xludf.DUMMYFUNCTION("GOOGLETRANSLATE(F3293,""EN"",""JA"")"),"左心房への逆流血液の測定面積。")</f>
        <v>左心房への逆流血液の測定面積。</v>
      </c>
      <c r="K3293" s="1" t="str">
        <f>IFERROR(__xludf.DUMMYFUNCTION("GOOGLETRANSLATE(G3293,""EN"",""JA"")"),"僧帽弁逆流ジェット領域")</f>
        <v>僧帽弁逆流ジェット領域</v>
      </c>
    </row>
    <row r="3294" ht="13.5" customHeight="1">
      <c r="A3294" s="1" t="s">
        <v>90</v>
      </c>
      <c r="B3294" s="1" t="s">
        <v>16511</v>
      </c>
      <c r="C3294" s="1" t="s">
        <v>16512</v>
      </c>
      <c r="D3294" s="1" t="s">
        <v>16513</v>
      </c>
      <c r="E3294" s="1" t="s">
        <v>16513</v>
      </c>
      <c r="F3294" s="1" t="s">
        <v>16514</v>
      </c>
      <c r="G3294" s="1" t="s">
        <v>16513</v>
      </c>
      <c r="H3294" s="1" t="str">
        <f>IFERROR(__xludf.DUMMYFUNCTION("GOOGLETRANSLATE(D3294,""EN"",""JA"")"),"僧帽弁逆流量")</f>
        <v>僧帽弁逆流量</v>
      </c>
      <c r="I3294" s="1" t="str">
        <f>IFERROR(__xludf.DUMMYFUNCTION("GOOGLETRANSLATE(E3294,""EN"",""JA"")"),"僧帽弁逆流量")</f>
        <v>僧帽弁逆流量</v>
      </c>
      <c r="J3294" s="1" t="str">
        <f>IFERROR(__xludf.DUMMYFUNCTION("GOOGLETRANSLATE(F3294,""EN"",""JA"")"),"僧帽弁の開口部を流れる逆流血量の測定。")</f>
        <v>僧帽弁の開口部を流れる逆流血量の測定。</v>
      </c>
      <c r="K3294" s="1" t="str">
        <f>IFERROR(__xludf.DUMMYFUNCTION("GOOGLETRANSLATE(G3294,""EN"",""JA"")"),"僧帽弁逆流量")</f>
        <v>僧帽弁逆流量</v>
      </c>
    </row>
    <row r="3295" ht="13.5" customHeight="1">
      <c r="A3295" s="1" t="s">
        <v>134</v>
      </c>
      <c r="B3295" s="1" t="s">
        <v>16515</v>
      </c>
      <c r="C3295" s="1" t="s">
        <v>16516</v>
      </c>
      <c r="D3295" s="1" t="s">
        <v>16517</v>
      </c>
      <c r="E3295" s="1" t="s">
        <v>16517</v>
      </c>
      <c r="F3295" s="1" t="s">
        <v>16518</v>
      </c>
      <c r="G3295" s="1" t="s">
        <v>16519</v>
      </c>
      <c r="H3295" s="1" t="str">
        <f>IFERROR(__xludf.DUMMYFUNCTION("GOOGLETRANSLATE(D3295,""EN"",""JA"")"),"微小小胞性脂肪肝")</f>
        <v>微小小胞性脂肪肝</v>
      </c>
      <c r="I3295" s="1" t="str">
        <f>IFERROR(__xludf.DUMMYFUNCTION("GOOGLETRANSLATE(E3295,""EN"",""JA"")"),"微小小胞性脂肪肝")</f>
        <v>微小小胞性脂肪肝</v>
      </c>
      <c r="J3295" s="1" t="str">
        <f>IFERROR(__xludf.DUMMYFUNCTION("GOOGLETRANSLATE(F3295,""EN"",""JA"")"),"生物標本における微小小胞性脂肪肝の評価。")</f>
        <v>生物標本における微小小胞性脂肪肝の評価。</v>
      </c>
      <c r="K3295" s="1" t="str">
        <f>IFERROR(__xludf.DUMMYFUNCTION("GOOGLETRANSLATE(G3295,""EN"",""JA"")"),"微小小胞性脂肪肝の評価")</f>
        <v>微小小胞性脂肪肝の評価</v>
      </c>
    </row>
    <row r="3296" ht="13.5" customHeight="1">
      <c r="A3296" s="1" t="s">
        <v>90</v>
      </c>
      <c r="B3296" s="1" t="s">
        <v>16520</v>
      </c>
      <c r="C3296" s="1" t="s">
        <v>16521</v>
      </c>
      <c r="D3296" s="1" t="s">
        <v>16522</v>
      </c>
      <c r="E3296" s="1" t="s">
        <v>16522</v>
      </c>
      <c r="F3296" s="1" t="s">
        <v>16523</v>
      </c>
      <c r="G3296" s="1" t="s">
        <v>16522</v>
      </c>
      <c r="H3296" s="1" t="str">
        <f>IFERROR(__xludf.DUMMYFUNCTION("GOOGLETRANSLATE(D3296,""EN"",""JA"")"),"僧帽弁大静脈収縮領域")</f>
        <v>僧帽弁大静脈収縮領域</v>
      </c>
      <c r="I3296" s="1" t="str">
        <f>IFERROR(__xludf.DUMMYFUNCTION("GOOGLETRANSLATE(E3296,""EN"",""JA"")"),"僧帽弁大静脈収縮領域")</f>
        <v>僧帽弁大静脈収縮領域</v>
      </c>
      <c r="J3296" s="1" t="str">
        <f>IFERROR(__xludf.DUMMYFUNCTION("GOOGLETRANSLATE(F3296,""EN"",""JA"")"),"僧帽弁の縮静脈領域。")</f>
        <v>僧帽弁の縮静脈領域。</v>
      </c>
      <c r="K3296" s="1" t="str">
        <f>IFERROR(__xludf.DUMMYFUNCTION("GOOGLETRANSLATE(G3296,""EN"",""JA"")"),"僧帽弁大静脈収縮領域")</f>
        <v>僧帽弁大静脈収縮領域</v>
      </c>
    </row>
    <row r="3297" ht="13.5" customHeight="1">
      <c r="A3297" s="1" t="s">
        <v>90</v>
      </c>
      <c r="B3297" s="1" t="s">
        <v>16524</v>
      </c>
      <c r="C3297" s="1" t="s">
        <v>16525</v>
      </c>
      <c r="D3297" s="1" t="s">
        <v>16526</v>
      </c>
      <c r="E3297" s="1" t="s">
        <v>16526</v>
      </c>
      <c r="F3297" s="1" t="s">
        <v>16527</v>
      </c>
      <c r="G3297" s="1" t="s">
        <v>16526</v>
      </c>
      <c r="H3297" s="1" t="str">
        <f>IFERROR(__xludf.DUMMYFUNCTION("GOOGLETRANSLATE(D3297,""EN"",""JA"")"),"僧帽弁大静脈収縮幅")</f>
        <v>僧帽弁大静脈収縮幅</v>
      </c>
      <c r="I3297" s="1" t="str">
        <f>IFERROR(__xludf.DUMMYFUNCTION("GOOGLETRANSLATE(E3297,""EN"",""JA"")"),"僧帽弁大静脈収縮幅")</f>
        <v>僧帽弁大静脈収縮幅</v>
      </c>
      <c r="J3297" s="1" t="str">
        <f>IFERROR(__xludf.DUMMYFUNCTION("GOOGLETRANSLATE(F3297,""EN"",""JA"")"),"僧帽弁の縮静脈の幅。")</f>
        <v>僧帽弁の縮静脈の幅。</v>
      </c>
      <c r="K3297" s="1" t="str">
        <f>IFERROR(__xludf.DUMMYFUNCTION("GOOGLETRANSLATE(G3297,""EN"",""JA"")"),"僧帽弁大静脈収縮幅")</f>
        <v>僧帽弁大静脈収縮幅</v>
      </c>
    </row>
    <row r="3298" ht="13.5" customHeight="1">
      <c r="A3298" s="1" t="s">
        <v>11</v>
      </c>
      <c r="B3298" s="1" t="s">
        <v>16528</v>
      </c>
      <c r="C3298" s="1" t="s">
        <v>16529</v>
      </c>
      <c r="D3298" s="1" t="s">
        <v>16530</v>
      </c>
      <c r="E3298" s="1" t="s">
        <v>16531</v>
      </c>
      <c r="F3298" s="1" t="s">
        <v>16532</v>
      </c>
      <c r="G3298" s="1" t="s">
        <v>16533</v>
      </c>
      <c r="H3298" s="1" t="str">
        <f>IFERROR(__xludf.DUMMYFUNCTION("GOOGLETRANSLATE(D3298,""EN"",""JA"")"),"インターフェロン誘導タンパク質p78")</f>
        <v>インターフェロン誘導タンパク質p78</v>
      </c>
      <c r="I3298" s="1" t="str">
        <f>IFERROR(__xludf.DUMMYFUNCTION("GOOGLETRANSLATE(E3298,""EN"",""JA"")"),"インターフェロン誘導GTP結合タンパク質Mx1; インターフェロン誘導タンパク質p78")</f>
        <v>インターフェロン誘導GTP結合タンパク質Mx1; インターフェロン誘導タンパク質p78</v>
      </c>
      <c r="J3298" s="1" t="str">
        <f>IFERROR(__xludf.DUMMYFUNCTION("GOOGLETRANSLATE(F3298,""EN"",""JA"")"),"生物標本中のインターフェロン誘導タンパク質 P78 の測定。")</f>
        <v>生物標本中のインターフェロン誘導タンパク質 P78 の測定。</v>
      </c>
      <c r="K3298" s="1" t="str">
        <f>IFERROR(__xludf.DUMMYFUNCTION("GOOGLETRANSLATE(G3298,""EN"",""JA"")"),"インターフェロン誘導タンパク質p78の測定")</f>
        <v>インターフェロン誘導タンパク質p78の測定</v>
      </c>
    </row>
    <row r="3299" ht="13.5" customHeight="1">
      <c r="A3299" s="1" t="s">
        <v>11</v>
      </c>
      <c r="B3299" s="1" t="s">
        <v>16534</v>
      </c>
      <c r="C3299" s="1" t="s">
        <v>16535</v>
      </c>
      <c r="D3299" s="1" t="s">
        <v>16536</v>
      </c>
      <c r="E3299" s="1" t="s">
        <v>16537</v>
      </c>
      <c r="F3299" s="1" t="s">
        <v>16538</v>
      </c>
      <c r="G3299" s="1" t="s">
        <v>16539</v>
      </c>
      <c r="H3299" s="1" t="str">
        <f>IFERROR(__xludf.DUMMYFUNCTION("GOOGLETRANSLATE(D3299,""EN"",""JA"")"),"骨髄芽球")</f>
        <v>骨髄芽球</v>
      </c>
      <c r="I3299" s="1" t="str">
        <f>IFERROR(__xludf.DUMMYFUNCTION("GOOGLETRANSLATE(E3299,""EN"",""JA"")"),"骨髄芽球")</f>
        <v>骨髄芽球</v>
      </c>
      <c r="J3299" s="1" t="str">
        <f>IFERROR(__xludf.DUMMYFUNCTION("GOOGLETRANSLATE(F3299,""EN"",""JA"")"),"生物標本中の骨髄芽球細胞の測定。")</f>
        <v>生物標本中の骨髄芽球細胞の測定。</v>
      </c>
      <c r="K3299" s="1" t="str">
        <f>IFERROR(__xludf.DUMMYFUNCTION("GOOGLETRANSLATE(G3299,""EN"",""JA"")"),"骨髄芽球数")</f>
        <v>骨髄芽球数</v>
      </c>
    </row>
    <row r="3300" ht="13.5" customHeight="1">
      <c r="A3300" s="1" t="s">
        <v>11</v>
      </c>
      <c r="B3300" s="1" t="s">
        <v>16540</v>
      </c>
      <c r="C3300" s="1" t="s">
        <v>16541</v>
      </c>
      <c r="D3300" s="1" t="s">
        <v>16542</v>
      </c>
      <c r="E3300" s="1" t="s">
        <v>16542</v>
      </c>
      <c r="F3300" s="1" t="s">
        <v>16543</v>
      </c>
      <c r="G3300" s="1" t="s">
        <v>16544</v>
      </c>
      <c r="H3300" s="1" t="str">
        <f>IFERROR(__xludf.DUMMYFUNCTION("GOOGLETRANSLATE(D3300,""EN"",""JA"")"),"骨髄芽球/白血球")</f>
        <v>骨髄芽球/白血球</v>
      </c>
      <c r="I3300" s="1" t="str">
        <f>IFERROR(__xludf.DUMMYFUNCTION("GOOGLETRANSLATE(E3300,""EN"",""JA"")"),"骨髄芽球/白血球")</f>
        <v>骨髄芽球/白血球</v>
      </c>
      <c r="J3300" s="1" t="str">
        <f>IFERROR(__xludf.DUMMYFUNCTION("GOOGLETRANSLATE(F3300,""EN"",""JA"")"),"生物標本中の骨髄芽球と白血球の相対的な測定値（比率またはパーセンテージ）。")</f>
        <v>生物標本中の骨髄芽球と白血球の相対的な測定値（比率またはパーセンテージ）。</v>
      </c>
      <c r="K3300" s="1" t="str">
        <f>IFERROR(__xludf.DUMMYFUNCTION("GOOGLETRANSLATE(G3300,""EN"",""JA"")"),"骨髄芽球対白血球比")</f>
        <v>骨髄芽球対白血球比</v>
      </c>
    </row>
    <row r="3301" ht="13.5" customHeight="1">
      <c r="A3301" s="1" t="s">
        <v>11</v>
      </c>
      <c r="B3301" s="1" t="s">
        <v>16545</v>
      </c>
      <c r="C3301" s="1" t="s">
        <v>16546</v>
      </c>
      <c r="D3301" s="1" t="s">
        <v>16547</v>
      </c>
      <c r="E3301" s="1" t="s">
        <v>16547</v>
      </c>
      <c r="F3301" s="1" t="s">
        <v>16548</v>
      </c>
      <c r="G3301" s="1" t="s">
        <v>16549</v>
      </c>
      <c r="H3301" s="1" t="str">
        <f>IFERROR(__xludf.DUMMYFUNCTION("GOOGLETRANSLATE(D3301,""EN"",""JA"")"),"I型骨髄芽球")</f>
        <v>I型骨髄芽球</v>
      </c>
      <c r="I3301" s="1" t="str">
        <f>IFERROR(__xludf.DUMMYFUNCTION("GOOGLETRANSLATE(E3301,""EN"",""JA"")"),"I型骨髄芽球")</f>
        <v>I型骨髄芽球</v>
      </c>
      <c r="J3301" s="1" t="str">
        <f>IFERROR(__xludf.DUMMYFUNCTION("GOOGLETRANSLATE(F3301,""EN"",""JA"")"),"生物標本単位あたりの I 型骨髄芽球細胞の測定。")</f>
        <v>生物標本単位あたりの I 型骨髄芽球細胞の測定。</v>
      </c>
      <c r="K3301" s="1" t="str">
        <f>IFERROR(__xludf.DUMMYFUNCTION("GOOGLETRANSLATE(G3301,""EN"",""JA"")"),"I型骨髄芽球測定")</f>
        <v>I型骨髄芽球測定</v>
      </c>
    </row>
    <row r="3302" ht="13.5" customHeight="1">
      <c r="A3302" s="1" t="s">
        <v>11</v>
      </c>
      <c r="B3302" s="1" t="s">
        <v>16550</v>
      </c>
      <c r="C3302" s="1" t="s">
        <v>16551</v>
      </c>
      <c r="D3302" s="1" t="s">
        <v>16552</v>
      </c>
      <c r="E3302" s="1" t="s">
        <v>16552</v>
      </c>
      <c r="F3302" s="1" t="s">
        <v>16553</v>
      </c>
      <c r="G3302" s="1" t="s">
        <v>16554</v>
      </c>
      <c r="H3302" s="1" t="str">
        <f>IFERROR(__xludf.DUMMYFUNCTION("GOOGLETRANSLATE(D3302,""EN"",""JA"")"),"II型骨髄芽球")</f>
        <v>II型骨髄芽球</v>
      </c>
      <c r="I3302" s="1" t="str">
        <f>IFERROR(__xludf.DUMMYFUNCTION("GOOGLETRANSLATE(E3302,""EN"",""JA"")"),"II型骨髄芽球")</f>
        <v>II型骨髄芽球</v>
      </c>
      <c r="J3302" s="1" t="str">
        <f>IFERROR(__xludf.DUMMYFUNCTION("GOOGLETRANSLATE(F3302,""EN"",""JA"")"),"生物標本単位あたりの II 型骨髄芽球細胞の測定。")</f>
        <v>生物標本単位あたりの II 型骨髄芽球細胞の測定。</v>
      </c>
      <c r="K3302" s="1" t="str">
        <f>IFERROR(__xludf.DUMMYFUNCTION("GOOGLETRANSLATE(G3302,""EN"",""JA"")"),"II型骨髄芽球測定")</f>
        <v>II型骨髄芽球測定</v>
      </c>
    </row>
    <row r="3303" ht="13.5" customHeight="1">
      <c r="A3303" s="1" t="s">
        <v>11</v>
      </c>
      <c r="B3303" s="1" t="s">
        <v>16555</v>
      </c>
      <c r="C3303" s="1" t="s">
        <v>16556</v>
      </c>
      <c r="D3303" s="1" t="s">
        <v>16557</v>
      </c>
      <c r="E3303" s="1" t="s">
        <v>16557</v>
      </c>
      <c r="F3303" s="1" t="s">
        <v>16558</v>
      </c>
      <c r="G3303" s="1" t="s">
        <v>16559</v>
      </c>
      <c r="H3303" s="1" t="str">
        <f>IFERROR(__xludf.DUMMYFUNCTION("GOOGLETRANSLATE(D3303,""EN"",""JA"")"),"III型骨髄芽球")</f>
        <v>III型骨髄芽球</v>
      </c>
      <c r="I3303" s="1" t="str">
        <f>IFERROR(__xludf.DUMMYFUNCTION("GOOGLETRANSLATE(E3303,""EN"",""JA"")"),"III型骨髄芽球")</f>
        <v>III型骨髄芽球</v>
      </c>
      <c r="J3303" s="1" t="str">
        <f>IFERROR(__xludf.DUMMYFUNCTION("GOOGLETRANSLATE(F3303,""EN"",""JA"")"),"生物標本単位あたりの III 型骨髄芽球細胞の測定。")</f>
        <v>生物標本単位あたりの III 型骨髄芽球細胞の測定。</v>
      </c>
      <c r="K3303" s="1" t="str">
        <f>IFERROR(__xludf.DUMMYFUNCTION("GOOGLETRANSLATE(G3303,""EN"",""JA"")"),"III型骨髄芽球測定")</f>
        <v>III型骨髄芽球測定</v>
      </c>
    </row>
    <row r="3304" ht="13.5" customHeight="1">
      <c r="A3304" s="1" t="s">
        <v>11</v>
      </c>
      <c r="B3304" s="1" t="s">
        <v>16560</v>
      </c>
      <c r="C3304" s="1" t="s">
        <v>16561</v>
      </c>
      <c r="D3304" s="1" t="s">
        <v>16562</v>
      </c>
      <c r="E3304" s="1" t="s">
        <v>16562</v>
      </c>
      <c r="F3304" s="1" t="s">
        <v>16563</v>
      </c>
      <c r="G3304" s="1" t="s">
        <v>16562</v>
      </c>
      <c r="H3304" s="1" t="str">
        <f>IFERROR(__xludf.DUMMYFUNCTION("GOOGLETRANSLATE(D3304,""EN"",""JA"")"),"骨髄成熟指数")</f>
        <v>骨髄成熟指数</v>
      </c>
      <c r="I3304" s="1" t="str">
        <f>IFERROR(__xludf.DUMMYFUNCTION("GOOGLETRANSLATE(E3304,""EN"",""JA"")"),"骨髄成熟指数")</f>
        <v>骨髄成熟指数</v>
      </c>
      <c r="J3304" s="1" t="str">
        <f>IFERROR(__xludf.DUMMYFUNCTION("GOOGLETRANSLATE(F3304,""EN"",""JA"")"),"生物標本中の骨髄成熟期細胞（プール）の合計と骨髄増殖期細胞（プール）の合計の相対的な測定値（比率）。")</f>
        <v>生物標本中の骨髄成熟期細胞（プール）の合計と骨髄増殖期細胞（プール）の合計の相対的な測定値（比率）。</v>
      </c>
      <c r="K3304" s="1" t="str">
        <f>IFERROR(__xludf.DUMMYFUNCTION("GOOGLETRANSLATE(G3304,""EN"",""JA"")"),"骨髄成熟指数")</f>
        <v>骨髄成熟指数</v>
      </c>
    </row>
    <row r="3305" ht="13.5" customHeight="1">
      <c r="A3305" s="1" t="s">
        <v>11</v>
      </c>
      <c r="B3305" s="1" t="s">
        <v>16564</v>
      </c>
      <c r="C3305" s="1" t="s">
        <v>16565</v>
      </c>
      <c r="D3305" s="1" t="s">
        <v>16566</v>
      </c>
      <c r="E3305" s="1" t="s">
        <v>16566</v>
      </c>
      <c r="F3305" s="1" t="s">
        <v>16567</v>
      </c>
      <c r="G3305" s="1" t="s">
        <v>16568</v>
      </c>
      <c r="H3305" s="1" t="str">
        <f>IFERROR(__xludf.DUMMYFUNCTION("GOOGLETRANSLATE(D3305,""EN"",""JA"")"),"骨髄成熟プール")</f>
        <v>骨髄成熟プール</v>
      </c>
      <c r="I3305" s="1" t="str">
        <f>IFERROR(__xludf.DUMMYFUNCTION("GOOGLETRANSLATE(E3305,""EN"",""JA"")"),"骨髄成熟プール")</f>
        <v>骨髄成熟プール</v>
      </c>
      <c r="J3305" s="1" t="str">
        <f>IFERROR(__xludf.DUMMYFUNCTION("GOOGLETRANSLATE(F3305,""EN"",""JA"")"),"生物標本中の骨髄成熟期細胞（後骨髄球、桿体好中球、分葉好中球）の測定。")</f>
        <v>生物標本中の骨髄成熟期細胞（後骨髄球、桿体好中球、分葉好中球）の測定。</v>
      </c>
      <c r="K3305" s="1" t="str">
        <f>IFERROR(__xludf.DUMMYFUNCTION("GOOGLETRANSLATE(G3305,""EN"",""JA"")"),"骨髄成熟プール数")</f>
        <v>骨髄成熟プール数</v>
      </c>
    </row>
    <row r="3306" ht="13.5" customHeight="1">
      <c r="A3306" s="1" t="s">
        <v>11</v>
      </c>
      <c r="B3306" s="1" t="s">
        <v>16569</v>
      </c>
      <c r="C3306" s="1" t="s">
        <v>16570</v>
      </c>
      <c r="D3306" s="1" t="s">
        <v>16571</v>
      </c>
      <c r="E3306" s="1" t="s">
        <v>16571</v>
      </c>
      <c r="F3306" s="1" t="s">
        <v>16572</v>
      </c>
      <c r="G3306" s="1" t="s">
        <v>16571</v>
      </c>
      <c r="H3306" s="1" t="str">
        <f>IFERROR(__xludf.DUMMYFUNCTION("GOOGLETRANSLATE(D3306,""EN"",""JA"")"),"骨髄増殖指数")</f>
        <v>骨髄増殖指数</v>
      </c>
      <c r="I3306" s="1" t="str">
        <f>IFERROR(__xludf.DUMMYFUNCTION("GOOGLETRANSLATE(E3306,""EN"",""JA"")"),"骨髄増殖指数")</f>
        <v>骨髄増殖指数</v>
      </c>
      <c r="J3306" s="1" t="str">
        <f>IFERROR(__xludf.DUMMYFUNCTION("GOOGLETRANSLATE(F3306,""EN"",""JA"")"),"生物標本中の骨髄増殖期細胞（プール）の合計と骨髄成熟期細胞（プール）の合計の相対的な測定値（比率）。")</f>
        <v>生物標本中の骨髄増殖期細胞（プール）の合計と骨髄成熟期細胞（プール）の合計の相対的な測定値（比率）。</v>
      </c>
      <c r="K3306" s="1" t="str">
        <f>IFERROR(__xludf.DUMMYFUNCTION("GOOGLETRANSLATE(G3306,""EN"",""JA"")"),"骨髄増殖指数")</f>
        <v>骨髄増殖指数</v>
      </c>
    </row>
    <row r="3307" ht="13.5" customHeight="1">
      <c r="A3307" s="1" t="s">
        <v>11</v>
      </c>
      <c r="B3307" s="1" t="s">
        <v>16573</v>
      </c>
      <c r="C3307" s="1" t="s">
        <v>16574</v>
      </c>
      <c r="D3307" s="1" t="s">
        <v>16575</v>
      </c>
      <c r="E3307" s="1" t="s">
        <v>16575</v>
      </c>
      <c r="F3307" s="1" t="s">
        <v>16576</v>
      </c>
      <c r="G3307" s="1" t="s">
        <v>16577</v>
      </c>
      <c r="H3307" s="1" t="str">
        <f>IFERROR(__xludf.DUMMYFUNCTION("GOOGLETRANSLATE(D3307,""EN"",""JA"")"),"骨髄増殖プール")</f>
        <v>骨髄増殖プール</v>
      </c>
      <c r="I3307" s="1" t="str">
        <f>IFERROR(__xludf.DUMMYFUNCTION("GOOGLETRANSLATE(E3307,""EN"",""JA"")"),"骨髄増殖プール")</f>
        <v>骨髄増殖プール</v>
      </c>
      <c r="J3307" s="1" t="str">
        <f>IFERROR(__xludf.DUMMYFUNCTION("GOOGLETRANSLATE(F3307,""EN"",""JA"")"),"生物標本中の骨髄増殖期細胞（骨髄芽球、前骨髄球、骨髄球）の測定。")</f>
        <v>生物標本中の骨髄増殖期細胞（骨髄芽球、前骨髄球、骨髄球）の測定。</v>
      </c>
      <c r="K3307" s="1" t="str">
        <f>IFERROR(__xludf.DUMMYFUNCTION("GOOGLETRANSLATE(G3307,""EN"",""JA"")"),"骨髄増殖プール数")</f>
        <v>骨髄増殖プール数</v>
      </c>
    </row>
    <row r="3308" ht="13.5" customHeight="1">
      <c r="A3308" s="1" t="s">
        <v>134</v>
      </c>
      <c r="B3308" s="1" t="s">
        <v>16578</v>
      </c>
      <c r="C3308" s="1" t="s">
        <v>16579</v>
      </c>
      <c r="D3308" s="1" t="s">
        <v>16580</v>
      </c>
      <c r="E3308" s="1" t="s">
        <v>16581</v>
      </c>
      <c r="F3308" s="1" t="s">
        <v>16582</v>
      </c>
      <c r="G3308" s="1" t="s">
        <v>16583</v>
      </c>
      <c r="H3308" s="1" t="str">
        <f>IFERROR(__xludf.DUMMYFUNCTION("GOOGLETRANSLATE(D3308,""EN"",""JA"")"),"骨髄増殖")</f>
        <v>骨髄増殖</v>
      </c>
      <c r="I3308" s="1" t="str">
        <f>IFERROR(__xludf.DUMMYFUNCTION("GOOGLETRANSLATE(E3308,""EN"",""JA"")"),"骨髄細胞の増殖; 骨髄細胞の増殖")</f>
        <v>骨髄細胞の増殖; 骨髄細胞の増殖</v>
      </c>
      <c r="J3308" s="1" t="str">
        <f>IFERROR(__xludf.DUMMYFUNCTION("GOOGLETRANSLATE(F3308,""EN"",""JA"")"),"生物標本における骨髄系細胞増殖の評価。")</f>
        <v>生物標本における骨髄系細胞増殖の評価。</v>
      </c>
      <c r="K3308" s="1" t="str">
        <f>IFERROR(__xludf.DUMMYFUNCTION("GOOGLETRANSLATE(G3308,""EN"",""JA"")"),"骨髄増殖測定")</f>
        <v>骨髄増殖測定</v>
      </c>
    </row>
    <row r="3309" ht="13.5" customHeight="1">
      <c r="A3309" s="1" t="s">
        <v>67</v>
      </c>
      <c r="B3309" s="1" t="s">
        <v>16584</v>
      </c>
      <c r="C3309" s="1" t="s">
        <v>16585</v>
      </c>
      <c r="D3309" s="1" t="s">
        <v>16586</v>
      </c>
      <c r="E3309" s="1" t="s">
        <v>16586</v>
      </c>
      <c r="F3309" s="1" t="s">
        <v>16587</v>
      </c>
      <c r="G3309" s="1" t="s">
        <v>16588</v>
      </c>
      <c r="H3309" s="1" t="str">
        <f>IFERROR(__xludf.DUMMYFUNCTION("GOOGLETRANSLATE(D3309,""EN"",""JA"")"),"マイコバクテリア")</f>
        <v>マイコバクテリア</v>
      </c>
      <c r="I3309" s="1" t="str">
        <f>IFERROR(__xludf.DUMMYFUNCTION("GOOGLETRANSLATE(E3309,""EN"",""JA"")"),"マイコバクテリア")</f>
        <v>マイコバクテリア</v>
      </c>
      <c r="J3309" s="1" t="str">
        <f>IFERROR(__xludf.DUMMYFUNCTION("GOOGLETRANSLATE(F3309,""EN"",""JA"")"),"生物標本において、種レベルには割り当てられていないが、Mycobacterium 属レベルに割り当てられている生物の測定値。")</f>
        <v>生物標本において、種レベルには割り当てられていないが、Mycobacterium 属レベルに割り当てられている生物の測定値。</v>
      </c>
      <c r="K3309" s="1" t="str">
        <f>IFERROR(__xludf.DUMMYFUNCTION("GOOGLETRANSLATE(G3309,""EN"",""JA"")"),"結核菌測定")</f>
        <v>結核菌測定</v>
      </c>
    </row>
    <row r="3310" ht="13.5" customHeight="1">
      <c r="A3310" s="1" t="s">
        <v>67</v>
      </c>
      <c r="B3310" s="1" t="s">
        <v>16589</v>
      </c>
      <c r="C3310" s="1" t="s">
        <v>16590</v>
      </c>
      <c r="D3310" s="1" t="s">
        <v>16591</v>
      </c>
      <c r="E3310" s="1" t="s">
        <v>16591</v>
      </c>
      <c r="F3310" s="1" t="s">
        <v>16592</v>
      </c>
      <c r="G3310" s="1" t="s">
        <v>16593</v>
      </c>
      <c r="H3310" s="1" t="str">
        <f>IFERROR(__xludf.DUMMYFUNCTION("GOOGLETRANSLATE(D3310,""EN"",""JA"")"),"マイコプラズマ")</f>
        <v>マイコプラズマ</v>
      </c>
      <c r="I3310" s="1" t="str">
        <f>IFERROR(__xludf.DUMMYFUNCTION("GOOGLETRANSLATE(E3310,""EN"",""JA"")"),"マイコプラズマ")</f>
        <v>マイコプラズマ</v>
      </c>
      <c r="J3310" s="1" t="str">
        <f>IFERROR(__xludf.DUMMYFUNCTION("GOOGLETRANSLATE(F3310,""EN"",""JA"")"),"生物標本において、種レベルには割り当てられていないが、マイコプラズマ属レベルに割り当てられている生物の測定値。")</f>
        <v>生物標本において、種レベルには割り当てられていないが、マイコプラズマ属レベルに割り当てられている生物の測定値。</v>
      </c>
      <c r="K3310" s="1" t="str">
        <f>IFERROR(__xludf.DUMMYFUNCTION("GOOGLETRANSLATE(G3310,""EN"",""JA"")"),"マイコプラズマ測定")</f>
        <v>マイコプラズマ測定</v>
      </c>
    </row>
    <row r="3311" ht="13.5" customHeight="1">
      <c r="A3311" s="1" t="s">
        <v>11</v>
      </c>
      <c r="B3311" s="1" t="s">
        <v>16594</v>
      </c>
      <c r="C3311" s="1" t="s">
        <v>16595</v>
      </c>
      <c r="D3311" s="1" t="s">
        <v>16596</v>
      </c>
      <c r="E3311" s="1" t="s">
        <v>16596</v>
      </c>
      <c r="F3311" s="1" t="s">
        <v>16597</v>
      </c>
      <c r="G3311" s="1" t="s">
        <v>16598</v>
      </c>
      <c r="H3311" s="1" t="str">
        <f>IFERROR(__xludf.DUMMYFUNCTION("GOOGLETRANSLATE(D3311,""EN"",""JA"")"),"骨髄球")</f>
        <v>骨髄球</v>
      </c>
      <c r="I3311" s="1" t="str">
        <f>IFERROR(__xludf.DUMMYFUNCTION("GOOGLETRANSLATE(E3311,""EN"",""JA"")"),"骨髄球")</f>
        <v>骨髄球</v>
      </c>
      <c r="J3311" s="1" t="str">
        <f>IFERROR(__xludf.DUMMYFUNCTION("GOOGLETRANSLATE(F3311,""EN"",""JA"")"),"生物標本中の骨髄球の測定。")</f>
        <v>生物標本中の骨髄球の測定。</v>
      </c>
      <c r="K3311" s="1" t="str">
        <f>IFERROR(__xludf.DUMMYFUNCTION("GOOGLETRANSLATE(G3311,""EN"",""JA"")"),"骨髄球数")</f>
        <v>骨髄球数</v>
      </c>
    </row>
    <row r="3312" ht="13.5" customHeight="1">
      <c r="A3312" s="1" t="s">
        <v>134</v>
      </c>
      <c r="B3312" s="1" t="s">
        <v>16599</v>
      </c>
      <c r="C3312" s="1" t="s">
        <v>16600</v>
      </c>
      <c r="D3312" s="1" t="s">
        <v>16601</v>
      </c>
      <c r="E3312" s="1" t="s">
        <v>16601</v>
      </c>
      <c r="F3312" s="1" t="s">
        <v>16602</v>
      </c>
      <c r="G3312" s="1" t="s">
        <v>16603</v>
      </c>
      <c r="H3312" s="1" t="str">
        <f>IFERROR(__xludf.DUMMYFUNCTION("GOOGLETRANSLATE(D3312,""EN"",""JA"")"),"骨髄球/総細胞")</f>
        <v>骨髄球/総細胞</v>
      </c>
      <c r="I3312" s="1" t="str">
        <f>IFERROR(__xludf.DUMMYFUNCTION("GOOGLETRANSLATE(E3312,""EN"",""JA"")"),"骨髄球/総細胞")</f>
        <v>骨髄球/総細胞</v>
      </c>
      <c r="J3312" s="1" t="str">
        <f>IFERROR(__xludf.DUMMYFUNCTION("GOOGLETRANSLATE(F3312,""EN"",""JA"")"),"生物学的標本（骨髄標本など）内の骨髄球と総細胞の相対的な測定値（比率またはパーセンテージ）。")</f>
        <v>生物学的標本（骨髄標本など）内の骨髄球と総細胞の相対的な測定値（比率またはパーセンテージ）。</v>
      </c>
      <c r="K3312" s="1" t="str">
        <f>IFERROR(__xludf.DUMMYFUNCTION("GOOGLETRANSLATE(G3312,""EN"",""JA"")"),"骨髄球対総細胞比測定")</f>
        <v>骨髄球対総細胞比測定</v>
      </c>
    </row>
    <row r="3313" ht="13.5" customHeight="1">
      <c r="A3313" s="1" t="s">
        <v>11</v>
      </c>
      <c r="B3313" s="1" t="s">
        <v>16599</v>
      </c>
      <c r="C3313" s="1" t="s">
        <v>16600</v>
      </c>
      <c r="D3313" s="1" t="s">
        <v>16601</v>
      </c>
      <c r="E3313" s="1" t="s">
        <v>16601</v>
      </c>
      <c r="F3313" s="1" t="s">
        <v>16602</v>
      </c>
      <c r="G3313" s="1" t="s">
        <v>16603</v>
      </c>
      <c r="H3313" s="1" t="str">
        <f>IFERROR(__xludf.DUMMYFUNCTION("GOOGLETRANSLATE(D3313,""EN"",""JA"")"),"骨髄球/総細胞")</f>
        <v>骨髄球/総細胞</v>
      </c>
      <c r="I3313" s="1" t="str">
        <f>IFERROR(__xludf.DUMMYFUNCTION("GOOGLETRANSLATE(E3313,""EN"",""JA"")"),"骨髄球/総細胞")</f>
        <v>骨髄球/総細胞</v>
      </c>
      <c r="J3313" s="1" t="str">
        <f>IFERROR(__xludf.DUMMYFUNCTION("GOOGLETRANSLATE(F3313,""EN"",""JA"")"),"生物学的標本（骨髄標本など）内の骨髄球と総細胞の相対的な測定値（比率またはパーセンテージ）。")</f>
        <v>生物学的標本（骨髄標本など）内の骨髄球と総細胞の相対的な測定値（比率またはパーセンテージ）。</v>
      </c>
      <c r="K3313" s="1" t="str">
        <f>IFERROR(__xludf.DUMMYFUNCTION("GOOGLETRANSLATE(G3313,""EN"",""JA"")"),"骨髄球対総細胞比測定")</f>
        <v>骨髄球対総細胞比測定</v>
      </c>
    </row>
    <row r="3314" ht="13.5" customHeight="1">
      <c r="A3314" s="1" t="s">
        <v>11</v>
      </c>
      <c r="B3314" s="1" t="s">
        <v>16604</v>
      </c>
      <c r="C3314" s="1" t="s">
        <v>16605</v>
      </c>
      <c r="D3314" s="1" t="s">
        <v>16606</v>
      </c>
      <c r="E3314" s="1" t="s">
        <v>16606</v>
      </c>
      <c r="F3314" s="1" t="s">
        <v>16607</v>
      </c>
      <c r="G3314" s="1" t="s">
        <v>16608</v>
      </c>
      <c r="H3314" s="1" t="str">
        <f>IFERROR(__xludf.DUMMYFUNCTION("GOOGLETRANSLATE(D3314,""EN"",""JA"")"),"骨髄球/白血球")</f>
        <v>骨髄球/白血球</v>
      </c>
      <c r="I3314" s="1" t="str">
        <f>IFERROR(__xludf.DUMMYFUNCTION("GOOGLETRANSLATE(E3314,""EN"",""JA"")"),"骨髄球/白血球")</f>
        <v>骨髄球/白血球</v>
      </c>
      <c r="J3314" s="1" t="str">
        <f>IFERROR(__xludf.DUMMYFUNCTION("GOOGLETRANSLATE(F3314,""EN"",""JA"")"),"生物学的標本中の骨髄球と白血球の相対的な測定値（比率またはパーセンテージ）。")</f>
        <v>生物学的標本中の骨髄球と白血球の相対的な測定値（比率またはパーセンテージ）。</v>
      </c>
      <c r="K3314" s="1" t="str">
        <f>IFERROR(__xludf.DUMMYFUNCTION("GOOGLETRANSLATE(G3314,""EN"",""JA"")"),"骨髄球対白血球比")</f>
        <v>骨髄球対白血球比</v>
      </c>
    </row>
    <row r="3315" ht="13.5" customHeight="1">
      <c r="A3315" s="1" t="s">
        <v>90</v>
      </c>
      <c r="B3315" s="1" t="s">
        <v>16609</v>
      </c>
      <c r="C3315" s="1" t="s">
        <v>16610</v>
      </c>
      <c r="D3315" s="1" t="s">
        <v>16611</v>
      </c>
      <c r="E3315" s="1" t="s">
        <v>16612</v>
      </c>
      <c r="F3315" s="1" t="s">
        <v>16613</v>
      </c>
      <c r="G3315" s="1" t="s">
        <v>16611</v>
      </c>
      <c r="H3315" s="1" t="str">
        <f>IFERROR(__xludf.DUMMYFUNCTION("GOOGLETRANSLATE(D3315,""EN"",""JA"")"),"心筋細胞外容積")</f>
        <v>心筋細胞外容積</v>
      </c>
      <c r="I3315" s="1" t="str">
        <f>IFERROR(__xludf.DUMMYFUNCTION("GOOGLETRANSLATE(E3315,""EN"",""JA"")"),"MECV; 心筋細胞外容積")</f>
        <v>MECV; 心筋細胞外容積</v>
      </c>
      <c r="J3315" s="1" t="str">
        <f>IFERROR(__xludf.DUMMYFUNCTION("GOOGLETRANSLATE(F3315,""EN"",""JA"")"),"ネイティブ T1 マップと造影後 T1 マップ、および同時ヘマトクリット値から計算された、細胞外空間で構成される心筋組織の割合。")</f>
        <v>ネイティブ T1 マップと造影後 T1 マップ、および同時ヘマトクリット値から計算された、細胞外空間で構成される心筋組織の割合。</v>
      </c>
      <c r="K3315" s="1" t="str">
        <f>IFERROR(__xludf.DUMMYFUNCTION("GOOGLETRANSLATE(G3315,""EN"",""JA"")"),"心筋細胞外容積")</f>
        <v>心筋細胞外容積</v>
      </c>
    </row>
    <row r="3316" ht="13.5" customHeight="1">
      <c r="A3316" s="1" t="s">
        <v>134</v>
      </c>
      <c r="B3316" s="1" t="s">
        <v>16614</v>
      </c>
      <c r="C3316" s="1" t="s">
        <v>16615</v>
      </c>
      <c r="D3316" s="1" t="s">
        <v>16616</v>
      </c>
      <c r="E3316" s="1" t="s">
        <v>16616</v>
      </c>
      <c r="F3316" s="1" t="s">
        <v>16617</v>
      </c>
      <c r="G3316" s="1" t="s">
        <v>16618</v>
      </c>
      <c r="H3316" s="1" t="str">
        <f>IFERROR(__xludf.DUMMYFUNCTION("GOOGLETRANSLATE(D3316,""EN"",""JA"")"),"骨髄線維症")</f>
        <v>骨髄線維症</v>
      </c>
      <c r="I3316" s="1" t="str">
        <f>IFERROR(__xludf.DUMMYFUNCTION("GOOGLETRANSLATE(E3316,""EN"",""JA"")"),"骨髄線維症")</f>
        <v>骨髄線維症</v>
      </c>
      <c r="J3316" s="1" t="str">
        <f>IFERROR(__xludf.DUMMYFUNCTION("GOOGLETRANSLATE(F3316,""EN"",""JA"")"),"生物学的標本における骨髄線維症の評価。")</f>
        <v>生物学的標本における骨髄線維症の評価。</v>
      </c>
      <c r="K3316" s="1" t="str">
        <f>IFERROR(__xludf.DUMMYFUNCTION("GOOGLETRANSLATE(G3316,""EN"",""JA"")"),"骨髄線維症の評価")</f>
        <v>骨髄線維症の評価</v>
      </c>
    </row>
    <row r="3317" ht="13.5" customHeight="1">
      <c r="A3317" s="1" t="s">
        <v>11</v>
      </c>
      <c r="B3317" s="1" t="s">
        <v>16619</v>
      </c>
      <c r="C3317" s="1" t="s">
        <v>16620</v>
      </c>
      <c r="D3317" s="1" t="s">
        <v>16621</v>
      </c>
      <c r="E3317" s="1" t="s">
        <v>16622</v>
      </c>
      <c r="F3317" s="1" t="s">
        <v>16623</v>
      </c>
      <c r="G3317" s="1" t="s">
        <v>16624</v>
      </c>
      <c r="H3317" s="1" t="str">
        <f>IFERROR(__xludf.DUMMYFUNCTION("GOOGLETRANSLATE(D3317,""EN"",""JA"")"),"ミオシン軽鎖3")</f>
        <v>ミオシン軽鎖3</v>
      </c>
      <c r="I3317" s="1" t="str">
        <f>IFERROR(__xludf.DUMMYFUNCTION("GOOGLETRANSLATE(E3317,""EN"",""JA"")"),"心筋ミオシン軽鎖1；ミオシン軽鎖1、遅筋B/心室アイソフォーム；ミオシン軽鎖3")</f>
        <v>心筋ミオシン軽鎖1；ミオシン軽鎖1、遅筋B/心室アイソフォーム；ミオシン軽鎖3</v>
      </c>
      <c r="J3317" s="1" t="str">
        <f>IFERROR(__xludf.DUMMYFUNCTION("GOOGLETRANSLATE(F3317,""EN"",""JA"")"),"生物標本中のミオシン軽鎖 3 の測定。")</f>
        <v>生物標本中のミオシン軽鎖 3 の測定。</v>
      </c>
      <c r="K3317" s="1" t="str">
        <f>IFERROR(__xludf.DUMMYFUNCTION("GOOGLETRANSLATE(G3317,""EN"",""JA"")"),"ミオシン軽鎖3の測定")</f>
        <v>ミオシン軽鎖3の測定</v>
      </c>
    </row>
    <row r="3318" ht="13.5" customHeight="1">
      <c r="A3318" s="1" t="s">
        <v>1034</v>
      </c>
      <c r="B3318" s="1" t="s">
        <v>16625</v>
      </c>
      <c r="C3318" s="1" t="s">
        <v>16626</v>
      </c>
      <c r="D3318" s="1" t="s">
        <v>16627</v>
      </c>
      <c r="E3318" s="1" t="s">
        <v>16628</v>
      </c>
      <c r="F3318" s="1" t="s">
        <v>16629</v>
      </c>
      <c r="G3318" s="1" t="s">
        <v>16630</v>
      </c>
      <c r="H3318" s="1" t="str">
        <f>IFERROR(__xludf.DUMMYFUNCTION("GOOGLETRANSLATE(D3318,""EN"",""JA"")"),"ファントムボリュームのミオグロビンピーク基準値")</f>
        <v>ファントムボリュームのミオグロビンピーク基準値</v>
      </c>
      <c r="I3318" s="1" t="str">
        <f>IFERROR(__xludf.DUMMYFUNCTION("GOOGLETRANSLATE(E3318,""EN"",""JA"")"),"ファントムボリュームのミオグロビンピーク正規化; ファントムボリュームのミオグロビンピーク正規化")</f>
        <v>ファントムボリュームのミオグロビンピーク正規化; ファントムボリュームのミオグロビンピーク正規化</v>
      </c>
      <c r="J3318" s="1" t="str">
        <f>IFERROR(__xludf.DUMMYFUNCTION("GOOGLETRANSLATE(F3318,""EN"",""JA"")"),"生物標本における、ファントムボリュームをイメージングするために正規化されたピークミオグロビンの測定値。")</f>
        <v>生物標本における、ファントムボリュームをイメージングするために正規化されたピークミオグロビンの測定値。</v>
      </c>
      <c r="K3318" s="1" t="str">
        <f>IFERROR(__xludf.DUMMYFUNCTION("GOOGLETRANSLATE(G3318,""EN"",""JA"")"),"ファントムボリューム測定用に正規化されたミオグロビンピーク")</f>
        <v>ファントムボリューム測定用に正規化されたミオグロビンピーク</v>
      </c>
    </row>
    <row r="3319" ht="13.5" customHeight="1">
      <c r="A3319" s="1" t="s">
        <v>1034</v>
      </c>
      <c r="B3319" s="1" t="s">
        <v>16631</v>
      </c>
      <c r="C3319" s="1" t="s">
        <v>16632</v>
      </c>
      <c r="D3319" s="1" t="s">
        <v>16633</v>
      </c>
      <c r="E3319" s="1" t="s">
        <v>16634</v>
      </c>
      <c r="F3319" s="1" t="s">
        <v>16635</v>
      </c>
      <c r="G3319" s="1" t="s">
        <v>16636</v>
      </c>
      <c r="H3319" s="1" t="str">
        <f>IFERROR(__xludf.DUMMYFUNCTION("GOOGLETRANSLATE(D3319,""EN"",""JA"")"),"組織重量のミオグロビンピーク基準値")</f>
        <v>組織重量のミオグロビンピーク基準値</v>
      </c>
      <c r="I3319" s="1" t="str">
        <f>IFERROR(__xludf.DUMMYFUNCTION("GOOGLETRANSLATE(E3319,""EN"",""JA"")"),"組織重量に対するミオグロビンピークの正規化；組織重量に対して正規化されたミオグロビンピーク")</f>
        <v>組織重量に対するミオグロビンピークの正規化；組織重量に対して正規化されたミオグロビンピーク</v>
      </c>
      <c r="J3319" s="1" t="str">
        <f>IFERROR(__xludf.DUMMYFUNCTION("GOOGLETRANSLATE(F3319,""EN"",""JA"")"),"生物標本における、組織重量に対して正規化されたピークミオグロビンの測定値。")</f>
        <v>生物標本における、組織重量に対して正規化されたピークミオグロビンの測定値。</v>
      </c>
      <c r="K3319" s="1" t="str">
        <f>IFERROR(__xludf.DUMMYFUNCTION("GOOGLETRANSLATE(G3319,""EN"",""JA"")"),"組織重量測定用に正規化されたミオグロビンピーク")</f>
        <v>組織重量測定用に正規化されたミオグロビンピーク</v>
      </c>
    </row>
    <row r="3320" ht="13.5" customHeight="1">
      <c r="A3320" s="1" t="s">
        <v>1034</v>
      </c>
      <c r="B3320" s="1" t="s">
        <v>16637</v>
      </c>
      <c r="C3320" s="1" t="s">
        <v>16638</v>
      </c>
      <c r="D3320" s="1" t="s">
        <v>16639</v>
      </c>
      <c r="E3320" s="1" t="s">
        <v>16640</v>
      </c>
      <c r="F3320" s="1" t="s">
        <v>16641</v>
      </c>
      <c r="G3320" s="1" t="s">
        <v>16642</v>
      </c>
      <c r="H3320" s="1" t="str">
        <f>IFERROR(__xludf.DUMMYFUNCTION("GOOGLETRANSLATE(D3320,""EN"",""JA"")"),"組織水分量のミオグロビンピーク基準値")</f>
        <v>組織水分量のミオグロビンピーク基準値</v>
      </c>
      <c r="I3320" s="1" t="str">
        <f>IFERROR(__xludf.DUMMYFUNCTION("GOOGLETRANSLATE(E3320,""EN"",""JA"")"),"組織水分量に対するミオグロビンピークの正規化；組織水分量に対して正規化されたミオグロビンピーク")</f>
        <v>組織水分量に対するミオグロビンピークの正規化；組織水分量に対して正規化されたミオグロビンピーク</v>
      </c>
      <c r="J3320" s="1" t="str">
        <f>IFERROR(__xludf.DUMMYFUNCTION("GOOGLETRANSLATE(F3320,""EN"",""JA"")"),"生物標本中の組織水分量に対して正規化されたピークミオグロビンの測定値。")</f>
        <v>生物標本中の組織水分量に対して正規化されたピークミオグロビンの測定値。</v>
      </c>
      <c r="K3320" s="1" t="str">
        <f>IFERROR(__xludf.DUMMYFUNCTION("GOOGLETRANSLATE(G3320,""EN"",""JA"")"),"組織水分量測定用に正規化されたミオグロビンピーク")</f>
        <v>組織水分量測定用に正規化されたミオグロビンピーク</v>
      </c>
    </row>
    <row r="3321" ht="13.5" customHeight="1">
      <c r="A3321" s="1" t="s">
        <v>11</v>
      </c>
      <c r="B3321" s="1" t="s">
        <v>16643</v>
      </c>
      <c r="C3321" s="1" t="s">
        <v>16644</v>
      </c>
      <c r="D3321" s="1" t="s">
        <v>16645</v>
      </c>
      <c r="E3321" s="1" t="s">
        <v>16645</v>
      </c>
      <c r="F3321" s="1" t="s">
        <v>16646</v>
      </c>
      <c r="G3321" s="1" t="s">
        <v>16647</v>
      </c>
      <c r="H3321" s="1" t="str">
        <f>IFERROR(__xludf.DUMMYFUNCTION("GOOGLETRANSLATE(D3321,""EN"",""JA"")"),"骨髄前駆細胞")</f>
        <v>骨髄前駆細胞</v>
      </c>
      <c r="I3321" s="1" t="str">
        <f>IFERROR(__xludf.DUMMYFUNCTION("GOOGLETRANSLATE(E3321,""EN"",""JA"")"),"骨髄前駆細胞")</f>
        <v>骨髄前駆細胞</v>
      </c>
      <c r="J3321" s="1" t="str">
        <f>IFERROR(__xludf.DUMMYFUNCTION("GOOGLETRANSLATE(F3321,""EN"",""JA"")"),"生物標本中の骨髄前駆細胞の測定。")</f>
        <v>生物標本中の骨髄前駆細胞の測定。</v>
      </c>
      <c r="K3321" s="1" t="str">
        <f>IFERROR(__xludf.DUMMYFUNCTION("GOOGLETRANSLATE(G3321,""EN"",""JA"")"),"骨髄前駆細胞数")</f>
        <v>骨髄前駆細胞数</v>
      </c>
    </row>
    <row r="3322" ht="13.5" customHeight="1">
      <c r="A3322" s="1" t="s">
        <v>11</v>
      </c>
      <c r="B3322" s="1" t="s">
        <v>16648</v>
      </c>
      <c r="C3322" s="1" t="s">
        <v>16649</v>
      </c>
      <c r="D3322" s="1" t="s">
        <v>16650</v>
      </c>
      <c r="E3322" s="1" t="s">
        <v>16650</v>
      </c>
      <c r="F3322" s="1" t="s">
        <v>16651</v>
      </c>
      <c r="G3322" s="1" t="s">
        <v>16652</v>
      </c>
      <c r="H3322" s="1" t="str">
        <f>IFERROR(__xludf.DUMMYFUNCTION("GOOGLETRANSLATE(D3322,""EN"",""JA"")"),"骨髄前駆細胞/総細胞")</f>
        <v>骨髄前駆細胞/総細胞</v>
      </c>
      <c r="I3322" s="1" t="str">
        <f>IFERROR(__xludf.DUMMYFUNCTION("GOOGLETRANSLATE(E3322,""EN"",""JA"")"),"骨髄前駆細胞/総細胞")</f>
        <v>骨髄前駆細胞/総細胞</v>
      </c>
      <c r="J3322" s="1" t="str">
        <f>IFERROR(__xludf.DUMMYFUNCTION("GOOGLETRANSLATE(F3322,""EN"",""JA"")"),"生物標本中の全細胞に対する骨髄前駆細胞の相対的な測定値（比率またはパーセンテージ）。")</f>
        <v>生物標本中の全細胞に対する骨髄前駆細胞の相対的な測定値（比率またはパーセンテージ）。</v>
      </c>
      <c r="K3322" s="1" t="str">
        <f>IFERROR(__xludf.DUMMYFUNCTION("GOOGLETRANSLATE(G3322,""EN"",""JA"")"),"骨髄前駆細胞と全細胞比の測定")</f>
        <v>骨髄前駆細胞と全細胞比の測定</v>
      </c>
    </row>
    <row r="3323" ht="13.5" customHeight="1">
      <c r="A3323" s="1" t="s">
        <v>11</v>
      </c>
      <c r="B3323" s="1" t="s">
        <v>16653</v>
      </c>
      <c r="C3323" s="1" t="s">
        <v>16654</v>
      </c>
      <c r="D3323" s="1" t="s">
        <v>16655</v>
      </c>
      <c r="E3323" s="1" t="s">
        <v>16655</v>
      </c>
      <c r="F3323" s="1" t="s">
        <v>16656</v>
      </c>
      <c r="G3323" s="1" t="s">
        <v>16657</v>
      </c>
      <c r="H3323" s="1" t="str">
        <f>IFERROR(__xludf.DUMMYFUNCTION("GOOGLETRANSLATE(D3323,""EN"",""JA"")"),"骨髄/赤血球比")</f>
        <v>骨髄/赤血球比</v>
      </c>
      <c r="I3323" s="1" t="str">
        <f>IFERROR(__xludf.DUMMYFUNCTION("GOOGLETRANSLATE(E3323,""EN"",""JA"")"),"骨髄/赤血球比")</f>
        <v>骨髄/赤血球比</v>
      </c>
      <c r="J3323" s="1" t="str">
        <f>IFERROR(__xludf.DUMMYFUNCTION("GOOGLETRANSLATE(F3323,""EN"",""JA"")"),"生物標本中の骨髄前駆細胞と赤血球前駆細胞の相対的な測定値。")</f>
        <v>生物標本中の骨髄前駆細胞と赤血球前駆細胞の相対的な測定値。</v>
      </c>
      <c r="K3323" s="1" t="str">
        <f>IFERROR(__xludf.DUMMYFUNCTION("GOOGLETRANSLATE(G3323,""EN"",""JA"")"),"骨髄球系・赤血球系比測定")</f>
        <v>骨髄球系・赤血球系比測定</v>
      </c>
    </row>
    <row r="3324" ht="13.5" customHeight="1">
      <c r="A3324" s="1" t="s">
        <v>67</v>
      </c>
      <c r="B3324" s="1" t="s">
        <v>16658</v>
      </c>
      <c r="C3324" s="1" t="s">
        <v>16659</v>
      </c>
      <c r="D3324" s="1" t="s">
        <v>16660</v>
      </c>
      <c r="E3324" s="1" t="s">
        <v>16661</v>
      </c>
      <c r="F3324" s="1" t="s">
        <v>16662</v>
      </c>
      <c r="G3324" s="1" t="s">
        <v>16663</v>
      </c>
      <c r="H3324" s="1" t="str">
        <f>IFERROR(__xludf.DUMMYFUNCTION("GOOGLETRANSLATE(D3324,""EN"",""JA"")"),"結核菌IFNガンマ応答")</f>
        <v>結核菌IFNガンマ応答</v>
      </c>
      <c r="I3324" s="1" t="str">
        <f>IFERROR(__xludf.DUMMYFUNCTION("GOOGLETRANSLATE(E3324,""EN"",""JA"")"),"M. tuberculosis IFNγ応答; Mycobacterium tuberculosis IFNγ応答")</f>
        <v>M. tuberculosis IFNγ応答; Mycobacterium tuberculosis IFNγ応答</v>
      </c>
      <c r="J3324" s="1" t="str">
        <f>IFERROR(__xludf.DUMMYFUNCTION("GOOGLETRANSLATE(F3324,""EN"",""JA"")"),"結核菌抗原を生物学的検体（通常は血液）と培養した際に放出されるインターフェロンガンマの量を測定する検査です。インターフェロンガンマの増加は、過去または現在における結核菌感染を示唆します。")</f>
        <v>結核菌抗原を生物学的検体（通常は血液）と培養した際に放出されるインターフェロンガンマの量を測定する検査です。インターフェロンガンマの増加は、過去または現在における結核菌感染を示唆します。</v>
      </c>
      <c r="K3324" s="1" t="str">
        <f>IFERROR(__xludf.DUMMYFUNCTION("GOOGLETRANSLATE(G3324,""EN"",""JA"")"),"結核菌インターフェロンγ応答測定")</f>
        <v>結核菌インターフェロンγ応答測定</v>
      </c>
    </row>
    <row r="3325" ht="13.5" customHeight="1">
      <c r="A3325" s="1" t="s">
        <v>67</v>
      </c>
      <c r="B3325" s="1" t="s">
        <v>16664</v>
      </c>
      <c r="C3325" s="1" t="s">
        <v>16665</v>
      </c>
      <c r="D3325" s="1" t="s">
        <v>16666</v>
      </c>
      <c r="E3325" s="1" t="s">
        <v>16666</v>
      </c>
      <c r="F3325" s="1" t="s">
        <v>16667</v>
      </c>
      <c r="G3325" s="1" t="s">
        <v>16668</v>
      </c>
      <c r="H3325" s="1" t="str">
        <f>IFERROR(__xludf.DUMMYFUNCTION("GOOGLETRANSLATE(D3325,""EN"",""JA"")"),"結核菌核酸")</f>
        <v>結核菌核酸</v>
      </c>
      <c r="I3325" s="1" t="str">
        <f>IFERROR(__xludf.DUMMYFUNCTION("GOOGLETRANSLATE(E3325,""EN"",""JA"")"),"結核菌核酸")</f>
        <v>結核菌核酸</v>
      </c>
      <c r="J3325" s="1" t="str">
        <f>IFERROR(__xludf.DUMMYFUNCTION("GOOGLETRANSLATE(F3325,""EN"",""JA"")"),"生物標本中の結核菌の核酸の測定。")</f>
        <v>生物標本中の結核菌の核酸の測定。</v>
      </c>
      <c r="K3325" s="1" t="str">
        <f>IFERROR(__xludf.DUMMYFUNCTION("GOOGLETRANSLATE(G3325,""EN"",""JA"")"),"結核菌の核酸測定")</f>
        <v>結核菌の核酸測定</v>
      </c>
    </row>
    <row r="3326" ht="13.5" customHeight="1">
      <c r="A3326" s="1" t="s">
        <v>176</v>
      </c>
      <c r="B3326" s="1" t="s">
        <v>16669</v>
      </c>
      <c r="C3326" s="1" t="s">
        <v>16670</v>
      </c>
      <c r="D3326" s="1" t="s">
        <v>16671</v>
      </c>
      <c r="E3326" s="1" t="s">
        <v>16671</v>
      </c>
      <c r="F3326" s="1" t="s">
        <v>16672</v>
      </c>
      <c r="G3326" s="1" t="s">
        <v>16671</v>
      </c>
      <c r="H3326" s="1" t="str">
        <f>IFERROR(__xludf.DUMMYFUNCTION("GOOGLETRANSLATE(D3326,""EN"",""JA"")"),"N145 レイテンシー")</f>
        <v>N145 レイテンシー</v>
      </c>
      <c r="I3326" s="1" t="str">
        <f>IFERROR(__xludf.DUMMYFUNCTION("GOOGLETRANSLATE(E3326,""EN"",""JA"")"),"N145 レイテンシー")</f>
        <v>N145 レイテンシー</v>
      </c>
      <c r="J3326" s="1" t="str">
        <f>IFERROR(__xludf.DUMMYFUNCTION("GOOGLETRANSLATE(F3326,""EN"",""JA"")"),"視覚誘発電位評価波形の N145 波または N2 波の潜時の評価。")</f>
        <v>視覚誘発電位評価波形の N145 波または N2 波の潜時の評価。</v>
      </c>
      <c r="K3326" s="1" t="str">
        <f>IFERROR(__xludf.DUMMYFUNCTION("GOOGLETRANSLATE(G3326,""EN"",""JA"")"),"N145 レイテンシー")</f>
        <v>N145 レイテンシー</v>
      </c>
    </row>
    <row r="3327" ht="13.5" customHeight="1">
      <c r="A3327" s="1" t="s">
        <v>176</v>
      </c>
      <c r="B3327" s="1" t="s">
        <v>16673</v>
      </c>
      <c r="C3327" s="1" t="s">
        <v>16674</v>
      </c>
      <c r="D3327" s="1" t="s">
        <v>16675</v>
      </c>
      <c r="E3327" s="1" t="s">
        <v>16676</v>
      </c>
      <c r="F3327" s="1" t="s">
        <v>16677</v>
      </c>
      <c r="G3327" s="1" t="s">
        <v>16678</v>
      </c>
      <c r="H3327" s="1" t="str">
        <f>IFERROR(__xludf.DUMMYFUNCTION("GOOGLETRANSLATE(D3327,""EN"",""JA"")"),"N1 睡眠時間")</f>
        <v>N1 睡眠時間</v>
      </c>
      <c r="I3327" s="1" t="str">
        <f>IFERROR(__xludf.DUMMYFUNCTION("GOOGLETRANSLATE(E3327,""EN"",""JA"")"),"N1睡眠時間; ステージ1睡眠時間")</f>
        <v>N1睡眠時間; ステージ1睡眠時間</v>
      </c>
      <c r="J3327" s="1" t="str">
        <f>IFERROR(__xludf.DUMMYFUNCTION("GOOGLETRANSLATE(F3327,""EN"",""JA"")"),"N1睡眠の時間の長さ。")</f>
        <v>N1睡眠の時間の長さ。</v>
      </c>
      <c r="K3327" s="1" t="str">
        <f>IFERROR(__xludf.DUMMYFUNCTION("GOOGLETRANSLATE(G3327,""EN"",""JA"")"),"N1睡眠相の持続時間")</f>
        <v>N1睡眠相の持続時間</v>
      </c>
    </row>
    <row r="3328" ht="13.5" customHeight="1">
      <c r="A3328" s="1" t="s">
        <v>176</v>
      </c>
      <c r="B3328" s="1" t="s">
        <v>16679</v>
      </c>
      <c r="C3328" s="1" t="s">
        <v>16680</v>
      </c>
      <c r="D3328" s="1" t="s">
        <v>16681</v>
      </c>
      <c r="E3328" s="1" t="s">
        <v>16681</v>
      </c>
      <c r="F3328" s="1" t="s">
        <v>16682</v>
      </c>
      <c r="G3328" s="1" t="s">
        <v>16683</v>
      </c>
      <c r="H3328" s="1" t="str">
        <f>IFERROR(__xludf.DUMMYFUNCTION("GOOGLETRANSLATE(D3328,""EN"",""JA"")"),"N1睡眠/総睡眠時間")</f>
        <v>N1睡眠/総睡眠時間</v>
      </c>
      <c r="I3328" s="1" t="str">
        <f>IFERROR(__xludf.DUMMYFUNCTION("GOOGLETRANSLATE(E3328,""EN"",""JA"")"),"N1睡眠/総睡眠時間")</f>
        <v>N1睡眠/総睡眠時間</v>
      </c>
      <c r="J3328" s="1" t="str">
        <f>IFERROR(__xludf.DUMMYFUNCTION("GOOGLETRANSLATE(F3328,""EN"",""JA"")"),"総睡眠時間に対する N1 睡眠時間の相対的な測定値 (パーセンテージ)。")</f>
        <v>総睡眠時間に対する N1 睡眠時間の相対的な測定値 (パーセンテージ)。</v>
      </c>
      <c r="K3328" s="1" t="str">
        <f>IFERROR(__xludf.DUMMYFUNCTION("GOOGLETRANSLATE(G3328,""EN"",""JA"")"),"N1睡眠時間と総睡眠時間の比率測定")</f>
        <v>N1睡眠時間と総睡眠時間の比率測定</v>
      </c>
    </row>
    <row r="3329" ht="13.5" customHeight="1">
      <c r="A3329" s="1" t="s">
        <v>176</v>
      </c>
      <c r="B3329" s="1" t="s">
        <v>16684</v>
      </c>
      <c r="C3329" s="1" t="s">
        <v>16685</v>
      </c>
      <c r="D3329" s="1" t="s">
        <v>16686</v>
      </c>
      <c r="E3329" s="1" t="s">
        <v>16687</v>
      </c>
      <c r="F3329" s="1" t="s">
        <v>16688</v>
      </c>
      <c r="G3329" s="1" t="s">
        <v>16689</v>
      </c>
      <c r="H3329" s="1" t="str">
        <f>IFERROR(__xludf.DUMMYFUNCTION("GOOGLETRANSLATE(D3329,""EN"",""JA"")"),"N2睡眠時間")</f>
        <v>N2睡眠時間</v>
      </c>
      <c r="I3329" s="1" t="str">
        <f>IFERROR(__xludf.DUMMYFUNCTION("GOOGLETRANSLATE(E3329,""EN"",""JA"")"),"N2睡眠時間; ステージ2睡眠時間")</f>
        <v>N2睡眠時間; ステージ2睡眠時間</v>
      </c>
      <c r="J3329" s="1" t="str">
        <f>IFERROR(__xludf.DUMMYFUNCTION("GOOGLETRANSLATE(F3329,""EN"",""JA"")"),"N2睡眠の時間の長さ。")</f>
        <v>N2睡眠の時間の長さ。</v>
      </c>
      <c r="K3329" s="1" t="str">
        <f>IFERROR(__xludf.DUMMYFUNCTION("GOOGLETRANSLATE(G3329,""EN"",""JA"")"),"N2睡眠相の持続時間")</f>
        <v>N2睡眠相の持続時間</v>
      </c>
    </row>
    <row r="3330" ht="13.5" customHeight="1">
      <c r="A3330" s="1" t="s">
        <v>176</v>
      </c>
      <c r="B3330" s="1" t="s">
        <v>16690</v>
      </c>
      <c r="C3330" s="1" t="s">
        <v>16691</v>
      </c>
      <c r="D3330" s="1" t="s">
        <v>16692</v>
      </c>
      <c r="E3330" s="1" t="s">
        <v>16692</v>
      </c>
      <c r="F3330" s="1" t="s">
        <v>16693</v>
      </c>
      <c r="G3330" s="1" t="s">
        <v>16694</v>
      </c>
      <c r="H3330" s="1" t="str">
        <f>IFERROR(__xludf.DUMMYFUNCTION("GOOGLETRANSLATE(D3330,""EN"",""JA"")"),"N2睡眠/総睡眠時間")</f>
        <v>N2睡眠/総睡眠時間</v>
      </c>
      <c r="I3330" s="1" t="str">
        <f>IFERROR(__xludf.DUMMYFUNCTION("GOOGLETRANSLATE(E3330,""EN"",""JA"")"),"N2睡眠/総睡眠時間")</f>
        <v>N2睡眠/総睡眠時間</v>
      </c>
      <c r="J3330" s="1" t="str">
        <f>IFERROR(__xludf.DUMMYFUNCTION("GOOGLETRANSLATE(F3330,""EN"",""JA"")"),"総睡眠時間に対する N2 睡眠時間の相対的な測定値 (パーセンテージ)。")</f>
        <v>総睡眠時間に対する N2 睡眠時間の相対的な測定値 (パーセンテージ)。</v>
      </c>
      <c r="K3330" s="1" t="str">
        <f>IFERROR(__xludf.DUMMYFUNCTION("GOOGLETRANSLATE(G3330,""EN"",""JA"")"),"N2睡眠と総睡眠時間の比率測定")</f>
        <v>N2睡眠と総睡眠時間の比率測定</v>
      </c>
    </row>
    <row r="3331" ht="13.5" customHeight="1">
      <c r="A3331" s="1" t="s">
        <v>176</v>
      </c>
      <c r="B3331" s="1" t="s">
        <v>16695</v>
      </c>
      <c r="C3331" s="1" t="s">
        <v>16696</v>
      </c>
      <c r="D3331" s="1" t="s">
        <v>16697</v>
      </c>
      <c r="E3331" s="1" t="s">
        <v>16698</v>
      </c>
      <c r="F3331" s="1" t="s">
        <v>16699</v>
      </c>
      <c r="G3331" s="1" t="s">
        <v>16700</v>
      </c>
      <c r="H3331" s="1" t="str">
        <f>IFERROR(__xludf.DUMMYFUNCTION("GOOGLETRANSLATE(D3331,""EN"",""JA"")"),"N3 睡眠時間")</f>
        <v>N3 睡眠時間</v>
      </c>
      <c r="I3331" s="1" t="str">
        <f>IFERROR(__xludf.DUMMYFUNCTION("GOOGLETRANSLATE(E3331,""EN"",""JA"")"),"N3睡眠時間; ステージ3睡眠時間")</f>
        <v>N3睡眠時間; ステージ3睡眠時間</v>
      </c>
      <c r="J3331" s="1" t="str">
        <f>IFERROR(__xludf.DUMMYFUNCTION("GOOGLETRANSLATE(F3331,""EN"",""JA"")"),"N3睡眠の時間の長さ。")</f>
        <v>N3睡眠の時間の長さ。</v>
      </c>
      <c r="K3331" s="1" t="str">
        <f>IFERROR(__xludf.DUMMYFUNCTION("GOOGLETRANSLATE(G3331,""EN"",""JA"")"),"N3睡眠相の持続時間")</f>
        <v>N3睡眠相の持続時間</v>
      </c>
    </row>
    <row r="3332" ht="13.5" customHeight="1">
      <c r="A3332" s="1" t="s">
        <v>176</v>
      </c>
      <c r="B3332" s="1" t="s">
        <v>16701</v>
      </c>
      <c r="C3332" s="1" t="s">
        <v>16702</v>
      </c>
      <c r="D3332" s="1" t="s">
        <v>16703</v>
      </c>
      <c r="E3332" s="1" t="s">
        <v>16703</v>
      </c>
      <c r="F3332" s="1" t="s">
        <v>16704</v>
      </c>
      <c r="G3332" s="1" t="s">
        <v>16705</v>
      </c>
      <c r="H3332" s="1" t="str">
        <f>IFERROR(__xludf.DUMMYFUNCTION("GOOGLETRANSLATE(D3332,""EN"",""JA"")"),"N3 睡眠/総睡眠時間")</f>
        <v>N3 睡眠/総睡眠時間</v>
      </c>
      <c r="I3332" s="1" t="str">
        <f>IFERROR(__xludf.DUMMYFUNCTION("GOOGLETRANSLATE(E3332,""EN"",""JA"")"),"N3 睡眠/総睡眠時間")</f>
        <v>N3 睡眠/総睡眠時間</v>
      </c>
      <c r="J3332" s="1" t="str">
        <f>IFERROR(__xludf.DUMMYFUNCTION("GOOGLETRANSLATE(F3332,""EN"",""JA"")"),"総睡眠時間に対する N3 睡眠時間の相対的な測定値 (パーセンテージ)。")</f>
        <v>総睡眠時間に対する N3 睡眠時間の相対的な測定値 (パーセンテージ)。</v>
      </c>
      <c r="K3332" s="1" t="str">
        <f>IFERROR(__xludf.DUMMYFUNCTION("GOOGLETRANSLATE(G3332,""EN"",""JA"")"),"N3 睡眠時間と総睡眠時間の比率測定")</f>
        <v>N3 睡眠時間と総睡眠時間の比率測定</v>
      </c>
    </row>
    <row r="3333" ht="13.5" customHeight="1">
      <c r="A3333" s="1" t="s">
        <v>67</v>
      </c>
      <c r="B3333" s="1" t="s">
        <v>16706</v>
      </c>
      <c r="C3333" s="1" t="s">
        <v>16707</v>
      </c>
      <c r="D3333" s="1" t="s">
        <v>16708</v>
      </c>
      <c r="E3333" s="1" t="s">
        <v>16709</v>
      </c>
      <c r="F3333" s="1" t="s">
        <v>16710</v>
      </c>
      <c r="G3333" s="1" t="s">
        <v>16711</v>
      </c>
      <c r="H3333" s="1" t="str">
        <f>IFERROR(__xludf.DUMMYFUNCTION("GOOGLETRANSLATE(D3333,""EN"",""JA"")"),"HCoV-NL63/HCoV-HKU1 RNA")</f>
        <v>HCoV-NL63/HCoV-HKU1 RNA</v>
      </c>
      <c r="I3333" s="1" t="str">
        <f>IFERROR(__xludf.DUMMYFUNCTION("GOOGLETRANSLATE(E3333,""EN"",""JA"")"),"HCoV-NL63/HCoV-HKU1 RNA; ヒトコロナウイルスNL63/ヒトコロナウイルスHKU1 RNA")</f>
        <v>HCoV-NL63/HCoV-HKU1 RNA; ヒトコロナウイルスNL63/ヒトコロナウイルスHKU1 RNA</v>
      </c>
      <c r="J3333" s="1" t="str">
        <f>IFERROR(__xludf.DUMMYFUNCTION("GOOGLETRANSLATE(F3333,""EN"",""JA"")"),"生物学的標本中のヒトコロナウイルス NL63 および/またはヒトコロナウイルス HKU1 RNA の測定。")</f>
        <v>生物学的標本中のヒトコロナウイルス NL63 および/またはヒトコロナウイルス HKU1 RNA の測定。</v>
      </c>
      <c r="K3333" s="1" t="str">
        <f>IFERROR(__xludf.DUMMYFUNCTION("GOOGLETRANSLATE(G3333,""EN"",""JA"")"),"ヒトコロナウイルスNL63および/またはヒトコロナウイルスHKU1 RNA測定")</f>
        <v>ヒトコロナウイルスNL63および/またはヒトコロナウイルスHKU1 RNA測定</v>
      </c>
    </row>
    <row r="3334" ht="13.5" customHeight="1">
      <c r="A3334" s="1" t="s">
        <v>176</v>
      </c>
      <c r="B3334" s="1" t="s">
        <v>16712</v>
      </c>
      <c r="C3334" s="1" t="s">
        <v>16713</v>
      </c>
      <c r="D3334" s="1" t="s">
        <v>16714</v>
      </c>
      <c r="E3334" s="1" t="s">
        <v>16715</v>
      </c>
      <c r="F3334" s="1" t="s">
        <v>16716</v>
      </c>
      <c r="G3334" s="1" t="s">
        <v>16714</v>
      </c>
      <c r="H3334" s="1" t="str">
        <f>IFERROR(__xludf.DUMMYFUNCTION("GOOGLETRANSLATE(D3334,""EN"",""JA"")"),"N75 レイテンシー")</f>
        <v>N75 レイテンシー</v>
      </c>
      <c r="I3334" s="1" t="str">
        <f>IFERROR(__xludf.DUMMYFUNCTION("GOOGLETRANSLATE(E3334,""EN"",""JA"")"),"N1レイテンシ; N75レイテンシ")</f>
        <v>N1レイテンシ; N75レイテンシ</v>
      </c>
      <c r="J3334" s="1" t="str">
        <f>IFERROR(__xludf.DUMMYFUNCTION("GOOGLETRANSLATE(F3334,""EN"",""JA"")"),"視覚誘発電位評価波形の N75 波または N1 波の潜時の評価。")</f>
        <v>視覚誘発電位評価波形の N75 波または N1 波の潜時の評価。</v>
      </c>
      <c r="K3334" s="1" t="str">
        <f>IFERROR(__xludf.DUMMYFUNCTION("GOOGLETRANSLATE(G3334,""EN"",""JA"")"),"N75 レイテンシー")</f>
        <v>N75 レイテンシー</v>
      </c>
    </row>
    <row r="3335" ht="13.5" customHeight="1">
      <c r="A3335" s="1" t="s">
        <v>176</v>
      </c>
      <c r="B3335" s="1" t="s">
        <v>16717</v>
      </c>
      <c r="C3335" s="1" t="s">
        <v>16718</v>
      </c>
      <c r="D3335" s="1" t="s">
        <v>16719</v>
      </c>
      <c r="E3335" s="1" t="s">
        <v>16719</v>
      </c>
      <c r="F3335" s="1" t="s">
        <v>16720</v>
      </c>
      <c r="G3335" s="1" t="s">
        <v>16721</v>
      </c>
      <c r="H3335" s="1" t="str">
        <f>IFERROR(__xludf.DUMMYFUNCTION("GOOGLETRANSLATE(D3335,""EN"",""JA"")"),"N-アセチルアスパラギン酸")</f>
        <v>N-アセチルアスパラギン酸</v>
      </c>
      <c r="I3335" s="1" t="str">
        <f>IFERROR(__xludf.DUMMYFUNCTION("GOOGLETRANSLATE(E3335,""EN"",""JA"")"),"N-アセチルアスパラギン酸")</f>
        <v>N-アセチルアスパラギン酸</v>
      </c>
      <c r="J3335" s="1" t="str">
        <f>IFERROR(__xludf.DUMMYFUNCTION("GOOGLETRANSLATE(F3335,""EN"",""JA"")"),"生物標本中の N-アセチルアスパラギン酸の測定。")</f>
        <v>生物標本中の N-アセチルアスパラギン酸の測定。</v>
      </c>
      <c r="K3335" s="1" t="str">
        <f>IFERROR(__xludf.DUMMYFUNCTION("GOOGLETRANSLATE(G3335,""EN"",""JA"")"),"N-アセチルアスパラギン酸測定")</f>
        <v>N-アセチルアスパラギン酸測定</v>
      </c>
    </row>
    <row r="3336" ht="13.5" customHeight="1">
      <c r="A3336" s="1" t="s">
        <v>176</v>
      </c>
      <c r="B3336" s="1" t="s">
        <v>16722</v>
      </c>
      <c r="C3336" s="1" t="s">
        <v>16723</v>
      </c>
      <c r="D3336" s="1" t="s">
        <v>16724</v>
      </c>
      <c r="E3336" s="1" t="s">
        <v>16724</v>
      </c>
      <c r="F3336" s="1" t="s">
        <v>16725</v>
      </c>
      <c r="G3336" s="1" t="s">
        <v>16726</v>
      </c>
      <c r="H3336" s="1" t="str">
        <f>IFERROR(__xludf.DUMMYFUNCTION("GOOGLETRANSLATE(D3336,""EN"",""JA"")"),"N-アセチルアスパラギン酸/コリン")</f>
        <v>N-アセチルアスパラギン酸/コリン</v>
      </c>
      <c r="I3336" s="1" t="str">
        <f>IFERROR(__xludf.DUMMYFUNCTION("GOOGLETRANSLATE(E3336,""EN"",""JA"")"),"N-アセチルアスパラギン酸/コリン")</f>
        <v>N-アセチルアスパラギン酸/コリン</v>
      </c>
      <c r="J3336" s="1" t="str">
        <f>IFERROR(__xludf.DUMMYFUNCTION("GOOGLETRANSLATE(F3336,""EN"",""JA"")"),"生物標本中の N-アセチルアスパラギン酸とコリンの相対測定値（比率）。")</f>
        <v>生物標本中の N-アセチルアスパラギン酸とコリンの相対測定値（比率）。</v>
      </c>
      <c r="K3336" s="1" t="str">
        <f>IFERROR(__xludf.DUMMYFUNCTION("GOOGLETRANSLATE(G3336,""EN"",""JA"")"),"N-アセチルアスパラギン酸とコリンの比率測定")</f>
        <v>N-アセチルアスパラギン酸とコリンの比率測定</v>
      </c>
    </row>
    <row r="3337" ht="13.5" customHeight="1">
      <c r="A3337" s="1" t="s">
        <v>176</v>
      </c>
      <c r="B3337" s="1" t="s">
        <v>16727</v>
      </c>
      <c r="C3337" s="1" t="s">
        <v>16728</v>
      </c>
      <c r="D3337" s="1" t="s">
        <v>16729</v>
      </c>
      <c r="E3337" s="1" t="s">
        <v>16729</v>
      </c>
      <c r="F3337" s="1" t="s">
        <v>16730</v>
      </c>
      <c r="G3337" s="1" t="s">
        <v>16731</v>
      </c>
      <c r="H3337" s="1" t="str">
        <f>IFERROR(__xludf.DUMMYFUNCTION("GOOGLETRANSLATE(D3337,""EN"",""JA"")"),"N-アセチルアスパラギン酸/クレアチン")</f>
        <v>N-アセチルアスパラギン酸/クレアチン</v>
      </c>
      <c r="I3337" s="1" t="str">
        <f>IFERROR(__xludf.DUMMYFUNCTION("GOOGLETRANSLATE(E3337,""EN"",""JA"")"),"N-アセチルアスパラギン酸/クレアチン")</f>
        <v>N-アセチルアスパラギン酸/クレアチン</v>
      </c>
      <c r="J3337" s="1" t="str">
        <f>IFERROR(__xludf.DUMMYFUNCTION("GOOGLETRANSLATE(F3337,""EN"",""JA"")"),"生物標本中の N-アセチルアスパラギン酸とクレアチンの相対測定値（比率）。")</f>
        <v>生物標本中の N-アセチルアスパラギン酸とクレアチンの相対測定値（比率）。</v>
      </c>
      <c r="K3337" s="1" t="str">
        <f>IFERROR(__xludf.DUMMYFUNCTION("GOOGLETRANSLATE(G3337,""EN"",""JA"")"),"N-アセチルアスパラギン酸とクレアチンの比率測定")</f>
        <v>N-アセチルアスパラギン酸とクレアチンの比率測定</v>
      </c>
    </row>
    <row r="3338" ht="13.5" customHeight="1">
      <c r="A3338" s="1" t="s">
        <v>176</v>
      </c>
      <c r="B3338" s="1" t="s">
        <v>16732</v>
      </c>
      <c r="C3338" s="1" t="s">
        <v>16733</v>
      </c>
      <c r="D3338" s="1" t="s">
        <v>16734</v>
      </c>
      <c r="E3338" s="1" t="s">
        <v>16734</v>
      </c>
      <c r="F3338" s="1" t="s">
        <v>16735</v>
      </c>
      <c r="G3338" s="1" t="s">
        <v>16736</v>
      </c>
      <c r="H3338" s="1" t="str">
        <f>IFERROR(__xludf.DUMMYFUNCTION("GOOGLETRANSLATE(D3338,""EN"",""JA"")"),"N-アセチルアスパラギン酸/クレアチン+コリン")</f>
        <v>N-アセチルアスパラギン酸/クレアチン+コリン</v>
      </c>
      <c r="I3338" s="1" t="str">
        <f>IFERROR(__xludf.DUMMYFUNCTION("GOOGLETRANSLATE(E3338,""EN"",""JA"")"),"N-アセチルアスパラギン酸/クレアチン+コリン")</f>
        <v>N-アセチルアスパラギン酸/クレアチン+コリン</v>
      </c>
      <c r="J3338" s="1" t="str">
        <f>IFERROR(__xludf.DUMMYFUNCTION("GOOGLETRANSLATE(F3338,""EN"",""JA"")"),"生物標本中の N-アセチルアスパラギン酸とクレアチニン、コリンとクレアチンの相対測定値（比率）。")</f>
        <v>生物標本中の N-アセチルアスパラギン酸とクレアチニン、コリンとクレアチンの相対測定値（比率）。</v>
      </c>
      <c r="K3338" s="1" t="str">
        <f>IFERROR(__xludf.DUMMYFUNCTION("GOOGLETRANSLATE(G3338,""EN"",""JA"")"),"N-アセチルアスパラギン酸とクレアチンおよびコリンの比率測定")</f>
        <v>N-アセチルアスパラギン酸とクレアチンおよびコリンの比率測定</v>
      </c>
    </row>
    <row r="3339" ht="13.5" customHeight="1">
      <c r="A3339" s="1" t="s">
        <v>176</v>
      </c>
      <c r="B3339" s="1" t="s">
        <v>16737</v>
      </c>
      <c r="C3339" s="1" t="s">
        <v>16738</v>
      </c>
      <c r="D3339" s="1" t="s">
        <v>16739</v>
      </c>
      <c r="E3339" s="1" t="s">
        <v>16740</v>
      </c>
      <c r="F3339" s="1" t="s">
        <v>16741</v>
      </c>
      <c r="G3339" s="1" t="s">
        <v>16742</v>
      </c>
      <c r="H3339" s="1" t="str">
        <f>IFERROR(__xludf.DUMMYFUNCTION("GOOGLETRANSLATE(D3339,""EN"",""JA"")"),"NAA+NAAG")</f>
        <v>NAA+NAAG</v>
      </c>
      <c r="I3339" s="1" t="str">
        <f>IFERROR(__xludf.DUMMYFUNCTION("GOOGLETRANSLATE(E3339,""EN"",""JA"")"),"N-アセチルアスパラギン酸 + N-アセチルアスパルチルグルタミン酸; NAA+NAAG")</f>
        <v>N-アセチルアスパラギン酸 + N-アセチルアスパルチルグルタミン酸; NAA+NAAG</v>
      </c>
      <c r="J3339" s="1" t="str">
        <f>IFERROR(__xludf.DUMMYFUNCTION("GOOGLETRANSLATE(F3339,""EN"",""JA"")"),"生物標本中の N-アセチルアスパラギン酸と N-アセチルアスパルチルグルタミン酸の測定。")</f>
        <v>生物標本中の N-アセチルアスパラギン酸と N-アセチルアスパルチルグルタミン酸の測定。</v>
      </c>
      <c r="K3339" s="1" t="str">
        <f>IFERROR(__xludf.DUMMYFUNCTION("GOOGLETRANSLATE(G3339,""EN"",""JA"")"),"N-アセチルアスパラギン酸およびN-アセチルアスパルチルグルタミン酸の測定")</f>
        <v>N-アセチルアスパラギン酸およびN-アセチルアスパルチルグルタミン酸の測定</v>
      </c>
    </row>
    <row r="3340" ht="13.5" customHeight="1">
      <c r="A3340" s="1" t="s">
        <v>11</v>
      </c>
      <c r="B3340" s="1" t="s">
        <v>16743</v>
      </c>
      <c r="C3340" s="1" t="s">
        <v>16744</v>
      </c>
      <c r="D3340" s="1" t="s">
        <v>16745</v>
      </c>
      <c r="E3340" s="1" t="s">
        <v>16745</v>
      </c>
      <c r="F3340" s="1" t="s">
        <v>16746</v>
      </c>
      <c r="G3340" s="1" t="s">
        <v>16747</v>
      </c>
      <c r="H3340" s="1" t="str">
        <f>IFERROR(__xludf.DUMMYFUNCTION("GOOGLETRANSLATE(D3340,""EN"",""JA"")"),"ナトリウムクリアランス")</f>
        <v>ナトリウムクリアランス</v>
      </c>
      <c r="I3340" s="1" t="str">
        <f>IFERROR(__xludf.DUMMYFUNCTION("GOOGLETRANSLATE(E3340,""EN"",""JA"")"),"ナトリウムクリアランス")</f>
        <v>ナトリウムクリアランス</v>
      </c>
      <c r="J3340" s="1" t="str">
        <f>IFERROR(__xludf.DUMMYFUNCTION("GOOGLETRANSLATE(F3340,""EN"",""JA"")"),"指定された時間単位（例：1 分）に尿として排出される血清または血漿からナトリウムが除去される量の測定値。")</f>
        <v>指定された時間単位（例：1 分）に尿として排出される血清または血漿からナトリウムが除去される量の測定値。</v>
      </c>
      <c r="K3340" s="1" t="str">
        <f>IFERROR(__xludf.DUMMYFUNCTION("GOOGLETRANSLATE(G3340,""EN"",""JA"")"),"ナトリウムクリアランス測定")</f>
        <v>ナトリウムクリアランス測定</v>
      </c>
    </row>
    <row r="3341" ht="13.5" customHeight="1">
      <c r="A3341" s="1" t="s">
        <v>11</v>
      </c>
      <c r="B3341" s="1" t="s">
        <v>16748</v>
      </c>
      <c r="C3341" s="1" t="s">
        <v>16749</v>
      </c>
      <c r="D3341" s="1" t="s">
        <v>16750</v>
      </c>
      <c r="E3341" s="1" t="s">
        <v>16750</v>
      </c>
      <c r="F3341" s="1" t="s">
        <v>16751</v>
      </c>
      <c r="G3341" s="1" t="s">
        <v>16752</v>
      </c>
      <c r="H3341" s="1" t="str">
        <f>IFERROR(__xludf.DUMMYFUNCTION("GOOGLETRANSLATE(D3341,""EN"",""JA"")"),"ナトリウム/クレアチニン")</f>
        <v>ナトリウム/クレアチニン</v>
      </c>
      <c r="I3341" s="1" t="str">
        <f>IFERROR(__xludf.DUMMYFUNCTION("GOOGLETRANSLATE(E3341,""EN"",""JA"")"),"ナトリウム/クレアチニン")</f>
        <v>ナトリウム/クレアチニン</v>
      </c>
      <c r="J3341" s="1" t="str">
        <f>IFERROR(__xludf.DUMMYFUNCTION("GOOGLETRANSLATE(F3341,""EN"",""JA"")"),"生物標本中のナトリウムとクレアチニンの相対的な測定値（比率またはパーセンテージ）。")</f>
        <v>生物標本中のナトリウムとクレアチニンの相対的な測定値（比率またはパーセンテージ）。</v>
      </c>
      <c r="K3341" s="1" t="str">
        <f>IFERROR(__xludf.DUMMYFUNCTION("GOOGLETRANSLATE(G3341,""EN"",""JA"")"),"ナトリウム対クレアチニン比測定")</f>
        <v>ナトリウム対クレアチニン比測定</v>
      </c>
    </row>
    <row r="3342" ht="13.5" customHeight="1">
      <c r="A3342" s="1" t="s">
        <v>11</v>
      </c>
      <c r="B3342" s="1" t="s">
        <v>16753</v>
      </c>
      <c r="C3342" s="1" t="s">
        <v>16754</v>
      </c>
      <c r="D3342" s="1" t="s">
        <v>16755</v>
      </c>
      <c r="E3342" s="1" t="s">
        <v>16756</v>
      </c>
      <c r="F3342" s="1" t="s">
        <v>16757</v>
      </c>
      <c r="G3342" s="1" t="s">
        <v>16758</v>
      </c>
      <c r="H3342" s="1" t="str">
        <f>IFERROR(__xludf.DUMMYFUNCTION("GOOGLETRANSLATE(D3342,""EN"",""JA"")"),"N-アセチルグルコサミド")</f>
        <v>N-アセチルグルコサミド</v>
      </c>
      <c r="I3342" s="1" t="str">
        <f>IFERROR(__xludf.DUMMYFUNCTION("GOOGLETRANSLATE(E3342,""EN"",""JA"")"),"N-アセチルグルコサミド; N-アセチルグルコサミン")</f>
        <v>N-アセチルグルコサミド; N-アセチルグルコサミン</v>
      </c>
      <c r="J3342" s="1" t="str">
        <f>IFERROR(__xludf.DUMMYFUNCTION("GOOGLETRANSLATE(F3342,""EN"",""JA"")"),"生物標本中の N-アセチルグルコサミド（糖誘導体）の測定。")</f>
        <v>生物標本中の N-アセチルグルコサミド（糖誘導体）の測定。</v>
      </c>
      <c r="K3342" s="1" t="str">
        <f>IFERROR(__xludf.DUMMYFUNCTION("GOOGLETRANSLATE(G3342,""EN"",""JA"")"),"N-アセチルグルコサミド測定")</f>
        <v>N-アセチルグルコサミド測定</v>
      </c>
    </row>
    <row r="3343" ht="13.5" customHeight="1">
      <c r="A3343" s="1" t="s">
        <v>11</v>
      </c>
      <c r="B3343" s="1" t="s">
        <v>16759</v>
      </c>
      <c r="C3343" s="1" t="s">
        <v>16760</v>
      </c>
      <c r="D3343" s="1" t="s">
        <v>16761</v>
      </c>
      <c r="E3343" s="1" t="s">
        <v>16762</v>
      </c>
      <c r="F3343" s="1" t="s">
        <v>16763</v>
      </c>
      <c r="G3343" s="1" t="s">
        <v>16764</v>
      </c>
      <c r="H3343" s="1" t="str">
        <f>IFERROR(__xludf.DUMMYFUNCTION("GOOGLETRANSLATE(D3343,""EN"",""JA"")"),"N-アセチル-β-D-グルコサミニダーゼ")</f>
        <v>N-アセチル-β-D-グルコサミニダーゼ</v>
      </c>
      <c r="I3343" s="1" t="str">
        <f>IFERROR(__xludf.DUMMYFUNCTION("GOOGLETRANSLATE(E3343,""EN"",""JA"")"),"ベータ-N-アセチル-D-グルコサミニダーゼ; N-アセチル-ベータ-D-グルコサミニダーゼ")</f>
        <v>ベータ-N-アセチル-D-グルコサミニダーゼ; N-アセチル-ベータ-D-グルコサミニダーゼ</v>
      </c>
      <c r="J3343" s="1" t="str">
        <f>IFERROR(__xludf.DUMMYFUNCTION("GOOGLETRANSLATE(F3343,""EN"",""JA"")"),"生物標本中の N-アセチル-ベータ-D-グルコサミニダーゼ (酵素) の測定。")</f>
        <v>生物標本中の N-アセチル-ベータ-D-グルコサミニダーゼ (酵素) の測定。</v>
      </c>
      <c r="K3343" s="1" t="str">
        <f>IFERROR(__xludf.DUMMYFUNCTION("GOOGLETRANSLATE(G3343,""EN"",""JA"")"),"N-アセチル-β-D-グルコサミニダーゼ測定")</f>
        <v>N-アセチル-β-D-グルコサミニダーゼ測定</v>
      </c>
    </row>
    <row r="3344" ht="13.5" customHeight="1">
      <c r="A3344" s="1" t="s">
        <v>11</v>
      </c>
      <c r="B3344" s="1" t="s">
        <v>16765</v>
      </c>
      <c r="C3344" s="1" t="s">
        <v>16766</v>
      </c>
      <c r="D3344" s="1" t="s">
        <v>16767</v>
      </c>
      <c r="E3344" s="1" t="s">
        <v>16767</v>
      </c>
      <c r="F3344" s="1" t="s">
        <v>16768</v>
      </c>
      <c r="G3344" s="1" t="s">
        <v>16769</v>
      </c>
      <c r="H3344" s="1" t="str">
        <f>IFERROR(__xludf.DUMMYFUNCTION("GOOGLETRANSLATE(D3344,""EN"",""JA"")"),"N-アセチル-B-D-グルコサミニダーゼ/クレアチニン")</f>
        <v>N-アセチル-B-D-グルコサミニダーゼ/クレアチニン</v>
      </c>
      <c r="I3344" s="1" t="str">
        <f>IFERROR(__xludf.DUMMYFUNCTION("GOOGLETRANSLATE(E3344,""EN"",""JA"")"),"N-アセチル-B-D-グルコサミニダーゼ/クレアチニン")</f>
        <v>N-アセチル-B-D-グルコサミニダーゼ/クレアチニン</v>
      </c>
      <c r="J3344" s="1" t="str">
        <f>IFERROR(__xludf.DUMMYFUNCTION("GOOGLETRANSLATE(F3344,""EN"",""JA"")"),"生物標本中のクレアチニンに対する N-アセチル-ベータ-D-グルコサミニダーゼの相対測定値 (比率またはパーセンテージ)。")</f>
        <v>生物標本中のクレアチニンに対する N-アセチル-ベータ-D-グルコサミニダーゼの相対測定値 (比率またはパーセンテージ)。</v>
      </c>
      <c r="K3344" s="1" t="str">
        <f>IFERROR(__xludf.DUMMYFUNCTION("GOOGLETRANSLATE(G3344,""EN"",""JA"")"),"N-アセチル-β-D-グルコサミニダーゼとクレアチニンの比率測定")</f>
        <v>N-アセチル-β-D-グルコサミニダーゼとクレアチニンの比率測定</v>
      </c>
    </row>
    <row r="3345" ht="13.5" customHeight="1">
      <c r="A3345" s="1" t="s">
        <v>11</v>
      </c>
      <c r="B3345" s="1" t="s">
        <v>16770</v>
      </c>
      <c r="C3345" s="1" t="s">
        <v>16771</v>
      </c>
      <c r="D3345" s="1" t="s">
        <v>16772</v>
      </c>
      <c r="E3345" s="1" t="s">
        <v>16773</v>
      </c>
      <c r="F3345" s="1" t="s">
        <v>16774</v>
      </c>
      <c r="G3345" s="1" t="s">
        <v>16775</v>
      </c>
      <c r="H3345" s="1" t="str">
        <f>IFERROR(__xludf.DUMMYFUNCTION("GOOGLETRANSLATE(D3345,""EN"",""JA"")"),"ナガセ排泄率")</f>
        <v>ナガセ排泄率</v>
      </c>
      <c r="I3345" s="1" t="str">
        <f>IFERROR(__xludf.DUMMYFUNCTION("GOOGLETRANSLATE(E3345,""EN"",""JA"")"),"N-アセチル-β-D-グルコサミニダーゼ排泄率; NAGASE排泄率")</f>
        <v>N-アセチル-β-D-グルコサミニダーゼ排泄率; NAGASE排泄率</v>
      </c>
      <c r="J3345" s="1" t="str">
        <f>IFERROR(__xludf.DUMMYFUNCTION("GOOGLETRANSLATE(F3345,""EN"",""JA"")"),"定義された時間（例：1 時間）にわたって生物学的標本中に排出される N-アセチル-ベータ-D-グルコサミニダーゼの量を測定します。")</f>
        <v>定義された時間（例：1 時間）にわたって生物学的標本中に排出される N-アセチル-ベータ-D-グルコサミニダーゼの量を測定します。</v>
      </c>
      <c r="K3345" s="1" t="str">
        <f>IFERROR(__xludf.DUMMYFUNCTION("GOOGLETRANSLATE(G3345,""EN"",""JA"")"),"N-アセチル-β-D-グルコサミニダーゼ排泄率")</f>
        <v>N-アセチル-β-D-グルコサミニダーゼ排泄率</v>
      </c>
    </row>
    <row r="3346" ht="13.5" customHeight="1">
      <c r="A3346" s="1" t="s">
        <v>11</v>
      </c>
      <c r="B3346" s="1" t="s">
        <v>16776</v>
      </c>
      <c r="C3346" s="1" t="s">
        <v>16777</v>
      </c>
      <c r="D3346" s="1" t="s">
        <v>16778</v>
      </c>
      <c r="E3346" s="1" t="s">
        <v>16778</v>
      </c>
      <c r="F3346" s="1" t="s">
        <v>16779</v>
      </c>
      <c r="G3346" s="1" t="s">
        <v>16780</v>
      </c>
      <c r="H3346" s="1" t="str">
        <f>IFERROR(__xludf.DUMMYFUNCTION("GOOGLETRANSLATE(D3346,""EN"",""JA"")"),"N-アセチルグルコサミド/クレアチニン")</f>
        <v>N-アセチルグルコサミド/クレアチニン</v>
      </c>
      <c r="I3346" s="1" t="str">
        <f>IFERROR(__xludf.DUMMYFUNCTION("GOOGLETRANSLATE(E3346,""EN"",""JA"")"),"N-アセチルグルコサミド/クレアチニン")</f>
        <v>N-アセチルグルコサミド/クレアチニン</v>
      </c>
      <c r="J3346" s="1" t="str">
        <f>IFERROR(__xludf.DUMMYFUNCTION("GOOGLETRANSLATE(F3346,""EN"",""JA"")"),"生物学的標本中の N-アセチルグルコサミドとクレアチニンの相対的な測定値 (比率またはパーセンテージ)。")</f>
        <v>生物学的標本中の N-アセチルグルコサミドとクレアチニンの相対的な測定値 (比率またはパーセンテージ)。</v>
      </c>
      <c r="K3346" s="1" t="str">
        <f>IFERROR(__xludf.DUMMYFUNCTION("GOOGLETRANSLATE(G3346,""EN"",""JA"")"),"N-アセチルグルコサミドとクレアチニンの比率測定")</f>
        <v>N-アセチルグルコサミドとクレアチニンの比率測定</v>
      </c>
    </row>
    <row r="3347" ht="13.5" customHeight="1">
      <c r="A3347" s="1" t="s">
        <v>11</v>
      </c>
      <c r="B3347" s="1" t="s">
        <v>16781</v>
      </c>
      <c r="C3347" s="1" t="s">
        <v>16782</v>
      </c>
      <c r="D3347" s="1" t="s">
        <v>16783</v>
      </c>
      <c r="E3347" s="1" t="s">
        <v>16783</v>
      </c>
      <c r="F3347" s="1" t="s">
        <v>16784</v>
      </c>
      <c r="G3347" s="1" t="s">
        <v>16785</v>
      </c>
      <c r="H3347" s="1" t="str">
        <f>IFERROR(__xludf.DUMMYFUNCTION("GOOGLETRANSLATE(D3347,""EN"",""JA"")"),"ナトリウム/カリウム")</f>
        <v>ナトリウム/カリウム</v>
      </c>
      <c r="I3347" s="1" t="str">
        <f>IFERROR(__xludf.DUMMYFUNCTION("GOOGLETRANSLATE(E3347,""EN"",""JA"")"),"ナトリウム/カリウム")</f>
        <v>ナトリウム/カリウム</v>
      </c>
      <c r="J3347" s="1" t="str">
        <f>IFERROR(__xludf.DUMMYFUNCTION("GOOGLETRANSLATE(F3347,""EN"",""JA"")"),"生物標本中のナトリウムとカリウムの相対的な測定値（比率またはパーセンテージ）。")</f>
        <v>生物標本中のナトリウムとカリウムの相対的な測定値（比率またはパーセンテージ）。</v>
      </c>
      <c r="K3347" s="1" t="str">
        <f>IFERROR(__xludf.DUMMYFUNCTION("GOOGLETRANSLATE(G3347,""EN"",""JA"")"),"ナトリウムとカリウムの比率の測定")</f>
        <v>ナトリウムとカリウムの比率の測定</v>
      </c>
    </row>
    <row r="3348" ht="13.5" customHeight="1">
      <c r="A3348" s="1" t="s">
        <v>11</v>
      </c>
      <c r="B3348" s="1" t="s">
        <v>16786</v>
      </c>
      <c r="C3348" s="1" t="s">
        <v>16787</v>
      </c>
      <c r="D3348" s="1" t="s">
        <v>16788</v>
      </c>
      <c r="E3348" s="1" t="s">
        <v>16789</v>
      </c>
      <c r="F3348" s="1" t="s">
        <v>16790</v>
      </c>
      <c r="G3348" s="1" t="s">
        <v>16791</v>
      </c>
      <c r="H3348" s="1" t="str">
        <f>IFERROR(__xludf.DUMMYFUNCTION("GOOGLETRANSLATE(D3348,""EN"",""JA"")"),"ナロルフィン")</f>
        <v>ナロルフィン</v>
      </c>
      <c r="I3348" s="1" t="str">
        <f>IFERROR(__xludf.DUMMYFUNCTION("GOOGLETRANSLATE(E3348,""EN"",""JA"")"),"アロルフィン; アントルフィン; N-アリルノルモルフィン; ナロルフィン")</f>
        <v>アロルフィン; アントルフィン; N-アリルノルモルフィン; ナロルフィン</v>
      </c>
      <c r="J3348" s="1" t="str">
        <f>IFERROR(__xludf.DUMMYFUNCTION("GOOGLETRANSLATE(F3348,""EN"",""JA"")"),"生物標本中のナロルフィンの測定。")</f>
        <v>生物標本中のナロルフィンの測定。</v>
      </c>
      <c r="K3348" s="1" t="str">
        <f>IFERROR(__xludf.DUMMYFUNCTION("GOOGLETRANSLATE(G3348,""EN"",""JA"")"),"ナロルフィン測定")</f>
        <v>ナロルフィン測定</v>
      </c>
    </row>
    <row r="3349" ht="13.5" customHeight="1">
      <c r="A3349" s="1" t="s">
        <v>11</v>
      </c>
      <c r="B3349" s="1" t="s">
        <v>16792</v>
      </c>
      <c r="C3349" s="1" t="s">
        <v>16793</v>
      </c>
      <c r="D3349" s="1" t="s">
        <v>16794</v>
      </c>
      <c r="E3349" s="1" t="s">
        <v>16795</v>
      </c>
      <c r="F3349" s="1" t="s">
        <v>16796</v>
      </c>
      <c r="G3349" s="1" t="s">
        <v>16797</v>
      </c>
      <c r="H3349" s="1" t="str">
        <f>IFERROR(__xludf.DUMMYFUNCTION("GOOGLETRANSLATE(D3349,""EN"",""JA"")"),"ナンドロロン")</f>
        <v>ナンドロロン</v>
      </c>
      <c r="I3349" s="1" t="str">
        <f>IFERROR(__xludf.DUMMYFUNCTION("GOOGLETRANSLATE(E3349,""EN"",""JA"")"),"ナンドロロン、ノランドロステノロン、ノルテストステロン")</f>
        <v>ナンドロロン、ノランドロステノロン、ノルテストステロン</v>
      </c>
      <c r="J3349" s="1" t="str">
        <f>IFERROR(__xludf.DUMMYFUNCTION("GOOGLETRANSLATE(F3349,""EN"",""JA"")"),"生物標本中のナンドロロンの測定。")</f>
        <v>生物標本中のナンドロロンの測定。</v>
      </c>
      <c r="K3349" s="1" t="str">
        <f>IFERROR(__xludf.DUMMYFUNCTION("GOOGLETRANSLATE(G3349,""EN"",""JA"")"),"ナンドロロン測定")</f>
        <v>ナンドロロン測定</v>
      </c>
    </row>
    <row r="3350" ht="13.5" customHeight="1">
      <c r="A3350" s="1" t="s">
        <v>11</v>
      </c>
      <c r="B3350" s="1" t="s">
        <v>16798</v>
      </c>
      <c r="C3350" s="1" t="s">
        <v>16799</v>
      </c>
      <c r="D3350" s="1" t="s">
        <v>16800</v>
      </c>
      <c r="E3350" s="1" t="s">
        <v>16800</v>
      </c>
      <c r="F3350" s="1" t="s">
        <v>16801</v>
      </c>
      <c r="G3350" s="1" t="s">
        <v>16802</v>
      </c>
      <c r="H3350" s="1" t="str">
        <f>IFERROR(__xludf.DUMMYFUNCTION("GOOGLETRANSLATE(D3350,""EN"",""JA"")"),"ナフィロン")</f>
        <v>ナフィロン</v>
      </c>
      <c r="I3350" s="1" t="str">
        <f>IFERROR(__xludf.DUMMYFUNCTION("GOOGLETRANSLATE(E3350,""EN"",""JA"")"),"ナフィロン")</f>
        <v>ナフィロン</v>
      </c>
      <c r="J3350" s="1" t="str">
        <f>IFERROR(__xludf.DUMMYFUNCTION("GOOGLETRANSLATE(F3350,""EN"",""JA"")"),"生物標本中のナフィロンの測定。")</f>
        <v>生物標本中のナフィロンの測定。</v>
      </c>
      <c r="K3350" s="1" t="str">
        <f>IFERROR(__xludf.DUMMYFUNCTION("GOOGLETRANSLATE(G3350,""EN"",""JA"")"),"ナフィロン測定")</f>
        <v>ナフィロン測定</v>
      </c>
    </row>
    <row r="3351" ht="13.5" customHeight="1">
      <c r="A3351" s="1" t="s">
        <v>397</v>
      </c>
      <c r="B3351" s="1" t="s">
        <v>16803</v>
      </c>
      <c r="C3351" s="1" t="s">
        <v>16804</v>
      </c>
      <c r="D3351" s="1" t="s">
        <v>16805</v>
      </c>
      <c r="E3351" s="1" t="s">
        <v>16805</v>
      </c>
      <c r="F3351" s="1" t="s">
        <v>16806</v>
      </c>
      <c r="G3351" s="1" t="s">
        <v>16805</v>
      </c>
      <c r="H3351" s="1" t="str">
        <f>IFERROR(__xludf.DUMMYFUNCTION("GOOGLETRANSLATE(D3351,""EN"",""JA"")"),"予定兵器数")</f>
        <v>予定兵器数</v>
      </c>
      <c r="I3351" s="1" t="str">
        <f>IFERROR(__xludf.DUMMYFUNCTION("GOOGLETRANSLATE(E3351,""EN"",""JA"")"),"予定兵器数")</f>
        <v>予定兵器数</v>
      </c>
      <c r="J3351" s="1" t="str">
        <f>IFERROR(__xludf.DUMMYFUNCTION("GOOGLETRANSLATE(F3351,""EN"",""JA"")"),"計画されている介入グループの数。")</f>
        <v>計画されている介入グループの数。</v>
      </c>
      <c r="K3351" s="1" t="str">
        <f>IFERROR(__xludf.DUMMYFUNCTION("GOOGLETRANSLATE(G3351,""EN"",""JA"")"),"予定兵器数")</f>
        <v>予定兵器数</v>
      </c>
    </row>
    <row r="3352" ht="13.5" customHeight="1">
      <c r="A3352" s="1" t="s">
        <v>601</v>
      </c>
      <c r="B3352" s="1" t="s">
        <v>16807</v>
      </c>
      <c r="C3352" s="1" t="s">
        <v>16808</v>
      </c>
      <c r="D3352" s="1" t="s">
        <v>16809</v>
      </c>
      <c r="E3352" s="1" t="s">
        <v>16809</v>
      </c>
      <c r="F3352" s="1" t="s">
        <v>16810</v>
      </c>
      <c r="G3352" s="1" t="s">
        <v>16809</v>
      </c>
      <c r="H3352" s="1" t="str">
        <f>IFERROR(__xludf.DUMMYFUNCTION("GOOGLETRANSLATE(D3352,""EN"",""JA"")"),"国籍")</f>
        <v>国籍</v>
      </c>
      <c r="I3352" s="1" t="str">
        <f>IFERROR(__xludf.DUMMYFUNCTION("GOOGLETRANSLATE(E3352,""EN"",""JA"")"),"国籍")</f>
        <v>国籍</v>
      </c>
      <c r="J3352" s="1" t="str">
        <f>IFERROR(__xludf.DUMMYFUNCTION("GOOGLETRANSLATE(F3352,""EN"",""JA"")"),"現在居住している国に関係なく、個人の出身国に基づいた分類システム。")</f>
        <v>現在居住している国に関係なく、個人の出身国に基づいた分類システム。</v>
      </c>
      <c r="K3352" s="1" t="str">
        <f>IFERROR(__xludf.DUMMYFUNCTION("GOOGLETRANSLATE(G3352,""EN"",""JA"")"),"国籍")</f>
        <v>国籍</v>
      </c>
    </row>
    <row r="3353" ht="13.5" customHeight="1">
      <c r="A3353" s="1" t="s">
        <v>233</v>
      </c>
      <c r="B3353" s="1" t="s">
        <v>16811</v>
      </c>
      <c r="C3353" s="1" t="s">
        <v>16812</v>
      </c>
      <c r="D3353" s="1" t="s">
        <v>16813</v>
      </c>
      <c r="E3353" s="1" t="s">
        <v>16813</v>
      </c>
      <c r="F3353" s="1" t="s">
        <v>16814</v>
      </c>
      <c r="G3353" s="1" t="s">
        <v>16813</v>
      </c>
      <c r="H3353" s="1" t="str">
        <f>IFERROR(__xludf.DUMMYFUNCTION("GOOGLETRANSLATE(D3353,""EN"",""JA"")"),"2つ以上の新しい骨病変の指標")</f>
        <v>2つ以上の新しい骨病変の指標</v>
      </c>
      <c r="I3353" s="1" t="str">
        <f>IFERROR(__xludf.DUMMYFUNCTION("GOOGLETRANSLATE(E3353,""EN"",""JA"")"),"2つ以上の新しい骨病変の指標")</f>
        <v>2つ以上の新しい骨病変の指標</v>
      </c>
      <c r="J3353" s="1" t="str">
        <f>IFERROR(__xludf.DUMMYFUNCTION("GOOGLETRANSLATE(F3353,""EN"",""JA"")"),"基準時点と比較して、2 つ以上の新しい骨病変があるかどうかを示します。")</f>
        <v>基準時点と比較して、2 つ以上の新しい骨病変があるかどうかを示します。</v>
      </c>
      <c r="K3353" s="1" t="str">
        <f>IFERROR(__xludf.DUMMYFUNCTION("GOOGLETRANSLATE(G3353,""EN"",""JA"")"),"2つ以上の新しい骨病変の指標")</f>
        <v>2つ以上の新しい骨病変の指標</v>
      </c>
    </row>
    <row r="3354" ht="13.5" customHeight="1">
      <c r="A3354" s="1" t="s">
        <v>233</v>
      </c>
      <c r="B3354" s="1" t="s">
        <v>16815</v>
      </c>
      <c r="C3354" s="1" t="s">
        <v>16816</v>
      </c>
      <c r="D3354" s="1" t="s">
        <v>16817</v>
      </c>
      <c r="E3354" s="1" t="s">
        <v>16817</v>
      </c>
      <c r="F3354" s="1" t="s">
        <v>16818</v>
      </c>
      <c r="G3354" s="1" t="s">
        <v>16817</v>
      </c>
      <c r="H3354" s="1" t="str">
        <f>IFERROR(__xludf.DUMMYFUNCTION("GOOGLETRANSLATE(D3354,""EN"",""JA"")"),"新たな骨病変の数")</f>
        <v>新たな骨病変の数</v>
      </c>
      <c r="I3354" s="1" t="str">
        <f>IFERROR(__xludf.DUMMYFUNCTION("GOOGLETRANSLATE(E3354,""EN"",""JA"")"),"新たな骨病変の数")</f>
        <v>新たな骨病変の数</v>
      </c>
      <c r="J3354" s="1" t="str">
        <f>IFERROR(__xludf.DUMMYFUNCTION("GOOGLETRANSLATE(F3354,""EN"",""JA"")"),"基準時点と比較した骨内の新しい病変の数。")</f>
        <v>基準時点と比較した骨内の新しい病変の数。</v>
      </c>
      <c r="K3354" s="1" t="str">
        <f>IFERROR(__xludf.DUMMYFUNCTION("GOOGLETRANSLATE(G3354,""EN"",""JA"")"),"新たな骨病変の数")</f>
        <v>新たな骨病変の数</v>
      </c>
    </row>
    <row r="3355" ht="13.5" customHeight="1">
      <c r="A3355" s="1" t="s">
        <v>134</v>
      </c>
      <c r="B3355" s="1" t="s">
        <v>16819</v>
      </c>
      <c r="C3355" s="1" t="s">
        <v>16820</v>
      </c>
      <c r="D3355" s="1" t="s">
        <v>16821</v>
      </c>
      <c r="E3355" s="1" t="s">
        <v>16822</v>
      </c>
      <c r="F3355" s="1" t="s">
        <v>16823</v>
      </c>
      <c r="G3355" s="1" t="s">
        <v>16824</v>
      </c>
      <c r="H3355" s="1" t="str">
        <f>IFERROR(__xludf.DUMMYFUNCTION("GOOGLETRANSLATE(D3355,""EN"",""JA"")"),"神経細胞接着分子1")</f>
        <v>神経細胞接着分子1</v>
      </c>
      <c r="I3355" s="1" t="str">
        <f>IFERROR(__xludf.DUMMYFUNCTION("GOOGLETRANSLATE(E3355,""EN"",""JA"")"),"CD56; 神経細胞接着分子1")</f>
        <v>CD56; 神経細胞接着分子1</v>
      </c>
      <c r="J3355" s="1" t="str">
        <f>IFERROR(__xludf.DUMMYFUNCTION("GOOGLETRANSLATE(F3355,""EN"",""JA"")"),"生物標本中の神経細胞接着分子 1 の測定。")</f>
        <v>生物標本中の神経細胞接着分子 1 の測定。</v>
      </c>
      <c r="K3355" s="1" t="str">
        <f>IFERROR(__xludf.DUMMYFUNCTION("GOOGLETRANSLATE(G3355,""EN"",""JA"")"),"神経細胞接着分子1の測定")</f>
        <v>神経細胞接着分子1の測定</v>
      </c>
    </row>
    <row r="3356" ht="13.5" customHeight="1">
      <c r="A3356" s="1" t="s">
        <v>11</v>
      </c>
      <c r="B3356" s="1" t="s">
        <v>16825</v>
      </c>
      <c r="C3356" s="1" t="s">
        <v>16826</v>
      </c>
      <c r="D3356" s="1" t="s">
        <v>16827</v>
      </c>
      <c r="E3356" s="1" t="s">
        <v>16828</v>
      </c>
      <c r="F3356" s="1" t="s">
        <v>16829</v>
      </c>
      <c r="G3356" s="1" t="s">
        <v>16830</v>
      </c>
      <c r="H3356" s="1" t="str">
        <f>IFERROR(__xludf.DUMMYFUNCTION("GOOGLETRANSLATE(D3356,""EN"",""JA"")"),"ノシセプチン")</f>
        <v>ノシセプチン</v>
      </c>
      <c r="I3356" s="1" t="str">
        <f>IFERROR(__xludf.DUMMYFUNCTION("GOOGLETRANSLATE(E3356,""EN"",""JA"")"),"ノシセプチン; オルファニンFQ")</f>
        <v>ノシセプチン; オルファニンFQ</v>
      </c>
      <c r="J3356" s="1" t="str">
        <f>IFERROR(__xludf.DUMMYFUNCTION("GOOGLETRANSLATE(F3356,""EN"",""JA"")"),"生物標本中のノシセプチンの測定。")</f>
        <v>生物標本中のノシセプチンの測定。</v>
      </c>
      <c r="K3356" s="1" t="str">
        <f>IFERROR(__xludf.DUMMYFUNCTION("GOOGLETRANSLATE(G3356,""EN"",""JA"")"),"ノシセプチン測定")</f>
        <v>ノシセプチン測定</v>
      </c>
    </row>
    <row r="3357" ht="13.5" customHeight="1">
      <c r="A3357" s="1" t="s">
        <v>11</v>
      </c>
      <c r="B3357" s="1" t="s">
        <v>16831</v>
      </c>
      <c r="C3357" s="1" t="s">
        <v>16832</v>
      </c>
      <c r="D3357" s="1" t="s">
        <v>16833</v>
      </c>
      <c r="E3357" s="1" t="s">
        <v>16833</v>
      </c>
      <c r="F3357" s="1" t="s">
        <v>16834</v>
      </c>
      <c r="G3357" s="1" t="s">
        <v>16835</v>
      </c>
      <c r="H3357" s="1" t="str">
        <f>IFERROR(__xludf.DUMMYFUNCTION("GOOGLETRANSLATE(D3357,""EN"",""JA"")"),"ノルクロステボル")</f>
        <v>ノルクロステボル</v>
      </c>
      <c r="I3357" s="1" t="str">
        <f>IFERROR(__xludf.DUMMYFUNCTION("GOOGLETRANSLATE(E3357,""EN"",""JA"")"),"ノルクロステボル")</f>
        <v>ノルクロステボル</v>
      </c>
      <c r="J3357" s="1" t="str">
        <f>IFERROR(__xludf.DUMMYFUNCTION("GOOGLETRANSLATE(F3357,""EN"",""JA"")"),"生物標本中のノルクロステボルの測定。")</f>
        <v>生物標本中のノルクロステボルの測定。</v>
      </c>
      <c r="K3357" s="1" t="str">
        <f>IFERROR(__xludf.DUMMYFUNCTION("GOOGLETRANSLATE(G3357,""EN"",""JA"")"),"ノルクロステボル測定")</f>
        <v>ノルクロステボル測定</v>
      </c>
    </row>
    <row r="3358" ht="13.5" customHeight="1">
      <c r="A3358" s="1" t="s">
        <v>397</v>
      </c>
      <c r="B3358" s="1" t="s">
        <v>16836</v>
      </c>
      <c r="C3358" s="1" t="s">
        <v>16837</v>
      </c>
      <c r="D3358" s="1" t="s">
        <v>16838</v>
      </c>
      <c r="E3358" s="1" t="s">
        <v>16838</v>
      </c>
      <c r="F3358" s="1" t="s">
        <v>16839</v>
      </c>
      <c r="G3358" s="1" t="s">
        <v>16840</v>
      </c>
      <c r="H3358" s="1" t="str">
        <f>IFERROR(__xludf.DUMMYFUNCTION("GOOGLETRANSLATE(D3358,""EN"",""JA"")"),"グループ/コホートの数")</f>
        <v>グループ/コホートの数</v>
      </c>
      <c r="I3358" s="1" t="str">
        <f>IFERROR(__xludf.DUMMYFUNCTION("GOOGLETRANSLATE(E3358,""EN"",""JA"")"),"グループ/コホートの数")</f>
        <v>グループ/コホートの数</v>
      </c>
      <c r="J3358" s="1" t="str">
        <f>IFERROR(__xludf.DUMMYFUNCTION("GOOGLETRANSLATE(F3358,""EN"",""JA"")"),"調査の一部であるグループまたはコホートの数。")</f>
        <v>調査の一部であるグループまたはコホートの数。</v>
      </c>
      <c r="K3358" s="1" t="str">
        <f>IFERROR(__xludf.DUMMYFUNCTION("GOOGLETRANSLATE(G3358,""EN"",""JA"")"),"グループまたはコホートの数")</f>
        <v>グループまたはコホートの数</v>
      </c>
    </row>
    <row r="3359" ht="13.5" customHeight="1">
      <c r="A3359" s="1" t="s">
        <v>134</v>
      </c>
      <c r="B3359" s="1" t="s">
        <v>16841</v>
      </c>
      <c r="C3359" s="1" t="s">
        <v>16842</v>
      </c>
      <c r="D3359" s="1" t="s">
        <v>16843</v>
      </c>
      <c r="E3359" s="1" t="s">
        <v>16843</v>
      </c>
      <c r="F3359" s="1" t="s">
        <v>16844</v>
      </c>
      <c r="G3359" s="1" t="s">
        <v>16845</v>
      </c>
      <c r="H3359" s="1" t="str">
        <f>IFERROR(__xludf.DUMMYFUNCTION("GOOGLETRANSLATE(D3359,""EN"",""JA"")"),"核多形性")</f>
        <v>核多形性</v>
      </c>
      <c r="I3359" s="1" t="str">
        <f>IFERROR(__xludf.DUMMYFUNCTION("GOOGLETRANSLATE(E3359,""EN"",""JA"")"),"核多形性")</f>
        <v>核多形性</v>
      </c>
      <c r="J3359" s="1" t="str">
        <f>IFERROR(__xludf.DUMMYFUNCTION("GOOGLETRANSLATE(F3359,""EN"",""JA"")"),"生物標本における核多形性の評価。")</f>
        <v>生物標本における核多形性の評価。</v>
      </c>
      <c r="K3359" s="1" t="str">
        <f>IFERROR(__xludf.DUMMYFUNCTION("GOOGLETRANSLATE(G3359,""EN"",""JA"")"),"核多形性評価")</f>
        <v>核多形性評価</v>
      </c>
    </row>
    <row r="3360" ht="13.5" customHeight="1">
      <c r="A3360" s="1" t="s">
        <v>11</v>
      </c>
      <c r="B3360" s="1" t="s">
        <v>16846</v>
      </c>
      <c r="C3360" s="1" t="s">
        <v>16847</v>
      </c>
      <c r="D3360" s="1" t="s">
        <v>16848</v>
      </c>
      <c r="E3360" s="1" t="s">
        <v>16849</v>
      </c>
      <c r="F3360" s="1" t="s">
        <v>16850</v>
      </c>
      <c r="G3360" s="1" t="s">
        <v>16851</v>
      </c>
      <c r="H3360" s="1" t="str">
        <f>IFERROR(__xludf.DUMMYFUNCTION("GOOGLETRANSLATE(D3360,""EN"",""JA"")"),"5 プライムヌクレオチダーゼ")</f>
        <v>5 プライムヌクレオチダーゼ</v>
      </c>
      <c r="I3360" s="1" t="str">
        <f>IFERROR(__xludf.DUMMYFUNCTION("GOOGLETRANSLATE(E3360,""EN"",""JA"")"),"5プライムヌクレオチダーゼ; 5'-リボヌクレオチドホスホヒドロラーゼ")</f>
        <v>5プライムヌクレオチダーゼ; 5'-リボヌクレオチドホスホヒドロラーゼ</v>
      </c>
      <c r="J3360" s="1" t="str">
        <f>IFERROR(__xludf.DUMMYFUNCTION("GOOGLETRANSLATE(F3360,""EN"",""JA"")"),"生物標本中の 5'-ヌクレオチダーゼの測定。")</f>
        <v>生物標本中の 5'-ヌクレオチダーゼの測定。</v>
      </c>
      <c r="K3360" s="1" t="str">
        <f>IFERROR(__xludf.DUMMYFUNCTION("GOOGLETRANSLATE(G3360,""EN"",""JA"")"),"5プライムヌクレオチダーゼ測定")</f>
        <v>5プライムヌクレオチダーゼ測定</v>
      </c>
    </row>
    <row r="3361" ht="13.5" customHeight="1">
      <c r="A3361" s="1" t="s">
        <v>11</v>
      </c>
      <c r="B3361" s="1" t="s">
        <v>16852</v>
      </c>
      <c r="C3361" s="1" t="s">
        <v>16853</v>
      </c>
      <c r="D3361" s="1" t="s">
        <v>16854</v>
      </c>
      <c r="E3361" s="1" t="s">
        <v>16855</v>
      </c>
      <c r="F3361" s="1" t="s">
        <v>16856</v>
      </c>
      <c r="G3361" s="1" t="s">
        <v>16857</v>
      </c>
      <c r="H3361" s="1" t="str">
        <f>IFERROR(__xludf.DUMMYFUNCTION("GOOGLETRANSLATE(D3361,""EN"",""JA"")"),"ニコチングルクロニド")</f>
        <v>ニコチングルクロニド</v>
      </c>
      <c r="I3361" s="1" t="str">
        <f>IFERROR(__xludf.DUMMYFUNCTION("GOOGLETRANSLATE(E3361,""EN"",""JA"")"),"ニコチングルクロニド; ニコチンN-グルクロニド; ニコチングルクロニド")</f>
        <v>ニコチングルクロニド; ニコチンN-グルクロニド; ニコチングルクロニド</v>
      </c>
      <c r="J3361" s="1" t="str">
        <f>IFERROR(__xludf.DUMMYFUNCTION("GOOGLETRANSLATE(F3361,""EN"",""JA"")"),"検体中のニコチングルクロン酸抱合体の測定。")</f>
        <v>検体中のニコチングルクロン酸抱合体の測定。</v>
      </c>
      <c r="K3361" s="1" t="str">
        <f>IFERROR(__xludf.DUMMYFUNCTION("GOOGLETRANSLATE(G3361,""EN"",""JA"")"),"ニコチングルクロン酸抱合体測定")</f>
        <v>ニコチングルクロン酸抱合体測定</v>
      </c>
    </row>
    <row r="3362" ht="13.5" customHeight="1">
      <c r="A3362" s="1" t="s">
        <v>11</v>
      </c>
      <c r="B3362" s="1" t="s">
        <v>16858</v>
      </c>
      <c r="C3362" s="1" t="s">
        <v>16859</v>
      </c>
      <c r="D3362" s="1" t="s">
        <v>16860</v>
      </c>
      <c r="E3362" s="1" t="s">
        <v>16861</v>
      </c>
      <c r="F3362" s="1" t="s">
        <v>16862</v>
      </c>
      <c r="G3362" s="1" t="s">
        <v>16863</v>
      </c>
      <c r="H3362" s="1" t="str">
        <f>IFERROR(__xludf.DUMMYFUNCTION("GOOGLETRANSLATE(D3362,""EN"",""JA"")"),"ニコチンアミドホスホリボシルトランスフェラーゼ")</f>
        <v>ニコチンアミドホスホリボシルトランスフェラーゼ</v>
      </c>
      <c r="I3362" s="1" t="str">
        <f>IFERROR(__xludf.DUMMYFUNCTION("GOOGLETRANSLATE(E3362,""EN"",""JA"")"),"ニコチンアミドホスホリボシルトランスフェラーゼ; ビスファチン")</f>
        <v>ニコチンアミドホスホリボシルトランスフェラーゼ; ビスファチン</v>
      </c>
      <c r="J3362" s="1" t="str">
        <f>IFERROR(__xludf.DUMMYFUNCTION("GOOGLETRANSLATE(F3362,""EN"",""JA"")"),"生物標本中のニコチンアミドホスホリボシルトランスフェラーゼの測定。")</f>
        <v>生物標本中のニコチンアミドホスホリボシルトランスフェラーゼの測定。</v>
      </c>
      <c r="K3362" s="1" t="str">
        <f>IFERROR(__xludf.DUMMYFUNCTION("GOOGLETRANSLATE(G3362,""EN"",""JA"")"),"ニコチンアミドホスホリボシルトランスフェラーゼ測定")</f>
        <v>ニコチンアミドホスホリボシルトランスフェラーゼ測定</v>
      </c>
    </row>
    <row r="3363" ht="13.5" customHeight="1">
      <c r="A3363" s="1" t="s">
        <v>90</v>
      </c>
      <c r="B3363" s="1" t="s">
        <v>16864</v>
      </c>
      <c r="C3363" s="1" t="s">
        <v>16865</v>
      </c>
      <c r="D3363" s="1" t="s">
        <v>16866</v>
      </c>
      <c r="E3363" s="1" t="s">
        <v>16866</v>
      </c>
      <c r="F3363" s="1" t="s">
        <v>16867</v>
      </c>
      <c r="G3363" s="1" t="s">
        <v>16866</v>
      </c>
      <c r="H3363" s="1" t="str">
        <f>IFERROR(__xludf.DUMMYFUNCTION("GOOGLETRANSLATE(D3363,""EN"",""JA"")"),"自己心臓弁介入型")</f>
        <v>自己心臓弁介入型</v>
      </c>
      <c r="I3363" s="1" t="str">
        <f>IFERROR(__xludf.DUMMYFUNCTION("GOOGLETRANSLATE(E3363,""EN"",""JA"")"),"自己心臓弁介入型")</f>
        <v>自己心臓弁介入型</v>
      </c>
      <c r="J3363" s="1" t="str">
        <f>IFERROR(__xludf.DUMMYFUNCTION("GOOGLETRANSLATE(F3363,""EN"",""JA"")"),"生体心臓弁に対してどのような介入が行われたかについての説明。")</f>
        <v>生体心臓弁に対してどのような介入が行われたかについての説明。</v>
      </c>
      <c r="K3363" s="1" t="str">
        <f>IFERROR(__xludf.DUMMYFUNCTION("GOOGLETRANSLATE(G3363,""EN"",""JA"")"),"自己心臓弁介入型")</f>
        <v>自己心臓弁介入型</v>
      </c>
    </row>
    <row r="3364" ht="13.5" customHeight="1">
      <c r="A3364" s="1" t="s">
        <v>67</v>
      </c>
      <c r="B3364" s="1" t="s">
        <v>16868</v>
      </c>
      <c r="C3364" s="1" t="s">
        <v>16869</v>
      </c>
      <c r="D3364" s="1" t="s">
        <v>16870</v>
      </c>
      <c r="E3364" s="1" t="s">
        <v>16870</v>
      </c>
      <c r="F3364" s="1" t="s">
        <v>16871</v>
      </c>
      <c r="G3364" s="1" t="s">
        <v>16872</v>
      </c>
      <c r="H3364" s="1" t="str">
        <f>IFERROR(__xludf.DUMMYFUNCTION("GOOGLETRANSLATE(D3364,""EN"",""JA"")"),"ノカルジア・シリアシゲオルギカ")</f>
        <v>ノカルジア・シリアシゲオルギカ</v>
      </c>
      <c r="I3364" s="1" t="str">
        <f>IFERROR(__xludf.DUMMYFUNCTION("GOOGLETRANSLATE(E3364,""EN"",""JA"")"),"ノカルジア・シリアシゲオルギカ")</f>
        <v>ノカルジア・シリアシゲオルギカ</v>
      </c>
      <c r="J3364" s="1" t="str">
        <f>IFERROR(__xludf.DUMMYFUNCTION("GOOGLETRANSLATE(F3364,""EN"",""JA"")"),"生物標本中の Nocardia cyriacigeorgica の測定。")</f>
        <v>生物標本中の Nocardia cyriacigeorgica の測定。</v>
      </c>
      <c r="K3364" s="1" t="str">
        <f>IFERROR(__xludf.DUMMYFUNCTION("GOOGLETRANSLATE(G3364,""EN"",""JA"")"),"ノカルジア・シリアシゲオルギカ測定")</f>
        <v>ノカルジア・シリアシゲオルギカ測定</v>
      </c>
    </row>
    <row r="3365" ht="13.5" customHeight="1">
      <c r="A3365" s="1" t="s">
        <v>11</v>
      </c>
      <c r="B3365" s="1" t="s">
        <v>16873</v>
      </c>
      <c r="C3365" s="1" t="s">
        <v>16874</v>
      </c>
      <c r="D3365" s="1" t="s">
        <v>16875</v>
      </c>
      <c r="E3365" s="1" t="s">
        <v>16876</v>
      </c>
      <c r="F3365" s="1" t="s">
        <v>16877</v>
      </c>
      <c r="G3365" s="1" t="s">
        <v>16878</v>
      </c>
      <c r="H3365" s="1" t="str">
        <f>IFERROR(__xludf.DUMMYFUNCTION("GOOGLETRANSLATE(D3365,""EN"",""JA"")"),"N-デスメチルオランザピン")</f>
        <v>N-デスメチルオランザピン</v>
      </c>
      <c r="I3365" s="1" t="str">
        <f>IFERROR(__xludf.DUMMYFUNCTION("GOOGLETRANSLATE(E3365,""EN"",""JA"")"),"デスメチルオランザピン; DMO; N-デスメチルオランザピン; ノルランザピン")</f>
        <v>デスメチルオランザピン; DMO; N-デスメチルオランザピン; ノルランザピン</v>
      </c>
      <c r="J3365" s="1" t="str">
        <f>IFERROR(__xludf.DUMMYFUNCTION("GOOGLETRANSLATE(F3365,""EN"",""JA"")"),"生物標本中の N-デスメチルオランザピンの測定。")</f>
        <v>生物標本中の N-デスメチルオランザピンの測定。</v>
      </c>
      <c r="K3365" s="1" t="str">
        <f>IFERROR(__xludf.DUMMYFUNCTION("GOOGLETRANSLATE(G3365,""EN"",""JA"")"),"N-デスメチルオランザピン測定")</f>
        <v>N-デスメチルオランザピン測定</v>
      </c>
    </row>
    <row r="3366" ht="13.5" customHeight="1">
      <c r="A3366" s="1" t="s">
        <v>11</v>
      </c>
      <c r="B3366" s="1" t="s">
        <v>16879</v>
      </c>
      <c r="C3366" s="1" t="s">
        <v>16880</v>
      </c>
      <c r="D3366" s="1" t="s">
        <v>16881</v>
      </c>
      <c r="E3366" s="1" t="s">
        <v>16881</v>
      </c>
      <c r="F3366" s="1" t="s">
        <v>16882</v>
      </c>
      <c r="G3366" s="1" t="s">
        <v>16883</v>
      </c>
      <c r="H3366" s="1" t="str">
        <f>IFERROR(__xludf.DUMMYFUNCTION("GOOGLETRANSLATE(D3366,""EN"",""JA"")"),"N-脱メチラーゼ")</f>
        <v>N-脱メチラーゼ</v>
      </c>
      <c r="I3366" s="1" t="str">
        <f>IFERROR(__xludf.DUMMYFUNCTION("GOOGLETRANSLATE(E3366,""EN"",""JA"")"),"N-脱メチラーゼ")</f>
        <v>N-脱メチラーゼ</v>
      </c>
      <c r="J3366" s="1" t="str">
        <f>IFERROR(__xludf.DUMMYFUNCTION("GOOGLETRANSLATE(F3366,""EN"",""JA"")"),"生物標本中の N-デメチラーゼの測定。")</f>
        <v>生物標本中の N-デメチラーゼの測定。</v>
      </c>
      <c r="K3366" s="1" t="str">
        <f>IFERROR(__xludf.DUMMYFUNCTION("GOOGLETRANSLATE(G3366,""EN"",""JA"")"),"N-脱メチラーゼ測定")</f>
        <v>N-脱メチラーゼ測定</v>
      </c>
    </row>
    <row r="3367" ht="13.5" customHeight="1">
      <c r="A3367" s="1" t="s">
        <v>11</v>
      </c>
      <c r="B3367" s="1" t="s">
        <v>16884</v>
      </c>
      <c r="C3367" s="1" t="s">
        <v>16885</v>
      </c>
      <c r="D3367" s="1" t="s">
        <v>16886</v>
      </c>
      <c r="E3367" s="1" t="s">
        <v>16887</v>
      </c>
      <c r="F3367" s="1" t="s">
        <v>16888</v>
      </c>
      <c r="G3367" s="1" t="s">
        <v>16889</v>
      </c>
      <c r="H3367" s="1" t="str">
        <f>IFERROR(__xludf.DUMMYFUNCTION("GOOGLETRANSLATE(D3367,""EN"",""JA"")"),"N-デスメチルトラマドール")</f>
        <v>N-デスメチルトラマドール</v>
      </c>
      <c r="I3367" s="1" t="str">
        <f>IFERROR(__xludf.DUMMYFUNCTION("GOOGLETRANSLATE(E3367,""EN"",""JA"")"),"N-デスメチルトラマドール; N-DSMT")</f>
        <v>N-デスメチルトラマドール; N-DSMT</v>
      </c>
      <c r="J3367" s="1" t="str">
        <f>IFERROR(__xludf.DUMMYFUNCTION("GOOGLETRANSLATE(F3367,""EN"",""JA"")"),"生物標本中の N-デスメチルトラマドールの測定。")</f>
        <v>生物標本中の N-デスメチルトラマドールの測定。</v>
      </c>
      <c r="K3367" s="1" t="str">
        <f>IFERROR(__xludf.DUMMYFUNCTION("GOOGLETRANSLATE(G3367,""EN"",""JA"")"),"N-デスメチルトラマドール測定")</f>
        <v>N-デスメチルトラマドール測定</v>
      </c>
    </row>
    <row r="3368" ht="13.5" customHeight="1">
      <c r="A3368" s="1" t="s">
        <v>129</v>
      </c>
      <c r="B3368" s="1" t="s">
        <v>16890</v>
      </c>
      <c r="C3368" s="1" t="s">
        <v>16891</v>
      </c>
      <c r="D3368" s="1" t="s">
        <v>16892</v>
      </c>
      <c r="E3368" s="1" t="s">
        <v>16892</v>
      </c>
      <c r="F3368" s="1" t="s">
        <v>16893</v>
      </c>
      <c r="G3368" s="1" t="s">
        <v>16892</v>
      </c>
      <c r="H3368" s="1" t="str">
        <f>IFERROR(__xludf.DUMMYFUNCTION("GOOGLETRANSLATE(D3368,""EN"",""JA"")"),"首周り")</f>
        <v>首周り</v>
      </c>
      <c r="I3368" s="1" t="str">
        <f>IFERROR(__xludf.DUMMYFUNCTION("GOOGLETRANSLATE(E3368,""EN"",""JA"")"),"首周り")</f>
        <v>首周り</v>
      </c>
      <c r="J3368" s="1" t="str">
        <f>IFERROR(__xludf.DUMMYFUNCTION("GOOGLETRANSLATE(F3368,""EN"",""JA"")"),"喉頭のすぐ下の首の円周寸法。")</f>
        <v>喉頭のすぐ下の首の円周寸法。</v>
      </c>
      <c r="K3368" s="1" t="str">
        <f>IFERROR(__xludf.DUMMYFUNCTION("GOOGLETRANSLATE(G3368,""EN"",""JA"")"),"首周り")</f>
        <v>首周り</v>
      </c>
    </row>
    <row r="3369" ht="13.5" customHeight="1">
      <c r="A3369" s="1" t="s">
        <v>134</v>
      </c>
      <c r="B3369" s="1" t="s">
        <v>16894</v>
      </c>
      <c r="C3369" s="1" t="s">
        <v>16895</v>
      </c>
      <c r="D3369" s="1" t="s">
        <v>16896</v>
      </c>
      <c r="E3369" s="1" t="s">
        <v>16896</v>
      </c>
      <c r="F3369" s="1" t="s">
        <v>16897</v>
      </c>
      <c r="G3369" s="1" t="s">
        <v>16898</v>
      </c>
      <c r="H3369" s="1" t="str">
        <f>IFERROR(__xludf.DUMMYFUNCTION("GOOGLETRANSLATE(D3369,""EN"",""JA"")"),"腫瘍細胞")</f>
        <v>腫瘍細胞</v>
      </c>
      <c r="I3369" s="1" t="str">
        <f>IFERROR(__xludf.DUMMYFUNCTION("GOOGLETRANSLATE(E3369,""EN"",""JA"")"),"腫瘍細胞")</f>
        <v>腫瘍細胞</v>
      </c>
      <c r="J3369" s="1" t="str">
        <f>IFERROR(__xludf.DUMMYFUNCTION("GOOGLETRANSLATE(F3369,""EN"",""JA"")"),"生物標本内の腫瘍細胞の測定。")</f>
        <v>生物標本内の腫瘍細胞の測定。</v>
      </c>
      <c r="K3369" s="1" t="str">
        <f>IFERROR(__xludf.DUMMYFUNCTION("GOOGLETRANSLATE(G3369,""EN"",""JA"")"),"腫瘍細胞数")</f>
        <v>腫瘍細胞数</v>
      </c>
    </row>
    <row r="3370" ht="13.5" customHeight="1">
      <c r="A3370" s="1" t="s">
        <v>134</v>
      </c>
      <c r="B3370" s="1" t="s">
        <v>16899</v>
      </c>
      <c r="C3370" s="1" t="s">
        <v>16900</v>
      </c>
      <c r="D3370" s="1" t="s">
        <v>16901</v>
      </c>
      <c r="E3370" s="1" t="s">
        <v>16902</v>
      </c>
      <c r="F3370" s="1" t="s">
        <v>16903</v>
      </c>
      <c r="G3370" s="1" t="s">
        <v>16904</v>
      </c>
      <c r="H3370" s="1" t="str">
        <f>IFERROR(__xludf.DUMMYFUNCTION("GOOGLETRANSLATE(D3370,""EN"",""JA"")"),"腫瘍細胞/総細胞")</f>
        <v>腫瘍細胞/総細胞</v>
      </c>
      <c r="I3370" s="1" t="str">
        <f>IFERROR(__xludf.DUMMYFUNCTION("GOOGLETRANSLATE(E3370,""EN"",""JA"")"),"癌細胞密度；腫瘍細胞／総細胞；腫瘍細胞／総細胞")</f>
        <v>癌細胞密度；腫瘍細胞／総細胞；腫瘍細胞／総細胞</v>
      </c>
      <c r="J3370" s="1" t="str">
        <f>IFERROR(__xludf.DUMMYFUNCTION("GOOGLETRANSLATE(F3370,""EN"",""JA"")"),"生物標本内の総細胞数に対する腫瘍細胞の相対的な測定値（比率またはパーセンテージ）。")</f>
        <v>生物標本内の総細胞数に対する腫瘍細胞の相対的な測定値（比率またはパーセンテージ）。</v>
      </c>
      <c r="K3370" s="1" t="str">
        <f>IFERROR(__xludf.DUMMYFUNCTION("GOOGLETRANSLATE(G3370,""EN"",""JA"")"),"がん細胞密度測定")</f>
        <v>がん細胞密度測定</v>
      </c>
    </row>
    <row r="3371" ht="13.5" customHeight="1">
      <c r="A3371" s="1" t="s">
        <v>11</v>
      </c>
      <c r="B3371" s="1" t="s">
        <v>16905</v>
      </c>
      <c r="C3371" s="1" t="s">
        <v>16906</v>
      </c>
      <c r="D3371" s="1" t="s">
        <v>16907</v>
      </c>
      <c r="E3371" s="1" t="s">
        <v>16907</v>
      </c>
      <c r="F3371" s="1" t="s">
        <v>16908</v>
      </c>
      <c r="G3371" s="1" t="s">
        <v>16909</v>
      </c>
      <c r="H3371" s="1" t="str">
        <f>IFERROR(__xludf.DUMMYFUNCTION("GOOGLETRANSLATE(D3371,""EN"",""JA"")"),"ネオプテリン")</f>
        <v>ネオプテリン</v>
      </c>
      <c r="I3371" s="1" t="str">
        <f>IFERROR(__xludf.DUMMYFUNCTION("GOOGLETRANSLATE(E3371,""EN"",""JA"")"),"ネオプテリン")</f>
        <v>ネオプテリン</v>
      </c>
      <c r="J3371" s="1" t="str">
        <f>IFERROR(__xludf.DUMMYFUNCTION("GOOGLETRANSLATE(F3371,""EN"",""JA"")"),"生物標本中のネオプテリンの測定。")</f>
        <v>生物標本中のネオプテリンの測定。</v>
      </c>
      <c r="K3371" s="1" t="str">
        <f>IFERROR(__xludf.DUMMYFUNCTION("GOOGLETRANSLATE(G3371,""EN"",""JA"")"),"ネオプテリン測定")</f>
        <v>ネオプテリン測定</v>
      </c>
    </row>
    <row r="3372" ht="13.5" customHeight="1">
      <c r="A3372" s="1" t="s">
        <v>1997</v>
      </c>
      <c r="B3372" s="1" t="s">
        <v>16910</v>
      </c>
      <c r="C3372" s="1" t="s">
        <v>16911</v>
      </c>
      <c r="D3372" s="1" t="s">
        <v>16912</v>
      </c>
      <c r="E3372" s="1" t="s">
        <v>16912</v>
      </c>
      <c r="F3372" s="1" t="s">
        <v>16913</v>
      </c>
      <c r="G3372" s="1" t="s">
        <v>16914</v>
      </c>
      <c r="H3372" s="1" t="str">
        <f>IFERROR(__xludf.DUMMYFUNCTION("GOOGLETRANSLATE(D3372,""EN"",""JA"")"),"新生血管")</f>
        <v>新生血管</v>
      </c>
      <c r="I3372" s="1" t="str">
        <f>IFERROR(__xludf.DUMMYFUNCTION("GOOGLETRANSLATE(E3372,""EN"",""JA"")"),"新生血管")</f>
        <v>新生血管</v>
      </c>
      <c r="J3372" s="1" t="str">
        <f>IFERROR(__xludf.DUMMYFUNCTION("GOOGLETRANSLATE(F3372,""EN"",""JA"")"),"生物学的標本または部位における新生血管形成（新しい血管の形成）の評価。")</f>
        <v>生物学的標本または部位における新生血管形成（新しい血管の形成）の評価。</v>
      </c>
      <c r="K3372" s="1" t="str">
        <f>IFERROR(__xludf.DUMMYFUNCTION("GOOGLETRANSLATE(G3372,""EN"",""JA"")"),"新生血管評価")</f>
        <v>新生血管評価</v>
      </c>
    </row>
    <row r="3373" ht="13.5" customHeight="1">
      <c r="A3373" s="1" t="s">
        <v>11</v>
      </c>
      <c r="B3373" s="1" t="s">
        <v>16915</v>
      </c>
      <c r="C3373" s="1" t="s">
        <v>16916</v>
      </c>
      <c r="D3373" s="1" t="s">
        <v>16917</v>
      </c>
      <c r="E3373" s="1" t="s">
        <v>16918</v>
      </c>
      <c r="F3373" s="1" t="s">
        <v>16919</v>
      </c>
      <c r="G3373" s="1" t="s">
        <v>16920</v>
      </c>
      <c r="H3373" s="1" t="str">
        <f>IFERROR(__xludf.DUMMYFUNCTION("GOOGLETRANSLATE(D3373,""EN"",""JA"")"),"ネフリン")</f>
        <v>ネフリン</v>
      </c>
      <c r="I3373" s="1" t="str">
        <f>IFERROR(__xludf.DUMMYFUNCTION("GOOGLETRANSLATE(E3373,""EN"",""JA"")"),"ネフリン; NPHS1接着分子、ネフリン")</f>
        <v>ネフリン; NPHS1接着分子、ネフリン</v>
      </c>
      <c r="J3373" s="1" t="str">
        <f>IFERROR(__xludf.DUMMYFUNCTION("GOOGLETRANSLATE(F3373,""EN"",""JA"")"),"生物標本中のネフリンの測定。")</f>
        <v>生物標本中のネフリンの測定。</v>
      </c>
      <c r="K3373" s="1" t="str">
        <f>IFERROR(__xludf.DUMMYFUNCTION("GOOGLETRANSLATE(G3373,""EN"",""JA"")"),"ネフリン測定")</f>
        <v>ネフリン測定</v>
      </c>
    </row>
    <row r="3374" ht="13.5" customHeight="1">
      <c r="A3374" s="1" t="s">
        <v>11</v>
      </c>
      <c r="B3374" s="1" t="s">
        <v>16921</v>
      </c>
      <c r="C3374" s="1" t="s">
        <v>16922</v>
      </c>
      <c r="D3374" s="1" t="s">
        <v>16923</v>
      </c>
      <c r="E3374" s="1" t="s">
        <v>16923</v>
      </c>
      <c r="F3374" s="1" t="s">
        <v>16924</v>
      </c>
      <c r="G3374" s="1" t="s">
        <v>16925</v>
      </c>
      <c r="H3374" s="1" t="str">
        <f>IFERROR(__xludf.DUMMYFUNCTION("GOOGLETRANSLATE(D3374,""EN"",""JA"")"),"好中球性骨髄球/リンパ球")</f>
        <v>好中球性骨髄球/リンパ球</v>
      </c>
      <c r="I3374" s="1" t="str">
        <f>IFERROR(__xludf.DUMMYFUNCTION("GOOGLETRANSLATE(E3374,""EN"",""JA"")"),"好中球性骨髄球/リンパ球")</f>
        <v>好中球性骨髄球/リンパ球</v>
      </c>
      <c r="J3374" s="1" t="str">
        <f>IFERROR(__xludf.DUMMYFUNCTION("GOOGLETRANSLATE(F3374,""EN"",""JA"")"),"生物学的標本（骨髄標本など）中の好中球とリンパ球の相対的な測定値（比率またはパーセンテージ）。")</f>
        <v>生物学的標本（骨髄標本など）中の好中球とリンパ球の相対的な測定値（比率またはパーセンテージ）。</v>
      </c>
      <c r="K3374" s="1" t="str">
        <f>IFERROR(__xludf.DUMMYFUNCTION("GOOGLETRANSLATE(G3374,""EN"",""JA"")"),"好中球骨髄球とリンパ球の比率測定")</f>
        <v>好中球骨髄球とリンパ球の比率測定</v>
      </c>
    </row>
    <row r="3375" ht="13.5" customHeight="1">
      <c r="A3375" s="1" t="s">
        <v>1342</v>
      </c>
      <c r="B3375" s="1" t="s">
        <v>16926</v>
      </c>
      <c r="C3375" s="1" t="s">
        <v>16927</v>
      </c>
      <c r="D3375" s="1" t="s">
        <v>16928</v>
      </c>
      <c r="E3375" s="1" t="s">
        <v>16928</v>
      </c>
      <c r="F3375" s="1" t="s">
        <v>16929</v>
      </c>
      <c r="G3375" s="1" t="s">
        <v>16930</v>
      </c>
      <c r="H3375" s="1" t="str">
        <f>IFERROR(__xludf.DUMMYFUNCTION("GOOGLETRANSLATE(D3375,""EN"",""JA"")"),"神経学的状態")</f>
        <v>神経学的状態</v>
      </c>
      <c r="I3375" s="1" t="str">
        <f>IFERROR(__xludf.DUMMYFUNCTION("GOOGLETRANSLATE(E3375,""EN"",""JA"")"),"神経学的状態")</f>
        <v>神経学的状態</v>
      </c>
      <c r="J3375" s="1" t="str">
        <f>IFERROR(__xludf.DUMMYFUNCTION("GOOGLETRANSLATE(F3375,""EN"",""JA"")"),"治療に対する疾患の反応の状態として、評価またはスケールで測定される神経系の評価。")</f>
        <v>治療に対する疾患の反応の状態として、評価またはスケールで測定される神経系の評価。</v>
      </c>
      <c r="K3375" s="1" t="str">
        <f>IFERROR(__xludf.DUMMYFUNCTION("GOOGLETRANSLATE(G3375,""EN"",""JA"")"),"神経疾患反応状態評価")</f>
        <v>神経疾患反応状態評価</v>
      </c>
    </row>
    <row r="3376" ht="13.5" customHeight="1">
      <c r="A3376" s="1" t="s">
        <v>11</v>
      </c>
      <c r="B3376" s="1" t="s">
        <v>16931</v>
      </c>
      <c r="C3376" s="1" t="s">
        <v>16932</v>
      </c>
      <c r="D3376" s="1" t="s">
        <v>16933</v>
      </c>
      <c r="E3376" s="1" t="s">
        <v>16933</v>
      </c>
      <c r="F3376" s="1" t="s">
        <v>16934</v>
      </c>
      <c r="G3376" s="1" t="s">
        <v>16935</v>
      </c>
      <c r="H3376" s="1" t="str">
        <f>IFERROR(__xludf.DUMMYFUNCTION("GOOGLETRANSLATE(D3376,""EN"",""JA"")"),"好中球")</f>
        <v>好中球</v>
      </c>
      <c r="I3376" s="1" t="str">
        <f>IFERROR(__xludf.DUMMYFUNCTION("GOOGLETRANSLATE(E3376,""EN"",""JA"")"),"好中球")</f>
        <v>好中球</v>
      </c>
      <c r="J3376" s="1" t="str">
        <f>IFERROR(__xludf.DUMMYFUNCTION("GOOGLETRANSLATE(F3376,""EN"",""JA"")"),"生物標本中の好中球の測定。")</f>
        <v>生物標本中の好中球の測定。</v>
      </c>
      <c r="K3376" s="1" t="str">
        <f>IFERROR(__xludf.DUMMYFUNCTION("GOOGLETRANSLATE(G3376,""EN"",""JA"")"),"好中球絶対数")</f>
        <v>好中球絶対数</v>
      </c>
    </row>
    <row r="3377" ht="13.5" customHeight="1">
      <c r="A3377" s="1" t="s">
        <v>11</v>
      </c>
      <c r="B3377" s="1" t="s">
        <v>16936</v>
      </c>
      <c r="C3377" s="1" t="s">
        <v>16937</v>
      </c>
      <c r="D3377" s="1" t="s">
        <v>16938</v>
      </c>
      <c r="E3377" s="1" t="s">
        <v>16938</v>
      </c>
      <c r="F3377" s="1" t="s">
        <v>16939</v>
      </c>
      <c r="G3377" s="1" t="s">
        <v>16940</v>
      </c>
      <c r="H3377" s="1" t="str">
        <f>IFERROR(__xludf.DUMMYFUNCTION("GOOGLETRANSLATE(D3377,""EN"",""JA"")"),"無顆粒好中球")</f>
        <v>無顆粒好中球</v>
      </c>
      <c r="I3377" s="1" t="str">
        <f>IFERROR(__xludf.DUMMYFUNCTION("GOOGLETRANSLATE(E3377,""EN"",""JA"")"),"無顆粒好中球")</f>
        <v>無顆粒好中球</v>
      </c>
      <c r="J3377" s="1" t="str">
        <f>IFERROR(__xludf.DUMMYFUNCTION("GOOGLETRANSLATE(F3377,""EN"",""JA"")"),"生物学的標本中の無顆粒好中球の測定。")</f>
        <v>生物学的標本中の無顆粒好中球の測定。</v>
      </c>
      <c r="K3377" s="1" t="str">
        <f>IFERROR(__xludf.DUMMYFUNCTION("GOOGLETRANSLATE(G3377,""EN"",""JA"")"),"無顆粒好中球測定")</f>
        <v>無顆粒好中球測定</v>
      </c>
    </row>
    <row r="3378" ht="13.5" customHeight="1">
      <c r="A3378" s="1" t="s">
        <v>11</v>
      </c>
      <c r="B3378" s="1" t="s">
        <v>16941</v>
      </c>
      <c r="C3378" s="1" t="s">
        <v>16942</v>
      </c>
      <c r="D3378" s="1" t="s">
        <v>16943</v>
      </c>
      <c r="E3378" s="1" t="s">
        <v>16943</v>
      </c>
      <c r="F3378" s="1" t="s">
        <v>16944</v>
      </c>
      <c r="G3378" s="1" t="s">
        <v>16945</v>
      </c>
      <c r="H3378" s="1" t="str">
        <f>IFERROR(__xludf.DUMMYFUNCTION("GOOGLETRANSLATE(D3378,""EN"",""JA"")"),"好中球バンドフォーム")</f>
        <v>好中球バンドフォーム</v>
      </c>
      <c r="I3378" s="1" t="str">
        <f>IFERROR(__xludf.DUMMYFUNCTION("GOOGLETRANSLATE(E3378,""EN"",""JA"")"),"好中球バンドフォーム")</f>
        <v>好中球バンドフォーム</v>
      </c>
      <c r="J3378" s="1" t="str">
        <f>IFERROR(__xludf.DUMMYFUNCTION("GOOGLETRANSLATE(F3378,""EN"",""JA"")"),"生物標本中のバンド状の好中球の測定。")</f>
        <v>生物標本中のバンド状の好中球の測定。</v>
      </c>
      <c r="K3378" s="1" t="str">
        <f>IFERROR(__xludf.DUMMYFUNCTION("GOOGLETRANSLATE(G3378,""EN"",""JA"")"),"好中球桿体数")</f>
        <v>好中球桿体数</v>
      </c>
    </row>
    <row r="3379" ht="13.5" customHeight="1">
      <c r="A3379" s="1" t="s">
        <v>134</v>
      </c>
      <c r="B3379" s="1" t="s">
        <v>16946</v>
      </c>
      <c r="C3379" s="1" t="s">
        <v>16947</v>
      </c>
      <c r="D3379" s="1" t="s">
        <v>16948</v>
      </c>
      <c r="E3379" s="1" t="s">
        <v>16948</v>
      </c>
      <c r="F3379" s="1" t="s">
        <v>16949</v>
      </c>
      <c r="G3379" s="1" t="s">
        <v>16950</v>
      </c>
      <c r="H3379" s="1" t="str">
        <f>IFERROR(__xludf.DUMMYFUNCTION("GOOGLETRANSLATE(D3379,""EN"",""JA"")"),"好中球バンドフォーム/総細胞")</f>
        <v>好中球バンドフォーム/総細胞</v>
      </c>
      <c r="I3379" s="1" t="str">
        <f>IFERROR(__xludf.DUMMYFUNCTION("GOOGLETRANSLATE(E3379,""EN"",""JA"")"),"好中球バンドフォーム/総細胞")</f>
        <v>好中球バンドフォーム/総細胞</v>
      </c>
      <c r="J3379" s="1" t="str">
        <f>IFERROR(__xludf.DUMMYFUNCTION("GOOGLETRANSLATE(F3379,""EN"",""JA"")"),"生物標本中のバンド状の好中球と総細胞の相対的な測定値（比率またはパーセンテージ）。")</f>
        <v>生物標本中のバンド状の好中球と総細胞の相対的な測定値（比率またはパーセンテージ）。</v>
      </c>
      <c r="K3379" s="1" t="str">
        <f>IFERROR(__xludf.DUMMYFUNCTION("GOOGLETRANSLATE(G3379,""EN"",""JA"")"),"好中球バンドフォーム対総細胞比測定")</f>
        <v>好中球バンドフォーム対総細胞比測定</v>
      </c>
    </row>
    <row r="3380" ht="13.5" customHeight="1">
      <c r="A3380" s="1" t="s">
        <v>11</v>
      </c>
      <c r="B3380" s="1" t="s">
        <v>16946</v>
      </c>
      <c r="C3380" s="1" t="s">
        <v>16947</v>
      </c>
      <c r="D3380" s="1" t="s">
        <v>16948</v>
      </c>
      <c r="E3380" s="1" t="s">
        <v>16948</v>
      </c>
      <c r="F3380" s="1" t="s">
        <v>16949</v>
      </c>
      <c r="G3380" s="1" t="s">
        <v>16950</v>
      </c>
      <c r="H3380" s="1" t="str">
        <f>IFERROR(__xludf.DUMMYFUNCTION("GOOGLETRANSLATE(D3380,""EN"",""JA"")"),"好中球バンドフォーム/総細胞")</f>
        <v>好中球バンドフォーム/総細胞</v>
      </c>
      <c r="I3380" s="1" t="str">
        <f>IFERROR(__xludf.DUMMYFUNCTION("GOOGLETRANSLATE(E3380,""EN"",""JA"")"),"好中球バンドフォーム/総細胞")</f>
        <v>好中球バンドフォーム/総細胞</v>
      </c>
      <c r="J3380" s="1" t="str">
        <f>IFERROR(__xludf.DUMMYFUNCTION("GOOGLETRANSLATE(F3380,""EN"",""JA"")"),"生物標本中のバンド状の好中球と総細胞の相対的な測定値（比率またはパーセンテージ）。")</f>
        <v>生物標本中のバンド状の好中球と総細胞の相対的な測定値（比率またはパーセンテージ）。</v>
      </c>
      <c r="K3380" s="1" t="str">
        <f>IFERROR(__xludf.DUMMYFUNCTION("GOOGLETRANSLATE(G3380,""EN"",""JA"")"),"好中球バンドフォーム対総細胞比測定")</f>
        <v>好中球バンドフォーム対総細胞比測定</v>
      </c>
    </row>
    <row r="3381" ht="13.5" customHeight="1">
      <c r="A3381" s="1" t="s">
        <v>11</v>
      </c>
      <c r="B3381" s="1" t="s">
        <v>16951</v>
      </c>
      <c r="C3381" s="1" t="s">
        <v>16952</v>
      </c>
      <c r="D3381" s="1" t="s">
        <v>16953</v>
      </c>
      <c r="E3381" s="1" t="s">
        <v>16953</v>
      </c>
      <c r="F3381" s="1" t="s">
        <v>16954</v>
      </c>
      <c r="G3381" s="1" t="s">
        <v>16955</v>
      </c>
      <c r="H3381" s="1" t="str">
        <f>IFERROR(__xludf.DUMMYFUNCTION("GOOGLETRANSLATE(D3381,""EN"",""JA"")"),"好中球桿体/白血球")</f>
        <v>好中球桿体/白血球</v>
      </c>
      <c r="I3381" s="1" t="str">
        <f>IFERROR(__xludf.DUMMYFUNCTION("GOOGLETRANSLATE(E3381,""EN"",""JA"")"),"好中球桿体/白血球")</f>
        <v>好中球桿体/白血球</v>
      </c>
      <c r="J3381" s="1" t="str">
        <f>IFERROR(__xludf.DUMMYFUNCTION("GOOGLETRANSLATE(F3381,""EN"",""JA"")"),"生物標本中の白血球に対するバンド状の好中球の相対的な測定値（比率またはパーセンテージ）。")</f>
        <v>生物標本中の白血球に対するバンド状の好中球の相対的な測定値（比率またはパーセンテージ）。</v>
      </c>
      <c r="K3381" s="1" t="str">
        <f>IFERROR(__xludf.DUMMYFUNCTION("GOOGLETRANSLATE(G3381,""EN"",""JA"")"),"好中球桿体と白血球の比率")</f>
        <v>好中球桿体と白血球の比率</v>
      </c>
    </row>
    <row r="3382" ht="13.5" customHeight="1">
      <c r="A3382" s="1" t="s">
        <v>11</v>
      </c>
      <c r="B3382" s="1" t="s">
        <v>16956</v>
      </c>
      <c r="C3382" s="1" t="s">
        <v>16957</v>
      </c>
      <c r="D3382" s="1" t="s">
        <v>16958</v>
      </c>
      <c r="E3382" s="1" t="s">
        <v>16958</v>
      </c>
      <c r="F3382" s="1" t="s">
        <v>16959</v>
      </c>
      <c r="G3382" s="1" t="s">
        <v>16960</v>
      </c>
      <c r="H3382" s="1" t="str">
        <f>IFERROR(__xludf.DUMMYFUNCTION("GOOGLETRANSLATE(D3382,""EN"",""JA"")"),"好中球桿体/好中球")</f>
        <v>好中球桿体/好中球</v>
      </c>
      <c r="I3382" s="1" t="str">
        <f>IFERROR(__xludf.DUMMYFUNCTION("GOOGLETRANSLATE(E3382,""EN"",""JA"")"),"好中球桿体/好中球")</f>
        <v>好中球桿体/好中球</v>
      </c>
      <c r="J3382" s="1" t="str">
        <f>IFERROR(__xludf.DUMMYFUNCTION("GOOGLETRANSLATE(F3382,""EN"",""JA"")"),"生物標本中のバンド好中球と総好中球数の相対的な測定値（比率またはパーセンテージ）。")</f>
        <v>生物標本中のバンド好中球と総好中球数の相対的な測定値（比率またはパーセンテージ）。</v>
      </c>
      <c r="K3382" s="1" t="str">
        <f>IFERROR(__xludf.DUMMYFUNCTION("GOOGLETRANSLATE(G3382,""EN"",""JA"")"),"好中球バンドフォームと好中球比の測定")</f>
        <v>好中球バンドフォームと好中球比の測定</v>
      </c>
    </row>
    <row r="3383" ht="13.5" customHeight="1">
      <c r="A3383" s="1" t="s">
        <v>11</v>
      </c>
      <c r="B3383" s="1" t="s">
        <v>16961</v>
      </c>
      <c r="C3383" s="1" t="s">
        <v>16962</v>
      </c>
      <c r="D3383" s="1" t="s">
        <v>16963</v>
      </c>
      <c r="E3383" s="1" t="s">
        <v>16963</v>
      </c>
      <c r="F3383" s="1" t="s">
        <v>16964</v>
      </c>
      <c r="G3383" s="1" t="s">
        <v>16965</v>
      </c>
      <c r="H3383" s="1" t="str">
        <f>IFERROR(__xludf.DUMMYFUNCTION("GOOGLETRANSLATE(D3383,""EN"",""JA"")"),"好中球/総細胞")</f>
        <v>好中球/総細胞</v>
      </c>
      <c r="I3383" s="1" t="str">
        <f>IFERROR(__xludf.DUMMYFUNCTION("GOOGLETRANSLATE(E3383,""EN"",""JA"")"),"好中球/総細胞")</f>
        <v>好中球/総細胞</v>
      </c>
      <c r="J3383" s="1" t="str">
        <f>IFERROR(__xludf.DUMMYFUNCTION("GOOGLETRANSLATE(F3383,""EN"",""JA"")"),"生物学的標本（骨髄標本など）内の好中球と総細胞の相対的な測定値（比率またはパーセンテージ）。")</f>
        <v>生物学的標本（骨髄標本など）内の好中球と総細胞の相対的な測定値（比率またはパーセンテージ）。</v>
      </c>
      <c r="K3383" s="1" t="str">
        <f>IFERROR(__xludf.DUMMYFUNCTION("GOOGLETRANSLATE(G3383,""EN"",""JA"")"),"好中球対総細胞比測定")</f>
        <v>好中球対総細胞比測定</v>
      </c>
    </row>
    <row r="3384" ht="13.5" customHeight="1">
      <c r="A3384" s="1" t="s">
        <v>11</v>
      </c>
      <c r="B3384" s="1" t="s">
        <v>16966</v>
      </c>
      <c r="C3384" s="1" t="s">
        <v>16967</v>
      </c>
      <c r="D3384" s="1" t="s">
        <v>16968</v>
      </c>
      <c r="E3384" s="1" t="s">
        <v>16968</v>
      </c>
      <c r="F3384" s="1" t="s">
        <v>16969</v>
      </c>
      <c r="G3384" s="1" t="s">
        <v>16970</v>
      </c>
      <c r="H3384" s="1" t="str">
        <f>IFERROR(__xludf.DUMMYFUNCTION("GOOGLETRANSLATE(D3384,""EN"",""JA"")"),"細胞質好塩基球")</f>
        <v>細胞質好塩基球</v>
      </c>
      <c r="I3384" s="1" t="str">
        <f>IFERROR(__xludf.DUMMYFUNCTION("GOOGLETRANSLATE(E3384,""EN"",""JA"")"),"細胞質好塩基球")</f>
        <v>細胞質好塩基球</v>
      </c>
      <c r="J3384" s="1" t="str">
        <f>IFERROR(__xludf.DUMMYFUNCTION("GOOGLETRANSLATE(F3384,""EN"",""JA"")"),"生物学的標本中の好中球の測定値。酸性度の増加により細胞質に暗い染色パターンが見られます。")</f>
        <v>生物学的標本中の好中球の測定値。酸性度の増加により細胞質に暗い染色パターンが見られます。</v>
      </c>
      <c r="K3384" s="1" t="str">
        <f>IFERROR(__xludf.DUMMYFUNCTION("GOOGLETRANSLATE(G3384,""EN"",""JA"")"),"細胞質好塩基球数")</f>
        <v>細胞質好塩基球数</v>
      </c>
    </row>
    <row r="3385" ht="13.5" customHeight="1">
      <c r="A3385" s="1" t="s">
        <v>134</v>
      </c>
      <c r="B3385" s="1" t="s">
        <v>16971</v>
      </c>
      <c r="C3385" s="1" t="s">
        <v>16972</v>
      </c>
      <c r="D3385" s="1" t="s">
        <v>16973</v>
      </c>
      <c r="E3385" s="1" t="s">
        <v>16973</v>
      </c>
      <c r="F3385" s="1" t="s">
        <v>16974</v>
      </c>
      <c r="G3385" s="1" t="s">
        <v>16975</v>
      </c>
      <c r="H3385" s="1" t="str">
        <f>IFERROR(__xludf.DUMMYFUNCTION("GOOGLETRANSLATE(D3385,""EN"",""JA"")"),"上皮中の好中球")</f>
        <v>上皮中の好中球</v>
      </c>
      <c r="I3385" s="1" t="str">
        <f>IFERROR(__xludf.DUMMYFUNCTION("GOOGLETRANSLATE(E3385,""EN"",""JA"")"),"上皮中の好中球")</f>
        <v>上皮中の好中球</v>
      </c>
      <c r="J3385" s="1" t="str">
        <f>IFERROR(__xludf.DUMMYFUNCTION("GOOGLETRANSLATE(F3385,""EN"",""JA"")"),"生物標本における上皮内の好中球の評価。")</f>
        <v>生物標本における上皮内の好中球の評価。</v>
      </c>
      <c r="K3385" s="1" t="str">
        <f>IFERROR(__xludf.DUMMYFUNCTION("GOOGLETRANSLATE(G3385,""EN"",""JA"")"),"上皮中の好中球の評価")</f>
        <v>上皮中の好中球の評価</v>
      </c>
    </row>
    <row r="3386" ht="13.5" customHeight="1">
      <c r="A3386" s="1" t="s">
        <v>11</v>
      </c>
      <c r="B3386" s="1" t="s">
        <v>16976</v>
      </c>
      <c r="C3386" s="1" t="s">
        <v>16977</v>
      </c>
      <c r="D3386" s="1" t="s">
        <v>16978</v>
      </c>
      <c r="E3386" s="1" t="s">
        <v>16978</v>
      </c>
      <c r="F3386" s="1" t="s">
        <v>16979</v>
      </c>
      <c r="G3386" s="1" t="s">
        <v>16980</v>
      </c>
      <c r="H3386" s="1" t="str">
        <f>IFERROR(__xludf.DUMMYFUNCTION("GOOGLETRANSLATE(D3386,""EN"",""JA"")"),"巨大好中球")</f>
        <v>巨大好中球</v>
      </c>
      <c r="I3386" s="1" t="str">
        <f>IFERROR(__xludf.DUMMYFUNCTION("GOOGLETRANSLATE(E3386,""EN"",""JA"")"),"巨大好中球")</f>
        <v>巨大好中球</v>
      </c>
      <c r="J3386" s="1" t="str">
        <f>IFERROR(__xludf.DUMMYFUNCTION("GOOGLETRANSLATE(F3386,""EN"",""JA"")"),"生物標本中の巨大好中球の測定。")</f>
        <v>生物標本中の巨大好中球の測定。</v>
      </c>
      <c r="K3386" s="1" t="str">
        <f>IFERROR(__xludf.DUMMYFUNCTION("GOOGLETRANSLATE(G3386,""EN"",""JA"")"),"巨大好中球数")</f>
        <v>巨大好中球数</v>
      </c>
    </row>
    <row r="3387" ht="13.5" customHeight="1">
      <c r="A3387" s="1" t="s">
        <v>11</v>
      </c>
      <c r="B3387" s="1" t="s">
        <v>16981</v>
      </c>
      <c r="C3387" s="1" t="s">
        <v>16982</v>
      </c>
      <c r="D3387" s="1" t="s">
        <v>16983</v>
      </c>
      <c r="E3387" s="1" t="s">
        <v>16983</v>
      </c>
      <c r="F3387" s="1" t="s">
        <v>16984</v>
      </c>
      <c r="G3387" s="1" t="s">
        <v>16985</v>
      </c>
      <c r="H3387" s="1" t="str">
        <f>IFERROR(__xludf.DUMMYFUNCTION("GOOGLETRANSLATE(D3387,""EN"",""JA"")"),"低顆粒球好中球")</f>
        <v>低顆粒球好中球</v>
      </c>
      <c r="I3387" s="1" t="str">
        <f>IFERROR(__xludf.DUMMYFUNCTION("GOOGLETRANSLATE(E3387,""EN"",""JA"")"),"低顆粒球好中球")</f>
        <v>低顆粒球好中球</v>
      </c>
      <c r="J3387" s="1" t="str">
        <f>IFERROR(__xludf.DUMMYFUNCTION("GOOGLETRANSLATE(F3387,""EN"",""JA"")"),"生物学的標本中の低顆粒性好中球の測定。")</f>
        <v>生物学的標本中の低顆粒性好中球の測定。</v>
      </c>
      <c r="K3387" s="1" t="str">
        <f>IFERROR(__xludf.DUMMYFUNCTION("GOOGLETRANSLATE(G3387,""EN"",""JA"")"),"低顆粒球好中球測定")</f>
        <v>低顆粒球好中球測定</v>
      </c>
    </row>
    <row r="3388" ht="13.5" customHeight="1">
      <c r="A3388" s="1" t="s">
        <v>11</v>
      </c>
      <c r="B3388" s="1" t="s">
        <v>16986</v>
      </c>
      <c r="C3388" s="1" t="s">
        <v>16987</v>
      </c>
      <c r="D3388" s="1" t="s">
        <v>16988</v>
      </c>
      <c r="E3388" s="1" t="s">
        <v>16988</v>
      </c>
      <c r="F3388" s="1" t="s">
        <v>16989</v>
      </c>
      <c r="G3388" s="1" t="s">
        <v>16990</v>
      </c>
      <c r="H3388" s="1" t="str">
        <f>IFERROR(__xludf.DUMMYFUNCTION("GOOGLETRANSLATE(D3388,""EN"",""JA"")"),"未熟な好中球")</f>
        <v>未熟な好中球</v>
      </c>
      <c r="I3388" s="1" t="str">
        <f>IFERROR(__xludf.DUMMYFUNCTION("GOOGLETRANSLATE(E3388,""EN"",""JA"")"),"未熟な好中球")</f>
        <v>未熟な好中球</v>
      </c>
      <c r="J3388" s="1" t="str">
        <f>IFERROR(__xludf.DUMMYFUNCTION("GOOGLETRANSLATE(F3388,""EN"",""JA"")"),"生物標本中の未熟好中球の総数の測定。")</f>
        <v>生物標本中の未熟好中球の総数の測定。</v>
      </c>
      <c r="K3388" s="1" t="str">
        <f>IFERROR(__xludf.DUMMYFUNCTION("GOOGLETRANSLATE(G3388,""EN"",""JA"")"),"幼若好中球数")</f>
        <v>幼若好中球数</v>
      </c>
    </row>
    <row r="3389" ht="13.5" customHeight="1">
      <c r="A3389" s="1" t="s">
        <v>11</v>
      </c>
      <c r="B3389" s="1" t="s">
        <v>16991</v>
      </c>
      <c r="C3389" s="1" t="s">
        <v>16992</v>
      </c>
      <c r="D3389" s="1" t="s">
        <v>16993</v>
      </c>
      <c r="E3389" s="1" t="s">
        <v>16993</v>
      </c>
      <c r="F3389" s="1" t="s">
        <v>16994</v>
      </c>
      <c r="G3389" s="1" t="s">
        <v>16995</v>
      </c>
      <c r="H3389" s="1" t="str">
        <f>IFERROR(__xludf.DUMMYFUNCTION("GOOGLETRANSLATE(D3389,""EN"",""JA"")"),"未熟な好中球/白血球")</f>
        <v>未熟な好中球/白血球</v>
      </c>
      <c r="I3389" s="1" t="str">
        <f>IFERROR(__xludf.DUMMYFUNCTION("GOOGLETRANSLATE(E3389,""EN"",""JA"")"),"未熟な好中球/白血球")</f>
        <v>未熟な好中球/白血球</v>
      </c>
      <c r="J3389" s="1" t="str">
        <f>IFERROR(__xludf.DUMMYFUNCTION("GOOGLETRANSLATE(F3389,""EN"",""JA"")"),"生物標本中の未熟好中球と白血球の相対的な測定値（比率またはパーセンテージ）。")</f>
        <v>生物標本中の未熟好中球と白血球の相対的な測定値（比率またはパーセンテージ）。</v>
      </c>
      <c r="K3389" s="1" t="str">
        <f>IFERROR(__xludf.DUMMYFUNCTION("GOOGLETRANSLATE(G3389,""EN"",""JA"")"),"幼若好中球と白血球の比測定")</f>
        <v>幼若好中球と白血球の比測定</v>
      </c>
    </row>
    <row r="3390" ht="13.5" customHeight="1">
      <c r="A3390" s="1" t="s">
        <v>11</v>
      </c>
      <c r="B3390" s="1" t="s">
        <v>16996</v>
      </c>
      <c r="C3390" s="1" t="s">
        <v>16997</v>
      </c>
      <c r="D3390" s="1" t="s">
        <v>16998</v>
      </c>
      <c r="E3390" s="1" t="s">
        <v>16998</v>
      </c>
      <c r="F3390" s="1" t="s">
        <v>16999</v>
      </c>
      <c r="G3390" s="1" t="s">
        <v>17000</v>
      </c>
      <c r="H3390" s="1" t="str">
        <f>IFERROR(__xludf.DUMMYFUNCTION("GOOGLETRANSLATE(D3390,""EN"",""JA"")"),"好中球/白血球")</f>
        <v>好中球/白血球</v>
      </c>
      <c r="I3390" s="1" t="str">
        <f>IFERROR(__xludf.DUMMYFUNCTION("GOOGLETRANSLATE(E3390,""EN"",""JA"")"),"好中球/白血球")</f>
        <v>好中球/白血球</v>
      </c>
      <c r="J3390" s="1" t="str">
        <f>IFERROR(__xludf.DUMMYFUNCTION("GOOGLETRANSLATE(F3390,""EN"",""JA"")"),"生物標本中の好中球と白血球の相対的な測定値（比率またはパーセンテージ）。")</f>
        <v>生物標本中の好中球と白血球の相対的な測定値（比率またはパーセンテージ）。</v>
      </c>
      <c r="K3390" s="1" t="str">
        <f>IFERROR(__xludf.DUMMYFUNCTION("GOOGLETRANSLATE(G3390,""EN"",""JA"")"),"好中球と白血球の比の測定")</f>
        <v>好中球と白血球の比の測定</v>
      </c>
    </row>
    <row r="3391" ht="13.5" customHeight="1">
      <c r="A3391" s="1" t="s">
        <v>134</v>
      </c>
      <c r="B3391" s="1" t="s">
        <v>17001</v>
      </c>
      <c r="C3391" s="1" t="s">
        <v>17002</v>
      </c>
      <c r="D3391" s="1" t="s">
        <v>17003</v>
      </c>
      <c r="E3391" s="1" t="s">
        <v>17004</v>
      </c>
      <c r="F3391" s="1" t="s">
        <v>17005</v>
      </c>
      <c r="G3391" s="1" t="s">
        <v>17006</v>
      </c>
      <c r="H3391" s="1" t="str">
        <f>IFERROR(__xludf.DUMMYFUNCTION("GOOGLETRANSLATE(D3391,""EN"",""JA"")"),"粘膜固有層の好中球")</f>
        <v>粘膜固有層の好中球</v>
      </c>
      <c r="I3391" s="1" t="str">
        <f>IFERROR(__xludf.DUMMYFUNCTION("GOOGLETRANSLATE(E3391,""EN"",""JA"")"),"固有層好中球;固有層の好中球")</f>
        <v>固有層好中球;固有層の好中球</v>
      </c>
      <c r="J3391" s="1" t="str">
        <f>IFERROR(__xludf.DUMMYFUNCTION("GOOGLETRANSLATE(F3391,""EN"",""JA"")"),"生物標本の粘膜固有層の好中球の評価。")</f>
        <v>生物標本の粘膜固有層の好中球の評価。</v>
      </c>
      <c r="K3391" s="1" t="str">
        <f>IFERROR(__xludf.DUMMYFUNCTION("GOOGLETRANSLATE(G3391,""EN"",""JA"")"),"粘膜固有層中の好中球の評価")</f>
        <v>粘膜固有層中の好中球の評価</v>
      </c>
    </row>
    <row r="3392" ht="13.5" customHeight="1">
      <c r="A3392" s="1" t="s">
        <v>11</v>
      </c>
      <c r="B3392" s="1" t="s">
        <v>17007</v>
      </c>
      <c r="C3392" s="1" t="s">
        <v>17008</v>
      </c>
      <c r="D3392" s="1" t="s">
        <v>17009</v>
      </c>
      <c r="E3392" s="1" t="s">
        <v>17009</v>
      </c>
      <c r="F3392" s="1" t="s">
        <v>17010</v>
      </c>
      <c r="G3392" s="1" t="s">
        <v>17011</v>
      </c>
      <c r="H3392" s="1" t="str">
        <f>IFERROR(__xludf.DUMMYFUNCTION("GOOGLETRANSLATE(D3392,""EN"",""JA"")"),"左シフト好中球")</f>
        <v>左シフト好中球</v>
      </c>
      <c r="I3392" s="1" t="str">
        <f>IFERROR(__xludf.DUMMYFUNCTION("GOOGLETRANSLATE(E3392,""EN"",""JA"")"),"左シフト好中球")</f>
        <v>左シフト好中球</v>
      </c>
      <c r="J3392" s="1" t="str">
        <f>IFERROR(__xludf.DUMMYFUNCTION("GOOGLETRANSLATE(F3392,""EN"",""JA"")"),"生物標本中の桿体好中球および好中球前駆細胞を含む未熟好中球の正常範囲を超える発生率の観察。")</f>
        <v>生物標本中の桿体好中球および好中球前駆細胞を含む未熟好中球の正常範囲を超える発生率の観察。</v>
      </c>
      <c r="K3392" s="1" t="str">
        <f>IFERROR(__xludf.DUMMYFUNCTION("GOOGLETRANSLATE(G3392,""EN"",""JA"")"),"左シフト好中球測定")</f>
        <v>左シフト好中球測定</v>
      </c>
    </row>
    <row r="3393" ht="13.5" customHeight="1">
      <c r="A3393" s="1" t="s">
        <v>11</v>
      </c>
      <c r="B3393" s="1" t="s">
        <v>17012</v>
      </c>
      <c r="C3393" s="1" t="s">
        <v>17013</v>
      </c>
      <c r="D3393" s="1" t="s">
        <v>17014</v>
      </c>
      <c r="E3393" s="1" t="s">
        <v>17014</v>
      </c>
      <c r="F3393" s="1" t="s">
        <v>17015</v>
      </c>
      <c r="G3393" s="1" t="s">
        <v>17016</v>
      </c>
      <c r="H3393" s="1" t="str">
        <f>IFERROR(__xludf.DUMMYFUNCTION("GOOGLETRANSLATE(D3393,""EN"",""JA"")"),"好中球/リンパ球")</f>
        <v>好中球/リンパ球</v>
      </c>
      <c r="I3393" s="1" t="str">
        <f>IFERROR(__xludf.DUMMYFUNCTION("GOOGLETRANSLATE(E3393,""EN"",""JA"")"),"好中球/リンパ球")</f>
        <v>好中球/リンパ球</v>
      </c>
      <c r="J3393" s="1" t="str">
        <f>IFERROR(__xludf.DUMMYFUNCTION("GOOGLETRANSLATE(F3393,""EN"",""JA"")"),"生物標本中の好中球とリンパ球の相対的な測定値（比率）。")</f>
        <v>生物標本中の好中球とリンパ球の相対的な測定値（比率）。</v>
      </c>
      <c r="K3393" s="1" t="str">
        <f>IFERROR(__xludf.DUMMYFUNCTION("GOOGLETRANSLATE(G3393,""EN"",""JA"")"),"好中球対リンパ球比測定")</f>
        <v>好中球対リンパ球比測定</v>
      </c>
    </row>
    <row r="3394" ht="13.5" customHeight="1">
      <c r="A3394" s="1" t="s">
        <v>11</v>
      </c>
      <c r="B3394" s="1" t="s">
        <v>17017</v>
      </c>
      <c r="C3394" s="1" t="s">
        <v>17018</v>
      </c>
      <c r="D3394" s="1" t="s">
        <v>17019</v>
      </c>
      <c r="E3394" s="1" t="s">
        <v>17019</v>
      </c>
      <c r="F3394" s="1" t="s">
        <v>17020</v>
      </c>
      <c r="G3394" s="1" t="s">
        <v>17021</v>
      </c>
      <c r="H3394" s="1" t="str">
        <f>IFERROR(__xludf.DUMMYFUNCTION("GOOGLETRANSLATE(D3394,""EN"",""JA"")"),"好中球性骨髄球")</f>
        <v>好中球性骨髄球</v>
      </c>
      <c r="I3394" s="1" t="str">
        <f>IFERROR(__xludf.DUMMYFUNCTION("GOOGLETRANSLATE(E3394,""EN"",""JA"")"),"好中球性骨髄球")</f>
        <v>好中球性骨髄球</v>
      </c>
      <c r="J3394" s="1" t="str">
        <f>IFERROR(__xludf.DUMMYFUNCTION("GOOGLETRANSLATE(F3394,""EN"",""JA"")"),"生物標本中の好中球性骨髄球の測定。")</f>
        <v>生物標本中の好中球性骨髄球の測定。</v>
      </c>
      <c r="K3394" s="1" t="str">
        <f>IFERROR(__xludf.DUMMYFUNCTION("GOOGLETRANSLATE(G3394,""EN"",""JA"")"),"好中球性骨髄球数")</f>
        <v>好中球性骨髄球数</v>
      </c>
    </row>
    <row r="3395" ht="13.5" customHeight="1">
      <c r="A3395" s="1" t="s">
        <v>11</v>
      </c>
      <c r="B3395" s="1" t="s">
        <v>17022</v>
      </c>
      <c r="C3395" s="1" t="s">
        <v>17023</v>
      </c>
      <c r="D3395" s="1" t="s">
        <v>17024</v>
      </c>
      <c r="E3395" s="1" t="s">
        <v>17024</v>
      </c>
      <c r="F3395" s="1" t="s">
        <v>17025</v>
      </c>
      <c r="G3395" s="1" t="s">
        <v>17026</v>
      </c>
      <c r="H3395" s="1" t="str">
        <f>IFERROR(__xludf.DUMMYFUNCTION("GOOGLETRANSLATE(D3395,""EN"",""JA"")"),"好中球性骨髄球／総細胞数")</f>
        <v>好中球性骨髄球／総細胞数</v>
      </c>
      <c r="I3395" s="1" t="str">
        <f>IFERROR(__xludf.DUMMYFUNCTION("GOOGLETRANSLATE(E3395,""EN"",""JA"")"),"好中球性骨髄球／総細胞数")</f>
        <v>好中球性骨髄球／総細胞数</v>
      </c>
      <c r="J3395" s="1" t="str">
        <f>IFERROR(__xludf.DUMMYFUNCTION("GOOGLETRANSLATE(F3395,""EN"",""JA"")"),"生物標本中の全細胞に対する好中球性骨髄球の相対的な測定値（比率またはパーセンテージ）。")</f>
        <v>生物標本中の全細胞に対する好中球性骨髄球の相対的な測定値（比率またはパーセンテージ）。</v>
      </c>
      <c r="K3395" s="1" t="str">
        <f>IFERROR(__xludf.DUMMYFUNCTION("GOOGLETRANSLATE(G3395,""EN"",""JA"")"),"好中球性骨髄球と全細胞比の測定")</f>
        <v>好中球性骨髄球と全細胞比の測定</v>
      </c>
    </row>
    <row r="3396" ht="13.5" customHeight="1">
      <c r="A3396" s="1" t="s">
        <v>11</v>
      </c>
      <c r="B3396" s="1" t="s">
        <v>17027</v>
      </c>
      <c r="C3396" s="1" t="s">
        <v>17028</v>
      </c>
      <c r="D3396" s="1" t="s">
        <v>17029</v>
      </c>
      <c r="E3396" s="1" t="s">
        <v>17029</v>
      </c>
      <c r="F3396" s="1" t="s">
        <v>17030</v>
      </c>
      <c r="G3396" s="1" t="s">
        <v>17031</v>
      </c>
      <c r="H3396" s="1" t="str">
        <f>IFERROR(__xludf.DUMMYFUNCTION("GOOGLETRANSLATE(D3396,""EN"",""JA"")"),"好中球性骨髄球")</f>
        <v>好中球性骨髄球</v>
      </c>
      <c r="I3396" s="1" t="str">
        <f>IFERROR(__xludf.DUMMYFUNCTION("GOOGLETRANSLATE(E3396,""EN"",""JA"")"),"好中球性骨髄球")</f>
        <v>好中球性骨髄球</v>
      </c>
      <c r="J3396" s="1" t="str">
        <f>IFERROR(__xludf.DUMMYFUNCTION("GOOGLETRANSLATE(F3396,""EN"",""JA"")"),"生物標本中の好中球性骨髄球の測定。")</f>
        <v>生物標本中の好中球性骨髄球の測定。</v>
      </c>
      <c r="K3396" s="1" t="str">
        <f>IFERROR(__xludf.DUMMYFUNCTION("GOOGLETRANSLATE(G3396,""EN"",""JA"")"),"好中球性骨髄球数")</f>
        <v>好中球性骨髄球数</v>
      </c>
    </row>
    <row r="3397" ht="13.5" customHeight="1">
      <c r="A3397" s="1" t="s">
        <v>11</v>
      </c>
      <c r="B3397" s="1" t="s">
        <v>17032</v>
      </c>
      <c r="C3397" s="1" t="s">
        <v>17033</v>
      </c>
      <c r="D3397" s="1" t="s">
        <v>17034</v>
      </c>
      <c r="E3397" s="1" t="s">
        <v>17034</v>
      </c>
      <c r="F3397" s="1" t="s">
        <v>17035</v>
      </c>
      <c r="G3397" s="1" t="s">
        <v>17036</v>
      </c>
      <c r="H3397" s="1" t="str">
        <f>IFERROR(__xludf.DUMMYFUNCTION("GOOGLETRANSLATE(D3397,""EN"",""JA"")"),"好中球/非扁平上皮細胞")</f>
        <v>好中球/非扁平上皮細胞</v>
      </c>
      <c r="I3397" s="1" t="str">
        <f>IFERROR(__xludf.DUMMYFUNCTION("GOOGLETRANSLATE(E3397,""EN"",""JA"")"),"好中球/非扁平上皮細胞")</f>
        <v>好中球/非扁平上皮細胞</v>
      </c>
      <c r="J3397" s="1" t="str">
        <f>IFERROR(__xludf.DUMMYFUNCTION("GOOGLETRANSLATE(F3397,""EN"",""JA"")"),"生物標本中の好中球と非扁平上皮細胞の相対的な測定値（比率またはパーセンテージ）。")</f>
        <v>生物標本中の好中球と非扁平上皮細胞の相対的な測定値（比率またはパーセンテージ）。</v>
      </c>
      <c r="K3397" s="1" t="str">
        <f>IFERROR(__xludf.DUMMYFUNCTION("GOOGLETRANSLATE(G3397,""EN"",""JA"")"),"好中球と非扁平上皮細胞比の測定")</f>
        <v>好中球と非扁平上皮細胞比の測定</v>
      </c>
    </row>
    <row r="3398" ht="13.5" customHeight="1">
      <c r="A3398" s="1" t="s">
        <v>11</v>
      </c>
      <c r="B3398" s="1" t="s">
        <v>17037</v>
      </c>
      <c r="C3398" s="1" t="s">
        <v>17038</v>
      </c>
      <c r="D3398" s="1" t="s">
        <v>17039</v>
      </c>
      <c r="E3398" s="1" t="s">
        <v>17040</v>
      </c>
      <c r="F3398" s="1" t="s">
        <v>17041</v>
      </c>
      <c r="G3398" s="1" t="s">
        <v>17042</v>
      </c>
      <c r="H3398" s="1" t="str">
        <f>IFERROR(__xludf.DUMMYFUNCTION("GOOGLETRANSLATE(D3398,""EN"",""JA"")"),"偽ペルガーヒュエ好中球")</f>
        <v>偽ペルガーヒュエ好中球</v>
      </c>
      <c r="I3398" s="1" t="str">
        <f>IFERROR(__xludf.DUMMYFUNCTION("GOOGLETRANSLATE(E3398,""EN"",""JA"")"),"偽ペルガーヒュート核を有する好中球。偽ペルガーヒュエ好中球")</f>
        <v>偽ペルガーヒュート核を有する好中球。偽ペルガーヒュエ好中球</v>
      </c>
      <c r="J3398" s="1" t="str">
        <f>IFERROR(__xludf.DUMMYFUNCTION("GOOGLETRANSLATE(F3398,""EN"",""JA"")"),"生物標本中のペルガー・ヒュート様核（低分節）を持つ好中球の測定。")</f>
        <v>生物標本中のペルガー・ヒュート様核（低分節）を持つ好中球の測定。</v>
      </c>
      <c r="K3398" s="1" t="str">
        <f>IFERROR(__xludf.DUMMYFUNCTION("GOOGLETRANSLATE(G3398,""EN"",""JA"")"),"偽ペルガーヒューエット好中球数")</f>
        <v>偽ペルガーヒューエット好中球数</v>
      </c>
    </row>
    <row r="3399" ht="13.5" customHeight="1">
      <c r="A3399" s="1" t="s">
        <v>11</v>
      </c>
      <c r="B3399" s="1" t="s">
        <v>17043</v>
      </c>
      <c r="C3399" s="1" t="s">
        <v>17044</v>
      </c>
      <c r="D3399" s="1" t="s">
        <v>17045</v>
      </c>
      <c r="E3399" s="1" t="s">
        <v>17045</v>
      </c>
      <c r="F3399" s="1" t="s">
        <v>17046</v>
      </c>
      <c r="G3399" s="1" t="s">
        <v>17047</v>
      </c>
      <c r="H3399" s="1" t="str">
        <f>IFERROR(__xludf.DUMMYFUNCTION("GOOGLETRANSLATE(D3399,""EN"",""JA"")"),"分節好中球")</f>
        <v>分節好中球</v>
      </c>
      <c r="I3399" s="1" t="str">
        <f>IFERROR(__xludf.DUMMYFUNCTION("GOOGLETRANSLATE(E3399,""EN"",""JA"")"),"分節好中球")</f>
        <v>分節好中球</v>
      </c>
      <c r="J3399" s="1" t="str">
        <f>IFERROR(__xludf.DUMMYFUNCTION("GOOGLETRANSLATE(F3399,""EN"",""JA"")"),"生物標本中の分葉好中球の測定。")</f>
        <v>生物標本中の分葉好中球の測定。</v>
      </c>
      <c r="K3399" s="1" t="str">
        <f>IFERROR(__xludf.DUMMYFUNCTION("GOOGLETRANSLATE(G3399,""EN"",""JA"")"),"分節好中球数")</f>
        <v>分節好中球数</v>
      </c>
    </row>
    <row r="3400" ht="13.5" customHeight="1">
      <c r="A3400" s="1" t="s">
        <v>11</v>
      </c>
      <c r="B3400" s="1" t="s">
        <v>17048</v>
      </c>
      <c r="C3400" s="1" t="s">
        <v>17049</v>
      </c>
      <c r="D3400" s="1" t="s">
        <v>17050</v>
      </c>
      <c r="E3400" s="1" t="s">
        <v>17050</v>
      </c>
      <c r="F3400" s="1" t="s">
        <v>17051</v>
      </c>
      <c r="G3400" s="1" t="s">
        <v>17052</v>
      </c>
      <c r="H3400" s="1" t="str">
        <f>IFERROR(__xludf.DUMMYFUNCTION("GOOGLETRANSLATE(D3400,""EN"",""JA"")"),"好中球、分節型＋桿体型")</f>
        <v>好中球、分節型＋桿体型</v>
      </c>
      <c r="I3400" s="1" t="str">
        <f>IFERROR(__xludf.DUMMYFUNCTION("GOOGLETRANSLATE(E3400,""EN"",""JA"")"),"好中球、分節型＋桿体型")</f>
        <v>好中球、分節型＋桿体型</v>
      </c>
      <c r="J3400" s="1" t="str">
        <f>IFERROR(__xludf.DUMMYFUNCTION("GOOGLETRANSLATE(F3400,""EN"",""JA"")"),"生物標本中の分節型および桿体型の好中球の測定。")</f>
        <v>生物標本中の分節型および桿体型の好中球の測定。</v>
      </c>
      <c r="K3400" s="1" t="str">
        <f>IFERROR(__xludf.DUMMYFUNCTION("GOOGLETRANSLATE(G3400,""EN"",""JA"")"),"分節型および桿体型好中球の測定")</f>
        <v>分節型および桿体型好中球の測定</v>
      </c>
    </row>
    <row r="3401" ht="13.5" customHeight="1">
      <c r="A3401" s="1" t="s">
        <v>11</v>
      </c>
      <c r="B3401" s="1" t="s">
        <v>17053</v>
      </c>
      <c r="C3401" s="1" t="s">
        <v>17054</v>
      </c>
      <c r="D3401" s="1" t="s">
        <v>17055</v>
      </c>
      <c r="E3401" s="1" t="s">
        <v>17056</v>
      </c>
      <c r="F3401" s="1" t="s">
        <v>17057</v>
      </c>
      <c r="G3401" s="1" t="s">
        <v>17058</v>
      </c>
      <c r="H3401" s="1" t="str">
        <f>IFERROR(__xludf.DUMMYFUNCTION("GOOGLETRANSLATE(D3401,""EN"",""JA"")"),"好中球、分節型 + バンド型 + 前駆細胞")</f>
        <v>好中球、分節型 + バンド型 + 前駆細胞</v>
      </c>
      <c r="I3401" s="1" t="str">
        <f>IFERROR(__xludf.DUMMYFUNCTION("GOOGLETRANSLATE(E3401,""EN"",""JA"")"),"好中球 + 未熟好中球; 分節好中球 + 桿体好中球 + 前駆細胞; 分節好中球 + 桿体好中球 + 前駆細胞")</f>
        <v>好中球 + 未熟好中球; 分節好中球 + 桿体好中球 + 前駆細胞; 分節好中球 + 桿体好中球 + 前駆細胞</v>
      </c>
      <c r="J3401" s="1" t="str">
        <f>IFERROR(__xludf.DUMMYFUNCTION("GOOGLETRANSLATE(F3401,""EN"",""JA"")"),"生物標本中の分節型および帯状の好中球、後骨髄球、骨髄球、前骨髄球、および骨髄芽球の測定。")</f>
        <v>生物標本中の分節型および帯状の好中球、後骨髄球、骨髄球、前骨髄球、および骨髄芽球の測定。</v>
      </c>
      <c r="K3401" s="1" t="str">
        <f>IFERROR(__xludf.DUMMYFUNCTION("GOOGLETRANSLATE(G3401,""EN"",""JA"")"),"分節型、桿体型、前駆好中球の測定")</f>
        <v>分節型、桿体型、前駆好中球の測定</v>
      </c>
    </row>
    <row r="3402" ht="13.5" customHeight="1">
      <c r="A3402" s="1" t="s">
        <v>134</v>
      </c>
      <c r="B3402" s="1" t="s">
        <v>17059</v>
      </c>
      <c r="C3402" s="1" t="s">
        <v>17060</v>
      </c>
      <c r="D3402" s="1" t="s">
        <v>17061</v>
      </c>
      <c r="E3402" s="1" t="s">
        <v>17061</v>
      </c>
      <c r="F3402" s="1" t="s">
        <v>17062</v>
      </c>
      <c r="G3402" s="1" t="s">
        <v>17063</v>
      </c>
      <c r="H3402" s="1" t="str">
        <f>IFERROR(__xludf.DUMMYFUNCTION("GOOGLETRANSLATE(D3402,""EN"",""JA"")"),"好中球、分葉球/総細胞")</f>
        <v>好中球、分葉球/総細胞</v>
      </c>
      <c r="I3402" s="1" t="str">
        <f>IFERROR(__xludf.DUMMYFUNCTION("GOOGLETRANSLATE(E3402,""EN"",""JA"")"),"好中球、分葉球/総細胞")</f>
        <v>好中球、分葉球/総細胞</v>
      </c>
      <c r="J3402" s="1" t="str">
        <f>IFERROR(__xludf.DUMMYFUNCTION("GOOGLETRANSLATE(F3402,""EN"",""JA"")"),"生物標本中の分節好中球と総細胞数の相対的な測定値（比率またはパーセンテージ）。")</f>
        <v>生物標本中の分節好中球と総細胞数の相対的な測定値（比率またはパーセンテージ）。</v>
      </c>
      <c r="K3402" s="1" t="str">
        <f>IFERROR(__xludf.DUMMYFUNCTION("GOOGLETRANSLATE(G3402,""EN"",""JA"")"),"分節好中球対総細胞比測定")</f>
        <v>分節好中球対総細胞比測定</v>
      </c>
    </row>
    <row r="3403" ht="13.5" customHeight="1">
      <c r="A3403" s="1" t="s">
        <v>11</v>
      </c>
      <c r="B3403" s="1" t="s">
        <v>17059</v>
      </c>
      <c r="C3403" s="1" t="s">
        <v>17060</v>
      </c>
      <c r="D3403" s="1" t="s">
        <v>17061</v>
      </c>
      <c r="E3403" s="1" t="s">
        <v>17061</v>
      </c>
      <c r="F3403" s="1" t="s">
        <v>17062</v>
      </c>
      <c r="G3403" s="1" t="s">
        <v>17063</v>
      </c>
      <c r="H3403" s="1" t="str">
        <f>IFERROR(__xludf.DUMMYFUNCTION("GOOGLETRANSLATE(D3403,""EN"",""JA"")"),"好中球、分葉球/総細胞")</f>
        <v>好中球、分葉球/総細胞</v>
      </c>
      <c r="I3403" s="1" t="str">
        <f>IFERROR(__xludf.DUMMYFUNCTION("GOOGLETRANSLATE(E3403,""EN"",""JA"")"),"好中球、分葉球/総細胞")</f>
        <v>好中球、分葉球/総細胞</v>
      </c>
      <c r="J3403" s="1" t="str">
        <f>IFERROR(__xludf.DUMMYFUNCTION("GOOGLETRANSLATE(F3403,""EN"",""JA"")"),"生物標本中の分節好中球と総細胞数の相対的な測定値（比率またはパーセンテージ）。")</f>
        <v>生物標本中の分節好中球と総細胞数の相対的な測定値（比率またはパーセンテージ）。</v>
      </c>
      <c r="K3403" s="1" t="str">
        <f>IFERROR(__xludf.DUMMYFUNCTION("GOOGLETRANSLATE(G3403,""EN"",""JA"")"),"分節好中球対総細胞比測定")</f>
        <v>分節好中球対総細胞比測定</v>
      </c>
    </row>
    <row r="3404" ht="13.5" customHeight="1">
      <c r="A3404" s="1" t="s">
        <v>11</v>
      </c>
      <c r="B3404" s="1" t="s">
        <v>17064</v>
      </c>
      <c r="C3404" s="1" t="s">
        <v>17065</v>
      </c>
      <c r="D3404" s="1" t="s">
        <v>17066</v>
      </c>
      <c r="E3404" s="1" t="s">
        <v>17066</v>
      </c>
      <c r="F3404" s="1" t="s">
        <v>17067</v>
      </c>
      <c r="G3404" s="1" t="s">
        <v>17068</v>
      </c>
      <c r="H3404" s="1" t="str">
        <f>IFERROR(__xludf.DUMMYFUNCTION("GOOGLETRANSLATE(D3404,""EN"",""JA"")"),"分節好中球/白血球")</f>
        <v>分節好中球/白血球</v>
      </c>
      <c r="I3404" s="1" t="str">
        <f>IFERROR(__xludf.DUMMYFUNCTION("GOOGLETRANSLATE(E3404,""EN"",""JA"")"),"分節好中球/白血球")</f>
        <v>分節好中球/白血球</v>
      </c>
      <c r="J3404" s="1" t="str">
        <f>IFERROR(__xludf.DUMMYFUNCTION("GOOGLETRANSLATE(F3404,""EN"",""JA"")"),"生物標本中の分節好中球と白血球の相対的な測定値（比率またはパーセンテージ）。")</f>
        <v>生物標本中の分節好中球と白血球の相対的な測定値（比率またはパーセンテージ）。</v>
      </c>
      <c r="K3404" s="1" t="str">
        <f>IFERROR(__xludf.DUMMYFUNCTION("GOOGLETRANSLATE(G3404,""EN"",""JA"")"),"セグメント化された好中球と白血球の比率の測定")</f>
        <v>セグメント化された好中球と白血球の比率の測定</v>
      </c>
    </row>
    <row r="3405" ht="13.5" customHeight="1">
      <c r="A3405" s="1" t="s">
        <v>11</v>
      </c>
      <c r="B3405" s="1" t="s">
        <v>17069</v>
      </c>
      <c r="C3405" s="1" t="s">
        <v>17070</v>
      </c>
      <c r="D3405" s="1" t="s">
        <v>17071</v>
      </c>
      <c r="E3405" s="1" t="s">
        <v>17071</v>
      </c>
      <c r="F3405" s="1" t="s">
        <v>17072</v>
      </c>
      <c r="G3405" s="1" t="s">
        <v>17073</v>
      </c>
      <c r="H3405" s="1" t="str">
        <f>IFERROR(__xludf.DUMMYFUNCTION("GOOGLETRANSLATE(D3405,""EN"",""JA"")"),"分節好中球")</f>
        <v>分節好中球</v>
      </c>
      <c r="I3405" s="1" t="str">
        <f>IFERROR(__xludf.DUMMYFUNCTION("GOOGLETRANSLATE(E3405,""EN"",""JA"")"),"分節好中球")</f>
        <v>分節好中球</v>
      </c>
      <c r="J3405" s="1" t="str">
        <f>IFERROR(__xludf.DUMMYFUNCTION("GOOGLETRANSLATE(F3405,""EN"",""JA"")"),"生物標本中の分葉好中球と総好中球数の相対的な測定値（比率またはパーセンテージ）。")</f>
        <v>生物標本中の分葉好中球と総好中球数の相対的な測定値（比率またはパーセンテージ）。</v>
      </c>
      <c r="K3405" s="1" t="str">
        <f>IFERROR(__xludf.DUMMYFUNCTION("GOOGLETRANSLATE(G3405,""EN"",""JA"")"),"分節好中球対好中球比測定")</f>
        <v>分節好中球対好中球比測定</v>
      </c>
    </row>
    <row r="3406" ht="13.5" customHeight="1">
      <c r="A3406" s="1" t="s">
        <v>11</v>
      </c>
      <c r="B3406" s="1" t="s">
        <v>17074</v>
      </c>
      <c r="C3406" s="1" t="s">
        <v>17075</v>
      </c>
      <c r="D3406" s="1" t="s">
        <v>17076</v>
      </c>
      <c r="E3406" s="1" t="s">
        <v>17076</v>
      </c>
      <c r="F3406" s="1" t="s">
        <v>17077</v>
      </c>
      <c r="G3406" s="1" t="s">
        <v>17078</v>
      </c>
      <c r="H3406" s="1" t="str">
        <f>IFERROR(__xludf.DUMMYFUNCTION("GOOGLETRANSLATE(D3406,""EN"",""JA"")"),"好中球毒性変化")</f>
        <v>好中球毒性変化</v>
      </c>
      <c r="I3406" s="1" t="str">
        <f>IFERROR(__xludf.DUMMYFUNCTION("GOOGLETRANSLATE(E3406,""EN"",""JA"")"),"好中球毒性変化")</f>
        <v>好中球毒性変化</v>
      </c>
      <c r="J3406" s="1" t="str">
        <f>IFERROR(__xludf.DUMMYFUNCTION("GOOGLETRANSLATE(F3406,""EN"",""JA"")"),"生物標本中の好中球系細胞におけるあらゆる種類の毒性変化の測定。")</f>
        <v>生物標本中の好中球系細胞におけるあらゆる種類の毒性変化の測定。</v>
      </c>
      <c r="K3406" s="1" t="str">
        <f>IFERROR(__xludf.DUMMYFUNCTION("GOOGLETRANSLATE(G3406,""EN"",""JA"")"),"好中球毒性変化評価")</f>
        <v>好中球毒性変化評価</v>
      </c>
    </row>
    <row r="3407" ht="13.5" customHeight="1">
      <c r="A3407" s="1" t="s">
        <v>11</v>
      </c>
      <c r="B3407" s="1" t="s">
        <v>17079</v>
      </c>
      <c r="C3407" s="1" t="s">
        <v>17080</v>
      </c>
      <c r="D3407" s="1" t="s">
        <v>17081</v>
      </c>
      <c r="E3407" s="1" t="s">
        <v>17081</v>
      </c>
      <c r="F3407" s="1" t="s">
        <v>17082</v>
      </c>
      <c r="G3407" s="1" t="s">
        <v>17083</v>
      </c>
      <c r="H3407" s="1" t="str">
        <f>IFERROR(__xludf.DUMMYFUNCTION("GOOGLETRANSLATE(D3407,""EN"",""JA"")"),"空胞化好中球")</f>
        <v>空胞化好中球</v>
      </c>
      <c r="I3407" s="1" t="str">
        <f>IFERROR(__xludf.DUMMYFUNCTION("GOOGLETRANSLATE(E3407,""EN"",""JA"")"),"空胞化好中球")</f>
        <v>空胞化好中球</v>
      </c>
      <c r="J3407" s="1" t="str">
        <f>IFERROR(__xludf.DUMMYFUNCTION("GOOGLETRANSLATE(F3407,""EN"",""JA"")"),"生物標本中の小さな空胞を含む好中球の測定。")</f>
        <v>生物標本中の小さな空胞を含む好中球の測定。</v>
      </c>
      <c r="K3407" s="1" t="str">
        <f>IFERROR(__xludf.DUMMYFUNCTION("GOOGLETRANSLATE(G3407,""EN"",""JA"")"),"空胞化好中球数")</f>
        <v>空胞化好中球数</v>
      </c>
    </row>
    <row r="3408" ht="13.5" customHeight="1">
      <c r="A3408" s="1" t="s">
        <v>233</v>
      </c>
      <c r="B3408" s="1" t="s">
        <v>17084</v>
      </c>
      <c r="C3408" s="1" t="s">
        <v>17085</v>
      </c>
      <c r="D3408" s="1" t="s">
        <v>17086</v>
      </c>
      <c r="E3408" s="1" t="s">
        <v>17086</v>
      </c>
      <c r="F3408" s="1" t="s">
        <v>17087</v>
      </c>
      <c r="G3408" s="1" t="s">
        <v>17088</v>
      </c>
      <c r="H3408" s="1" t="str">
        <f>IFERROR(__xludf.DUMMYFUNCTION("GOOGLETRANSLATE(D3408,""EN"",""JA"")"),"新たな腫瘍が確認された")</f>
        <v>新たな腫瘍が確認された</v>
      </c>
      <c r="I3408" s="1" t="str">
        <f>IFERROR(__xludf.DUMMYFUNCTION("GOOGLETRANSLATE(E3408,""EN"",""JA"")"),"新たな腫瘍が確認された")</f>
        <v>新たな腫瘍が確認された</v>
      </c>
      <c r="J3408" s="1" t="str">
        <f>IFERROR(__xludf.DUMMYFUNCTION("GOOGLETRANSLATE(F3408,""EN"",""JA"")"),"これまでに見られなかった、または特徴付けられていない腫瘍が被験者内に存在することを他の方法または様式で検証/確認すること。")</f>
        <v>これまでに見られなかった、または特徴付けられていない腫瘍が被験者内に存在することを他の方法または様式で検証/確認すること。</v>
      </c>
      <c r="K3408" s="1" t="str">
        <f>IFERROR(__xludf.DUMMYFUNCTION("GOOGLETRANSLATE(G3408,""EN"",""JA"")"),"新たな腫瘍の確認")</f>
        <v>新たな腫瘍の確認</v>
      </c>
    </row>
    <row r="3409" ht="13.5" customHeight="1">
      <c r="A3409" s="1" t="s">
        <v>1342</v>
      </c>
      <c r="B3409" s="1" t="s">
        <v>17089</v>
      </c>
      <c r="C3409" s="1" t="s">
        <v>17090</v>
      </c>
      <c r="D3409" s="1" t="s">
        <v>17091</v>
      </c>
      <c r="E3409" s="1" t="s">
        <v>17091</v>
      </c>
      <c r="F3409" s="1" t="s">
        <v>17092</v>
      </c>
      <c r="G3409" s="1" t="s">
        <v>17091</v>
      </c>
      <c r="H3409" s="1" t="str">
        <f>IFERROR(__xludf.DUMMYFUNCTION("GOOGLETRANSLATE(D3409,""EN"",""JA"")"),"新しい病変指標")</f>
        <v>新しい病変指標</v>
      </c>
      <c r="I3409" s="1" t="str">
        <f>IFERROR(__xludf.DUMMYFUNCTION("GOOGLETRANSLATE(E3409,""EN"",""JA"")"),"新しい病変指標")</f>
        <v>新しい病変指標</v>
      </c>
      <c r="J3409" s="1" t="str">
        <f>IFERROR(__xludf.DUMMYFUNCTION("GOOGLETRANSLATE(F3409,""EN"",""JA"")"),"以前の時点と比較して、新しい病変が存在するかどうかを示します。")</f>
        <v>以前の時点と比較して、新しい病変が存在するかどうかを示します。</v>
      </c>
      <c r="K3409" s="1" t="str">
        <f>IFERROR(__xludf.DUMMYFUNCTION("GOOGLETRANSLATE(G3409,""EN"",""JA"")"),"新しい病変指標")</f>
        <v>新しい病変指標</v>
      </c>
    </row>
    <row r="3410" ht="13.5" customHeight="1">
      <c r="A3410" s="1" t="s">
        <v>1342</v>
      </c>
      <c r="B3410" s="1" t="s">
        <v>17093</v>
      </c>
      <c r="C3410" s="1" t="s">
        <v>17094</v>
      </c>
      <c r="D3410" s="1" t="s">
        <v>17095</v>
      </c>
      <c r="E3410" s="1" t="s">
        <v>17095</v>
      </c>
      <c r="F3410" s="1" t="s">
        <v>17096</v>
      </c>
      <c r="G3410" s="1" t="s">
        <v>17095</v>
      </c>
      <c r="H3410" s="1" t="str">
        <f>IFERROR(__xludf.DUMMYFUNCTION("GOOGLETRANSLATE(D3410,""EN"",""JA"")"),"新たな病変の進行")</f>
        <v>新たな病変の進行</v>
      </c>
      <c r="I3410" s="1" t="str">
        <f>IFERROR(__xludf.DUMMYFUNCTION("GOOGLETRANSLATE(E3410,""EN"",""JA"")"),"新たな病変の進行")</f>
        <v>新たな病変の進行</v>
      </c>
      <c r="J3410" s="1" t="str">
        <f>IFERROR(__xludf.DUMMYFUNCTION("GOOGLETRANSLATE(F3410,""EN"",""JA"")"),"新たに特定された病変に基づいて病気の進行の曖昧さを評価する。")</f>
        <v>新たに特定された病変に基づいて病気の進行の曖昧さを評価する。</v>
      </c>
      <c r="K3410" s="1" t="str">
        <f>IFERROR(__xludf.DUMMYFUNCTION("GOOGLETRANSLATE(G3410,""EN"",""JA"")"),"新たな病変の進行")</f>
        <v>新たな病変の進行</v>
      </c>
    </row>
    <row r="3411" ht="13.5" customHeight="1">
      <c r="A3411" s="1" t="s">
        <v>1342</v>
      </c>
      <c r="B3411" s="1" t="s">
        <v>17097</v>
      </c>
      <c r="C3411" s="1" t="s">
        <v>17098</v>
      </c>
      <c r="D3411" s="1" t="s">
        <v>17099</v>
      </c>
      <c r="E3411" s="1" t="s">
        <v>17099</v>
      </c>
      <c r="F3411" s="1" t="s">
        <v>17100</v>
      </c>
      <c r="G3411" s="1" t="s">
        <v>17099</v>
      </c>
      <c r="H3411" s="1" t="str">
        <f>IFERROR(__xludf.DUMMYFUNCTION("GOOGLETRANSLATE(D3411,""EN"",""JA"")"),"新しい病変悪化指標")</f>
        <v>新しい病変悪化指標</v>
      </c>
      <c r="I3411" s="1" t="str">
        <f>IFERROR(__xludf.DUMMYFUNCTION("GOOGLETRANSLATE(E3411,""EN"",""JA"")"),"新しい病変悪化指標")</f>
        <v>新しい病変悪化指標</v>
      </c>
      <c r="J3411" s="1" t="str">
        <f>IFERROR(__xludf.DUMMYFUNCTION("GOOGLETRANSLATE(F3411,""EN"",""JA"")"),"以前に特定された新しい病変が悪化の兆候を示しているかどうかを示します。")</f>
        <v>以前に特定された新しい病変が悪化の兆候を示しているかどうかを示します。</v>
      </c>
      <c r="K3411" s="1" t="str">
        <f>IFERROR(__xludf.DUMMYFUNCTION("GOOGLETRANSLATE(G3411,""EN"",""JA"")"),"新しい病変悪化指標")</f>
        <v>新しい病変悪化指標</v>
      </c>
    </row>
    <row r="3412" ht="13.5" customHeight="1">
      <c r="A3412" s="1" t="s">
        <v>1168</v>
      </c>
      <c r="B3412" s="1" t="s">
        <v>17101</v>
      </c>
      <c r="C3412" s="1" t="s">
        <v>17102</v>
      </c>
      <c r="D3412" s="1" t="s">
        <v>17103</v>
      </c>
      <c r="E3412" s="1" t="s">
        <v>17103</v>
      </c>
      <c r="F3412" s="1" t="s">
        <v>17104</v>
      </c>
      <c r="G3412" s="1" t="s">
        <v>17103</v>
      </c>
      <c r="H3412" s="1" t="str">
        <f>IFERROR(__xludf.DUMMYFUNCTION("GOOGLETRANSLATE(D3412,""EN"",""JA"")"),"新しいQウェーブ")</f>
        <v>新しいQウェーブ</v>
      </c>
      <c r="I3412" s="1" t="str">
        <f>IFERROR(__xludf.DUMMYFUNCTION("GOOGLETRANSLATE(E3412,""EN"",""JA"")"),"新しいQウェーブ")</f>
        <v>新しいQウェーブ</v>
      </c>
      <c r="J3412" s="1" t="str">
        <f>IFERROR(__xludf.DUMMYFUNCTION("GOOGLETRANSLATE(F3412,""EN"",""JA"")"),"心筋梗塞を示唆する新規または新規と推定される病的Q波の心電図所見評価。（Thygesen K、Alpert JS、Jaffe AS、Simoons ML、et al。心筋梗塞の普遍的定義に関するESC/ACCF/AHA/WHF共同タスクフォース）")</f>
        <v>心筋梗塞を示唆する新規または新規と推定される病的Q波の心電図所見評価。（Thygesen K、Alpert JS、Jaffe AS、Simoons ML、et al。心筋梗塞の普遍的定義に関するESC/ACCF/AHA/WHF共同タスクフォース）</v>
      </c>
      <c r="K3412" s="1" t="str">
        <f>IFERROR(__xludf.DUMMYFUNCTION("GOOGLETRANSLATE(G3412,""EN"",""JA"")"),"新しいQウェーブ")</f>
        <v>新しいQウェーブ</v>
      </c>
    </row>
    <row r="3413" ht="13.5" customHeight="1">
      <c r="A3413" s="1" t="s">
        <v>11</v>
      </c>
      <c r="B3413" s="1" t="s">
        <v>17105</v>
      </c>
      <c r="C3413" s="1" t="s">
        <v>17106</v>
      </c>
      <c r="D3413" s="1" t="s">
        <v>17107</v>
      </c>
      <c r="E3413" s="1" t="s">
        <v>17108</v>
      </c>
      <c r="F3413" s="1" t="s">
        <v>17109</v>
      </c>
      <c r="G3413" s="1" t="s">
        <v>17110</v>
      </c>
      <c r="H3413" s="1" t="str">
        <f>IFERROR(__xludf.DUMMYFUNCTION("GOOGLETRANSLATE(D3413,""EN"",""JA"")"),"ニューロフィラメント重鎖ポリペプチド")</f>
        <v>ニューロフィラメント重鎖ポリペプチド</v>
      </c>
      <c r="I3413" s="1" t="str">
        <f>IFERROR(__xludf.DUMMYFUNCTION("GOOGLETRANSLATE(E3413,""EN"",""JA"")"),"ニューロフィラメント重鎖; ニューロフィラメント重鎖ポリペプチド; ニューロフィラメントトリプレットHタンパク質; NF-H")</f>
        <v>ニューロフィラメント重鎖; ニューロフィラメント重鎖ポリペプチド; ニューロフィラメントトリプレットHタンパク質; NF-H</v>
      </c>
      <c r="J3413" s="1" t="str">
        <f>IFERROR(__xludf.DUMMYFUNCTION("GOOGLETRANSLATE(F3413,""EN"",""JA"")"),"生物標本中のニューロフィラメント重鎖ポリペプチドの測定。")</f>
        <v>生物標本中のニューロフィラメント重鎖ポリペプチドの測定。</v>
      </c>
      <c r="K3413" s="1" t="str">
        <f>IFERROR(__xludf.DUMMYFUNCTION("GOOGLETRANSLATE(G3413,""EN"",""JA"")"),"ニューロフィラメント重鎖ポリペプチド測定")</f>
        <v>ニューロフィラメント重鎖ポリペプチド測定</v>
      </c>
    </row>
    <row r="3414" ht="13.5" customHeight="1">
      <c r="A3414" s="1" t="s">
        <v>11</v>
      </c>
      <c r="B3414" s="1" t="s">
        <v>17111</v>
      </c>
      <c r="C3414" s="1" t="s">
        <v>17112</v>
      </c>
      <c r="D3414" s="1" t="s">
        <v>17113</v>
      </c>
      <c r="E3414" s="1" t="s">
        <v>17113</v>
      </c>
      <c r="F3414" s="1" t="s">
        <v>17114</v>
      </c>
      <c r="G3414" s="1" t="s">
        <v>17115</v>
      </c>
      <c r="H3414" s="1" t="str">
        <f>IFERROR(__xludf.DUMMYFUNCTION("GOOGLETRANSLATE(D3414,""EN"",""JA"")"),"リン酸化されたニューロフィラメント重鎖")</f>
        <v>リン酸化されたニューロフィラメント重鎖</v>
      </c>
      <c r="I3414" s="1" t="str">
        <f>IFERROR(__xludf.DUMMYFUNCTION("GOOGLETRANSLATE(E3414,""EN"",""JA"")"),"リン酸化されたニューロフィラメント重鎖")</f>
        <v>リン酸化されたニューロフィラメント重鎖</v>
      </c>
      <c r="J3414" s="1" t="str">
        <f>IFERROR(__xludf.DUMMYFUNCTION("GOOGLETRANSLATE(F3414,""EN"",""JA"")"),"生物標本中のリン酸化神経フィラメント重鎖の測定。")</f>
        <v>生物標本中のリン酸化神経フィラメント重鎖の測定。</v>
      </c>
      <c r="K3414" s="1" t="str">
        <f>IFERROR(__xludf.DUMMYFUNCTION("GOOGLETRANSLATE(G3414,""EN"",""JA"")"),"リン酸化ニューロフィラメント重鎖測定")</f>
        <v>リン酸化ニューロフィラメント重鎖測定</v>
      </c>
    </row>
    <row r="3415" ht="13.5" customHeight="1">
      <c r="A3415" s="1" t="s">
        <v>11</v>
      </c>
      <c r="B3415" s="1" t="s">
        <v>17116</v>
      </c>
      <c r="C3415" s="1" t="s">
        <v>17117</v>
      </c>
      <c r="D3415" s="1" t="s">
        <v>17118</v>
      </c>
      <c r="E3415" s="1" t="s">
        <v>17119</v>
      </c>
      <c r="F3415" s="1" t="s">
        <v>17120</v>
      </c>
      <c r="G3415" s="1" t="s">
        <v>17121</v>
      </c>
      <c r="H3415" s="1" t="str">
        <f>IFERROR(__xludf.DUMMYFUNCTION("GOOGLETRANSLATE(D3415,""EN"",""JA"")"),"神経フィラメント軽鎖タンパク質")</f>
        <v>神経フィラメント軽鎖タンパク質</v>
      </c>
      <c r="I3415" s="1" t="str">
        <f>IFERROR(__xludf.DUMMYFUNCTION("GOOGLETRANSLATE(E3415,""EN"",""JA"")"),"NEFL; ニューロフィラメント軽鎖タンパク質; ニューロフィラメント軽鎖ポリペプチド; NF-L; タンパク質ホスファターゼ1、調節サブユニット110")</f>
        <v>NEFL; ニューロフィラメント軽鎖タンパク質; ニューロフィラメント軽鎖ポリペプチド; NF-L; タンパク質ホスファターゼ1、調節サブユニット110</v>
      </c>
      <c r="J3415" s="1" t="str">
        <f>IFERROR(__xludf.DUMMYFUNCTION("GOOGLETRANSLATE(F3415,""EN"",""JA"")"),"生物標本中の神経フィラメント軽鎖タンパク質の測定。")</f>
        <v>生物標本中の神経フィラメント軽鎖タンパク質の測定。</v>
      </c>
      <c r="K3415" s="1" t="str">
        <f>IFERROR(__xludf.DUMMYFUNCTION("GOOGLETRANSLATE(G3415,""EN"",""JA"")"),"神経フィラメント軽鎖タンパク質測定")</f>
        <v>神経フィラメント軽鎖タンパク質測定</v>
      </c>
    </row>
    <row r="3416" ht="13.5" customHeight="1">
      <c r="A3416" s="1" t="s">
        <v>11</v>
      </c>
      <c r="B3416" s="1" t="s">
        <v>17122</v>
      </c>
      <c r="C3416" s="1" t="s">
        <v>17123</v>
      </c>
      <c r="D3416" s="1" t="s">
        <v>17124</v>
      </c>
      <c r="E3416" s="1" t="s">
        <v>17124</v>
      </c>
      <c r="F3416" s="1" t="s">
        <v>17125</v>
      </c>
      <c r="G3416" s="1" t="s">
        <v>17126</v>
      </c>
      <c r="H3416" s="1" t="str">
        <f>IFERROR(__xludf.DUMMYFUNCTION("GOOGLETRANSLATE(D3416,""EN"",""JA"")"),"神経成長因子")</f>
        <v>神経成長因子</v>
      </c>
      <c r="I3416" s="1" t="str">
        <f>IFERROR(__xludf.DUMMYFUNCTION("GOOGLETRANSLATE(E3416,""EN"",""JA"")"),"神経成長因子")</f>
        <v>神経成長因子</v>
      </c>
      <c r="J3416" s="1" t="str">
        <f>IFERROR(__xludf.DUMMYFUNCTION("GOOGLETRANSLATE(F3416,""EN"",""JA"")"),"生物標本中の総神経成長因子の測定。")</f>
        <v>生物標本中の総神経成長因子の測定。</v>
      </c>
      <c r="K3416" s="1" t="str">
        <f>IFERROR(__xludf.DUMMYFUNCTION("GOOGLETRANSLATE(G3416,""EN"",""JA"")"),"神経成長因子測定")</f>
        <v>神経成長因子測定</v>
      </c>
    </row>
    <row r="3417" ht="13.5" customHeight="1">
      <c r="A3417" s="1" t="s">
        <v>11</v>
      </c>
      <c r="B3417" s="1" t="s">
        <v>17127</v>
      </c>
      <c r="C3417" s="1" t="s">
        <v>17128</v>
      </c>
      <c r="D3417" s="1" t="s">
        <v>17129</v>
      </c>
      <c r="E3417" s="1" t="s">
        <v>17129</v>
      </c>
      <c r="F3417" s="1" t="s">
        <v>17130</v>
      </c>
      <c r="G3417" s="1" t="s">
        <v>17131</v>
      </c>
      <c r="H3417" s="1" t="str">
        <f>IFERROR(__xludf.DUMMYFUNCTION("GOOGLETRANSLATE(D3417,""EN"",""JA"")"),"神経成長因子アルファ")</f>
        <v>神経成長因子アルファ</v>
      </c>
      <c r="I3417" s="1" t="str">
        <f>IFERROR(__xludf.DUMMYFUNCTION("GOOGLETRANSLATE(E3417,""EN"",""JA"")"),"神経成長因子アルファ")</f>
        <v>神経成長因子アルファ</v>
      </c>
      <c r="J3417" s="1" t="str">
        <f>IFERROR(__xludf.DUMMYFUNCTION("GOOGLETRANSLATE(F3417,""EN"",""JA"")"),"生物標本中の神経成長因子アルファの測定。")</f>
        <v>生物標本中の神経成長因子アルファの測定。</v>
      </c>
      <c r="K3417" s="1" t="str">
        <f>IFERROR(__xludf.DUMMYFUNCTION("GOOGLETRANSLATE(G3417,""EN"",""JA"")"),"神経成長因子アルファ測定")</f>
        <v>神経成長因子アルファ測定</v>
      </c>
    </row>
    <row r="3418" ht="13.5" customHeight="1">
      <c r="A3418" s="1" t="s">
        <v>11</v>
      </c>
      <c r="B3418" s="1" t="s">
        <v>17132</v>
      </c>
      <c r="C3418" s="1" t="s">
        <v>17133</v>
      </c>
      <c r="D3418" s="1" t="s">
        <v>17134</v>
      </c>
      <c r="E3418" s="1" t="s">
        <v>17134</v>
      </c>
      <c r="F3418" s="1" t="s">
        <v>17135</v>
      </c>
      <c r="G3418" s="1" t="s">
        <v>17136</v>
      </c>
      <c r="H3418" s="1" t="str">
        <f>IFERROR(__xludf.DUMMYFUNCTION("GOOGLETRANSLATE(D3418,""EN"",""JA"")"),"神経成長因子ベータ")</f>
        <v>神経成長因子ベータ</v>
      </c>
      <c r="I3418" s="1" t="str">
        <f>IFERROR(__xludf.DUMMYFUNCTION("GOOGLETRANSLATE(E3418,""EN"",""JA"")"),"神経成長因子ベータ")</f>
        <v>神経成長因子ベータ</v>
      </c>
      <c r="J3418" s="1" t="str">
        <f>IFERROR(__xludf.DUMMYFUNCTION("GOOGLETRANSLATE(F3418,""EN"",""JA"")"),"生物標本中の神経成長因子ベータの測定。")</f>
        <v>生物標本中の神経成長因子ベータの測定。</v>
      </c>
      <c r="K3418" s="1" t="str">
        <f>IFERROR(__xludf.DUMMYFUNCTION("GOOGLETRANSLATE(G3418,""EN"",""JA"")"),"神経成長因子ベータ測定")</f>
        <v>神経成長因子ベータ測定</v>
      </c>
    </row>
    <row r="3419" ht="13.5" customHeight="1">
      <c r="A3419" s="1" t="s">
        <v>11</v>
      </c>
      <c r="B3419" s="1" t="s">
        <v>17137</v>
      </c>
      <c r="C3419" s="1" t="s">
        <v>17138</v>
      </c>
      <c r="D3419" s="1" t="s">
        <v>17139</v>
      </c>
      <c r="E3419" s="1" t="s">
        <v>17139</v>
      </c>
      <c r="F3419" s="1" t="s">
        <v>17140</v>
      </c>
      <c r="G3419" s="1" t="s">
        <v>17141</v>
      </c>
      <c r="H3419" s="1" t="str">
        <f>IFERROR(__xludf.DUMMYFUNCTION("GOOGLETRANSLATE(D3419,""EN"",""JA"")"),"神経成長因子ガンマ")</f>
        <v>神経成長因子ガンマ</v>
      </c>
      <c r="I3419" s="1" t="str">
        <f>IFERROR(__xludf.DUMMYFUNCTION("GOOGLETRANSLATE(E3419,""EN"",""JA"")"),"神経成長因子ガンマ")</f>
        <v>神経成長因子ガンマ</v>
      </c>
      <c r="J3419" s="1" t="str">
        <f>IFERROR(__xludf.DUMMYFUNCTION("GOOGLETRANSLATE(F3419,""EN"",""JA"")"),"生物標本中の神経成長因子ガンマの測定。")</f>
        <v>生物標本中の神経成長因子ガンマの測定。</v>
      </c>
      <c r="K3419" s="1" t="str">
        <f>IFERROR(__xludf.DUMMYFUNCTION("GOOGLETRANSLATE(G3419,""EN"",""JA"")"),"神経成長因子ガンマ測定")</f>
        <v>神経成長因子ガンマ測定</v>
      </c>
    </row>
    <row r="3420" ht="13.5" customHeight="1">
      <c r="A3420" s="1" t="s">
        <v>67</v>
      </c>
      <c r="B3420" s="1" t="s">
        <v>17142</v>
      </c>
      <c r="C3420" s="1" t="s">
        <v>17143</v>
      </c>
      <c r="D3420" s="1" t="s">
        <v>17144</v>
      </c>
      <c r="E3420" s="1" t="s">
        <v>17144</v>
      </c>
      <c r="F3420" s="1" t="s">
        <v>17145</v>
      </c>
      <c r="G3420" s="1" t="s">
        <v>17146</v>
      </c>
      <c r="H3420" s="1" t="str">
        <f>IFERROR(__xludf.DUMMYFUNCTION("GOOGLETRANSLATE(D3420,""EN"",""JA"")"),"淋菌")</f>
        <v>淋菌</v>
      </c>
      <c r="I3420" s="1" t="str">
        <f>IFERROR(__xludf.DUMMYFUNCTION("GOOGLETRANSLATE(E3420,""EN"",""JA"")"),"淋菌")</f>
        <v>淋菌</v>
      </c>
      <c r="J3420" s="1" t="str">
        <f>IFERROR(__xludf.DUMMYFUNCTION("GOOGLETRANSLATE(F3420,""EN"",""JA"")"),"生物標本中の淋菌の測定。")</f>
        <v>生物標本中の淋菌の測定。</v>
      </c>
      <c r="K3420" s="1" t="str">
        <f>IFERROR(__xludf.DUMMYFUNCTION("GOOGLETRANSLATE(G3420,""EN"",""JA"")"),"淋菌測定")</f>
        <v>淋菌測定</v>
      </c>
    </row>
    <row r="3421" ht="13.5" customHeight="1">
      <c r="A3421" s="1" t="s">
        <v>67</v>
      </c>
      <c r="B3421" s="1" t="s">
        <v>17147</v>
      </c>
      <c r="C3421" s="1" t="s">
        <v>17148</v>
      </c>
      <c r="D3421" s="1" t="s">
        <v>17149</v>
      </c>
      <c r="E3421" s="1" t="s">
        <v>17149</v>
      </c>
      <c r="F3421" s="1" t="s">
        <v>17150</v>
      </c>
      <c r="G3421" s="1" t="s">
        <v>17151</v>
      </c>
      <c r="H3421" s="1" t="str">
        <f>IFERROR(__xludf.DUMMYFUNCTION("GOOGLETRANSLATE(D3421,""EN"",""JA"")"),"淋菌、β-ラクタマーゼ陰性")</f>
        <v>淋菌、β-ラクタマーゼ陰性</v>
      </c>
      <c r="I3421" s="1" t="str">
        <f>IFERROR(__xludf.DUMMYFUNCTION("GOOGLETRANSLATE(E3421,""EN"",""JA"")"),"淋菌、β-ラクタマーゼ陰性")</f>
        <v>淋菌、β-ラクタマーゼ陰性</v>
      </c>
      <c r="J3421" s="1" t="str">
        <f>IFERROR(__xludf.DUMMYFUNCTION("GOOGLETRANSLATE(F3421,""EN"",""JA"")"),"生物標本中の淋菌のベータラクタマーゼ陰性株の測定。")</f>
        <v>生物標本中の淋菌のベータラクタマーゼ陰性株の測定。</v>
      </c>
      <c r="K3421" s="1" t="str">
        <f>IFERROR(__xludf.DUMMYFUNCTION("GOOGLETRANSLATE(G3421,""EN"",""JA"")"),"淋菌、β-ラクタマーゼ陰性測定")</f>
        <v>淋菌、β-ラクタマーゼ陰性測定</v>
      </c>
    </row>
    <row r="3422" ht="13.5" customHeight="1">
      <c r="A3422" s="1" t="s">
        <v>67</v>
      </c>
      <c r="B3422" s="1" t="s">
        <v>17152</v>
      </c>
      <c r="C3422" s="1" t="s">
        <v>17153</v>
      </c>
      <c r="D3422" s="1" t="s">
        <v>17154</v>
      </c>
      <c r="E3422" s="1" t="s">
        <v>17154</v>
      </c>
      <c r="F3422" s="1" t="s">
        <v>17155</v>
      </c>
      <c r="G3422" s="1" t="s">
        <v>17156</v>
      </c>
      <c r="H3422" s="1" t="str">
        <f>IFERROR(__xludf.DUMMYFUNCTION("GOOGLETRANSLATE(D3422,""EN"",""JA"")"),"淋菌、β-ラクタマーゼ陽性")</f>
        <v>淋菌、β-ラクタマーゼ陽性</v>
      </c>
      <c r="I3422" s="1" t="str">
        <f>IFERROR(__xludf.DUMMYFUNCTION("GOOGLETRANSLATE(E3422,""EN"",""JA"")"),"淋菌、β-ラクタマーゼ陽性")</f>
        <v>淋菌、β-ラクタマーゼ陽性</v>
      </c>
      <c r="J3422" s="1" t="str">
        <f>IFERROR(__xludf.DUMMYFUNCTION("GOOGLETRANSLATE(F3422,""EN"",""JA"")"),"生物標本中の淋菌のベータラクタマーゼ陽性株の測定。")</f>
        <v>生物標本中の淋菌のベータラクタマーゼ陽性株の測定。</v>
      </c>
      <c r="K3422" s="1" t="str">
        <f>IFERROR(__xludf.DUMMYFUNCTION("GOOGLETRANSLATE(G3422,""EN"",""JA"")"),"淋菌、β-ラクタマーゼ陽性測定")</f>
        <v>淋菌、β-ラクタマーゼ陽性測定</v>
      </c>
    </row>
    <row r="3423" ht="13.5" customHeight="1">
      <c r="A3423" s="1" t="s">
        <v>67</v>
      </c>
      <c r="B3423" s="1" t="s">
        <v>17157</v>
      </c>
      <c r="C3423" s="1" t="s">
        <v>17158</v>
      </c>
      <c r="D3423" s="1" t="s">
        <v>17159</v>
      </c>
      <c r="E3423" s="1" t="s">
        <v>17159</v>
      </c>
      <c r="F3423" s="1" t="s">
        <v>17160</v>
      </c>
      <c r="G3423" s="1" t="s">
        <v>17161</v>
      </c>
      <c r="H3423" s="1" t="str">
        <f>IFERROR(__xludf.DUMMYFUNCTION("GOOGLETRANSLATE(D3423,""EN"",""JA"")"),"淋菌DNA")</f>
        <v>淋菌DNA</v>
      </c>
      <c r="I3423" s="1" t="str">
        <f>IFERROR(__xludf.DUMMYFUNCTION("GOOGLETRANSLATE(E3423,""EN"",""JA"")"),"淋菌DNA")</f>
        <v>淋菌DNA</v>
      </c>
      <c r="J3423" s="1" t="str">
        <f>IFERROR(__xludf.DUMMYFUNCTION("GOOGLETRANSLATE(F3423,""EN"",""JA"")"),"生物標本中の淋菌 DNA の測定。")</f>
        <v>生物標本中の淋菌 DNA の測定。</v>
      </c>
      <c r="K3423" s="1" t="str">
        <f>IFERROR(__xludf.DUMMYFUNCTION("GOOGLETRANSLATE(G3423,""EN"",""JA"")"),"淋菌DNA測定")</f>
        <v>淋菌DNA測定</v>
      </c>
    </row>
    <row r="3424" ht="13.5" customHeight="1">
      <c r="A3424" s="1" t="s">
        <v>67</v>
      </c>
      <c r="B3424" s="1" t="s">
        <v>17162</v>
      </c>
      <c r="C3424" s="1" t="s">
        <v>17163</v>
      </c>
      <c r="D3424" s="1" t="s">
        <v>17164</v>
      </c>
      <c r="E3424" s="1" t="s">
        <v>17164</v>
      </c>
      <c r="F3424" s="1" t="s">
        <v>17165</v>
      </c>
      <c r="G3424" s="1" t="s">
        <v>17166</v>
      </c>
      <c r="H3424" s="1" t="str">
        <f>IFERROR(__xludf.DUMMYFUNCTION("GOOGLETRANSLATE(D3424,""EN"",""JA"")"),"淋菌RNA")</f>
        <v>淋菌RNA</v>
      </c>
      <c r="I3424" s="1" t="str">
        <f>IFERROR(__xludf.DUMMYFUNCTION("GOOGLETRANSLATE(E3424,""EN"",""JA"")"),"淋菌RNA")</f>
        <v>淋菌RNA</v>
      </c>
      <c r="J3424" s="1" t="str">
        <f>IFERROR(__xludf.DUMMYFUNCTION("GOOGLETRANSLATE(F3424,""EN"",""JA"")"),"生物標本中の淋菌RNAの測定。")</f>
        <v>生物標本中の淋菌RNAの測定。</v>
      </c>
      <c r="K3424" s="1" t="str">
        <f>IFERROR(__xludf.DUMMYFUNCTION("GOOGLETRANSLATE(G3424,""EN"",""JA"")"),"淋菌RNA測定")</f>
        <v>淋菌RNA測定</v>
      </c>
    </row>
    <row r="3425" ht="13.5" customHeight="1">
      <c r="A3425" s="1" t="s">
        <v>11</v>
      </c>
      <c r="B3425" s="1" t="s">
        <v>17167</v>
      </c>
      <c r="C3425" s="1" t="s">
        <v>17168</v>
      </c>
      <c r="D3425" s="1" t="s">
        <v>17169</v>
      </c>
      <c r="E3425" s="1" t="s">
        <v>17169</v>
      </c>
      <c r="F3425" s="1" t="s">
        <v>17170</v>
      </c>
      <c r="G3425" s="1" t="s">
        <v>17171</v>
      </c>
      <c r="H3425" s="1" t="str">
        <f>IFERROR(__xludf.DUMMYFUNCTION("GOOGLETRANSLATE(D3425,""EN"",""JA"")"),"非HDLコレステロール/LDLコレステロール")</f>
        <v>非HDLコレステロール/LDLコレステロール</v>
      </c>
      <c r="I3425" s="1" t="str">
        <f>IFERROR(__xludf.DUMMYFUNCTION("GOOGLETRANSLATE(E3425,""EN"",""JA"")"),"非HDLコレステロール/LDLコレステロール")</f>
        <v>非HDLコレステロール/LDLコレステロール</v>
      </c>
      <c r="J3425" s="1" t="str">
        <f>IFERROR(__xludf.DUMMYFUNCTION("GOOGLETRANSLATE(F3425,""EN"",""JA"")"),"生物学的標本中の非 HDL コレステロールと LDL コレステロールの相対的な測定値 (比率またはパーセンテージ)。")</f>
        <v>生物学的標本中の非 HDL コレステロールと LDL コレステロールの相対的な測定値 (比率またはパーセンテージ)。</v>
      </c>
      <c r="K3425" s="1" t="str">
        <f>IFERROR(__xludf.DUMMYFUNCTION("GOOGLETRANSLATE(G3425,""EN"",""JA"")"),"非HDLコレステロールとLDLコレステロールの比測定")</f>
        <v>非HDLコレステロールとLDLコレステロールの比測定</v>
      </c>
    </row>
    <row r="3426" ht="13.5" customHeight="1">
      <c r="A3426" s="1" t="s">
        <v>11</v>
      </c>
      <c r="B3426" s="1" t="s">
        <v>17172</v>
      </c>
      <c r="C3426" s="1" t="s">
        <v>17173</v>
      </c>
      <c r="D3426" s="1" t="s">
        <v>17174</v>
      </c>
      <c r="E3426" s="1" t="s">
        <v>17174</v>
      </c>
      <c r="F3426" s="1" t="s">
        <v>17175</v>
      </c>
      <c r="G3426" s="1" t="s">
        <v>17176</v>
      </c>
      <c r="H3426" s="1" t="str">
        <f>IFERROR(__xludf.DUMMYFUNCTION("GOOGLETRANSLATE(D3426,""EN"",""JA"")"),"非血球細胞")</f>
        <v>非血球細胞</v>
      </c>
      <c r="I3426" s="1" t="str">
        <f>IFERROR(__xludf.DUMMYFUNCTION("GOOGLETRANSLATE(E3426,""EN"",""JA"")"),"非血球細胞")</f>
        <v>非血球細胞</v>
      </c>
      <c r="J3426" s="1" t="str">
        <f>IFERROR(__xludf.DUMMYFUNCTION("GOOGLETRANSLATE(F3426,""EN"",""JA"")"),"生物標本中の非造血起源の細胞の測定。")</f>
        <v>生物標本中の非造血起源の細胞の測定。</v>
      </c>
      <c r="K3426" s="1" t="str">
        <f>IFERROR(__xludf.DUMMYFUNCTION("GOOGLETRANSLATE(G3426,""EN"",""JA"")"),"非血球数")</f>
        <v>非血球数</v>
      </c>
    </row>
    <row r="3427" ht="13.5" customHeight="1">
      <c r="A3427" s="1" t="s">
        <v>11</v>
      </c>
      <c r="B3427" s="1" t="s">
        <v>17177</v>
      </c>
      <c r="C3427" s="1" t="s">
        <v>17178</v>
      </c>
      <c r="D3427" s="1" t="s">
        <v>17179</v>
      </c>
      <c r="E3427" s="1" t="s">
        <v>17179</v>
      </c>
      <c r="F3427" s="1" t="s">
        <v>17180</v>
      </c>
      <c r="G3427" s="1" t="s">
        <v>17181</v>
      </c>
      <c r="H3427" s="1" t="str">
        <f>IFERROR(__xludf.DUMMYFUNCTION("GOOGLETRANSLATE(D3427,""EN"",""JA"")"),"非血球細胞/白血球")</f>
        <v>非血球細胞/白血球</v>
      </c>
      <c r="I3427" s="1" t="str">
        <f>IFERROR(__xludf.DUMMYFUNCTION("GOOGLETRANSLATE(E3427,""EN"",""JA"")"),"非血球細胞/白血球")</f>
        <v>非血球細胞/白血球</v>
      </c>
      <c r="J3427" s="1" t="str">
        <f>IFERROR(__xludf.DUMMYFUNCTION("GOOGLETRANSLATE(F3427,""EN"",""JA"")"),"生物標本中の非血球細胞と全白血球の相対的な測定値（比率）。")</f>
        <v>生物標本中の非血球細胞と全白血球の相対的な測定値（比率）。</v>
      </c>
      <c r="K3427" s="1" t="str">
        <f>IFERROR(__xludf.DUMMYFUNCTION("GOOGLETRANSLATE(G3427,""EN"",""JA"")"),"非血球細胞と白血球の比率測定")</f>
        <v>非血球細胞と白血球の比率測定</v>
      </c>
    </row>
    <row r="3428" ht="13.5" customHeight="1">
      <c r="A3428" s="1" t="s">
        <v>11</v>
      </c>
      <c r="B3428" s="1" t="s">
        <v>17182</v>
      </c>
      <c r="C3428" s="1" t="s">
        <v>17183</v>
      </c>
      <c r="D3428" s="1" t="s">
        <v>17184</v>
      </c>
      <c r="E3428" s="1" t="s">
        <v>17184</v>
      </c>
      <c r="F3428" s="1" t="s">
        <v>17185</v>
      </c>
      <c r="G3428" s="1" t="s">
        <v>17186</v>
      </c>
      <c r="H3428" s="1" t="str">
        <f>IFERROR(__xludf.DUMMYFUNCTION("GOOGLETRANSLATE(D3428,""EN"",""JA"")"),"ノルヒドロコドン")</f>
        <v>ノルヒドロコドン</v>
      </c>
      <c r="I3428" s="1" t="str">
        <f>IFERROR(__xludf.DUMMYFUNCTION("GOOGLETRANSLATE(E3428,""EN"",""JA"")"),"ノルヒドロコドン")</f>
        <v>ノルヒドロコドン</v>
      </c>
      <c r="J3428" s="1" t="str">
        <f>IFERROR(__xludf.DUMMYFUNCTION("GOOGLETRANSLATE(F3428,""EN"",""JA"")"),"生物学的標本中のノルヒドロコドンの測定。")</f>
        <v>生物学的標本中のノルヒドロコドンの測定。</v>
      </c>
      <c r="K3428" s="1" t="str">
        <f>IFERROR(__xludf.DUMMYFUNCTION("GOOGLETRANSLATE(G3428,""EN"",""JA"")"),"ノルヒドロコドン測定")</f>
        <v>ノルヒドロコドン測定</v>
      </c>
    </row>
    <row r="3429" ht="13.5" customHeight="1">
      <c r="A3429" s="1" t="s">
        <v>11</v>
      </c>
      <c r="B3429" s="1" t="s">
        <v>17187</v>
      </c>
      <c r="C3429" s="1" t="s">
        <v>17188</v>
      </c>
      <c r="D3429" s="1" t="s">
        <v>17189</v>
      </c>
      <c r="E3429" s="1" t="s">
        <v>17189</v>
      </c>
      <c r="F3429" s="1" t="s">
        <v>17190</v>
      </c>
      <c r="G3429" s="1" t="s">
        <v>17191</v>
      </c>
      <c r="H3429" s="1" t="str">
        <f>IFERROR(__xludf.DUMMYFUNCTION("GOOGLETRANSLATE(D3429,""EN"",""JA"")"),"ニコチン")</f>
        <v>ニコチン</v>
      </c>
      <c r="I3429" s="1" t="str">
        <f>IFERROR(__xludf.DUMMYFUNCTION("GOOGLETRANSLATE(E3429,""EN"",""JA"")"),"ニコチン")</f>
        <v>ニコチン</v>
      </c>
      <c r="J3429" s="1" t="str">
        <f>IFERROR(__xludf.DUMMYFUNCTION("GOOGLETRANSLATE(F3429,""EN"",""JA"")"),"標本中のニコチンの測定。")</f>
        <v>標本中のニコチンの測定。</v>
      </c>
      <c r="K3429" s="1" t="str">
        <f>IFERROR(__xludf.DUMMYFUNCTION("GOOGLETRANSLATE(G3429,""EN"",""JA"")"),"ニコチン測定")</f>
        <v>ニコチン測定</v>
      </c>
    </row>
    <row r="3430" ht="13.5" customHeight="1">
      <c r="A3430" s="1" t="s">
        <v>11</v>
      </c>
      <c r="B3430" s="1" t="s">
        <v>17192</v>
      </c>
      <c r="C3430" s="1" t="s">
        <v>17193</v>
      </c>
      <c r="D3430" s="1" t="s">
        <v>17194</v>
      </c>
      <c r="E3430" s="1" t="s">
        <v>17195</v>
      </c>
      <c r="F3430" s="1" t="s">
        <v>17196</v>
      </c>
      <c r="G3430" s="1" t="s">
        <v>17197</v>
      </c>
      <c r="H3430" s="1" t="str">
        <f>IFERROR(__xludf.DUMMYFUNCTION("GOOGLETRANSLATE(D3430,""EN"",""JA"")"),"ニコチンおよび/または代謝物")</f>
        <v>ニコチンおよび/または代謝物</v>
      </c>
      <c r="I3430" s="1" t="str">
        <f>IFERROR(__xludf.DUMMYFUNCTION("GOOGLETRANSLATE(E3430,""EN"",""JA"")"),"ニコチンおよび/または代謝物; ニコチン当量; TNE; 総ニコチン当量")</f>
        <v>ニコチンおよび/または代謝物; ニコチン当量; TNE; 総ニコチン当量</v>
      </c>
      <c r="J3430" s="1" t="str">
        <f>IFERROR(__xludf.DUMMYFUNCTION("GOOGLETRANSLATE(F3430,""EN"",""JA"")"),"ニコチンとその代謝物の両方を測定できる分析法のために、検体中に存在するニコチンおよび/またはその代謝物の測定。")</f>
        <v>ニコチンとその代謝物の両方を測定できる分析法のために、検体中に存在するニコチンおよび/またはその代謝物の測定。</v>
      </c>
      <c r="K3430" s="1" t="str">
        <f>IFERROR(__xludf.DUMMYFUNCTION("GOOGLETRANSLATE(G3430,""EN"",""JA"")"),"ニコチンおよび/または代謝物の測定")</f>
        <v>ニコチンおよび/または代謝物の測定</v>
      </c>
    </row>
    <row r="3431" ht="13.5" customHeight="1">
      <c r="A3431" s="1" t="s">
        <v>11</v>
      </c>
      <c r="B3431" s="1" t="s">
        <v>17198</v>
      </c>
      <c r="C3431" s="1" t="s">
        <v>17199</v>
      </c>
      <c r="D3431" s="1" t="s">
        <v>17200</v>
      </c>
      <c r="E3431" s="1" t="s">
        <v>17200</v>
      </c>
      <c r="F3431" s="1" t="s">
        <v>5728</v>
      </c>
      <c r="G3431" s="1" t="s">
        <v>17201</v>
      </c>
      <c r="H3431" s="1" t="str">
        <f>IFERROR(__xludf.DUMMYFUNCTION("GOOGLETRANSLATE(D3431,""EN"",""JA"")"),"ニコチンフリー")</f>
        <v>ニコチンフリー</v>
      </c>
      <c r="I3431" s="1" t="str">
        <f>IFERROR(__xludf.DUMMYFUNCTION("GOOGLETRANSLATE(E3431,""EN"",""JA"")"),"ニコチンフリー")</f>
        <v>ニコチンフリー</v>
      </c>
      <c r="J3431" s="1" t="str">
        <f>IFERROR(__xludf.DUMMYFUNCTION("GOOGLETRANSLATE(F3431,""EN"",""JA"")"),"標本中の遊離（非結合）コチニンの測定。")</f>
        <v>標本中の遊離（非結合）コチニンの測定。</v>
      </c>
      <c r="K3431" s="1" t="str">
        <f>IFERROR(__xludf.DUMMYFUNCTION("GOOGLETRANSLATE(G3431,""EN"",""JA"")"),"無料ニコチン測定")</f>
        <v>無料ニコチン測定</v>
      </c>
    </row>
    <row r="3432" ht="13.5" customHeight="1">
      <c r="A3432" s="1" t="s">
        <v>11</v>
      </c>
      <c r="B3432" s="1" t="s">
        <v>17202</v>
      </c>
      <c r="C3432" s="1" t="s">
        <v>17203</v>
      </c>
      <c r="D3432" s="1" t="s">
        <v>17204</v>
      </c>
      <c r="E3432" s="1" t="s">
        <v>17205</v>
      </c>
      <c r="F3432" s="1" t="s">
        <v>17206</v>
      </c>
      <c r="G3432" s="1" t="s">
        <v>17207</v>
      </c>
      <c r="H3432" s="1" t="str">
        <f>IFERROR(__xludf.DUMMYFUNCTION("GOOGLETRANSLATE(D3432,""EN"",""JA"")"),"硝酸塩")</f>
        <v>硝酸塩</v>
      </c>
      <c r="I3432" s="1" t="str">
        <f>IFERROR(__xludf.DUMMYFUNCTION("GOOGLETRANSLATE(E3432,""EN"",""JA"")"),"硝酸塩; 硝酸")</f>
        <v>硝酸塩; 硝酸</v>
      </c>
      <c r="J3432" s="1" t="str">
        <f>IFERROR(__xludf.DUMMYFUNCTION("GOOGLETRANSLATE(F3432,""EN"",""JA"")"),"生物標本中の硝酸塩の測定。")</f>
        <v>生物標本中の硝酸塩の測定。</v>
      </c>
      <c r="K3432" s="1" t="str">
        <f>IFERROR(__xludf.DUMMYFUNCTION("GOOGLETRANSLATE(G3432,""EN"",""JA"")"),"硝酸塩測定")</f>
        <v>硝酸塩測定</v>
      </c>
    </row>
    <row r="3433" ht="13.5" customHeight="1">
      <c r="A3433" s="1" t="s">
        <v>11</v>
      </c>
      <c r="B3433" s="1" t="s">
        <v>17208</v>
      </c>
      <c r="C3433" s="1" t="s">
        <v>17209</v>
      </c>
      <c r="D3433" s="1" t="s">
        <v>17210</v>
      </c>
      <c r="E3433" s="1" t="s">
        <v>17211</v>
      </c>
      <c r="F3433" s="1" t="s">
        <v>17212</v>
      </c>
      <c r="G3433" s="1" t="s">
        <v>17213</v>
      </c>
      <c r="H3433" s="1" t="str">
        <f>IFERROR(__xludf.DUMMYFUNCTION("GOOGLETRANSLATE(D3433,""EN"",""JA"")"),"一酸化窒素")</f>
        <v>一酸化窒素</v>
      </c>
      <c r="I3433" s="1" t="str">
        <f>IFERROR(__xludf.DUMMYFUNCTION("GOOGLETRANSLATE(E3433,""EN"",""JA"")"),"一酸化窒素; NO")</f>
        <v>一酸化窒素; NO</v>
      </c>
      <c r="J3433" s="1" t="str">
        <f>IFERROR(__xludf.DUMMYFUNCTION("GOOGLETRANSLATE(F3433,""EN"",""JA"")"),"生物標本中の一酸化窒素の測定。")</f>
        <v>生物標本中の一酸化窒素の測定。</v>
      </c>
      <c r="K3433" s="1" t="str">
        <f>IFERROR(__xludf.DUMMYFUNCTION("GOOGLETRANSLATE(G3433,""EN"",""JA"")"),"一酸化窒素測定")</f>
        <v>一酸化窒素測定</v>
      </c>
    </row>
    <row r="3434" ht="13.5" customHeight="1">
      <c r="A3434" s="1" t="s">
        <v>11</v>
      </c>
      <c r="B3434" s="1" t="s">
        <v>17214</v>
      </c>
      <c r="C3434" s="1" t="s">
        <v>17215</v>
      </c>
      <c r="D3434" s="1" t="s">
        <v>17216</v>
      </c>
      <c r="E3434" s="1" t="s">
        <v>17216</v>
      </c>
      <c r="F3434" s="1" t="s">
        <v>17217</v>
      </c>
      <c r="G3434" s="1" t="s">
        <v>17218</v>
      </c>
      <c r="H3434" s="1" t="str">
        <f>IFERROR(__xludf.DUMMYFUNCTION("GOOGLETRANSLATE(D3434,""EN"",""JA"")"),"亜硝酸塩")</f>
        <v>亜硝酸塩</v>
      </c>
      <c r="I3434" s="1" t="str">
        <f>IFERROR(__xludf.DUMMYFUNCTION("GOOGLETRANSLATE(E3434,""EN"",""JA"")"),"亜硝酸塩")</f>
        <v>亜硝酸塩</v>
      </c>
      <c r="J3434" s="1" t="str">
        <f>IFERROR(__xludf.DUMMYFUNCTION("GOOGLETRANSLATE(F3434,""EN"",""JA"")"),"生物標本中の亜硝酸塩の測定。")</f>
        <v>生物標本中の亜硝酸塩の測定。</v>
      </c>
      <c r="K3434" s="1" t="str">
        <f>IFERROR(__xludf.DUMMYFUNCTION("GOOGLETRANSLATE(G3434,""EN"",""JA"")"),"亜硝酸塩測定")</f>
        <v>亜硝酸塩測定</v>
      </c>
    </row>
    <row r="3435" ht="13.5" customHeight="1">
      <c r="A3435" s="1" t="s">
        <v>11</v>
      </c>
      <c r="B3435" s="1" t="s">
        <v>17219</v>
      </c>
      <c r="C3435" s="1" t="s">
        <v>17220</v>
      </c>
      <c r="D3435" s="1" t="s">
        <v>17221</v>
      </c>
      <c r="E3435" s="1" t="s">
        <v>17221</v>
      </c>
      <c r="F3435" s="1" t="s">
        <v>17222</v>
      </c>
      <c r="G3435" s="1" t="s">
        <v>17223</v>
      </c>
      <c r="H3435" s="1" t="str">
        <f>IFERROR(__xludf.DUMMYFUNCTION("GOOGLETRANSLATE(D3435,""EN"",""JA"")"),"ナチュラルキラー細胞")</f>
        <v>ナチュラルキラー細胞</v>
      </c>
      <c r="I3435" s="1" t="str">
        <f>IFERROR(__xludf.DUMMYFUNCTION("GOOGLETRANSLATE(E3435,""EN"",""JA"")"),"ナチュラルキラー細胞")</f>
        <v>ナチュラルキラー細胞</v>
      </c>
      <c r="J3435" s="1" t="str">
        <f>IFERROR(__xludf.DUMMYFUNCTION("GOOGLETRANSLATE(F3435,""EN"",""JA"")"),"生物標本中のナチュラルキラー細胞の総数の測定。")</f>
        <v>生物標本中のナチュラルキラー細胞の総数の測定。</v>
      </c>
      <c r="K3435" s="1" t="str">
        <f>IFERROR(__xludf.DUMMYFUNCTION("GOOGLETRANSLATE(G3435,""EN"",""JA"")"),"ナチュラルキラー細胞数")</f>
        <v>ナチュラルキラー細胞数</v>
      </c>
    </row>
    <row r="3436" ht="13.5" customHeight="1">
      <c r="A3436" s="1" t="s">
        <v>11</v>
      </c>
      <c r="B3436" s="1" t="s">
        <v>17224</v>
      </c>
      <c r="C3436" s="1" t="s">
        <v>17225</v>
      </c>
      <c r="D3436" s="1" t="s">
        <v>17226</v>
      </c>
      <c r="E3436" s="1" t="s">
        <v>17227</v>
      </c>
      <c r="F3436" s="1" t="s">
        <v>17228</v>
      </c>
      <c r="G3436" s="1" t="s">
        <v>17229</v>
      </c>
      <c r="H3436" s="1" t="str">
        <f>IFERROR(__xludf.DUMMYFUNCTION("GOOGLETRANSLATE(D3436,""EN"",""JA"")"),"ナチュラルキラー細胞の機能")</f>
        <v>ナチュラルキラー細胞の機能</v>
      </c>
      <c r="I3436" s="1" t="str">
        <f>IFERROR(__xludf.DUMMYFUNCTION("GOOGLETRANSLATE(E3436,""EN"",""JA"")"),"ナチュラルキラー細胞活性; ナチュラルキラー細胞機能")</f>
        <v>ナチュラルキラー細胞活性; ナチュラルキラー細胞機能</v>
      </c>
      <c r="J3436" s="1" t="str">
        <f>IFERROR(__xludf.DUMMYFUNCTION("GOOGLETRANSLATE(F3436,""EN"",""JA"")"),"生物標本におけるナチュラルキラー細胞機能の測定。")</f>
        <v>生物標本におけるナチュラルキラー細胞機能の測定。</v>
      </c>
      <c r="K3436" s="1" t="str">
        <f>IFERROR(__xludf.DUMMYFUNCTION("GOOGLETRANSLATE(G3436,""EN"",""JA"")"),"ナチュラルキラー細胞活性測定")</f>
        <v>ナチュラルキラー細胞活性測定</v>
      </c>
    </row>
    <row r="3437" ht="13.5" customHeight="1">
      <c r="A3437" s="1" t="s">
        <v>201</v>
      </c>
      <c r="B3437" s="1" t="s">
        <v>17230</v>
      </c>
      <c r="C3437" s="1" t="s">
        <v>17231</v>
      </c>
      <c r="D3437" s="1" t="s">
        <v>17232</v>
      </c>
      <c r="E3437" s="1" t="s">
        <v>17233</v>
      </c>
      <c r="F3437" s="1" t="s">
        <v>17234</v>
      </c>
      <c r="G3437" s="1" t="s">
        <v>17235</v>
      </c>
      <c r="H3437" s="1" t="str">
        <f>IFERROR(__xludf.DUMMYFUNCTION("GOOGLETRANSLATE(D3437,""EN"",""JA"")"),"ナチュラルキラー細胞を介した細胞溶解")</f>
        <v>ナチュラルキラー細胞を介した細胞溶解</v>
      </c>
      <c r="I3437" s="1" t="str">
        <f>IFERROR(__xludf.DUMMYFUNCTION("GOOGLETRANSLATE(E3437,""EN"",""JA"")"),"ナチュラルキラー細胞介在性細胞溶解; NK細胞介在性細胞溶解")</f>
        <v>ナチュラルキラー細胞介在性細胞溶解; NK細胞介在性細胞溶解</v>
      </c>
      <c r="J3437" s="1" t="str">
        <f>IFERROR(__xludf.DUMMYFUNCTION("GOOGLETRANSLATE(F3437,""EN"",""JA"")"),"生物標本中のナチュラルキラー細胞によって媒介される標的細胞の溶解の測定。")</f>
        <v>生物標本中のナチュラルキラー細胞によって媒介される標的細胞の溶解の測定。</v>
      </c>
      <c r="K3437" s="1" t="str">
        <f>IFERROR(__xludf.DUMMYFUNCTION("GOOGLETRANSLATE(G3437,""EN"",""JA"")"),"ナチュラルキラー細胞介在性細胞溶解評価")</f>
        <v>ナチュラルキラー細胞介在性細胞溶解評価</v>
      </c>
    </row>
    <row r="3438" ht="13.5" customHeight="1">
      <c r="A3438" s="1" t="s">
        <v>11</v>
      </c>
      <c r="B3438" s="1" t="s">
        <v>17236</v>
      </c>
      <c r="C3438" s="1" t="s">
        <v>17237</v>
      </c>
      <c r="D3438" s="1" t="s">
        <v>17238</v>
      </c>
      <c r="E3438" s="1" t="s">
        <v>17239</v>
      </c>
      <c r="F3438" s="1" t="s">
        <v>17240</v>
      </c>
      <c r="G3438" s="1" t="s">
        <v>17241</v>
      </c>
      <c r="H3438" s="1" t="str">
        <f>IFERROR(__xludf.DUMMYFUNCTION("GOOGLETRANSLATE(D3438,""EN"",""JA"")"),"ニューロキニンA")</f>
        <v>ニューロキニンA</v>
      </c>
      <c r="I3438" s="1" t="str">
        <f>IFERROR(__xludf.DUMMYFUNCTION("GOOGLETRANSLATE(E3438,""EN"",""JA"")"),"ニューロキニンA; NKA;サブスタンスK")</f>
        <v>ニューロキニンA; NKA;サブスタンスK</v>
      </c>
      <c r="J3438" s="1" t="str">
        <f>IFERROR(__xludf.DUMMYFUNCTION("GOOGLETRANSLATE(F3438,""EN"",""JA"")"),"生物標本中のニューロキニン A の測定。")</f>
        <v>生物標本中のニューロキニン A の測定。</v>
      </c>
      <c r="K3438" s="1" t="str">
        <f>IFERROR(__xludf.DUMMYFUNCTION("GOOGLETRANSLATE(G3438,""EN"",""JA"")"),"ニューロキニンA測定")</f>
        <v>ニューロキニンA測定</v>
      </c>
    </row>
    <row r="3439" ht="13.5" customHeight="1">
      <c r="A3439" s="1" t="s">
        <v>11</v>
      </c>
      <c r="B3439" s="1" t="s">
        <v>17242</v>
      </c>
      <c r="C3439" s="1" t="s">
        <v>17243</v>
      </c>
      <c r="D3439" s="1" t="s">
        <v>17244</v>
      </c>
      <c r="E3439" s="1" t="s">
        <v>17245</v>
      </c>
      <c r="F3439" s="1" t="s">
        <v>17246</v>
      </c>
      <c r="G3439" s="1" t="s">
        <v>17247</v>
      </c>
      <c r="H3439" s="1" t="str">
        <f>IFERROR(__xludf.DUMMYFUNCTION("GOOGLETRANSLATE(D3439,""EN"",""JA"")"),"NK細胞/リンパ球")</f>
        <v>NK細胞/リンパ球</v>
      </c>
      <c r="I3439" s="1" t="str">
        <f>IFERROR(__xludf.DUMMYFUNCTION("GOOGLETRANSLATE(E3439,""EN"",""JA"")"),"ナチュラルキラー細胞/リンパ球; NK細胞/リンパ球")</f>
        <v>ナチュラルキラー細胞/リンパ球; NK細胞/リンパ球</v>
      </c>
      <c r="J3439" s="1" t="str">
        <f>IFERROR(__xludf.DUMMYFUNCTION("GOOGLETRANSLATE(F3439,""EN"",""JA"")"),"生物標本中のナチュラルキラー細胞とリンパ球の相対的な測定値（比率またはパーセンテージ）。")</f>
        <v>生物標本中のナチュラルキラー細胞とリンパ球の相対的な測定値（比率またはパーセンテージ）。</v>
      </c>
      <c r="K3439" s="1" t="str">
        <f>IFERROR(__xludf.DUMMYFUNCTION("GOOGLETRANSLATE(G3439,""EN"",""JA"")"),"ナチュラルキラー細胞とリンパ球の比率測定")</f>
        <v>ナチュラルキラー細胞とリンパ球の比率測定</v>
      </c>
    </row>
    <row r="3440" ht="13.5" customHeight="1">
      <c r="A3440" s="1" t="s">
        <v>134</v>
      </c>
      <c r="B3440" s="1" t="s">
        <v>17248</v>
      </c>
      <c r="C3440" s="1" t="s">
        <v>17249</v>
      </c>
      <c r="D3440" s="1" t="s">
        <v>17250</v>
      </c>
      <c r="E3440" s="1" t="s">
        <v>17251</v>
      </c>
      <c r="F3440" s="1" t="s">
        <v>17252</v>
      </c>
      <c r="G3440" s="1" t="s">
        <v>17253</v>
      </c>
      <c r="H3440" s="1" t="str">
        <f>IFERROR(__xludf.DUMMYFUNCTION("GOOGLETRANSLATE(D3440,""EN"",""JA"")"),"NK2ホメオボックス1")</f>
        <v>NK2ホメオボックス1</v>
      </c>
      <c r="I3440" s="1" t="str">
        <f>IFERROR(__xludf.DUMMYFUNCTION("GOOGLETRANSLATE(E3440,""EN"",""JA"")"),"NK2ホメオボックス1; TEBP; 甲状腺転写因子1; TTF1")</f>
        <v>NK2ホメオボックス1; TEBP; 甲状腺転写因子1; TTF1</v>
      </c>
      <c r="J3440" s="1" t="str">
        <f>IFERROR(__xludf.DUMMYFUNCTION("GOOGLETRANSLATE(F3440,""EN"",""JA"")"),"生物標本中の NK2 ホメオボックス 1 タンパク質の測定。")</f>
        <v>生物標本中の NK2 ホメオボックス 1 タンパク質の測定。</v>
      </c>
      <c r="K3440" s="1" t="str">
        <f>IFERROR(__xludf.DUMMYFUNCTION("GOOGLETRANSLATE(G3440,""EN"",""JA"")"),"NK2ホメオボックス1の測定")</f>
        <v>NK2ホメオボックス1の測定</v>
      </c>
    </row>
    <row r="3441" ht="13.5" customHeight="1">
      <c r="A3441" s="1" t="s">
        <v>67</v>
      </c>
      <c r="B3441" s="1" t="s">
        <v>17254</v>
      </c>
      <c r="C3441" s="1" t="s">
        <v>17255</v>
      </c>
      <c r="D3441" s="1" t="s">
        <v>17256</v>
      </c>
      <c r="E3441" s="1" t="s">
        <v>17257</v>
      </c>
      <c r="F3441" s="1" t="s">
        <v>17258</v>
      </c>
      <c r="G3441" s="1" t="s">
        <v>17259</v>
      </c>
      <c r="H3441" s="1" t="str">
        <f>IFERROR(__xludf.DUMMYFUNCTION("GOOGLETRANSLATE(D3441,""EN"",""JA"")"),"HCoV-NL63核酸")</f>
        <v>HCoV-NL63核酸</v>
      </c>
      <c r="I3441" s="1" t="str">
        <f>IFERROR(__xludf.DUMMYFUNCTION("GOOGLETRANSLATE(E3441,""EN"",""JA"")"),"HCoV-NL63核酸; ヒトコロナウイルスNL63核酸")</f>
        <v>HCoV-NL63核酸; ヒトコロナウイルスNL63核酸</v>
      </c>
      <c r="J3441" s="1" t="str">
        <f>IFERROR(__xludf.DUMMYFUNCTION("GOOGLETRANSLATE(F3441,""EN"",""JA"")"),"生物標本中のヒトコロナウイルスNL63核酸の測定。")</f>
        <v>生物標本中のヒトコロナウイルスNL63核酸の測定。</v>
      </c>
      <c r="K3441" s="1" t="str">
        <f>IFERROR(__xludf.DUMMYFUNCTION("GOOGLETRANSLATE(G3441,""EN"",""JA"")"),"ヒトコロナウイルスNL63の核酸測定")</f>
        <v>ヒトコロナウイルスNL63の核酸測定</v>
      </c>
    </row>
    <row r="3442" ht="13.5" customHeight="1">
      <c r="A3442" s="1" t="s">
        <v>67</v>
      </c>
      <c r="B3442" s="1" t="s">
        <v>17260</v>
      </c>
      <c r="C3442" s="1" t="s">
        <v>17261</v>
      </c>
      <c r="D3442" s="1" t="s">
        <v>17262</v>
      </c>
      <c r="E3442" s="1" t="s">
        <v>17263</v>
      </c>
      <c r="F3442" s="1" t="s">
        <v>17264</v>
      </c>
      <c r="G3442" s="1" t="s">
        <v>17265</v>
      </c>
      <c r="H3442" s="1" t="str">
        <f>IFERROR(__xludf.DUMMYFUNCTION("GOOGLETRANSLATE(D3442,""EN"",""JA"")"),"HCoV-NL63 RNA")</f>
        <v>HCoV-NL63 RNA</v>
      </c>
      <c r="I3442" s="1" t="str">
        <f>IFERROR(__xludf.DUMMYFUNCTION("GOOGLETRANSLATE(E3442,""EN"",""JA"")"),"HCoV-NL63 RNA; ヒトコロナウイルスNL63 RNA")</f>
        <v>HCoV-NL63 RNA; ヒトコロナウイルスNL63 RNA</v>
      </c>
      <c r="J3442" s="1" t="str">
        <f>IFERROR(__xludf.DUMMYFUNCTION("GOOGLETRANSLATE(F3442,""EN"",""JA"")"),"生物標本中のヒトコロナウイルス NL63 RNA の測定。")</f>
        <v>生物標本中のヒトコロナウイルス NL63 RNA の測定。</v>
      </c>
      <c r="K3442" s="1" t="str">
        <f>IFERROR(__xludf.DUMMYFUNCTION("GOOGLETRANSLATE(G3442,""EN"",""JA"")"),"HCoV-NL63 RNA測定")</f>
        <v>HCoV-NL63 RNA測定</v>
      </c>
    </row>
    <row r="3443" ht="13.5" customHeight="1">
      <c r="A3443" s="1" t="s">
        <v>67</v>
      </c>
      <c r="B3443" s="1" t="s">
        <v>17266</v>
      </c>
      <c r="C3443" s="1" t="s">
        <v>17267</v>
      </c>
      <c r="D3443" s="1" t="s">
        <v>17268</v>
      </c>
      <c r="E3443" s="1" t="s">
        <v>17268</v>
      </c>
      <c r="F3443" s="1" t="s">
        <v>17269</v>
      </c>
      <c r="G3443" s="1" t="s">
        <v>17270</v>
      </c>
      <c r="H3443" s="1" t="str">
        <f>IFERROR(__xludf.DUMMYFUNCTION("GOOGLETRANSLATE(D3443,""EN"",""JA"")"),"髄膜炎菌A抗原")</f>
        <v>髄膜炎菌A抗原</v>
      </c>
      <c r="I3443" s="1" t="str">
        <f>IFERROR(__xludf.DUMMYFUNCTION("GOOGLETRANSLATE(E3443,""EN"",""JA"")"),"髄膜炎菌A抗原")</f>
        <v>髄膜炎菌A抗原</v>
      </c>
      <c r="J3443" s="1" t="str">
        <f>IFERROR(__xludf.DUMMYFUNCTION("GOOGLETRANSLATE(F3443,""EN"",""JA"")"),"生物標本中の髄膜炎菌A抗原の測定。")</f>
        <v>生物標本中の髄膜炎菌A抗原の測定。</v>
      </c>
      <c r="K3443" s="1" t="str">
        <f>IFERROR(__xludf.DUMMYFUNCTION("GOOGLETRANSLATE(G3443,""EN"",""JA"")"),"髄膜炎菌A抗原測定")</f>
        <v>髄膜炎菌A抗原測定</v>
      </c>
    </row>
    <row r="3444" ht="13.5" customHeight="1">
      <c r="A3444" s="1" t="s">
        <v>67</v>
      </c>
      <c r="B3444" s="1" t="s">
        <v>17271</v>
      </c>
      <c r="C3444" s="1" t="s">
        <v>17272</v>
      </c>
      <c r="D3444" s="1" t="s">
        <v>17273</v>
      </c>
      <c r="E3444" s="1" t="s">
        <v>17273</v>
      </c>
      <c r="F3444" s="1" t="s">
        <v>17274</v>
      </c>
      <c r="G3444" s="1" t="s">
        <v>17275</v>
      </c>
      <c r="H3444" s="1" t="str">
        <f>IFERROR(__xludf.DUMMYFUNCTION("GOOGLETRANSLATE(D3444,""EN"",""JA"")"),"髄膜炎菌C抗原")</f>
        <v>髄膜炎菌C抗原</v>
      </c>
      <c r="I3444" s="1" t="str">
        <f>IFERROR(__xludf.DUMMYFUNCTION("GOOGLETRANSLATE(E3444,""EN"",""JA"")"),"髄膜炎菌C抗原")</f>
        <v>髄膜炎菌C抗原</v>
      </c>
      <c r="J3444" s="1" t="str">
        <f>IFERROR(__xludf.DUMMYFUNCTION("GOOGLETRANSLATE(F3444,""EN"",""JA"")"),"生物標本中の髄膜炎菌C抗原の測定。")</f>
        <v>生物標本中の髄膜炎菌C抗原の測定。</v>
      </c>
      <c r="K3444" s="1" t="str">
        <f>IFERROR(__xludf.DUMMYFUNCTION("GOOGLETRANSLATE(G3444,""EN"",""JA"")"),"髄膜炎菌C抗原測定")</f>
        <v>髄膜炎菌C抗原測定</v>
      </c>
    </row>
    <row r="3445" ht="13.5" customHeight="1">
      <c r="A3445" s="1" t="s">
        <v>67</v>
      </c>
      <c r="B3445" s="1" t="s">
        <v>17276</v>
      </c>
      <c r="C3445" s="1" t="s">
        <v>17277</v>
      </c>
      <c r="D3445" s="1" t="s">
        <v>17278</v>
      </c>
      <c r="E3445" s="1" t="s">
        <v>17278</v>
      </c>
      <c r="F3445" s="1" t="s">
        <v>17279</v>
      </c>
      <c r="G3445" s="1" t="s">
        <v>17280</v>
      </c>
      <c r="H3445" s="1" t="str">
        <f>IFERROR(__xludf.DUMMYFUNCTION("GOOGLETRANSLATE(D3445,""EN"",""JA"")"),"髄膜炎菌DNA")</f>
        <v>髄膜炎菌DNA</v>
      </c>
      <c r="I3445" s="1" t="str">
        <f>IFERROR(__xludf.DUMMYFUNCTION("GOOGLETRANSLATE(E3445,""EN"",""JA"")"),"髄膜炎菌DNA")</f>
        <v>髄膜炎菌DNA</v>
      </c>
      <c r="J3445" s="1" t="str">
        <f>IFERROR(__xludf.DUMMYFUNCTION("GOOGLETRANSLATE(F3445,""EN"",""JA"")"),"生物標本中の髄膜炎菌 DNA の測定。")</f>
        <v>生物標本中の髄膜炎菌 DNA の測定。</v>
      </c>
      <c r="K3445" s="1" t="str">
        <f>IFERROR(__xludf.DUMMYFUNCTION("GOOGLETRANSLATE(G3445,""EN"",""JA"")"),"髄膜炎菌DNA測定")</f>
        <v>髄膜炎菌DNA測定</v>
      </c>
    </row>
    <row r="3446" ht="13.5" customHeight="1">
      <c r="A3446" s="1" t="s">
        <v>11</v>
      </c>
      <c r="B3446" s="1" t="s">
        <v>17281</v>
      </c>
      <c r="C3446" s="1" t="s">
        <v>17282</v>
      </c>
      <c r="D3446" s="1" t="s">
        <v>17283</v>
      </c>
      <c r="E3446" s="1" t="s">
        <v>17283</v>
      </c>
      <c r="F3446" s="1" t="s">
        <v>17284</v>
      </c>
      <c r="G3446" s="1" t="s">
        <v>17285</v>
      </c>
      <c r="H3446" s="1" t="str">
        <f>IFERROR(__xludf.DUMMYFUNCTION("GOOGLETRANSLATE(D3446,""EN"",""JA"")"),"N-メチルヒスタミン")</f>
        <v>N-メチルヒスタミン</v>
      </c>
      <c r="I3446" s="1" t="str">
        <f>IFERROR(__xludf.DUMMYFUNCTION("GOOGLETRANSLATE(E3446,""EN"",""JA"")"),"N-メチルヒスタミン")</f>
        <v>N-メチルヒスタミン</v>
      </c>
      <c r="J3446" s="1" t="str">
        <f>IFERROR(__xludf.DUMMYFUNCTION("GOOGLETRANSLATE(F3446,""EN"",""JA"")"),"生物標本中の N-メチルヒスタミンの測定。")</f>
        <v>生物標本中の N-メチルヒスタミンの測定。</v>
      </c>
      <c r="K3446" s="1" t="str">
        <f>IFERROR(__xludf.DUMMYFUNCTION("GOOGLETRANSLATE(G3446,""EN"",""JA"")"),"N-メチルヒスタミン測定")</f>
        <v>N-メチルヒスタミン測定</v>
      </c>
    </row>
    <row r="3447" ht="13.5" customHeight="1">
      <c r="A3447" s="1" t="s">
        <v>11</v>
      </c>
      <c r="B3447" s="1" t="s">
        <v>17286</v>
      </c>
      <c r="C3447" s="1" t="s">
        <v>17287</v>
      </c>
      <c r="D3447" s="1" t="s">
        <v>17288</v>
      </c>
      <c r="E3447" s="1" t="s">
        <v>17289</v>
      </c>
      <c r="F3447" s="1" t="s">
        <v>17290</v>
      </c>
      <c r="G3447" s="1" t="s">
        <v>17291</v>
      </c>
      <c r="H3447" s="1" t="str">
        <f>IFERROR(__xludf.DUMMYFUNCTION("GOOGLETRANSLATE(D3447,""EN"",""JA"")"),"核マトリックスタンパク質22")</f>
        <v>核マトリックスタンパク質22</v>
      </c>
      <c r="I3447" s="1" t="str">
        <f>IFERROR(__xludf.DUMMYFUNCTION("GOOGLETRANSLATE(E3447,""EN"",""JA"")"),"核マトリックスタンパク質22; 核分裂装置タンパク質1; NUMA1")</f>
        <v>核マトリックスタンパク質22; 核分裂装置タンパク質1; NUMA1</v>
      </c>
      <c r="J3447" s="1" t="str">
        <f>IFERROR(__xludf.DUMMYFUNCTION("GOOGLETRANSLATE(F3447,""EN"",""JA"")"),"生物標本中の核マトリックスタンパク質 22 の測定。")</f>
        <v>生物標本中の核マトリックスタンパク質 22 の測定。</v>
      </c>
      <c r="K3447" s="1" t="str">
        <f>IFERROR(__xludf.DUMMYFUNCTION("GOOGLETRANSLATE(G3447,""EN"",""JA"")"),"核マトリックスタンパク質22の測定")</f>
        <v>核マトリックスタンパク質22の測定</v>
      </c>
    </row>
    <row r="3448" ht="13.5" customHeight="1">
      <c r="A3448" s="1" t="s">
        <v>11</v>
      </c>
      <c r="B3448" s="1" t="s">
        <v>17292</v>
      </c>
      <c r="C3448" s="1" t="s">
        <v>17293</v>
      </c>
      <c r="D3448" s="1" t="s">
        <v>17293</v>
      </c>
      <c r="E3448" s="1" t="s">
        <v>17294</v>
      </c>
      <c r="F3448" s="1" t="s">
        <v>17295</v>
      </c>
      <c r="G3448" s="1" t="s">
        <v>17296</v>
      </c>
      <c r="H3448" s="1" t="str">
        <f>IFERROR(__xludf.DUMMYFUNCTION("GOOGLETRANSLATE(D3448,""EN"",""JA"")"),"NNAL")</f>
        <v>NNAL</v>
      </c>
      <c r="I3448" s="1" t="str">
        <f>IFERROR(__xludf.DUMMYFUNCTION("GOOGLETRANSLATE(E3448,""EN"",""JA"")"),"4-(メチルニトロソアミノ)-4-(3-ピリジル)-1-ブタノール; NNAL")</f>
        <v>4-(メチルニトロソアミノ)-4-(3-ピリジル)-1-ブタノール; NNAL</v>
      </c>
      <c r="J3448" s="1" t="str">
        <f>IFERROR(__xludf.DUMMYFUNCTION("GOOGLETRANSLATE(F3448,""EN"",""JA"")"),"検体中の 4-(メチルニトロソアミノ)-4-(3-ピリジル)-1-ブタノール (NNAL) の総量の測定。")</f>
        <v>検体中の 4-(メチルニトロソアミノ)-4-(3-ピリジル)-1-ブタノール (NNAL) の総量の測定。</v>
      </c>
      <c r="K3448" s="1" t="str">
        <f>IFERROR(__xludf.DUMMYFUNCTION("GOOGLETRANSLATE(G3448,""EN"",""JA"")"),"4-(メチルニトロソアミノ)-4-(3-ピリジル)-1-ブタノール測定")</f>
        <v>4-(メチルニトロソアミノ)-4-(3-ピリジル)-1-ブタノール測定</v>
      </c>
    </row>
    <row r="3449" ht="13.5" customHeight="1">
      <c r="A3449" s="1" t="s">
        <v>11</v>
      </c>
      <c r="B3449" s="1" t="s">
        <v>17297</v>
      </c>
      <c r="C3449" s="1" t="s">
        <v>17298</v>
      </c>
      <c r="D3449" s="1" t="s">
        <v>17299</v>
      </c>
      <c r="E3449" s="1" t="s">
        <v>17300</v>
      </c>
      <c r="F3449" s="1" t="s">
        <v>17301</v>
      </c>
      <c r="G3449" s="1" t="s">
        <v>17302</v>
      </c>
      <c r="H3449" s="1" t="str">
        <f>IFERROR(__xludf.DUMMYFUNCTION("GOOGLETRANSLATE(D3449,""EN"",""JA"")"),"ニコチン由来ニトロソアミンケトン")</f>
        <v>ニコチン由来ニトロソアミンケトン</v>
      </c>
      <c r="I3449" s="1" t="str">
        <f>IFERROR(__xludf.DUMMYFUNCTION("GOOGLETRANSLATE(E3449,""EN"",""JA"")"),"4-(メチルニトロソアミノ)-1-(3-ピリジル)-1-ブタノン; ニコチン誘導ニトロソアミンケトン; NNK")</f>
        <v>4-(メチルニトロソアミノ)-1-(3-ピリジル)-1-ブタノン; ニコチン誘導ニトロソアミンケトン; NNK</v>
      </c>
      <c r="J3449" s="1" t="str">
        <f>IFERROR(__xludf.DUMMYFUNCTION("GOOGLETRANSLATE(F3449,""EN"",""JA"")"),"検体中のニコチン由来ニトロソアミンケトンの測定。")</f>
        <v>検体中のニコチン由来ニトロソアミンケトンの測定。</v>
      </c>
      <c r="K3449" s="1" t="str">
        <f>IFERROR(__xludf.DUMMYFUNCTION("GOOGLETRANSLATE(G3449,""EN"",""JA"")"),"ニコチン由来ニトロソアミンケトン測定")</f>
        <v>ニコチン由来ニトロソアミンケトン測定</v>
      </c>
    </row>
    <row r="3450" ht="13.5" customHeight="1">
      <c r="A3450" s="1" t="s">
        <v>11</v>
      </c>
      <c r="B3450" s="1" t="s">
        <v>17303</v>
      </c>
      <c r="C3450" s="1" t="s">
        <v>17304</v>
      </c>
      <c r="D3450" s="1" t="s">
        <v>17305</v>
      </c>
      <c r="E3450" s="1" t="s">
        <v>17306</v>
      </c>
      <c r="F3450" s="1" t="s">
        <v>17307</v>
      </c>
      <c r="G3450" s="1" t="s">
        <v>17308</v>
      </c>
      <c r="H3450" s="1" t="str">
        <f>IFERROR(__xludf.DUMMYFUNCTION("GOOGLETRANSLATE(D3450,""EN"",""JA"")"),"N-ニトロソノルニコチン")</f>
        <v>N-ニトロソノルニコチン</v>
      </c>
      <c r="I3450" s="1" t="str">
        <f>IFERROR(__xludf.DUMMYFUNCTION("GOOGLETRANSLATE(E3450,""EN"",""JA"")"),"N-ニトロソノルニコチン; NNN")</f>
        <v>N-ニトロソノルニコチン; NNN</v>
      </c>
      <c r="J3450" s="1" t="str">
        <f>IFERROR(__xludf.DUMMYFUNCTION("GOOGLETRANSLATE(F3450,""EN"",""JA"")"),"標本中の N-ニトロソノルニコチンの測定。")</f>
        <v>標本中の N-ニトロソノルニコチンの測定。</v>
      </c>
      <c r="K3450" s="1" t="str">
        <f>IFERROR(__xludf.DUMMYFUNCTION("GOOGLETRANSLATE(G3450,""EN"",""JA"")"),"N-ニトロソノルニコチン測定")</f>
        <v>N-ニトロソノルニコチン測定</v>
      </c>
    </row>
    <row r="3451" ht="13.5" customHeight="1">
      <c r="A3451" s="1" t="s">
        <v>11</v>
      </c>
      <c r="B3451" s="1" t="s">
        <v>17309</v>
      </c>
      <c r="C3451" s="1" t="s">
        <v>17310</v>
      </c>
      <c r="D3451" s="1" t="s">
        <v>17311</v>
      </c>
      <c r="E3451" s="1" t="s">
        <v>17311</v>
      </c>
      <c r="F3451" s="1" t="s">
        <v>17312</v>
      </c>
      <c r="G3451" s="1" t="s">
        <v>17313</v>
      </c>
      <c r="H3451" s="1" t="str">
        <f>IFERROR(__xludf.DUMMYFUNCTION("GOOGLETRANSLATE(D3451,""EN"",""JA"")"),"非HDLコレステロール/HDLコレステロール")</f>
        <v>非HDLコレステロール/HDLコレステロール</v>
      </c>
      <c r="I3451" s="1" t="str">
        <f>IFERROR(__xludf.DUMMYFUNCTION("GOOGLETRANSLATE(E3451,""EN"",""JA"")"),"非HDLコレステロール/HDLコレステロール")</f>
        <v>非HDLコレステロール/HDLコレステロール</v>
      </c>
      <c r="J3451" s="1" t="str">
        <f>IFERROR(__xludf.DUMMYFUNCTION("GOOGLETRANSLATE(F3451,""EN"",""JA"")"),"生物標本中の高密度リポタンパク質コレステロールに対する非高密度リポタンパク質コレステロールの相対的な測定値（比率またはパーセンテージ）。")</f>
        <v>生物標本中の高密度リポタンパク質コレステロールに対する非高密度リポタンパク質コレステロールの相対的な測定値（比率またはパーセンテージ）。</v>
      </c>
      <c r="K3451" s="1" t="str">
        <f>IFERROR(__xludf.DUMMYFUNCTION("GOOGLETRANSLATE(G3451,""EN"",""JA"")"),"非HDLコレステロールとHDLコレステロールの比測定")</f>
        <v>非HDLコレステロールとHDLコレステロールの比測定</v>
      </c>
    </row>
    <row r="3452" ht="13.5" customHeight="1">
      <c r="A3452" s="1" t="s">
        <v>11</v>
      </c>
      <c r="B3452" s="1" t="s">
        <v>17314</v>
      </c>
      <c r="C3452" s="1" t="s">
        <v>17315</v>
      </c>
      <c r="D3452" s="1" t="s">
        <v>17316</v>
      </c>
      <c r="E3452" s="1" t="s">
        <v>17317</v>
      </c>
      <c r="F3452" s="1" t="s">
        <v>17318</v>
      </c>
      <c r="G3452" s="1" t="s">
        <v>17319</v>
      </c>
      <c r="H3452" s="1" t="str">
        <f>IFERROR(__xludf.DUMMYFUNCTION("GOOGLETRANSLATE(D3452,""EN"",""JA"")"),"非HDLコレステロール")</f>
        <v>非HDLコレステロール</v>
      </c>
      <c r="I3452" s="1" t="str">
        <f>IFERROR(__xludf.DUMMYFUNCTION("GOOGLETRANSLATE(E3452,""EN"",""JA"")"),"非HDLコレステロール; 非高密度リポタンパク質")</f>
        <v>非HDLコレステロール; 非高密度リポタンパク質</v>
      </c>
      <c r="J3452" s="1" t="str">
        <f>IFERROR(__xludf.DUMMYFUNCTION("GOOGLETRANSLATE(F3452,""EN"",""JA"")"),"生物標本中の非高密度リポタンパク質コレステロールの測定。")</f>
        <v>生物標本中の非高密度リポタンパク質コレステロールの測定。</v>
      </c>
      <c r="K3452" s="1" t="str">
        <f>IFERROR(__xludf.DUMMYFUNCTION("GOOGLETRANSLATE(G3452,""EN"",""JA"")"),"非高密度リポタンパク質コレステロール測定")</f>
        <v>非高密度リポタンパク質コレステロール測定</v>
      </c>
    </row>
    <row r="3453" ht="13.5" customHeight="1">
      <c r="A3453" s="1" t="s">
        <v>11</v>
      </c>
      <c r="B3453" s="1" t="s">
        <v>17320</v>
      </c>
      <c r="C3453" s="1" t="s">
        <v>17321</v>
      </c>
      <c r="D3453" s="1" t="s">
        <v>17322</v>
      </c>
      <c r="E3453" s="1" t="s">
        <v>17322</v>
      </c>
      <c r="F3453" s="1" t="s">
        <v>17323</v>
      </c>
      <c r="G3453" s="1" t="s">
        <v>17324</v>
      </c>
      <c r="H3453" s="1" t="str">
        <f>IFERROR(__xludf.DUMMYFUNCTION("GOOGLETRANSLATE(D3453,""EN"",""JA"")"),"ノルドキセピン")</f>
        <v>ノルドキセピン</v>
      </c>
      <c r="I3453" s="1" t="str">
        <f>IFERROR(__xludf.DUMMYFUNCTION("GOOGLETRANSLATE(E3453,""EN"",""JA"")"),"ノルドキセピン")</f>
        <v>ノルドキセピン</v>
      </c>
      <c r="J3453" s="1" t="str">
        <f>IFERROR(__xludf.DUMMYFUNCTION("GOOGLETRANSLATE(F3453,""EN"",""JA"")"),"生物学的標本中に存在するノルドキセピンの測定。")</f>
        <v>生物学的標本中に存在するノルドキセピンの測定。</v>
      </c>
      <c r="K3453" s="1" t="str">
        <f>IFERROR(__xludf.DUMMYFUNCTION("GOOGLETRANSLATE(G3453,""EN"",""JA"")"),"ノルドキセピン測定")</f>
        <v>ノルドキセピン測定</v>
      </c>
    </row>
    <row r="3454" ht="13.5" customHeight="1">
      <c r="A3454" s="1" t="s">
        <v>11</v>
      </c>
      <c r="B3454" s="1" t="s">
        <v>17325</v>
      </c>
      <c r="C3454" s="1" t="s">
        <v>17326</v>
      </c>
      <c r="D3454" s="1" t="s">
        <v>17327</v>
      </c>
      <c r="E3454" s="1" t="s">
        <v>17327</v>
      </c>
      <c r="F3454" s="1" t="s">
        <v>17328</v>
      </c>
      <c r="G3454" s="1" t="s">
        <v>17327</v>
      </c>
      <c r="H3454" s="1" t="str">
        <f>IFERROR(__xludf.DUMMYFUNCTION("GOOGLETRANSLATE(D3454,""EN"",""JA"")"),"ノルエピネフリン排泄率")</f>
        <v>ノルエピネフリン排泄率</v>
      </c>
      <c r="I3454" s="1" t="str">
        <f>IFERROR(__xludf.DUMMYFUNCTION("GOOGLETRANSLATE(E3454,""EN"",""JA"")"),"ノルエピネフリン排泄率")</f>
        <v>ノルエピネフリン排泄率</v>
      </c>
      <c r="J3454" s="1" t="str">
        <f>IFERROR(__xludf.DUMMYFUNCTION("GOOGLETRANSLATE(F3454,""EN"",""JA"")"),"定義された時間（例：1 時間）にわたって生物学的標本中に排出されるノルエピネフリンの量を測定します。")</f>
        <v>定義された時間（例：1 時間）にわたって生物学的標本中に排出されるノルエピネフリンの量を測定します。</v>
      </c>
      <c r="K3454" s="1" t="str">
        <f>IFERROR(__xludf.DUMMYFUNCTION("GOOGLETRANSLATE(G3454,""EN"",""JA"")"),"ノルエピネフリン排泄率")</f>
        <v>ノルエピネフリン排泄率</v>
      </c>
    </row>
    <row r="3455" ht="13.5" customHeight="1">
      <c r="A3455" s="1" t="s">
        <v>11</v>
      </c>
      <c r="B3455" s="1" t="s">
        <v>17329</v>
      </c>
      <c r="C3455" s="1" t="s">
        <v>17330</v>
      </c>
      <c r="D3455" s="1" t="s">
        <v>17331</v>
      </c>
      <c r="E3455" s="1" t="s">
        <v>17332</v>
      </c>
      <c r="F3455" s="1" t="s">
        <v>17333</v>
      </c>
      <c r="G3455" s="1" t="s">
        <v>17334</v>
      </c>
      <c r="H3455" s="1" t="str">
        <f>IFERROR(__xludf.DUMMYFUNCTION("GOOGLETRANSLATE(D3455,""EN"",""JA"")"),"ノルエピネフリン")</f>
        <v>ノルエピネフリン</v>
      </c>
      <c r="I3455" s="1" t="str">
        <f>IFERROR(__xludf.DUMMYFUNCTION("GOOGLETRANSLATE(E3455,""EN"",""JA"")"),"ノルアドレナリン; ノルエピネフリン")</f>
        <v>ノルアドレナリン; ノルエピネフリン</v>
      </c>
      <c r="J3455" s="1" t="str">
        <f>IFERROR(__xludf.DUMMYFUNCTION("GOOGLETRANSLATE(F3455,""EN"",""JA"")"),"生物標本中のノルエピネフリンホルモンの測定。")</f>
        <v>生物標本中のノルエピネフリンホルモンの測定。</v>
      </c>
      <c r="K3455" s="1" t="str">
        <f>IFERROR(__xludf.DUMMYFUNCTION("GOOGLETRANSLATE(G3455,""EN"",""JA"")"),"ノルアドレナリン測定")</f>
        <v>ノルアドレナリン測定</v>
      </c>
    </row>
    <row r="3456" ht="13.5" customHeight="1">
      <c r="A3456" s="1" t="s">
        <v>11</v>
      </c>
      <c r="B3456" s="1" t="s">
        <v>17335</v>
      </c>
      <c r="C3456" s="1" t="s">
        <v>17336</v>
      </c>
      <c r="D3456" s="1" t="s">
        <v>17337</v>
      </c>
      <c r="E3456" s="1" t="s">
        <v>17337</v>
      </c>
      <c r="F3456" s="1" t="s">
        <v>17338</v>
      </c>
      <c r="G3456" s="1" t="s">
        <v>17339</v>
      </c>
      <c r="H3456" s="1" t="str">
        <f>IFERROR(__xludf.DUMMYFUNCTION("GOOGLETRANSLATE(D3456,""EN"",""JA"")"),"好塩基性正芽球")</f>
        <v>好塩基性正芽球</v>
      </c>
      <c r="I3456" s="1" t="str">
        <f>IFERROR(__xludf.DUMMYFUNCTION("GOOGLETRANSLATE(E3456,""EN"",""JA"")"),"好塩基性正芽球")</f>
        <v>好塩基性正芽球</v>
      </c>
      <c r="J3456" s="1" t="str">
        <f>IFERROR(__xludf.DUMMYFUNCTION("GOOGLETRANSLATE(F3456,""EN"",""JA"")"),"非ヒト生物から採取した生物標本における好塩基性正芽球の測定。")</f>
        <v>非ヒト生物から採取した生物標本における好塩基性正芽球の測定。</v>
      </c>
      <c r="K3456" s="1" t="str">
        <f>IFERROR(__xludf.DUMMYFUNCTION("GOOGLETRANSLATE(G3456,""EN"",""JA"")"),"好塩基性正芽球数")</f>
        <v>好塩基性正芽球数</v>
      </c>
    </row>
    <row r="3457" ht="13.5" customHeight="1">
      <c r="A3457" s="1" t="s">
        <v>134</v>
      </c>
      <c r="B3457" s="1" t="s">
        <v>17340</v>
      </c>
      <c r="C3457" s="1" t="s">
        <v>17341</v>
      </c>
      <c r="D3457" s="1" t="s">
        <v>17342</v>
      </c>
      <c r="E3457" s="1" t="s">
        <v>17342</v>
      </c>
      <c r="F3457" s="1" t="s">
        <v>17343</v>
      </c>
      <c r="G3457" s="1" t="s">
        <v>17344</v>
      </c>
      <c r="H3457" s="1" t="str">
        <f>IFERROR(__xludf.DUMMYFUNCTION("GOOGLETRANSLATE(D3457,""EN"",""JA"")"),"正常細胞数／総細胞数")</f>
        <v>正常細胞数／総細胞数</v>
      </c>
      <c r="I3457" s="1" t="str">
        <f>IFERROR(__xludf.DUMMYFUNCTION("GOOGLETRANSLATE(E3457,""EN"",""JA"")"),"正常細胞数／総細胞数")</f>
        <v>正常細胞数／総細胞数</v>
      </c>
      <c r="J3457" s="1" t="str">
        <f>IFERROR(__xludf.DUMMYFUNCTION("GOOGLETRANSLATE(F3457,""EN"",""JA"")"),"生物標本内の正常細胞と総細胞の相対的な測定値（比率またはパーセンテージ）。")</f>
        <v>生物標本内の正常細胞と総細胞の相対的な測定値（比率またはパーセンテージ）。</v>
      </c>
      <c r="K3457" s="1" t="str">
        <f>IFERROR(__xludf.DUMMYFUNCTION("GOOGLETRANSLATE(G3457,""EN"",""JA"")"),"正常細胞対総細胞比測定")</f>
        <v>正常細胞対総細胞比測定</v>
      </c>
    </row>
    <row r="3458" ht="13.5" customHeight="1">
      <c r="A3458" s="1" t="s">
        <v>11</v>
      </c>
      <c r="B3458" s="1" t="s">
        <v>17345</v>
      </c>
      <c r="C3458" s="1" t="s">
        <v>17346</v>
      </c>
      <c r="D3458" s="1" t="s">
        <v>17347</v>
      </c>
      <c r="E3458" s="1" t="s">
        <v>17347</v>
      </c>
      <c r="F3458" s="1" t="s">
        <v>17348</v>
      </c>
      <c r="G3458" s="1" t="s">
        <v>17347</v>
      </c>
      <c r="H3458" s="1" t="str">
        <f>IFERROR(__xludf.DUMMYFUNCTION("GOOGLETRANSLATE(D3458,""EN"",""JA"")"),"ノルメタネフリン排泄率")</f>
        <v>ノルメタネフリン排泄率</v>
      </c>
      <c r="I3458" s="1" t="str">
        <f>IFERROR(__xludf.DUMMYFUNCTION("GOOGLETRANSLATE(E3458,""EN"",""JA"")"),"ノルメタネフリン排泄率")</f>
        <v>ノルメタネフリン排泄率</v>
      </c>
      <c r="J3458" s="1" t="str">
        <f>IFERROR(__xludf.DUMMYFUNCTION("GOOGLETRANSLATE(F3458,""EN"",""JA"")"),"定義された時間（例：1 時間）にわたって生物学的標本中に排泄されるノルメタネフリンの量を測定します。")</f>
        <v>定義された時間（例：1 時間）にわたって生物学的標本中に排泄されるノルメタネフリンの量を測定します。</v>
      </c>
      <c r="K3458" s="1" t="str">
        <f>IFERROR(__xludf.DUMMYFUNCTION("GOOGLETRANSLATE(G3458,""EN"",""JA"")"),"ノルメタネフリン排泄率")</f>
        <v>ノルメタネフリン排泄率</v>
      </c>
    </row>
    <row r="3459" ht="13.5" customHeight="1">
      <c r="A3459" s="1" t="s">
        <v>11</v>
      </c>
      <c r="B3459" s="1" t="s">
        <v>17349</v>
      </c>
      <c r="C3459" s="1" t="s">
        <v>17350</v>
      </c>
      <c r="D3459" s="1" t="s">
        <v>17351</v>
      </c>
      <c r="E3459" s="1" t="s">
        <v>17351</v>
      </c>
      <c r="F3459" s="1" t="s">
        <v>17352</v>
      </c>
      <c r="G3459" s="1" t="s">
        <v>17353</v>
      </c>
      <c r="H3459" s="1" t="str">
        <f>IFERROR(__xludf.DUMMYFUNCTION("GOOGLETRANSLATE(D3459,""EN"",""JA"")"),"ノルメタネフリン")</f>
        <v>ノルメタネフリン</v>
      </c>
      <c r="I3459" s="1" t="str">
        <f>IFERROR(__xludf.DUMMYFUNCTION("GOOGLETRANSLATE(E3459,""EN"",""JA"")"),"ノルメタネフリン")</f>
        <v>ノルメタネフリン</v>
      </c>
      <c r="J3459" s="1" t="str">
        <f>IFERROR(__xludf.DUMMYFUNCTION("GOOGLETRANSLATE(F3459,""EN"",""JA"")"),"生物標本中のノルメタネフリンの測定。")</f>
        <v>生物標本中のノルメタネフリンの測定。</v>
      </c>
      <c r="K3459" s="1" t="str">
        <f>IFERROR(__xludf.DUMMYFUNCTION("GOOGLETRANSLATE(G3459,""EN"",""JA"")"),"ノルメタネフリン測定")</f>
        <v>ノルメタネフリン測定</v>
      </c>
    </row>
    <row r="3460" ht="13.5" customHeight="1">
      <c r="A3460" s="1" t="s">
        <v>11</v>
      </c>
      <c r="B3460" s="1" t="s">
        <v>17354</v>
      </c>
      <c r="C3460" s="1" t="s">
        <v>17355</v>
      </c>
      <c r="D3460" s="1" t="s">
        <v>17356</v>
      </c>
      <c r="E3460" s="1" t="s">
        <v>17356</v>
      </c>
      <c r="F3460" s="1" t="s">
        <v>17357</v>
      </c>
      <c r="G3460" s="1" t="s">
        <v>17358</v>
      </c>
      <c r="H3460" s="1" t="str">
        <f>IFERROR(__xludf.DUMMYFUNCTION("GOOGLETRANSLATE(D3460,""EN"",""JA"")"),"ノルメタネフリン、遊離")</f>
        <v>ノルメタネフリン、遊離</v>
      </c>
      <c r="I3460" s="1" t="str">
        <f>IFERROR(__xludf.DUMMYFUNCTION("GOOGLETRANSLATE(E3460,""EN"",""JA"")"),"ノルメタネフリン、遊離")</f>
        <v>ノルメタネフリン、遊離</v>
      </c>
      <c r="J3460" s="1" t="str">
        <f>IFERROR(__xludf.DUMMYFUNCTION("GOOGLETRANSLATE(F3460,""EN"",""JA"")"),"生物標本中の遊離ノルメタネフリンの測定。")</f>
        <v>生物標本中の遊離ノルメタネフリンの測定。</v>
      </c>
      <c r="K3460" s="1" t="str">
        <f>IFERROR(__xludf.DUMMYFUNCTION("GOOGLETRANSLATE(G3460,""EN"",""JA"")"),"遊離ノルメタネフリン測定")</f>
        <v>遊離ノルメタネフリン測定</v>
      </c>
    </row>
    <row r="3461" ht="13.5" customHeight="1">
      <c r="A3461" s="1" t="s">
        <v>11</v>
      </c>
      <c r="B3461" s="1" t="s">
        <v>17359</v>
      </c>
      <c r="C3461" s="1" t="s">
        <v>17360</v>
      </c>
      <c r="D3461" s="1" t="s">
        <v>17361</v>
      </c>
      <c r="E3461" s="1" t="s">
        <v>17361</v>
      </c>
      <c r="F3461" s="1" t="s">
        <v>17362</v>
      </c>
      <c r="G3461" s="1" t="s">
        <v>17363</v>
      </c>
      <c r="H3461" s="1" t="str">
        <f>IFERROR(__xludf.DUMMYFUNCTION("GOOGLETRANSLATE(D3461,""EN"",""JA"")"),"ノルニコチン")</f>
        <v>ノルニコチン</v>
      </c>
      <c r="I3461" s="1" t="str">
        <f>IFERROR(__xludf.DUMMYFUNCTION("GOOGLETRANSLATE(E3461,""EN"",""JA"")"),"ノルニコチン")</f>
        <v>ノルニコチン</v>
      </c>
      <c r="J3461" s="1" t="str">
        <f>IFERROR(__xludf.DUMMYFUNCTION("GOOGLETRANSLATE(F3461,""EN"",""JA"")"),"生物標本中のノルニコチンの測定。")</f>
        <v>生物標本中のノルニコチンの測定。</v>
      </c>
      <c r="K3461" s="1" t="str">
        <f>IFERROR(__xludf.DUMMYFUNCTION("GOOGLETRANSLATE(G3461,""EN"",""JA"")"),"ノルニコチン測定")</f>
        <v>ノルニコチン測定</v>
      </c>
    </row>
    <row r="3462" ht="13.5" customHeight="1">
      <c r="A3462" s="1" t="s">
        <v>67</v>
      </c>
      <c r="B3462" s="1" t="s">
        <v>17364</v>
      </c>
      <c r="C3462" s="1" t="s">
        <v>17365</v>
      </c>
      <c r="D3462" s="1" t="s">
        <v>17366</v>
      </c>
      <c r="E3462" s="1" t="s">
        <v>17366</v>
      </c>
      <c r="F3462" s="1" t="s">
        <v>17367</v>
      </c>
      <c r="G3462" s="1" t="s">
        <v>17368</v>
      </c>
      <c r="H3462" s="1" t="str">
        <f>IFERROR(__xludf.DUMMYFUNCTION("GOOGLETRANSLATE(D3462,""EN"",""JA"")"),"ノロウイルス")</f>
        <v>ノロウイルス</v>
      </c>
      <c r="I3462" s="1" t="str">
        <f>IFERROR(__xludf.DUMMYFUNCTION("GOOGLETRANSLATE(E3462,""EN"",""JA"")"),"ノロウイルス")</f>
        <v>ノロウイルス</v>
      </c>
      <c r="J3462" s="1" t="str">
        <f>IFERROR(__xludf.DUMMYFUNCTION("GOOGLETRANSLATE(F3462,""EN"",""JA"")"),"生物標本において、種レベルには割り当てられていないが、ノロウイルス属レベルに割り当てられている微生物の測定値。")</f>
        <v>生物標本において、種レベルには割り当てられていないが、ノロウイルス属レベルに割り当てられている微生物の測定値。</v>
      </c>
      <c r="K3462" s="1" t="str">
        <f>IFERROR(__xludf.DUMMYFUNCTION("GOOGLETRANSLATE(G3462,""EN"",""JA"")"),"ノロウイルス測定")</f>
        <v>ノロウイルス測定</v>
      </c>
    </row>
    <row r="3463" ht="13.5" customHeight="1">
      <c r="A3463" s="1" t="s">
        <v>11</v>
      </c>
      <c r="B3463" s="1" t="s">
        <v>17369</v>
      </c>
      <c r="C3463" s="1" t="s">
        <v>17370</v>
      </c>
      <c r="D3463" s="1" t="s">
        <v>17371</v>
      </c>
      <c r="E3463" s="1" t="s">
        <v>17371</v>
      </c>
      <c r="F3463" s="1" t="s">
        <v>17372</v>
      </c>
      <c r="G3463" s="1" t="s">
        <v>17373</v>
      </c>
      <c r="H3463" s="1" t="str">
        <f>IFERROR(__xludf.DUMMYFUNCTION("GOOGLETRANSLATE(D3463,""EN"",""JA"")"),"ノルトリプチリン")</f>
        <v>ノルトリプチリン</v>
      </c>
      <c r="I3463" s="1" t="str">
        <f>IFERROR(__xludf.DUMMYFUNCTION("GOOGLETRANSLATE(E3463,""EN"",""JA"")"),"ノルトリプチリン")</f>
        <v>ノルトリプチリン</v>
      </c>
      <c r="J3463" s="1" t="str">
        <f>IFERROR(__xludf.DUMMYFUNCTION("GOOGLETRANSLATE(F3463,""EN"",""JA"")"),"生物標本中のノルトリプチリンの測定。")</f>
        <v>生物標本中のノルトリプチリンの測定。</v>
      </c>
      <c r="K3463" s="1" t="str">
        <f>IFERROR(__xludf.DUMMYFUNCTION("GOOGLETRANSLATE(G3463,""EN"",""JA"")"),"ノルトリプチリン測定")</f>
        <v>ノルトリプチリン測定</v>
      </c>
    </row>
    <row r="3464" ht="13.5" customHeight="1">
      <c r="A3464" s="1" t="s">
        <v>67</v>
      </c>
      <c r="B3464" s="1" t="s">
        <v>17374</v>
      </c>
      <c r="C3464" s="1" t="s">
        <v>17375</v>
      </c>
      <c r="D3464" s="1" t="s">
        <v>17376</v>
      </c>
      <c r="E3464" s="1" t="s">
        <v>17377</v>
      </c>
      <c r="F3464" s="1" t="s">
        <v>17378</v>
      </c>
      <c r="G3464" s="1" t="s">
        <v>17379</v>
      </c>
      <c r="H3464" s="1" t="str">
        <f>IFERROR(__xludf.DUMMYFUNCTION("GOOGLETRANSLATE(D3464,""EN"",""JA"")"),"ノーウォークウイルスRNA")</f>
        <v>ノーウォークウイルスRNA</v>
      </c>
      <c r="I3464" s="1" t="str">
        <f>IFERROR(__xludf.DUMMYFUNCTION("GOOGLETRANSLATE(E3464,""EN"",""JA"")"),"ノーウォークカリシウイルスRNA; ノーウォークウイルスRNA")</f>
        <v>ノーウォークカリシウイルスRNA; ノーウォークウイルスRNA</v>
      </c>
      <c r="J3464" s="1" t="str">
        <f>IFERROR(__xludf.DUMMYFUNCTION("GOOGLETRANSLATE(F3464,""EN"",""JA"")"),"生物標本中のノーウォークウイルスRNAの測定。")</f>
        <v>生物標本中のノーウォークウイルスRNAの測定。</v>
      </c>
      <c r="K3464" s="1" t="str">
        <f>IFERROR(__xludf.DUMMYFUNCTION("GOOGLETRANSLATE(G3464,""EN"",""JA"")"),"ノーウォークウイルスRNA測定")</f>
        <v>ノーウォークウイルスRNA測定</v>
      </c>
    </row>
    <row r="3465" ht="13.5" customHeight="1">
      <c r="A3465" s="1" t="s">
        <v>11</v>
      </c>
      <c r="B3465" s="1" t="s">
        <v>17380</v>
      </c>
      <c r="C3465" s="1" t="s">
        <v>17381</v>
      </c>
      <c r="D3465" s="1" t="s">
        <v>17382</v>
      </c>
      <c r="E3465" s="1" t="s">
        <v>17382</v>
      </c>
      <c r="F3465" s="1" t="s">
        <v>17383</v>
      </c>
      <c r="G3465" s="1" t="s">
        <v>17384</v>
      </c>
      <c r="H3465" s="1" t="str">
        <f>IFERROR(__xludf.DUMMYFUNCTION("GOOGLETRANSLATE(D3465,""EN"",""JA"")"),"ノルオキシコドン")</f>
        <v>ノルオキシコドン</v>
      </c>
      <c r="I3465" s="1" t="str">
        <f>IFERROR(__xludf.DUMMYFUNCTION("GOOGLETRANSLATE(E3465,""EN"",""JA"")"),"ノルオキシコドン")</f>
        <v>ノルオキシコドン</v>
      </c>
      <c r="J3465" s="1" t="str">
        <f>IFERROR(__xludf.DUMMYFUNCTION("GOOGLETRANSLATE(F3465,""EN"",""JA"")"),"生物学的標本中のノルオキシコドンの測定。")</f>
        <v>生物学的標本中のノルオキシコドンの測定。</v>
      </c>
      <c r="K3465" s="1" t="str">
        <f>IFERROR(__xludf.DUMMYFUNCTION("GOOGLETRANSLATE(G3465,""EN"",""JA"")"),"ノルオキシコドン測定")</f>
        <v>ノルオキシコドン測定</v>
      </c>
    </row>
    <row r="3466" ht="13.5" customHeight="1">
      <c r="A3466" s="1" t="s">
        <v>11</v>
      </c>
      <c r="B3466" s="1" t="s">
        <v>17385</v>
      </c>
      <c r="C3466" s="1" t="s">
        <v>17386</v>
      </c>
      <c r="D3466" s="1" t="s">
        <v>17387</v>
      </c>
      <c r="E3466" s="1" t="s">
        <v>17387</v>
      </c>
      <c r="F3466" s="1" t="s">
        <v>17388</v>
      </c>
      <c r="G3466" s="1" t="s">
        <v>17389</v>
      </c>
      <c r="H3466" s="1" t="str">
        <f>IFERROR(__xludf.DUMMYFUNCTION("GOOGLETRANSLATE(D3466,""EN"",""JA"")"),"非前立腺酸性ホスファターゼ")</f>
        <v>非前立腺酸性ホスファターゼ</v>
      </c>
      <c r="I3466" s="1" t="str">
        <f>IFERROR(__xludf.DUMMYFUNCTION("GOOGLETRANSLATE(E3466,""EN"",""JA"")"),"非前立腺酸性ホスファターゼ")</f>
        <v>非前立腺酸性ホスファターゼ</v>
      </c>
      <c r="J3466" s="1" t="str">
        <f>IFERROR(__xludf.DUMMYFUNCTION("GOOGLETRANSLATE(F3466,""EN"",""JA"")"),"生物学的標本中の非前立腺酸性ホスファターゼの測定。")</f>
        <v>生物学的標本中の非前立腺酸性ホスファターゼの測定。</v>
      </c>
      <c r="K3466" s="1" t="str">
        <f>IFERROR(__xludf.DUMMYFUNCTION("GOOGLETRANSLATE(G3466,""EN"",""JA"")"),"非前立腺酸性ホスファターゼ測定")</f>
        <v>非前立腺酸性ホスファターゼ測定</v>
      </c>
    </row>
    <row r="3467" ht="13.5" customHeight="1">
      <c r="A3467" s="1" t="s">
        <v>11</v>
      </c>
      <c r="B3467" s="1" t="s">
        <v>17390</v>
      </c>
      <c r="C3467" s="1" t="s">
        <v>17391</v>
      </c>
      <c r="D3467" s="1" t="s">
        <v>17392</v>
      </c>
      <c r="E3467" s="1" t="s">
        <v>17393</v>
      </c>
      <c r="F3467" s="1" t="s">
        <v>17394</v>
      </c>
      <c r="G3467" s="1" t="s">
        <v>17392</v>
      </c>
      <c r="H3467" s="1" t="str">
        <f>IFERROR(__xludf.DUMMYFUNCTION("GOOGLETRANSLATE(D3467,""EN"",""JA"")"),"正規化されたタンパク質分解率")</f>
        <v>正規化されたタンパク質分解率</v>
      </c>
      <c r="I3467" s="1" t="str">
        <f>IFERROR(__xludf.DUMMYFUNCTION("GOOGLETRANSLATE(E3467,""EN"",""JA"")"),"正規化タンパク質分解速度; 正規化タンパク質分解速度; NPCR; nPCR")</f>
        <v>正規化タンパク質分解速度; 正規化タンパク質分解速度; NPCR; nPCR</v>
      </c>
      <c r="J3467" s="1" t="str">
        <f>IFERROR(__xludf.DUMMYFUNCTION("GOOGLETRANSLATE(F3467,""EN"",""JA"")"),"透析患者の食事性タンパク質摂取量を評価するために使用される、生物学的標本における正規化されたタンパク質異化率の計算された測定値。")</f>
        <v>透析患者の食事性タンパク質摂取量を評価するために使用される、生物学的標本における正規化されたタンパク質異化率の計算された測定値。</v>
      </c>
      <c r="K3467" s="1" t="str">
        <f>IFERROR(__xludf.DUMMYFUNCTION("GOOGLETRANSLATE(G3467,""EN"",""JA"")"),"正規化されたタンパク質分解率")</f>
        <v>正規化されたタンパク質分解率</v>
      </c>
    </row>
    <row r="3468" ht="13.5" customHeight="1">
      <c r="A3468" s="1" t="s">
        <v>11</v>
      </c>
      <c r="B3468" s="1" t="s">
        <v>17395</v>
      </c>
      <c r="C3468" s="1" t="s">
        <v>17396</v>
      </c>
      <c r="D3468" s="1" t="s">
        <v>17397</v>
      </c>
      <c r="E3468" s="1" t="s">
        <v>17397</v>
      </c>
      <c r="F3468" s="1" t="s">
        <v>17398</v>
      </c>
      <c r="G3468" s="1" t="s">
        <v>17399</v>
      </c>
      <c r="H3468" s="1" t="str">
        <f>IFERROR(__xludf.DUMMYFUNCTION("GOOGLETRANSLATE(D3468,""EN"",""JA"")"),"神経ペプチドY")</f>
        <v>神経ペプチドY</v>
      </c>
      <c r="I3468" s="1" t="str">
        <f>IFERROR(__xludf.DUMMYFUNCTION("GOOGLETRANSLATE(E3468,""EN"",""JA"")"),"神経ペプチドY")</f>
        <v>神経ペプチドY</v>
      </c>
      <c r="J3468" s="1" t="str">
        <f>IFERROR(__xludf.DUMMYFUNCTION("GOOGLETRANSLATE(F3468,""EN"",""JA"")"),"生物標本中の神経ペプチド Y の測定。")</f>
        <v>生物標本中の神経ペプチド Y の測定。</v>
      </c>
      <c r="K3468" s="1" t="str">
        <f>IFERROR(__xludf.DUMMYFUNCTION("GOOGLETRANSLATE(G3468,""EN"",""JA"")"),"神経ペプチドY測定")</f>
        <v>神経ペプチドY測定</v>
      </c>
    </row>
    <row r="3469" ht="13.5" customHeight="1">
      <c r="A3469" s="1" t="s">
        <v>11</v>
      </c>
      <c r="B3469" s="1" t="s">
        <v>17400</v>
      </c>
      <c r="C3469" s="1" t="s">
        <v>17401</v>
      </c>
      <c r="D3469" s="1" t="s">
        <v>17402</v>
      </c>
      <c r="E3469" s="1" t="s">
        <v>17403</v>
      </c>
      <c r="F3469" s="1" t="s">
        <v>17404</v>
      </c>
      <c r="G3469" s="1" t="s">
        <v>17405</v>
      </c>
      <c r="H3469" s="1" t="str">
        <f>IFERROR(__xludf.DUMMYFUNCTION("GOOGLETRANSLATE(D3469,""EN"",""JA"")"),"ノルダゼパム")</f>
        <v>ノルダゼパム</v>
      </c>
      <c r="I3469" s="1" t="str">
        <f>IFERROR(__xludf.DUMMYFUNCTION("GOOGLETRANSLATE(E3469,""EN"",""JA"")"),"デスメチルジアゼパム; N-デスメチルジアゼパム; ノルダゼパム; ノルジアゼパム")</f>
        <v>デスメチルジアゼパム; N-デスメチルジアゼパム; ノルダゼパム; ノルジアゼパム</v>
      </c>
      <c r="J3469" s="1" t="str">
        <f>IFERROR(__xludf.DUMMYFUNCTION("GOOGLETRANSLATE(F3469,""EN"",""JA"")"),"生物学的標本中に存在するノルダゼパムの測定。")</f>
        <v>生物学的標本中に存在するノルダゼパムの測定。</v>
      </c>
      <c r="K3469" s="1" t="str">
        <f>IFERROR(__xludf.DUMMYFUNCTION("GOOGLETRANSLATE(G3469,""EN"",""JA"")"),"ノルダゼパム測定")</f>
        <v>ノルダゼパム測定</v>
      </c>
    </row>
    <row r="3470" ht="13.5" customHeight="1">
      <c r="A3470" s="1" t="s">
        <v>870</v>
      </c>
      <c r="B3470" s="1" t="s">
        <v>17406</v>
      </c>
      <c r="C3470" s="1" t="s">
        <v>17407</v>
      </c>
      <c r="D3470" s="1" t="s">
        <v>17408</v>
      </c>
      <c r="E3470" s="1" t="s">
        <v>17408</v>
      </c>
      <c r="F3470" s="1" t="s">
        <v>17409</v>
      </c>
      <c r="G3470" s="1" t="s">
        <v>17410</v>
      </c>
      <c r="H3470" s="1" t="str">
        <f>IFERROR(__xludf.DUMMYFUNCTION("GOOGLETRANSLATE(D3470,""EN"",""JA"")"),"非腎性CL")</f>
        <v>非腎性CL</v>
      </c>
      <c r="I3470" s="1" t="str">
        <f>IFERROR(__xludf.DUMMYFUNCTION("GOOGLETRANSLATE(E3470,""EN"",""JA"")"),"非腎性CL")</f>
        <v>非腎性CL</v>
      </c>
      <c r="J3470" s="1" t="str">
        <f>IFERROR(__xludf.DUMMYFUNCTION("GOOGLETRANSLATE(F3470,""EN"",""JA"")"),"血液からの物質の総クリアランスから腎クリアランスを差し引いたもの。")</f>
        <v>血液からの物質の総クリアランスから腎クリアランスを差し引いたもの。</v>
      </c>
      <c r="K3470" s="1" t="str">
        <f>IFERROR(__xludf.DUMMYFUNCTION("GOOGLETRANSLATE(G3470,""EN"",""JA"")"),"非腎クリアランス")</f>
        <v>非腎クリアランス</v>
      </c>
    </row>
    <row r="3471" ht="13.5" customHeight="1">
      <c r="A3471" s="1" t="s">
        <v>11</v>
      </c>
      <c r="B3471" s="1" t="s">
        <v>17411</v>
      </c>
      <c r="C3471" s="1" t="s">
        <v>17412</v>
      </c>
      <c r="D3471" s="1" t="s">
        <v>17413</v>
      </c>
      <c r="E3471" s="1" t="s">
        <v>17413</v>
      </c>
      <c r="F3471" s="1" t="s">
        <v>17414</v>
      </c>
      <c r="G3471" s="1" t="s">
        <v>17415</v>
      </c>
      <c r="H3471" s="1" t="str">
        <f>IFERROR(__xludf.DUMMYFUNCTION("GOOGLETRANSLATE(D3471,""EN"",""JA"")"),"ノルエタンドロロン")</f>
        <v>ノルエタンドロロン</v>
      </c>
      <c r="I3471" s="1" t="str">
        <f>IFERROR(__xludf.DUMMYFUNCTION("GOOGLETRANSLATE(E3471,""EN"",""JA"")"),"ノルエタンドロロン")</f>
        <v>ノルエタンドロロン</v>
      </c>
      <c r="J3471" s="1" t="str">
        <f>IFERROR(__xludf.DUMMYFUNCTION("GOOGLETRANSLATE(F3471,""EN"",""JA"")"),"生物標本中のノルエタンドロロンの測定。")</f>
        <v>生物標本中のノルエタンドロロンの測定。</v>
      </c>
      <c r="K3471" s="1" t="str">
        <f>IFERROR(__xludf.DUMMYFUNCTION("GOOGLETRANSLATE(G3471,""EN"",""JA"")"),"ノルエタンドロロン測定")</f>
        <v>ノルエタンドロロン測定</v>
      </c>
    </row>
    <row r="3472" ht="13.5" customHeight="1">
      <c r="A3472" s="1" t="s">
        <v>870</v>
      </c>
      <c r="B3472" s="1" t="s">
        <v>17416</v>
      </c>
      <c r="C3472" s="1" t="s">
        <v>17417</v>
      </c>
      <c r="D3472" s="1" t="s">
        <v>17418</v>
      </c>
      <c r="E3472" s="1" t="s">
        <v>17418</v>
      </c>
      <c r="F3472" s="1" t="s">
        <v>17419</v>
      </c>
      <c r="G3472" s="1" t="s">
        <v>17420</v>
      </c>
      <c r="H3472" s="1" t="str">
        <f>IFERROR(__xludf.DUMMYFUNCTION("GOOGLETRANSLATE(D3472,""EN"",""JA"")"),"BMIによる非腎臓CL正常値")</f>
        <v>BMIによる非腎臓CL正常値</v>
      </c>
      <c r="I3472" s="1" t="str">
        <f>IFERROR(__xludf.DUMMYFUNCTION("GOOGLETRANSLATE(E3472,""EN"",""JA"")"),"BMIによる非腎臓CL正常値")</f>
        <v>BMIによる非腎臓CL正常値</v>
      </c>
      <c r="J3472" s="1" t="str">
        <f>IFERROR(__xludf.DUMMYFUNCTION("GOOGLETRANSLATE(F3472,""EN"",""JA"")"),"血液からの物質の全クリアランスから腎クリアランスを差し引き、それをボディマス指数で割ったもの。")</f>
        <v>血液からの物質の全クリアランスから腎クリアランスを差し引き、それをボディマス指数で割ったもの。</v>
      </c>
      <c r="K3472" s="1" t="str">
        <f>IFERROR(__xludf.DUMMYFUNCTION("GOOGLETRANSLATE(G3472,""EN"",""JA"")"),"BMIで標準化した非腎クリアランス")</f>
        <v>BMIで標準化した非腎クリアランス</v>
      </c>
    </row>
    <row r="3473" ht="13.5" customHeight="1">
      <c r="A3473" s="1" t="s">
        <v>870</v>
      </c>
      <c r="B3473" s="1" t="s">
        <v>17421</v>
      </c>
      <c r="C3473" s="1" t="s">
        <v>17422</v>
      </c>
      <c r="D3473" s="1" t="s">
        <v>17423</v>
      </c>
      <c r="E3473" s="1" t="s">
        <v>17423</v>
      </c>
      <c r="F3473" s="1" t="s">
        <v>17424</v>
      </c>
      <c r="G3473" s="1" t="s">
        <v>17425</v>
      </c>
      <c r="H3473" s="1" t="str">
        <f>IFERROR(__xludf.DUMMYFUNCTION("GOOGLETRANSLATE(D3473,""EN"",""JA"")"),"用量別の非腎臓CL正常値")</f>
        <v>用量別の非腎臓CL正常値</v>
      </c>
      <c r="I3473" s="1" t="str">
        <f>IFERROR(__xludf.DUMMYFUNCTION("GOOGLETRANSLATE(E3473,""EN"",""JA"")"),"用量別の非腎臓CL正常値")</f>
        <v>用量別の非腎臓CL正常値</v>
      </c>
      <c r="J3473" s="1" t="str">
        <f>IFERROR(__xludf.DUMMYFUNCTION("GOOGLETRANSLATE(F3473,""EN"",""JA"")"),"物質が血液から完全に排出され、腎クリアランスを差し引いた値を投与量で割ったもの。")</f>
        <v>物質が血液から完全に排出され、腎クリアランスを差し引いた値を投与量で割ったもの。</v>
      </c>
      <c r="K3473" s="1" t="str">
        <f>IFERROR(__xludf.DUMMYFUNCTION("GOOGLETRANSLATE(G3473,""EN"",""JA"")"),"用量別に標準化した非腎クリアランス")</f>
        <v>用量別に標準化した非腎クリアランス</v>
      </c>
    </row>
    <row r="3474" ht="13.5" customHeight="1">
      <c r="A3474" s="1" t="s">
        <v>870</v>
      </c>
      <c r="B3474" s="1" t="s">
        <v>17426</v>
      </c>
      <c r="C3474" s="1" t="s">
        <v>17427</v>
      </c>
      <c r="D3474" s="1" t="s">
        <v>17428</v>
      </c>
      <c r="E3474" s="1" t="s">
        <v>17428</v>
      </c>
      <c r="F3474" s="1" t="s">
        <v>17429</v>
      </c>
      <c r="G3474" s="1" t="s">
        <v>17430</v>
      </c>
      <c r="H3474" s="1" t="str">
        <f>IFERROR(__xludf.DUMMYFUNCTION("GOOGLETRANSLATE(D3474,""EN"",""JA"")"),"SAによる非腎臓CL正常値")</f>
        <v>SAによる非腎臓CL正常値</v>
      </c>
      <c r="I3474" s="1" t="str">
        <f>IFERROR(__xludf.DUMMYFUNCTION("GOOGLETRANSLATE(E3474,""EN"",""JA"")"),"SAによる非腎臓CL正常値")</f>
        <v>SAによる非腎臓CL正常値</v>
      </c>
      <c r="J3474" s="1" t="str">
        <f>IFERROR(__xludf.DUMMYFUNCTION("GOOGLETRANSLATE(F3474,""EN"",""JA"")"),"血液からの物質の総クリアランスから腎クリアランスを差し引いた値を表面積で割ったもの。")</f>
        <v>血液からの物質の総クリアランスから腎クリアランスを差し引いた値を表面積で割ったもの。</v>
      </c>
      <c r="K3474" s="1" t="str">
        <f>IFERROR(__xludf.DUMMYFUNCTION("GOOGLETRANSLATE(G3474,""EN"",""JA"")"),"SAによる非腎クリアランス正常化")</f>
        <v>SAによる非腎クリアランス正常化</v>
      </c>
    </row>
    <row r="3475" ht="13.5" customHeight="1">
      <c r="A3475" s="1" t="s">
        <v>870</v>
      </c>
      <c r="B3475" s="1" t="s">
        <v>17431</v>
      </c>
      <c r="C3475" s="1" t="s">
        <v>17432</v>
      </c>
      <c r="D3475" s="1" t="s">
        <v>17433</v>
      </c>
      <c r="E3475" s="1" t="s">
        <v>17433</v>
      </c>
      <c r="F3475" s="1" t="s">
        <v>17434</v>
      </c>
      <c r="G3475" s="1" t="s">
        <v>17435</v>
      </c>
      <c r="H3475" s="1" t="str">
        <f>IFERROR(__xludf.DUMMYFUNCTION("GOOGLETRANSLATE(D3475,""EN"",""JA"")"),"WTによる非腎臓CL正常値")</f>
        <v>WTによる非腎臓CL正常値</v>
      </c>
      <c r="I3475" s="1" t="str">
        <f>IFERROR(__xludf.DUMMYFUNCTION("GOOGLETRANSLATE(E3475,""EN"",""JA"")"),"WTによる非腎臓CL正常値")</f>
        <v>WTによる非腎臓CL正常値</v>
      </c>
      <c r="J3475" s="1" t="str">
        <f>IFERROR(__xludf.DUMMYFUNCTION("GOOGLETRANSLATE(F3475,""EN"",""JA"")"),"血液からの物質の総クリアランスから腎クリアランスを差し引いた値を重量で割ったもの。")</f>
        <v>血液からの物質の総クリアランスから腎クリアランスを差し引いた値を重量で割ったもの。</v>
      </c>
      <c r="K3475" s="1" t="str">
        <f>IFERROR(__xludf.DUMMYFUNCTION("GOOGLETRANSLATE(G3475,""EN"",""JA"")"),"WTによる非腎クリアランス正常化")</f>
        <v>WTによる非腎クリアランス正常化</v>
      </c>
    </row>
    <row r="3476" ht="13.5" customHeight="1">
      <c r="A3476" s="1" t="s">
        <v>11</v>
      </c>
      <c r="B3476" s="1" t="s">
        <v>17436</v>
      </c>
      <c r="C3476" s="1" t="s">
        <v>17437</v>
      </c>
      <c r="D3476" s="1" t="s">
        <v>17438</v>
      </c>
      <c r="E3476" s="1" t="s">
        <v>17439</v>
      </c>
      <c r="F3476" s="1" t="s">
        <v>17440</v>
      </c>
      <c r="G3476" s="1" t="s">
        <v>17441</v>
      </c>
      <c r="H3476" s="1" t="str">
        <f>IFERROR(__xludf.DUMMYFUNCTION("GOOGLETRANSLATE(D3476,""EN"",""JA"")"),"ニューロピリン-1")</f>
        <v>ニューロピリン-1</v>
      </c>
      <c r="I3476" s="1" t="str">
        <f>IFERROR(__xludf.DUMMYFUNCTION("GOOGLETRANSLATE(E3476,""EN"",""JA"")"),"BDCA4; ニューロピリン-1; NP1; NRP; 可溶性CD304; VEGF165R")</f>
        <v>BDCA4; ニューロピリン-1; NP1; NRP; 可溶性CD304; VEGF165R</v>
      </c>
      <c r="J3476" s="1" t="str">
        <f>IFERROR(__xludf.DUMMYFUNCTION("GOOGLETRANSLATE(F3476,""EN"",""JA"")"),"生物標本中のニューロピリン-1の測定。")</f>
        <v>生物標本中のニューロピリン-1の測定。</v>
      </c>
      <c r="K3476" s="1" t="str">
        <f>IFERROR(__xludf.DUMMYFUNCTION("GOOGLETRANSLATE(G3476,""EN"",""JA"")"),"ニューロピリン-1測定")</f>
        <v>ニューロピリン-1測定</v>
      </c>
    </row>
    <row r="3477" ht="13.5" customHeight="1">
      <c r="A3477" s="1" t="s">
        <v>1997</v>
      </c>
      <c r="B3477" s="1" t="s">
        <v>17442</v>
      </c>
      <c r="C3477" s="1" t="s">
        <v>17443</v>
      </c>
      <c r="D3477" s="1" t="s">
        <v>17444</v>
      </c>
      <c r="E3477" s="1" t="s">
        <v>17444</v>
      </c>
      <c r="F3477" s="1" t="s">
        <v>17445</v>
      </c>
      <c r="G3477" s="1" t="s">
        <v>17444</v>
      </c>
      <c r="H3477" s="1" t="str">
        <f>IFERROR(__xludf.DUMMYFUNCTION("GOOGLETRANSLATE(D3477,""EN"",""JA"")"),"近点宿泊施設")</f>
        <v>近点宿泊施設</v>
      </c>
      <c r="I3477" s="1" t="str">
        <f>IFERROR(__xludf.DUMMYFUNCTION("GOOGLETRANSLATE(E3477,""EN"",""JA"")"),"近点宿泊施設")</f>
        <v>近点宿泊施設</v>
      </c>
      <c r="J3477" s="1" t="str">
        <f>IFERROR(__xludf.DUMMYFUNCTION("GOOGLETRANSLATE(F3477,""EN"",""JA"")"),"物体が鮮明に焦点を保てる網膜からの最小距離。")</f>
        <v>物体が鮮明に焦点を保てる網膜からの最小距離。</v>
      </c>
      <c r="K3477" s="1" t="str">
        <f>IFERROR(__xludf.DUMMYFUNCTION("GOOGLETRANSLATE(G3477,""EN"",""JA"")"),"近点宿泊施設")</f>
        <v>近点宿泊施設</v>
      </c>
    </row>
    <row r="3478" ht="13.5" customHeight="1">
      <c r="A3478" s="1" t="s">
        <v>11</v>
      </c>
      <c r="B3478" s="1" t="s">
        <v>17446</v>
      </c>
      <c r="C3478" s="1" t="s">
        <v>17447</v>
      </c>
      <c r="D3478" s="1" t="s">
        <v>17448</v>
      </c>
      <c r="E3478" s="1" t="s">
        <v>17448</v>
      </c>
      <c r="F3478" s="1" t="s">
        <v>17449</v>
      </c>
      <c r="G3478" s="1" t="s">
        <v>17450</v>
      </c>
      <c r="H3478" s="1" t="str">
        <f>IFERROR(__xludf.DUMMYFUNCTION("GOOGLETRANSLATE(D3478,""EN"",""JA"")"),"ノルプロポキシフェン")</f>
        <v>ノルプロポキシフェン</v>
      </c>
      <c r="I3478" s="1" t="str">
        <f>IFERROR(__xludf.DUMMYFUNCTION("GOOGLETRANSLATE(E3478,""EN"",""JA"")"),"ノルプロポキシフェン")</f>
        <v>ノルプロポキシフェン</v>
      </c>
      <c r="J3478" s="1" t="str">
        <f>IFERROR(__xludf.DUMMYFUNCTION("GOOGLETRANSLATE(F3478,""EN"",""JA"")"),"生物標本中のノルプロポキシフェンの測定。")</f>
        <v>生物標本中のノルプロポキシフェンの測定。</v>
      </c>
      <c r="K3478" s="1" t="str">
        <f>IFERROR(__xludf.DUMMYFUNCTION("GOOGLETRANSLATE(G3478,""EN"",""JA"")"),"ノルプロポキシフェン測定")</f>
        <v>ノルプロポキシフェン測定</v>
      </c>
    </row>
    <row r="3479" ht="13.5" customHeight="1">
      <c r="A3479" s="1" t="s">
        <v>11</v>
      </c>
      <c r="B3479" s="1" t="s">
        <v>17451</v>
      </c>
      <c r="C3479" s="1" t="s">
        <v>17452</v>
      </c>
      <c r="D3479" s="1" t="s">
        <v>17453</v>
      </c>
      <c r="E3479" s="1" t="s">
        <v>17454</v>
      </c>
      <c r="F3479" s="1" t="s">
        <v>17455</v>
      </c>
      <c r="G3479" s="1" t="s">
        <v>17456</v>
      </c>
      <c r="H3479" s="1" t="str">
        <f>IFERROR(__xludf.DUMMYFUNCTION("GOOGLETRANSLATE(D3479,""EN"",""JA"")"),"ニューロン特異的エノラーゼ")</f>
        <v>ニューロン特異的エノラーゼ</v>
      </c>
      <c r="I3479" s="1" t="str">
        <f>IFERROR(__xludf.DUMMYFUNCTION("GOOGLETRANSLATE(E3479,""EN"",""JA"")"),"エノラーゼ2; ガンマエノラーゼ; ニューロン特異的エノラーゼ")</f>
        <v>エノラーゼ2; ガンマエノラーゼ; ニューロン特異的エノラーゼ</v>
      </c>
      <c r="J3479" s="1" t="str">
        <f>IFERROR(__xludf.DUMMYFUNCTION("GOOGLETRANSLATE(F3479,""EN"",""JA"")"),"生物標本中のニューロン特異的エノラーゼの測定。")</f>
        <v>生物標本中のニューロン特異的エノラーゼの測定。</v>
      </c>
      <c r="K3479" s="1" t="str">
        <f>IFERROR(__xludf.DUMMYFUNCTION("GOOGLETRANSLATE(G3479,""EN"",""JA"")"),"ニューロン特異的エノラーゼ測定")</f>
        <v>ニューロン特異的エノラーゼ測定</v>
      </c>
    </row>
    <row r="3480" ht="13.5" customHeight="1">
      <c r="A3480" s="1" t="s">
        <v>11</v>
      </c>
      <c r="B3480" s="1" t="s">
        <v>17457</v>
      </c>
      <c r="C3480" s="1" t="s">
        <v>17458</v>
      </c>
      <c r="D3480" s="1" t="s">
        <v>17459</v>
      </c>
      <c r="E3480" s="1" t="s">
        <v>17460</v>
      </c>
      <c r="F3480" s="1" t="s">
        <v>17461</v>
      </c>
      <c r="G3480" s="1" t="s">
        <v>17462</v>
      </c>
      <c r="H3480" s="1" t="str">
        <f>IFERROR(__xludf.DUMMYFUNCTION("GOOGLETRANSLATE(D3480,""EN"",""JA"")"),"正常精子／総精子数")</f>
        <v>正常精子／総精子数</v>
      </c>
      <c r="I3480" s="1" t="str">
        <f>IFERROR(__xludf.DUMMYFUNCTION("GOOGLETRANSLATE(E3480,""EN"",""JA"")"),"正常精子／総精子数；精子形態")</f>
        <v>正常精子／総精子数；精子形態</v>
      </c>
      <c r="J3480" s="1" t="str">
        <f>IFERROR(__xludf.DUMMYFUNCTION("GOOGLETRANSLATE(F3480,""EN"",""JA"")"),"生物標本内の全精子に対する正常精子の測定値（比率またはパーセンテージ）。")</f>
        <v>生物標本内の全精子に対する正常精子の測定値（比率またはパーセンテージ）。</v>
      </c>
      <c r="K3480" s="1" t="str">
        <f>IFERROR(__xludf.DUMMYFUNCTION("GOOGLETRANSLATE(G3480,""EN"",""JA"")"),"正常精子対総精子比測定")</f>
        <v>正常精子対総精子比測定</v>
      </c>
    </row>
    <row r="3481" ht="13.5" customHeight="1">
      <c r="A3481" s="1" t="s">
        <v>90</v>
      </c>
      <c r="B3481" s="1" t="s">
        <v>17463</v>
      </c>
      <c r="C3481" s="1" t="s">
        <v>17464</v>
      </c>
      <c r="D3481" s="1" t="s">
        <v>17465</v>
      </c>
      <c r="E3481" s="1" t="s">
        <v>17465</v>
      </c>
      <c r="F3481" s="1" t="s">
        <v>17466</v>
      </c>
      <c r="G3481" s="1" t="s">
        <v>17465</v>
      </c>
      <c r="H3481" s="1" t="str">
        <f>IFERROR(__xludf.DUMMYFUNCTION("GOOGLETRANSLATE(D3481,""EN"",""JA"")"),"PCI 遅延の非システム的理由")</f>
        <v>PCI 遅延の非システム的理由</v>
      </c>
      <c r="I3481" s="1" t="str">
        <f>IFERROR(__xludf.DUMMYFUNCTION("GOOGLETRANSLATE(E3481,""EN"",""JA"")"),"PCI 遅延の非システム的理由")</f>
        <v>PCI 遅延の非システム的理由</v>
      </c>
      <c r="J3481" s="1" t="str">
        <f>IFERROR(__xludf.DUMMYFUNCTION("GOOGLETRANSLATE(F3481,""EN"",""JA"")"),"医療処置やその他のシステム要因に関連するものを除き、経皮的冠動脈形成術が遅れた理由についての説明。")</f>
        <v>医療処置やその他のシステム要因に関連するものを除き、経皮的冠動脈形成術が遅れた理由についての説明。</v>
      </c>
      <c r="K3481" s="1" t="str">
        <f>IFERROR(__xludf.DUMMYFUNCTION("GOOGLETRANSLATE(G3481,""EN"",""JA"")"),"PCI 遅延の非システム的理由")</f>
        <v>PCI 遅延の非システム的理由</v>
      </c>
    </row>
    <row r="3482" ht="13.5" customHeight="1">
      <c r="A3482" s="1" t="s">
        <v>134</v>
      </c>
      <c r="B3482" s="1" t="s">
        <v>17467</v>
      </c>
      <c r="C3482" s="1" t="s">
        <v>17468</v>
      </c>
      <c r="D3482" s="1" t="s">
        <v>17469</v>
      </c>
      <c r="E3482" s="1" t="s">
        <v>17470</v>
      </c>
      <c r="F3482" s="1" t="s">
        <v>17471</v>
      </c>
      <c r="G3482" s="1" t="s">
        <v>17472</v>
      </c>
      <c r="H3482" s="1" t="str">
        <f>IFERROR(__xludf.DUMMYFUNCTION("GOOGLETRANSLATE(D3482,""EN"",""JA"")"),"エクト-5'-ヌクレオチダーゼ")</f>
        <v>エクト-5'-ヌクレオチダーゼ</v>
      </c>
      <c r="I3482" s="1" t="str">
        <f>IFERROR(__xludf.DUMMYFUNCTION("GOOGLETRANSLATE(E3482,""EN"",""JA"")"),"5'-NT; 5'-ヌクレオチダーゼ; 5'-ヌクレオチダーゼ エクト; CD73; E5NT; エクト-5'-ヌクレオチダーゼ")</f>
        <v>5'-NT; 5'-ヌクレオチダーゼ; 5'-ヌクレオチダーゼ エクト; CD73; E5NT; エクト-5'-ヌクレオチダーゼ</v>
      </c>
      <c r="J3482" s="1" t="str">
        <f>IFERROR(__xludf.DUMMYFUNCTION("GOOGLETRANSLATE(F3482,""EN"",""JA"")"),"生物標本中のエクト-5'-ヌクレオチダーゼの測定。")</f>
        <v>生物標本中のエクト-5'-ヌクレオチダーゼの測定。</v>
      </c>
      <c r="K3482" s="1" t="str">
        <f>IFERROR(__xludf.DUMMYFUNCTION("GOOGLETRANSLATE(G3482,""EN"",""JA"")"),"エクト-5'-ヌクレオチダーゼ測定")</f>
        <v>エクト-5'-ヌクレオチダーゼ測定</v>
      </c>
    </row>
    <row r="3483" ht="13.5" customHeight="1">
      <c r="A3483" s="1" t="s">
        <v>67</v>
      </c>
      <c r="B3483" s="1" t="s">
        <v>17473</v>
      </c>
      <c r="C3483" s="1" t="s">
        <v>17474</v>
      </c>
      <c r="D3483" s="1" t="s">
        <v>17475</v>
      </c>
      <c r="E3483" s="1" t="s">
        <v>17476</v>
      </c>
      <c r="F3483" s="1" t="s">
        <v>17477</v>
      </c>
      <c r="G3483" s="1" t="s">
        <v>17478</v>
      </c>
      <c r="H3483" s="1" t="str">
        <f>IFERROR(__xludf.DUMMYFUNCTION("GOOGLETRANSLATE(D3483,""EN"",""JA"")"),"非結核性抗酸菌")</f>
        <v>非結核性抗酸菌</v>
      </c>
      <c r="I3483" s="1" t="str">
        <f>IFERROR(__xludf.DUMMYFUNCTION("GOOGLETRANSLATE(E3483,""EN"",""JA"")"),"非結核性抗酸菌; 非結核性抗酸菌; NTM")</f>
        <v>非結核性抗酸菌; 非結核性抗酸菌; NTM</v>
      </c>
      <c r="J3483" s="1" t="str">
        <f>IFERROR(__xludf.DUMMYFUNCTION("GOOGLETRANSLATE(F3483,""EN"",""JA"")"),"生物標本において、Mycobacterium 属に分類されるが、結核やハンセン病の原因とならない微生物の測定値。")</f>
        <v>生物標本において、Mycobacterium 属に分類されるが、結核やハンセン病の原因とならない微生物の測定値。</v>
      </c>
      <c r="K3483" s="1" t="str">
        <f>IFERROR(__xludf.DUMMYFUNCTION("GOOGLETRANSLATE(G3483,""EN"",""JA"")"),"非結核性抗酸菌測定")</f>
        <v>非結核性抗酸菌測定</v>
      </c>
    </row>
    <row r="3484" ht="13.5" customHeight="1">
      <c r="A3484" s="1" t="s">
        <v>11</v>
      </c>
      <c r="B3484" s="1" t="s">
        <v>17479</v>
      </c>
      <c r="C3484" s="1" t="s">
        <v>17480</v>
      </c>
      <c r="D3484" s="1" t="s">
        <v>17481</v>
      </c>
      <c r="E3484" s="1" t="s">
        <v>17481</v>
      </c>
      <c r="F3484" s="1" t="s">
        <v>17482</v>
      </c>
      <c r="G3484" s="1" t="s">
        <v>17483</v>
      </c>
      <c r="H3484" s="1" t="str">
        <f>IFERROR(__xludf.DUMMYFUNCTION("GOOGLETRANSLATE(D3484,""EN"",""JA"")"),"N-テロペプチド/クレアチニン")</f>
        <v>N-テロペプチド/クレアチニン</v>
      </c>
      <c r="I3484" s="1" t="str">
        <f>IFERROR(__xludf.DUMMYFUNCTION("GOOGLETRANSLATE(E3484,""EN"",""JA"")"),"N-テロペプチド/クレアチニン")</f>
        <v>N-テロペプチド/クレアチニン</v>
      </c>
      <c r="J3484" s="1" t="str">
        <f>IFERROR(__xludf.DUMMYFUNCTION("GOOGLETRANSLATE(F3484,""EN"",""JA"")"),"生物標本中のクレアチニンに対する N-テロペプチドの相対的な測定値 (比率またはパーセンテージ)。")</f>
        <v>生物標本中のクレアチニンに対する N-テロペプチドの相対的な測定値 (比率またはパーセンテージ)。</v>
      </c>
      <c r="K3484" s="1" t="str">
        <f>IFERROR(__xludf.DUMMYFUNCTION("GOOGLETRANSLATE(G3484,""EN"",""JA"")"),"N-テロペプチド対クレアチニン比測定")</f>
        <v>N-テロペプチド対クレアチニン比測定</v>
      </c>
    </row>
    <row r="3485" ht="13.5" customHeight="1">
      <c r="A3485" s="1" t="s">
        <v>11</v>
      </c>
      <c r="B3485" s="1" t="s">
        <v>17484</v>
      </c>
      <c r="C3485" s="1" t="s">
        <v>17485</v>
      </c>
      <c r="D3485" s="1" t="s">
        <v>17486</v>
      </c>
      <c r="E3485" s="1" t="s">
        <v>17486</v>
      </c>
      <c r="F3485" s="1" t="s">
        <v>17487</v>
      </c>
      <c r="G3485" s="1" t="s">
        <v>17488</v>
      </c>
      <c r="H3485" s="1" t="str">
        <f>IFERROR(__xludf.DUMMYFUNCTION("GOOGLETRANSLATE(D3485,""EN"",""JA"")"),"N-テロペプチド")</f>
        <v>N-テロペプチド</v>
      </c>
      <c r="I3485" s="1" t="str">
        <f>IFERROR(__xludf.DUMMYFUNCTION("GOOGLETRANSLATE(E3485,""EN"",""JA"")"),"N-テロペプチド")</f>
        <v>N-テロペプチド</v>
      </c>
      <c r="J3485" s="1" t="str">
        <f>IFERROR(__xludf.DUMMYFUNCTION("GOOGLETRANSLATE(F3485,""EN"",""JA"")"),"生物標本中の N-テロペプチドの測定。")</f>
        <v>生物標本中の N-テロペプチドの測定。</v>
      </c>
      <c r="K3485" s="1" t="str">
        <f>IFERROR(__xludf.DUMMYFUNCTION("GOOGLETRANSLATE(G3485,""EN"",""JA"")"),"N-テロペプチド測定")</f>
        <v>N-テロペプチド測定</v>
      </c>
    </row>
    <row r="3486" ht="13.5" customHeight="1">
      <c r="A3486" s="1" t="s">
        <v>11</v>
      </c>
      <c r="B3486" s="1" t="s">
        <v>17489</v>
      </c>
      <c r="C3486" s="1" t="s">
        <v>17490</v>
      </c>
      <c r="D3486" s="1" t="s">
        <v>17491</v>
      </c>
      <c r="E3486" s="1" t="s">
        <v>17492</v>
      </c>
      <c r="F3486" s="1" t="s">
        <v>17493</v>
      </c>
      <c r="G3486" s="1" t="s">
        <v>17494</v>
      </c>
      <c r="H3486" s="1" t="str">
        <f>IFERROR(__xludf.DUMMYFUNCTION("GOOGLETRANSLATE(D3486,""EN"",""JA"")"),"ニューロテンシン")</f>
        <v>ニューロテンシン</v>
      </c>
      <c r="I3486" s="1" t="str">
        <f>IFERROR(__xludf.DUMMYFUNCTION("GOOGLETRANSLATE(E3486,""EN"",""JA"")"),"ニューロテンシン; NTS")</f>
        <v>ニューロテンシン; NTS</v>
      </c>
      <c r="J3486" s="1" t="str">
        <f>IFERROR(__xludf.DUMMYFUNCTION("GOOGLETRANSLATE(F3486,""EN"",""JA"")"),"生物標本中のニューロテンシンの測定。")</f>
        <v>生物標本中のニューロテンシンの測定。</v>
      </c>
      <c r="K3486" s="1" t="str">
        <f>IFERROR(__xludf.DUMMYFUNCTION("GOOGLETRANSLATE(G3486,""EN"",""JA"")"),"ニューロテンシン測定")</f>
        <v>ニューロテンシン測定</v>
      </c>
    </row>
    <row r="3487" ht="13.5" customHeight="1">
      <c r="A3487" s="1" t="s">
        <v>1342</v>
      </c>
      <c r="B3487" s="1" t="s">
        <v>17495</v>
      </c>
      <c r="C3487" s="1" t="s">
        <v>17496</v>
      </c>
      <c r="D3487" s="1" t="s">
        <v>17497</v>
      </c>
      <c r="E3487" s="1" t="s">
        <v>17497</v>
      </c>
      <c r="F3487" s="1" t="s">
        <v>17498</v>
      </c>
      <c r="G3487" s="1" t="s">
        <v>17499</v>
      </c>
      <c r="H3487" s="1" t="str">
        <f>IFERROR(__xludf.DUMMYFUNCTION("GOOGLETRANSLATE(D3487,""EN"",""JA"")"),"非標的増強反応")</f>
        <v>非標的増強反応</v>
      </c>
      <c r="I3487" s="1" t="str">
        <f>IFERROR(__xludf.DUMMYFUNCTION("GOOGLETRANSLATE(E3487,""EN"",""JA"")"),"非標的増強反応")</f>
        <v>非標的増強反応</v>
      </c>
      <c r="J3487" s="1" t="str">
        <f>IFERROR(__xludf.DUMMYFUNCTION("GOOGLETRANSLATE(F3487,""EN"",""JA"")"),"非標的増強疾患の治療に対する反応の評価。(NCI)")</f>
        <v>非標的増強疾患の治療に対する反応の評価。(NCI)</v>
      </c>
      <c r="K3487" s="1" t="str">
        <f>IFERROR(__xludf.DUMMYFUNCTION("GOOGLETRANSLATE(G3487,""EN"",""JA"")"),"非標的増強病変反応")</f>
        <v>非標的増強病変反応</v>
      </c>
    </row>
    <row r="3488" ht="13.5" customHeight="1">
      <c r="A3488" s="1" t="s">
        <v>6439</v>
      </c>
      <c r="B3488" s="1" t="s">
        <v>17500</v>
      </c>
      <c r="C3488" s="1" t="s">
        <v>17501</v>
      </c>
      <c r="D3488" s="1" t="s">
        <v>17502</v>
      </c>
      <c r="E3488" s="1" t="s">
        <v>17502</v>
      </c>
      <c r="F3488" s="1" t="s">
        <v>17503</v>
      </c>
      <c r="G3488" s="1" t="s">
        <v>17502</v>
      </c>
      <c r="H3488" s="1" t="str">
        <f>IFERROR(__xludf.DUMMYFUNCTION("GOOGLETRANSLATE(D3488,""EN"",""JA"")"),"非ターゲット指標")</f>
        <v>非ターゲット指標</v>
      </c>
      <c r="I3488" s="1" t="str">
        <f>IFERROR(__xludf.DUMMYFUNCTION("GOOGLETRANSLATE(E3488,""EN"",""JA"")"),"非ターゲット指標")</f>
        <v>非ターゲット指標</v>
      </c>
      <c r="J3488" s="1" t="str">
        <f>IFERROR(__xludf.DUMMYFUNCTION("GOOGLETRANSLATE(F3488,""EN"",""JA"")"),"非標的腫瘍、病変、または疾患部位が存在するかどうかを示します。")</f>
        <v>非標的腫瘍、病変、または疾患部位が存在するかどうかを示します。</v>
      </c>
      <c r="K3488" s="1" t="str">
        <f>IFERROR(__xludf.DUMMYFUNCTION("GOOGLETRANSLATE(G3488,""EN"",""JA"")"),"非ターゲット指標")</f>
        <v>非ターゲット指標</v>
      </c>
    </row>
    <row r="3489" ht="13.5" customHeight="1">
      <c r="A3489" s="1" t="s">
        <v>1342</v>
      </c>
      <c r="B3489" s="1" t="s">
        <v>17504</v>
      </c>
      <c r="C3489" s="1" t="s">
        <v>17505</v>
      </c>
      <c r="D3489" s="1" t="s">
        <v>17506</v>
      </c>
      <c r="E3489" s="1" t="s">
        <v>17506</v>
      </c>
      <c r="F3489" s="1" t="s">
        <v>17507</v>
      </c>
      <c r="G3489" s="1" t="s">
        <v>17506</v>
      </c>
      <c r="H3489" s="1" t="str">
        <f>IFERROR(__xludf.DUMMYFUNCTION("GOOGLETRANSLATE(D3489,""EN"",""JA"")"),"非標的病変悪化指標")</f>
        <v>非標的病変悪化指標</v>
      </c>
      <c r="I3489" s="1" t="str">
        <f>IFERROR(__xludf.DUMMYFUNCTION("GOOGLETRANSLATE(E3489,""EN"",""JA"")"),"非標的病変悪化指標")</f>
        <v>非標的病変悪化指標</v>
      </c>
      <c r="J3489" s="1" t="str">
        <f>IFERROR(__xludf.DUMMYFUNCTION("GOOGLETRANSLATE(F3489,""EN"",""JA"")"),"以前に進行を示していた非標的病変が、さらに悪化の兆候を示しているかどうかを示します。")</f>
        <v>以前に進行を示していた非標的病変が、さらに悪化の兆候を示しているかどうかを示します。</v>
      </c>
      <c r="K3489" s="1" t="str">
        <f>IFERROR(__xludf.DUMMYFUNCTION("GOOGLETRANSLATE(G3489,""EN"",""JA"")"),"非標的病変悪化指標")</f>
        <v>非標的病変悪化指標</v>
      </c>
    </row>
    <row r="3490" ht="13.5" customHeight="1">
      <c r="A3490" s="1" t="s">
        <v>67</v>
      </c>
      <c r="B3490" s="1" t="s">
        <v>17508</v>
      </c>
      <c r="C3490" s="1" t="s">
        <v>17509</v>
      </c>
      <c r="D3490" s="1" t="s">
        <v>17510</v>
      </c>
      <c r="E3490" s="1" t="s">
        <v>17510</v>
      </c>
      <c r="F3490" s="1" t="s">
        <v>17511</v>
      </c>
      <c r="G3490" s="1" t="s">
        <v>17512</v>
      </c>
      <c r="H3490" s="1" t="str">
        <f>IFERROR(__xludf.DUMMYFUNCTION("GOOGLETRANSLATE(D3490,""EN"",""JA"")"),"非結核性抗酸菌核酸")</f>
        <v>非結核性抗酸菌核酸</v>
      </c>
      <c r="I3490" s="1" t="str">
        <f>IFERROR(__xludf.DUMMYFUNCTION("GOOGLETRANSLATE(E3490,""EN"",""JA"")"),"非結核性抗酸菌核酸")</f>
        <v>非結核性抗酸菌核酸</v>
      </c>
      <c r="J3490" s="1" t="str">
        <f>IFERROR(__xludf.DUMMYFUNCTION("GOOGLETRANSLATE(F3490,""EN"",""JA"")"),"生物学的標本中の結核性でないマイコバクテリウム属の核酸の測定。")</f>
        <v>生物学的標本中の結核性でないマイコバクテリウム属の核酸の測定。</v>
      </c>
      <c r="K3490" s="1" t="str">
        <f>IFERROR(__xludf.DUMMYFUNCTION("GOOGLETRANSLATE(G3490,""EN"",""JA"")"),"非結核性抗酸菌の核酸測定")</f>
        <v>非結核性抗酸菌の核酸測定</v>
      </c>
    </row>
    <row r="3491" ht="13.5" customHeight="1">
      <c r="A3491" s="1" t="s">
        <v>1342</v>
      </c>
      <c r="B3491" s="1" t="s">
        <v>17513</v>
      </c>
      <c r="C3491" s="1" t="s">
        <v>17514</v>
      </c>
      <c r="D3491" s="1" t="s">
        <v>17515</v>
      </c>
      <c r="E3491" s="1" t="s">
        <v>17515</v>
      </c>
      <c r="F3491" s="1" t="s">
        <v>17516</v>
      </c>
      <c r="G3491" s="1" t="s">
        <v>17517</v>
      </c>
      <c r="H3491" s="1" t="str">
        <f>IFERROR(__xludf.DUMMYFUNCTION("GOOGLETRANSLATE(D3491,""EN"",""JA"")"),"非標的非増強反応")</f>
        <v>非標的非増強反応</v>
      </c>
      <c r="I3491" s="1" t="str">
        <f>IFERROR(__xludf.DUMMYFUNCTION("GOOGLETRANSLATE(E3491,""EN"",""JA"")"),"非標的非増強反応")</f>
        <v>非標的非増強反応</v>
      </c>
      <c r="J3491" s="1" t="str">
        <f>IFERROR(__xludf.DUMMYFUNCTION("GOOGLETRANSLATE(F3491,""EN"",""JA"")"),"非標的非増強疾患の治療に対する反応の評価。(NCI)")</f>
        <v>非標的非増強疾患の治療に対する反応の評価。(NCI)</v>
      </c>
      <c r="K3491" s="1" t="str">
        <f>IFERROR(__xludf.DUMMYFUNCTION("GOOGLETRANSLATE(G3491,""EN"",""JA"")"),"非標的非増強病変反応")</f>
        <v>非標的非増強病変反応</v>
      </c>
    </row>
    <row r="3492" ht="13.5" customHeight="1">
      <c r="A3492" s="1" t="s">
        <v>1342</v>
      </c>
      <c r="B3492" s="1" t="s">
        <v>17518</v>
      </c>
      <c r="C3492" s="1" t="s">
        <v>17519</v>
      </c>
      <c r="D3492" s="1" t="s">
        <v>17520</v>
      </c>
      <c r="E3492" s="1" t="s">
        <v>17520</v>
      </c>
      <c r="F3492" s="1" t="s">
        <v>17521</v>
      </c>
      <c r="G3492" s="1" t="s">
        <v>17522</v>
      </c>
      <c r="H3492" s="1" t="str">
        <f>IFERROR(__xludf.DUMMYFUNCTION("GOOGLETRANSLATE(D3492,""EN"",""JA"")"),"非標的応答")</f>
        <v>非標的応答</v>
      </c>
      <c r="I3492" s="1" t="str">
        <f>IFERROR(__xludf.DUMMYFUNCTION("GOOGLETRANSLATE(E3492,""EN"",""JA"")"),"非標的応答")</f>
        <v>非標的応答</v>
      </c>
      <c r="J3492" s="1" t="str">
        <f>IFERROR(__xludf.DUMMYFUNCTION("GOOGLETRANSLATE(F3492,""EN"",""JA"")"),"非標的病変の治療に対する反応の評価。")</f>
        <v>非標的病変の治療に対する反応の評価。</v>
      </c>
      <c r="K3492" s="1" t="str">
        <f>IFERROR(__xludf.DUMMYFUNCTION("GOOGLETRANSLATE(G3492,""EN"",""JA"")"),"非標的病変における反応")</f>
        <v>非標的病変における反応</v>
      </c>
    </row>
    <row r="3493" ht="13.5" customHeight="1">
      <c r="A3493" s="1" t="s">
        <v>11</v>
      </c>
      <c r="B3493" s="1" t="s">
        <v>17523</v>
      </c>
      <c r="C3493" s="1" t="s">
        <v>17524</v>
      </c>
      <c r="D3493" s="1" t="s">
        <v>17525</v>
      </c>
      <c r="E3493" s="1" t="s">
        <v>17525</v>
      </c>
      <c r="F3493" s="1" t="s">
        <v>17526</v>
      </c>
      <c r="G3493" s="1" t="s">
        <v>17527</v>
      </c>
      <c r="H3493" s="1" t="str">
        <f>IFERROR(__xludf.DUMMYFUNCTION("GOOGLETRANSLATE(D3493,""EN"",""JA"")"),"中性脂肪")</f>
        <v>中性脂肪</v>
      </c>
      <c r="I3493" s="1" t="str">
        <f>IFERROR(__xludf.DUMMYFUNCTION("GOOGLETRANSLATE(E3493,""EN"",""JA"")"),"中性脂肪")</f>
        <v>中性脂肪</v>
      </c>
      <c r="J3493" s="1" t="str">
        <f>IFERROR(__xludf.DUMMYFUNCTION("GOOGLETRANSLATE(F3493,""EN"",""JA"")"),"生物標本中の総中性脂肪の測定値。")</f>
        <v>生物標本中の総中性脂肪の測定値。</v>
      </c>
      <c r="K3493" s="1" t="str">
        <f>IFERROR(__xludf.DUMMYFUNCTION("GOOGLETRANSLATE(G3493,""EN"",""JA"")"),"中性脂肪測定")</f>
        <v>中性脂肪測定</v>
      </c>
    </row>
    <row r="3494" ht="13.5" customHeight="1">
      <c r="A3494" s="1" t="s">
        <v>11</v>
      </c>
      <c r="B3494" s="1" t="s">
        <v>17528</v>
      </c>
      <c r="C3494" s="1" t="s">
        <v>17529</v>
      </c>
      <c r="D3494" s="1" t="s">
        <v>17530</v>
      </c>
      <c r="E3494" s="1" t="s">
        <v>17530</v>
      </c>
      <c r="F3494" s="1" t="s">
        <v>17531</v>
      </c>
      <c r="G3494" s="1" t="s">
        <v>17532</v>
      </c>
      <c r="H3494" s="1" t="str">
        <f>IFERROR(__xludf.DUMMYFUNCTION("GOOGLETRANSLATE(D3494,""EN"",""JA"")"),"ニトラゼパム")</f>
        <v>ニトラゼパム</v>
      </c>
      <c r="I3494" s="1" t="str">
        <f>IFERROR(__xludf.DUMMYFUNCTION("GOOGLETRANSLATE(E3494,""EN"",""JA"")"),"ニトラゼパム")</f>
        <v>ニトラゼパム</v>
      </c>
      <c r="J3494" s="1" t="str">
        <f>IFERROR(__xludf.DUMMYFUNCTION("GOOGLETRANSLATE(F3494,""EN"",""JA"")"),"生物標本中のニトラゼパムの測定。")</f>
        <v>生物標本中のニトラゼパムの測定。</v>
      </c>
      <c r="K3494" s="1" t="str">
        <f>IFERROR(__xludf.DUMMYFUNCTION("GOOGLETRANSLATE(G3494,""EN"",""JA"")"),"ニトラゼパム測定")</f>
        <v>ニトラゼパム測定</v>
      </c>
    </row>
    <row r="3495" ht="13.5" customHeight="1">
      <c r="A3495" s="1" t="s">
        <v>11</v>
      </c>
      <c r="B3495" s="1" t="s">
        <v>17533</v>
      </c>
      <c r="C3495" s="1" t="s">
        <v>17534</v>
      </c>
      <c r="D3495" s="1" t="s">
        <v>17535</v>
      </c>
      <c r="E3495" s="1" t="s">
        <v>17536</v>
      </c>
      <c r="F3495" s="1" t="s">
        <v>17537</v>
      </c>
      <c r="G3495" s="1" t="s">
        <v>17538</v>
      </c>
      <c r="H3495" s="1" t="str">
        <f>IFERROR(__xludf.DUMMYFUNCTION("GOOGLETRANSLATE(D3495,""EN"",""JA"")"),"I型コラーゲンN-テロペプチド")</f>
        <v>I型コラーゲンN-テロペプチド</v>
      </c>
      <c r="I3495" s="1" t="str">
        <f>IFERROR(__xludf.DUMMYFUNCTION("GOOGLETRANSLATE(E3495,""EN"",""JA"")"),"I型コラーゲンN-テロペプチド; I型コラーゲンX連鎖N-テロペプチド")</f>
        <v>I型コラーゲンN-テロペプチド; I型コラーゲンX連鎖N-テロペプチド</v>
      </c>
      <c r="J3495" s="1" t="str">
        <f>IFERROR(__xludf.DUMMYFUNCTION("GOOGLETRANSLATE(F3495,""EN"",""JA"")"),"生物標本中の I 型コラーゲン架橋 N-テロペプチドの測定。")</f>
        <v>生物標本中の I 型コラーゲン架橋 N-テロペプチドの測定。</v>
      </c>
      <c r="K3495" s="1" t="str">
        <f>IFERROR(__xludf.DUMMYFUNCTION("GOOGLETRANSLATE(G3495,""EN"",""JA"")"),"I型コラーゲンN-テロペプチド測定")</f>
        <v>I型コラーゲンN-テロペプチド測定</v>
      </c>
    </row>
    <row r="3496" ht="13.5" customHeight="1">
      <c r="A3496" s="1" t="s">
        <v>11</v>
      </c>
      <c r="B3496" s="1" t="s">
        <v>17539</v>
      </c>
      <c r="C3496" s="1" t="s">
        <v>17540</v>
      </c>
      <c r="D3496" s="1" t="s">
        <v>17541</v>
      </c>
      <c r="E3496" s="1" t="s">
        <v>17542</v>
      </c>
      <c r="F3496" s="1" t="s">
        <v>17543</v>
      </c>
      <c r="G3496" s="1" t="s">
        <v>17544</v>
      </c>
      <c r="H3496" s="1" t="str">
        <f>IFERROR(__xludf.DUMMYFUNCTION("GOOGLETRANSLATE(D3496,""EN"",""JA"")"),"T1コラーゲンX-リンクN-テロペプチド/クレアチン")</f>
        <v>T1コラーゲンX-リンクN-テロペプチド/クレアチン</v>
      </c>
      <c r="I3496" s="1" t="str">
        <f>IFERROR(__xludf.DUMMYFUNCTION("GOOGLETRANSLATE(E3496,""EN"",""JA"")"),"T1コラーゲンX結合Nテロペプチド/クレアチニン; I型コラーゲンX結合Nテロペプチド/クレアチニン")</f>
        <v>T1コラーゲンX結合Nテロペプチド/クレアチニン; I型コラーゲンX結合Nテロペプチド/クレアチニン</v>
      </c>
      <c r="J3496" s="1" t="str">
        <f>IFERROR(__xludf.DUMMYFUNCTION("GOOGLETRANSLATE(F3496,""EN"",""JA"")"),"生物標本中の 1 型コラーゲン架橋 N-テロペプチドとクレアチニンの相対測定値 (比率またはパーセンテージ)。")</f>
        <v>生物標本中の 1 型コラーゲン架橋 N-テロペプチドとクレアチニンの相対測定値 (比率またはパーセンテージ)。</v>
      </c>
      <c r="K3496" s="1" t="str">
        <f>IFERROR(__xludf.DUMMYFUNCTION("GOOGLETRANSLATE(G3496,""EN"",""JA"")"),"1型コラーゲンX-リンクN-テロペプチドとクレアチニン比の測定")</f>
        <v>1型コラーゲンX-リンクN-テロペプチドとクレアチニン比の測定</v>
      </c>
    </row>
    <row r="3497" ht="13.5" customHeight="1">
      <c r="A3497" s="1" t="s">
        <v>11</v>
      </c>
      <c r="B3497" s="1" t="s">
        <v>17545</v>
      </c>
      <c r="C3497" s="1" t="s">
        <v>17546</v>
      </c>
      <c r="D3497" s="1" t="s">
        <v>17547</v>
      </c>
      <c r="E3497" s="1" t="s">
        <v>17548</v>
      </c>
      <c r="F3497" s="1" t="s">
        <v>17549</v>
      </c>
      <c r="G3497" s="1" t="s">
        <v>17550</v>
      </c>
      <c r="H3497" s="1" t="str">
        <f>IFERROR(__xludf.DUMMYFUNCTION("GOOGLETRANSLATE(D3497,""EN"",""JA"")"),"II型コラーゲンN-テロペプチド")</f>
        <v>II型コラーゲンN-テロペプチド</v>
      </c>
      <c r="I3497" s="1" t="str">
        <f>IFERROR(__xludf.DUMMYFUNCTION("GOOGLETRANSLATE(E3497,""EN"",""JA"")"),"II型コラーゲンN-テロペプチド; II型コラーゲンX連鎖N-テロペプチド")</f>
        <v>II型コラーゲンN-テロペプチド; II型コラーゲンX連鎖N-テロペプチド</v>
      </c>
      <c r="J3497" s="1" t="str">
        <f>IFERROR(__xludf.DUMMYFUNCTION("GOOGLETRANSLATE(F3497,""EN"",""JA"")"),"生物標本中の II 型コラーゲン架橋 N-テロペプチドの測定。")</f>
        <v>生物標本中の II 型コラーゲン架橋 N-テロペプチドの測定。</v>
      </c>
      <c r="K3497" s="1" t="str">
        <f>IFERROR(__xludf.DUMMYFUNCTION("GOOGLETRANSLATE(G3497,""EN"",""JA"")"),"II型コラーゲンN-テロペプチド測定")</f>
        <v>II型コラーゲンN-テロペプチド測定</v>
      </c>
    </row>
    <row r="3498" ht="13.5" customHeight="1">
      <c r="A3498" s="1" t="s">
        <v>11</v>
      </c>
      <c r="B3498" s="1" t="s">
        <v>17551</v>
      </c>
      <c r="C3498" s="1" t="s">
        <v>17552</v>
      </c>
      <c r="D3498" s="1" t="s">
        <v>17553</v>
      </c>
      <c r="E3498" s="1" t="s">
        <v>17553</v>
      </c>
      <c r="F3498" s="1" t="s">
        <v>17554</v>
      </c>
      <c r="G3498" s="1" t="s">
        <v>17555</v>
      </c>
      <c r="H3498" s="1" t="str">
        <f>IFERROR(__xludf.DUMMYFUNCTION("GOOGLETRANSLATE(D3498,""EN"",""JA"")"),"3-ニトロチロシン")</f>
        <v>3-ニトロチロシン</v>
      </c>
      <c r="I3498" s="1" t="str">
        <f>IFERROR(__xludf.DUMMYFUNCTION("GOOGLETRANSLATE(E3498,""EN"",""JA"")"),"3-ニトロチロシン")</f>
        <v>3-ニトロチロシン</v>
      </c>
      <c r="J3498" s="1" t="str">
        <f>IFERROR(__xludf.DUMMYFUNCTION("GOOGLETRANSLATE(F3498,""EN"",""JA"")"),"生物標本中の 3-ニトロチロシンの総量の測定。")</f>
        <v>生物標本中の 3-ニトロチロシンの総量の測定。</v>
      </c>
      <c r="K3498" s="1" t="str">
        <f>IFERROR(__xludf.DUMMYFUNCTION("GOOGLETRANSLATE(G3498,""EN"",""JA"")"),"3-ニトロチロシン測定")</f>
        <v>3-ニトロチロシン測定</v>
      </c>
    </row>
    <row r="3499" ht="13.5" customHeight="1">
      <c r="A3499" s="1" t="s">
        <v>11</v>
      </c>
      <c r="B3499" s="1" t="s">
        <v>17556</v>
      </c>
      <c r="C3499" s="1" t="s">
        <v>17557</v>
      </c>
      <c r="D3499" s="1" t="s">
        <v>17558</v>
      </c>
      <c r="E3499" s="1" t="s">
        <v>17558</v>
      </c>
      <c r="F3499" s="1" t="s">
        <v>17559</v>
      </c>
      <c r="G3499" s="1" t="s">
        <v>17560</v>
      </c>
      <c r="H3499" s="1" t="str">
        <f>IFERROR(__xludf.DUMMYFUNCTION("GOOGLETRANSLATE(D3499,""EN"",""JA"")"),"ニトラゼパムおよび/または代謝物")</f>
        <v>ニトラゼパムおよび/または代謝物</v>
      </c>
      <c r="I3499" s="1" t="str">
        <f>IFERROR(__xludf.DUMMYFUNCTION("GOOGLETRANSLATE(E3499,""EN"",""JA"")"),"ニトラゼパムおよび/または代謝物")</f>
        <v>ニトラゼパムおよび/または代謝物</v>
      </c>
      <c r="J3499" s="1" t="str">
        <f>IFERROR(__xludf.DUMMYFUNCTION("GOOGLETRANSLATE(F3499,""EN"",""JA"")"),"ニトラゼパムとその代謝物の両方を測定できるアッセイのために、生物標本中に存在するニトラゼパムおよび/またはその代謝物の測定。")</f>
        <v>ニトラゼパムとその代謝物の両方を測定できるアッセイのために、生物標本中に存在するニトラゼパムおよび/またはその代謝物の測定。</v>
      </c>
      <c r="K3499" s="1" t="str">
        <f>IFERROR(__xludf.DUMMYFUNCTION("GOOGLETRANSLATE(G3499,""EN"",""JA"")"),"ニトラゼパムおよび/または代謝物の測定")</f>
        <v>ニトラゼパムおよび/または代謝物の測定</v>
      </c>
    </row>
    <row r="3500" ht="13.5" customHeight="1">
      <c r="A3500" s="1" t="s">
        <v>11</v>
      </c>
      <c r="B3500" s="1" t="s">
        <v>17561</v>
      </c>
      <c r="C3500" s="1" t="s">
        <v>17562</v>
      </c>
      <c r="D3500" s="1" t="s">
        <v>17563</v>
      </c>
      <c r="E3500" s="1" t="s">
        <v>17563</v>
      </c>
      <c r="F3500" s="1" t="s">
        <v>17564</v>
      </c>
      <c r="G3500" s="1" t="s">
        <v>17565</v>
      </c>
      <c r="H3500" s="1" t="str">
        <f>IFERROR(__xludf.DUMMYFUNCTION("GOOGLETRANSLATE(D3500,""EN"",""JA"")"),"核細胞")</f>
        <v>核細胞</v>
      </c>
      <c r="I3500" s="1" t="str">
        <f>IFERROR(__xludf.DUMMYFUNCTION("GOOGLETRANSLATE(E3500,""EN"",""JA"")"),"核細胞")</f>
        <v>核細胞</v>
      </c>
      <c r="J3500" s="1" t="str">
        <f>IFERROR(__xludf.DUMMYFUNCTION("GOOGLETRANSLATE(F3500,""EN"",""JA"")"),"生物標本内の核細胞の測定。")</f>
        <v>生物標本内の核細胞の測定。</v>
      </c>
      <c r="K3500" s="1" t="str">
        <f>IFERROR(__xludf.DUMMYFUNCTION("GOOGLETRANSLATE(G3500,""EN"",""JA"")"),"有核細胞数")</f>
        <v>有核細胞数</v>
      </c>
    </row>
    <row r="3501" ht="13.5" customHeight="1">
      <c r="A3501" s="1" t="s">
        <v>134</v>
      </c>
      <c r="B3501" s="1" t="s">
        <v>17566</v>
      </c>
      <c r="C3501" s="1" t="s">
        <v>17567</v>
      </c>
      <c r="D3501" s="1" t="s">
        <v>17568</v>
      </c>
      <c r="E3501" s="1" t="s">
        <v>17569</v>
      </c>
      <c r="F3501" s="1" t="s">
        <v>17570</v>
      </c>
      <c r="G3501" s="1" t="s">
        <v>17571</v>
      </c>
      <c r="H3501" s="1" t="str">
        <f>IFERROR(__xludf.DUMMYFUNCTION("GOOGLETRANSLATE(D3501,""EN"",""JA"")"),"核、グリコーゲン化")</f>
        <v>核、グリコーゲン化</v>
      </c>
      <c r="I3501" s="1" t="str">
        <f>IFERROR(__xludf.DUMMYFUNCTION("GOOGLETRANSLATE(E3501,""EN"",""JA"")"),"グリコーゲン化核; グリコーゲン化核")</f>
        <v>グリコーゲン化核; グリコーゲン化核</v>
      </c>
      <c r="J3501" s="1" t="str">
        <f>IFERROR(__xludf.DUMMYFUNCTION("GOOGLETRANSLATE(F3501,""EN"",""JA"")"),"生物標本におけるグリコーゲン化された核の評価。")</f>
        <v>生物標本におけるグリコーゲン化された核の評価。</v>
      </c>
      <c r="K3501" s="1" t="str">
        <f>IFERROR(__xludf.DUMMYFUNCTION("GOOGLETRANSLATE(G3501,""EN"",""JA"")"),"グリコーゲン化核の評価")</f>
        <v>グリコーゲン化核の評価</v>
      </c>
    </row>
    <row r="3502" ht="13.5" customHeight="1">
      <c r="A3502" s="1" t="s">
        <v>11</v>
      </c>
      <c r="B3502" s="1" t="s">
        <v>17572</v>
      </c>
      <c r="C3502" s="1" t="s">
        <v>17573</v>
      </c>
      <c r="D3502" s="1" t="s">
        <v>17574</v>
      </c>
      <c r="E3502" s="1" t="s">
        <v>17574</v>
      </c>
      <c r="F3502" s="1" t="s">
        <v>17575</v>
      </c>
      <c r="G3502" s="1" t="s">
        <v>17576</v>
      </c>
      <c r="H3502" s="1" t="str">
        <f>IFERROR(__xludf.DUMMYFUNCTION("GOOGLETRANSLATE(D3502,""EN"",""JA"")"),"核膨張")</f>
        <v>核膨張</v>
      </c>
      <c r="I3502" s="1" t="str">
        <f>IFERROR(__xludf.DUMMYFUNCTION("GOOGLETRANSLATE(E3502,""EN"",""JA"")"),"核膨張")</f>
        <v>核膨張</v>
      </c>
      <c r="J3502" s="1" t="str">
        <f>IFERROR(__xludf.DUMMYFUNCTION("GOOGLETRANSLATE(F3502,""EN"",""JA"")"),"生物標本内の細胞核の膨張の測定。")</f>
        <v>生物標本内の細胞核の膨張の測定。</v>
      </c>
      <c r="K3502" s="1" t="str">
        <f>IFERROR(__xludf.DUMMYFUNCTION("GOOGLETRANSLATE(G3502,""EN"",""JA"")"),"核膨張測定")</f>
        <v>核膨張測定</v>
      </c>
    </row>
    <row r="3503" ht="13.5" customHeight="1">
      <c r="A3503" s="1" t="s">
        <v>1997</v>
      </c>
      <c r="B3503" s="1" t="s">
        <v>17577</v>
      </c>
      <c r="C3503" s="1" t="s">
        <v>17578</v>
      </c>
      <c r="D3503" s="1" t="s">
        <v>17579</v>
      </c>
      <c r="E3503" s="1" t="s">
        <v>17579</v>
      </c>
      <c r="F3503" s="1" t="s">
        <v>17580</v>
      </c>
      <c r="G3503" s="1" t="s">
        <v>17579</v>
      </c>
      <c r="H3503" s="1" t="str">
        <f>IFERROR(__xludf.DUMMYFUNCTION("GOOGLETRANSLATE(D3503,""EN"",""JA"")"),"読み取った文字数")</f>
        <v>読み取った文字数</v>
      </c>
      <c r="I3503" s="1" t="str">
        <f>IFERROR(__xludf.DUMMYFUNCTION("GOOGLETRANSLATE(E3503,""EN"",""JA"")"),"読み取った文字数")</f>
        <v>読み取った文字数</v>
      </c>
      <c r="J3503" s="1" t="str">
        <f>IFERROR(__xludf.DUMMYFUNCTION("GOOGLETRANSLATE(F3503,""EN"",""JA"")"),"視力検査表による評価中に被験者が読んだ文字数を表す整数。")</f>
        <v>視力検査表による評価中に被験者が読んだ文字数を表す整数。</v>
      </c>
      <c r="K3503" s="1" t="str">
        <f>IFERROR(__xludf.DUMMYFUNCTION("GOOGLETRANSLATE(G3503,""EN"",""JA"")"),"読み取った文字数")</f>
        <v>読み取った文字数</v>
      </c>
    </row>
    <row r="3504" ht="13.5" customHeight="1">
      <c r="A3504" s="1" t="s">
        <v>1997</v>
      </c>
      <c r="B3504" s="1" t="s">
        <v>17581</v>
      </c>
      <c r="C3504" s="1" t="s">
        <v>17582</v>
      </c>
      <c r="D3504" s="1" t="s">
        <v>17583</v>
      </c>
      <c r="E3504" s="1" t="s">
        <v>17583</v>
      </c>
      <c r="F3504" s="1" t="s">
        <v>17584</v>
      </c>
      <c r="G3504" s="1" t="s">
        <v>17583</v>
      </c>
      <c r="H3504" s="1" t="str">
        <f>IFERROR(__xludf.DUMMYFUNCTION("GOOGLETRANSLATE(D3504,""EN"",""JA"")"),"未読文字数")</f>
        <v>未読文字数</v>
      </c>
      <c r="I3504" s="1" t="str">
        <f>IFERROR(__xludf.DUMMYFUNCTION("GOOGLETRANSLATE(E3504,""EN"",""JA"")"),"未読文字数")</f>
        <v>未読文字数</v>
      </c>
      <c r="J3504" s="1" t="str">
        <f>IFERROR(__xludf.DUMMYFUNCTION("GOOGLETRANSLATE(F3504,""EN"",""JA"")"),"視力検査表による評価中に被験者が読み取れなかった文字の数を表す整数。")</f>
        <v>視力検査表による評価中に被験者が読み取れなかった文字の数を表す整数。</v>
      </c>
      <c r="K3504" s="1" t="str">
        <f>IFERROR(__xludf.DUMMYFUNCTION("GOOGLETRANSLATE(G3504,""EN"",""JA"")"),"未読文字数")</f>
        <v>未読文字数</v>
      </c>
    </row>
    <row r="3505" ht="13.5" customHeight="1">
      <c r="A3505" s="1" t="s">
        <v>90</v>
      </c>
      <c r="B3505" s="1" t="s">
        <v>17585</v>
      </c>
      <c r="C3505" s="1" t="s">
        <v>17586</v>
      </c>
      <c r="D3505" s="1" t="s">
        <v>17587</v>
      </c>
      <c r="E3505" s="1" t="s">
        <v>17587</v>
      </c>
      <c r="F3505" s="1" t="s">
        <v>17588</v>
      </c>
      <c r="G3505" s="1" t="s">
        <v>17589</v>
      </c>
      <c r="H3505" s="1" t="str">
        <f>IFERROR(__xludf.DUMMYFUNCTION("GOOGLETRANSLATE(D3505,""EN"",""JA"")"),"尖頭数")</f>
        <v>尖頭数</v>
      </c>
      <c r="I3505" s="1" t="str">
        <f>IFERROR(__xludf.DUMMYFUNCTION("GOOGLETRANSLATE(E3505,""EN"",""JA"")"),"尖頭数")</f>
        <v>尖頭数</v>
      </c>
      <c r="J3505" s="1" t="str">
        <f>IFERROR(__xludf.DUMMYFUNCTION("GOOGLETRANSLATE(F3505,""EN"",""JA"")"),"特定の心臓弁を構成する弁尖の数を定量的に決定します。")</f>
        <v>特定の心臓弁を構成する弁尖の数を定量的に決定します。</v>
      </c>
      <c r="K3505" s="1" t="str">
        <f>IFERROR(__xludf.DUMMYFUNCTION("GOOGLETRANSLATE(G3505,""EN"",""JA"")"),"心臓弁尖の数")</f>
        <v>心臓弁尖の数</v>
      </c>
    </row>
    <row r="3506" ht="13.5" customHeight="1">
      <c r="A3506" s="1" t="s">
        <v>90</v>
      </c>
      <c r="B3506" s="1" t="s">
        <v>17590</v>
      </c>
      <c r="C3506" s="1" t="s">
        <v>17591</v>
      </c>
      <c r="D3506" s="1" t="s">
        <v>17592</v>
      </c>
      <c r="E3506" s="1" t="s">
        <v>17592</v>
      </c>
      <c r="F3506" s="1" t="s">
        <v>17593</v>
      </c>
      <c r="G3506" s="1" t="s">
        <v>17594</v>
      </c>
      <c r="H3506" s="1" t="str">
        <f>IFERROR(__xludf.DUMMYFUNCTION("GOOGLETRANSLATE(D3506,""EN"",""JA"")"),"病変冠動脈の数")</f>
        <v>病変冠動脈の数</v>
      </c>
      <c r="I3506" s="1" t="str">
        <f>IFERROR(__xludf.DUMMYFUNCTION("GOOGLETRANSLATE(E3506,""EN"",""JA"")"),"病変冠動脈の数")</f>
        <v>病変冠動脈の数</v>
      </c>
      <c r="J3506" s="1" t="str">
        <f>IFERROR(__xludf.DUMMYFUNCTION("GOOGLETRANSLATE(F3506,""EN"",""JA"")"),"直径が 70% 以上減少しているか、断面積が 50% 以上減少している主要な心外膜血管の数。")</f>
        <v>直径が 70% 以上減少しているか、断面積が 50% 以上減少している主要な心外膜血管の数。</v>
      </c>
      <c r="K3506" s="1" t="str">
        <f>IFERROR(__xludf.DUMMYFUNCTION("GOOGLETRANSLATE(G3506,""EN"",""JA"")"),"病変冠動脈の数")</f>
        <v>病変冠動脈の数</v>
      </c>
    </row>
    <row r="3507" ht="13.5" customHeight="1">
      <c r="A3507" s="1" t="s">
        <v>1997</v>
      </c>
      <c r="B3507" s="1" t="s">
        <v>17595</v>
      </c>
      <c r="C3507" s="1" t="s">
        <v>17596</v>
      </c>
      <c r="D3507" s="1" t="s">
        <v>17597</v>
      </c>
      <c r="E3507" s="1" t="s">
        <v>17597</v>
      </c>
      <c r="F3507" s="1" t="s">
        <v>17598</v>
      </c>
      <c r="G3507" s="1" t="s">
        <v>17599</v>
      </c>
      <c r="H3507" s="1" t="str">
        <f>IFERROR(__xludf.DUMMYFUNCTION("GOOGLETRANSLATE(D3507,""EN"",""JA"")"),"正しい文字数")</f>
        <v>正しい文字数</v>
      </c>
      <c r="I3507" s="1" t="str">
        <f>IFERROR(__xludf.DUMMYFUNCTION("GOOGLETRANSLATE(E3507,""EN"",""JA"")"),"正しい文字数")</f>
        <v>正しい文字数</v>
      </c>
      <c r="J3507" s="1" t="str">
        <f>IFERROR(__xludf.DUMMYFUNCTION("GOOGLETRANSLATE(F3507,""EN"",""JA"")"),"視力検査表による評価中に被験者が正しく識別した文字の数を表す整数。")</f>
        <v>視力検査表による評価中に被験者が正しく識別した文字の数を表す整数。</v>
      </c>
      <c r="K3507" s="1" t="str">
        <f>IFERROR(__xludf.DUMMYFUNCTION("GOOGLETRANSLATE(G3507,""EN"",""JA"")"),"正しい視力検査表の文字数")</f>
        <v>正しい視力検査表の文字数</v>
      </c>
    </row>
    <row r="3508" ht="13.5" customHeight="1">
      <c r="A3508" s="1" t="s">
        <v>1997</v>
      </c>
      <c r="B3508" s="1" t="s">
        <v>17600</v>
      </c>
      <c r="C3508" s="1" t="s">
        <v>17601</v>
      </c>
      <c r="D3508" s="1" t="s">
        <v>17602</v>
      </c>
      <c r="E3508" s="1" t="s">
        <v>17602</v>
      </c>
      <c r="F3508" s="1" t="s">
        <v>17603</v>
      </c>
      <c r="G3508" s="1" t="s">
        <v>17604</v>
      </c>
      <c r="H3508" s="1" t="str">
        <f>IFERROR(__xludf.DUMMYFUNCTION("GOOGLETRANSLATE(D3508,""EN"",""JA"")"),"読み取った行数")</f>
        <v>読み取った行数</v>
      </c>
      <c r="I3508" s="1" t="str">
        <f>IFERROR(__xludf.DUMMYFUNCTION("GOOGLETRANSLATE(E3508,""EN"",""JA"")"),"読み取った行数")</f>
        <v>読み取った行数</v>
      </c>
      <c r="J3508" s="1" t="str">
        <f>IFERROR(__xludf.DUMMYFUNCTION("GOOGLETRANSLATE(F3508,""EN"",""JA"")"),"視力検査表の評価中に被験者が読んだ行数を表す整数。")</f>
        <v>視力検査表の評価中に被験者が読んだ行数を表す整数。</v>
      </c>
      <c r="K3508" s="1" t="str">
        <f>IFERROR(__xludf.DUMMYFUNCTION("GOOGLETRANSLATE(G3508,""EN"",""JA"")"),"視力検査表の読み取り行数")</f>
        <v>視力検査表の読み取り行数</v>
      </c>
    </row>
    <row r="3509" ht="13.5" customHeight="1">
      <c r="A3509" s="1" t="s">
        <v>1997</v>
      </c>
      <c r="B3509" s="1" t="s">
        <v>17605</v>
      </c>
      <c r="C3509" s="1" t="s">
        <v>17606</v>
      </c>
      <c r="D3509" s="1" t="s">
        <v>17607</v>
      </c>
      <c r="E3509" s="1" t="s">
        <v>17607</v>
      </c>
      <c r="F3509" s="1" t="s">
        <v>17608</v>
      </c>
      <c r="G3509" s="1" t="s">
        <v>17607</v>
      </c>
      <c r="H3509" s="1" t="str">
        <f>IFERROR(__xludf.DUMMYFUNCTION("GOOGLETRANSLATE(D3509,""EN"",""JA"")"),"未読行数")</f>
        <v>未読行数</v>
      </c>
      <c r="I3509" s="1" t="str">
        <f>IFERROR(__xludf.DUMMYFUNCTION("GOOGLETRANSLATE(E3509,""EN"",""JA"")"),"未読行数")</f>
        <v>未読行数</v>
      </c>
      <c r="J3509" s="1" t="str">
        <f>IFERROR(__xludf.DUMMYFUNCTION("GOOGLETRANSLATE(F3509,""EN"",""JA"")"),"視力検査表による評価中に被験者が読み取れなかった行数を表す整数。")</f>
        <v>視力検査表による評価中に被験者が読み取れなかった行数を表す整数。</v>
      </c>
      <c r="K3509" s="1" t="str">
        <f>IFERROR(__xludf.DUMMYFUNCTION("GOOGLETRANSLATE(G3509,""EN"",""JA"")"),"未読行数")</f>
        <v>未読行数</v>
      </c>
    </row>
    <row r="3510" ht="13.5" customHeight="1">
      <c r="A3510" s="1" t="s">
        <v>397</v>
      </c>
      <c r="B3510" s="1" t="s">
        <v>17609</v>
      </c>
      <c r="C3510" s="1" t="s">
        <v>17610</v>
      </c>
      <c r="D3510" s="1" t="s">
        <v>17611</v>
      </c>
      <c r="E3510" s="1" t="s">
        <v>17611</v>
      </c>
      <c r="F3510" s="1" t="s">
        <v>17612</v>
      </c>
      <c r="G3510" s="1" t="s">
        <v>17613</v>
      </c>
      <c r="H3510" s="1" t="str">
        <f>IFERROR(__xludf.DUMMYFUNCTION("GOOGLETRANSLATE(D3510,""EN"",""JA"")"),"試験実施施設数 EU加盟国")</f>
        <v>試験実施施設数 EU加盟国</v>
      </c>
      <c r="I3510" s="1" t="str">
        <f>IFERROR(__xludf.DUMMYFUNCTION("GOOGLETRANSLATE(E3510,""EN"",""JA"")"),"試験実施施設数 EU加盟国")</f>
        <v>試験実施施設数 EU加盟国</v>
      </c>
      <c r="J3510" s="1" t="str">
        <f>IFERROR(__xludf.DUMMYFUNCTION("GOOGLETRANSLATE(F3510,""EN"",""JA"")"),"申請に関連する欧州連合加盟国内の試験施設の総数。")</f>
        <v>申請に関連する欧州連合加盟国内の試験施設の総数。</v>
      </c>
      <c r="K3510" s="1" t="str">
        <f>IFERROR(__xludf.DUMMYFUNCTION("GOOGLETRANSLATE(G3510,""EN"",""JA"")"),"欧州連合加盟国における試験実施施設数")</f>
        <v>欧州連合加盟国における試験実施施設数</v>
      </c>
    </row>
    <row r="3511" ht="13.5" customHeight="1">
      <c r="A3511" s="1" t="s">
        <v>176</v>
      </c>
      <c r="B3511" s="1" t="s">
        <v>17614</v>
      </c>
      <c r="C3511" s="1" t="s">
        <v>17615</v>
      </c>
      <c r="D3511" s="1" t="s">
        <v>17616</v>
      </c>
      <c r="E3511" s="1" t="s">
        <v>17616</v>
      </c>
      <c r="F3511" s="1" t="s">
        <v>17617</v>
      </c>
      <c r="G3511" s="1" t="s">
        <v>17618</v>
      </c>
      <c r="H3511" s="1" t="str">
        <f>IFERROR(__xludf.DUMMYFUNCTION("GOOGLETRANSLATE(D3511,""EN"",""JA"")"),"神経系検査")</f>
        <v>神経系検査</v>
      </c>
      <c r="I3511" s="1" t="str">
        <f>IFERROR(__xludf.DUMMYFUNCTION("GOOGLETRANSLATE(E3511,""EN"",""JA"")"),"神経系検査")</f>
        <v>神経系検査</v>
      </c>
      <c r="J3511" s="1" t="str">
        <f>IFERROR(__xludf.DUMMYFUNCTION("GOOGLETRANSLATE(F3511,""EN"",""JA"")"),"神経系の観察、評価、または検査。")</f>
        <v>神経系の観察、評価、または検査。</v>
      </c>
      <c r="K3511" s="1" t="str">
        <f>IFERROR(__xludf.DUMMYFUNCTION("GOOGLETRANSLATE(G3511,""EN"",""JA"")"),"神経学的検査")</f>
        <v>神経学的検査</v>
      </c>
    </row>
    <row r="3512" ht="13.5" customHeight="1">
      <c r="A3512" s="1" t="s">
        <v>67</v>
      </c>
      <c r="B3512" s="1" t="s">
        <v>17619</v>
      </c>
      <c r="C3512" s="1" t="s">
        <v>17620</v>
      </c>
      <c r="D3512" s="1" t="s">
        <v>17621</v>
      </c>
      <c r="E3512" s="1" t="s">
        <v>17622</v>
      </c>
      <c r="F3512" s="1" t="s">
        <v>17623</v>
      </c>
      <c r="G3512" s="1" t="s">
        <v>17624</v>
      </c>
      <c r="H3512" s="1" t="str">
        <f>IFERROR(__xludf.DUMMYFUNCTION("GOOGLETRANSLATE(D3512,""EN"",""JA"")"),"ノロウイルス遺伝子群II RNA")</f>
        <v>ノロウイルス遺伝子群II RNA</v>
      </c>
      <c r="I3512" s="1" t="str">
        <f>IFERROR(__xludf.DUMMYFUNCTION("GOOGLETRANSLATE(E3512,""EN"",""JA"")"),"ヒトカリシウイルス遺伝子群2 RNA; ノロウイルス遺伝子群II RNA; ノロウイルスGII RNA")</f>
        <v>ヒトカリシウイルス遺伝子群2 RNA; ノロウイルス遺伝子群II RNA; ノロウイルスGII RNA</v>
      </c>
      <c r="J3512" s="1" t="str">
        <f>IFERROR(__xludf.DUMMYFUNCTION("GOOGLETRANSLATE(F3512,""EN"",""JA"")"),"生物標本中のノロウイルス遺伝子群 II RNA の測定。")</f>
        <v>生物標本中のノロウイルス遺伝子群 II RNA の測定。</v>
      </c>
      <c r="K3512" s="1" t="str">
        <f>IFERROR(__xludf.DUMMYFUNCTION("GOOGLETRANSLATE(G3512,""EN"",""JA"")"),"ノロウイルス遺伝子群II RNA測定")</f>
        <v>ノロウイルス遺伝子群II RNA測定</v>
      </c>
    </row>
    <row r="3513" ht="13.5" customHeight="1">
      <c r="A3513" s="1" t="s">
        <v>67</v>
      </c>
      <c r="B3513" s="1" t="s">
        <v>17625</v>
      </c>
      <c r="C3513" s="1" t="s">
        <v>17626</v>
      </c>
      <c r="D3513" s="1" t="s">
        <v>17627</v>
      </c>
      <c r="E3513" s="1" t="s">
        <v>17628</v>
      </c>
      <c r="F3513" s="1" t="s">
        <v>17629</v>
      </c>
      <c r="G3513" s="1" t="s">
        <v>17630</v>
      </c>
      <c r="H3513" s="1" t="str">
        <f>IFERROR(__xludf.DUMMYFUNCTION("GOOGLETRANSLATE(D3513,""EN"",""JA"")"),"ノロウイルス遺伝子群I RNA")</f>
        <v>ノロウイルス遺伝子群I RNA</v>
      </c>
      <c r="I3513" s="1" t="str">
        <f>IFERROR(__xludf.DUMMYFUNCTION("GOOGLETRANSLATE(E3513,""EN"",""JA"")"),"ヒトカリシウイルス ジェノグループ 1 RNA;ノロウイルス ジェノグループ 1 RNA;ノロウイルス GI RNA")</f>
        <v>ヒトカリシウイルス ジェノグループ 1 RNA;ノロウイルス ジェノグループ 1 RNA;ノロウイルス GI RNA</v>
      </c>
      <c r="J3513" s="1" t="str">
        <f>IFERROR(__xludf.DUMMYFUNCTION("GOOGLETRANSLATE(F3513,""EN"",""JA"")"),"生物標本中のノロウイルス遺伝子群 I RNA の測定。")</f>
        <v>生物標本中のノロウイルス遺伝子群 I RNA の測定。</v>
      </c>
      <c r="K3513" s="1" t="str">
        <f>IFERROR(__xludf.DUMMYFUNCTION("GOOGLETRANSLATE(G3513,""EN"",""JA"")"),"ノロウイルス遺伝子群IのRNA測定")</f>
        <v>ノロウイルス遺伝子群IのRNA測定</v>
      </c>
    </row>
    <row r="3514" ht="13.5" customHeight="1">
      <c r="A3514" s="1" t="s">
        <v>67</v>
      </c>
      <c r="B3514" s="1" t="s">
        <v>17631</v>
      </c>
      <c r="C3514" s="1" t="s">
        <v>17632</v>
      </c>
      <c r="D3514" s="1" t="s">
        <v>17633</v>
      </c>
      <c r="E3514" s="1" t="s">
        <v>17633</v>
      </c>
      <c r="F3514" s="1" t="s">
        <v>17634</v>
      </c>
      <c r="G3514" s="1" t="s">
        <v>17635</v>
      </c>
      <c r="H3514" s="1" t="str">
        <f>IFERROR(__xludf.DUMMYFUNCTION("GOOGLETRANSLATE(D3514,""EN"",""JA"")"),"ノロウイルスRNA")</f>
        <v>ノロウイルスRNA</v>
      </c>
      <c r="I3514" s="1" t="str">
        <f>IFERROR(__xludf.DUMMYFUNCTION("GOOGLETRANSLATE(E3514,""EN"",""JA"")"),"ノロウイルスRNA")</f>
        <v>ノロウイルスRNA</v>
      </c>
      <c r="J3514" s="1" t="str">
        <f>IFERROR(__xludf.DUMMYFUNCTION("GOOGLETRANSLATE(F3514,""EN"",""JA"")"),"生物標本中のノロウイルス属の任意のメンバーの RNA の測定。")</f>
        <v>生物標本中のノロウイルス属の任意のメンバーの RNA の測定。</v>
      </c>
      <c r="K3514" s="1" t="str">
        <f>IFERROR(__xludf.DUMMYFUNCTION("GOOGLETRANSLATE(G3514,""EN"",""JA"")"),"ノロウイルスRNA測定")</f>
        <v>ノロウイルスRNA測定</v>
      </c>
    </row>
    <row r="3515" ht="13.5" customHeight="1">
      <c r="A3515" s="1" t="s">
        <v>176</v>
      </c>
      <c r="B3515" s="1" t="s">
        <v>17636</v>
      </c>
      <c r="C3515" s="1" t="s">
        <v>17637</v>
      </c>
      <c r="D3515" s="1" t="s">
        <v>17638</v>
      </c>
      <c r="E3515" s="1" t="s">
        <v>17638</v>
      </c>
      <c r="F3515" s="1" t="s">
        <v>17639</v>
      </c>
      <c r="G3515" s="1" t="s">
        <v>17640</v>
      </c>
      <c r="H3515" s="1" t="str">
        <f>IFERROR(__xludf.DUMMYFUNCTION("GOOGLETRANSLATE(D3515,""EN"",""JA"")"),"眼振")</f>
        <v>眼振</v>
      </c>
      <c r="I3515" s="1" t="str">
        <f>IFERROR(__xludf.DUMMYFUNCTION("GOOGLETRANSLATE(E3515,""EN"",""JA"")"),"眼振")</f>
        <v>眼振</v>
      </c>
      <c r="J3515" s="1" t="str">
        <f>IFERROR(__xludf.DUMMYFUNCTION("GOOGLETRANSLATE(F3515,""EN"",""JA"")"),"眼振（不随意な急速な眼球運動）の評価。")</f>
        <v>眼振（不随意な急速な眼球運動）の評価。</v>
      </c>
      <c r="K3515" s="1" t="str">
        <f>IFERROR(__xludf.DUMMYFUNCTION("GOOGLETRANSLATE(G3515,""EN"",""JA"")"),"眼振評価")</f>
        <v>眼振評価</v>
      </c>
    </row>
    <row r="3516" ht="13.5" customHeight="1">
      <c r="A3516" s="1" t="s">
        <v>11</v>
      </c>
      <c r="B3516" s="1" t="s">
        <v>17641</v>
      </c>
      <c r="C3516" s="1" t="s">
        <v>17642</v>
      </c>
      <c r="D3516" s="1" t="s">
        <v>17643</v>
      </c>
      <c r="E3516" s="1" t="s">
        <v>17643</v>
      </c>
      <c r="F3516" s="1" t="s">
        <v>17644</v>
      </c>
      <c r="G3516" s="1" t="s">
        <v>17645</v>
      </c>
      <c r="H3516" s="1" t="str">
        <f>IFERROR(__xludf.DUMMYFUNCTION("GOOGLETRANSLATE(D3516,""EN"",""JA"")"),"酸素含有量")</f>
        <v>酸素含有量</v>
      </c>
      <c r="I3516" s="1" t="str">
        <f>IFERROR(__xludf.DUMMYFUNCTION("GOOGLETRANSLATE(E3516,""EN"",""JA"")"),"酸素含有量")</f>
        <v>酸素含有量</v>
      </c>
      <c r="J3516" s="1" t="str">
        <f>IFERROR(__xludf.DUMMYFUNCTION("GOOGLETRANSLATE(F3516,""EN"",""JA"")"),"生物標本中の酸素含有量の測定。")</f>
        <v>生物標本中の酸素含有量の測定。</v>
      </c>
      <c r="K3516" s="1" t="str">
        <f>IFERROR(__xludf.DUMMYFUNCTION("GOOGLETRANSLATE(G3516,""EN"",""JA"")"),"酸素測定")</f>
        <v>酸素測定</v>
      </c>
    </row>
    <row r="3517" ht="13.5" customHeight="1">
      <c r="A3517" s="1" t="s">
        <v>11</v>
      </c>
      <c r="B3517" s="1" t="s">
        <v>17646</v>
      </c>
      <c r="C3517" s="1" t="s">
        <v>17647</v>
      </c>
      <c r="D3517" s="1" t="s">
        <v>17648</v>
      </c>
      <c r="E3517" s="1" t="s">
        <v>17648</v>
      </c>
      <c r="F3517" s="1" t="s">
        <v>17649</v>
      </c>
      <c r="G3517" s="1" t="s">
        <v>17650</v>
      </c>
      <c r="H3517" s="1" t="str">
        <f>IFERROR(__xludf.DUMMYFUNCTION("GOOGLETRANSLATE(D3517,""EN"",""JA"")"),"2-5-オリゴアデニル酸合成酵素1")</f>
        <v>2-5-オリゴアデニル酸合成酵素1</v>
      </c>
      <c r="I3517" s="1" t="str">
        <f>IFERROR(__xludf.DUMMYFUNCTION("GOOGLETRANSLATE(E3517,""EN"",""JA"")"),"2-5-オリゴアデニル酸合成酵素1")</f>
        <v>2-5-オリゴアデニル酸合成酵素1</v>
      </c>
      <c r="J3517" s="1" t="str">
        <f>IFERROR(__xludf.DUMMYFUNCTION("GOOGLETRANSLATE(F3517,""EN"",""JA"")"),"生物標本中の 2-5-オリゴアデニル酸合成酵素 1 の測定。")</f>
        <v>生物標本中の 2-5-オリゴアデニル酸合成酵素 1 の測定。</v>
      </c>
      <c r="K3517" s="1" t="str">
        <f>IFERROR(__xludf.DUMMYFUNCTION("GOOGLETRANSLATE(G3517,""EN"",""JA"")"),"2-5-オリゴアデニル酸合成酵素1の測定")</f>
        <v>2-5-オリゴアデニル酸合成酵素1の測定</v>
      </c>
    </row>
    <row r="3518" ht="13.5" customHeight="1">
      <c r="A3518" s="1" t="s">
        <v>11</v>
      </c>
      <c r="B3518" s="1" t="s">
        <v>17651</v>
      </c>
      <c r="C3518" s="1" t="s">
        <v>17652</v>
      </c>
      <c r="D3518" s="1" t="s">
        <v>17653</v>
      </c>
      <c r="E3518" s="1" t="s">
        <v>17653</v>
      </c>
      <c r="F3518" s="1" t="s">
        <v>17654</v>
      </c>
      <c r="G3518" s="1" t="s">
        <v>17655</v>
      </c>
      <c r="H3518" s="1" t="str">
        <f>IFERROR(__xludf.DUMMYFUNCTION("GOOGLETRANSLATE(D3518,""EN"",""JA"")"),"2-5-オリゴアデニル酸合成酵素2")</f>
        <v>2-5-オリゴアデニル酸合成酵素2</v>
      </c>
      <c r="I3518" s="1" t="str">
        <f>IFERROR(__xludf.DUMMYFUNCTION("GOOGLETRANSLATE(E3518,""EN"",""JA"")"),"2-5-オリゴアデニル酸合成酵素2")</f>
        <v>2-5-オリゴアデニル酸合成酵素2</v>
      </c>
      <c r="J3518" s="1" t="str">
        <f>IFERROR(__xludf.DUMMYFUNCTION("GOOGLETRANSLATE(F3518,""EN"",""JA"")"),"生物標本中の 2-5-オリゴアデニル酸合成酵素 2 の測定。")</f>
        <v>生物標本中の 2-5-オリゴアデニル酸合成酵素 2 の測定。</v>
      </c>
      <c r="K3518" s="1" t="str">
        <f>IFERROR(__xludf.DUMMYFUNCTION("GOOGLETRANSLATE(G3518,""EN"",""JA"")"),"2-5-オリゴアデニル酸合成酵素2の測定")</f>
        <v>2-5-オリゴアデニル酸合成酵素2の測定</v>
      </c>
    </row>
    <row r="3519" ht="13.5" customHeight="1">
      <c r="A3519" s="1" t="s">
        <v>11</v>
      </c>
      <c r="B3519" s="1" t="s">
        <v>17656</v>
      </c>
      <c r="C3519" s="1" t="s">
        <v>17657</v>
      </c>
      <c r="D3519" s="1" t="s">
        <v>17658</v>
      </c>
      <c r="E3519" s="1" t="s">
        <v>17658</v>
      </c>
      <c r="F3519" s="1" t="s">
        <v>17659</v>
      </c>
      <c r="G3519" s="1" t="s">
        <v>17660</v>
      </c>
      <c r="H3519" s="1" t="str">
        <f>IFERROR(__xludf.DUMMYFUNCTION("GOOGLETRANSLATE(D3519,""EN"",""JA"")"),"2-5-オリゴアデニル酸合成酵素3")</f>
        <v>2-5-オリゴアデニル酸合成酵素3</v>
      </c>
      <c r="I3519" s="1" t="str">
        <f>IFERROR(__xludf.DUMMYFUNCTION("GOOGLETRANSLATE(E3519,""EN"",""JA"")"),"2-5-オリゴアデニル酸合成酵素3")</f>
        <v>2-5-オリゴアデニル酸合成酵素3</v>
      </c>
      <c r="J3519" s="1" t="str">
        <f>IFERROR(__xludf.DUMMYFUNCTION("GOOGLETRANSLATE(F3519,""EN"",""JA"")"),"生物標本中の 2-5-オリゴアデニル酸合成酵素 3 の測定。")</f>
        <v>生物標本中の 2-5-オリゴアデニル酸合成酵素 3 の測定。</v>
      </c>
      <c r="K3519" s="1" t="str">
        <f>IFERROR(__xludf.DUMMYFUNCTION("GOOGLETRANSLATE(G3519,""EN"",""JA"")"),"2-5-オリゴアデニル酸合成酵素3の測定")</f>
        <v>2-5-オリゴアデニル酸合成酵素3の測定</v>
      </c>
    </row>
    <row r="3520" ht="13.5" customHeight="1">
      <c r="A3520" s="1" t="s">
        <v>397</v>
      </c>
      <c r="B3520" s="1" t="s">
        <v>17661</v>
      </c>
      <c r="C3520" s="1" t="s">
        <v>17662</v>
      </c>
      <c r="D3520" s="1" t="s">
        <v>17663</v>
      </c>
      <c r="E3520" s="1" t="s">
        <v>17664</v>
      </c>
      <c r="F3520" s="1" t="s">
        <v>17665</v>
      </c>
      <c r="G3520" s="1" t="s">
        <v>17663</v>
      </c>
      <c r="H3520" s="1" t="str">
        <f>IFERROR(__xludf.DUMMYFUNCTION("GOOGLETRANSLATE(D3520,""EN"",""JA"")"),"試験の探索的目的")</f>
        <v>試験の探索的目的</v>
      </c>
      <c r="I3520" s="1" t="str">
        <f>IFERROR(__xludf.DUMMYFUNCTION("GOOGLETRANSLATE(E3520,""EN"",""JA"")"),"研究探索的目的；試験探索的目的")</f>
        <v>研究探索的目的；試験探索的目的</v>
      </c>
      <c r="J3520" s="1" t="str">
        <f>IFERROR(__xludf.DUMMYFUNCTION("GOOGLETRANSLATE(F3520,""EN"",""JA"")"),"主要な目的と副次的な目的を超えて、さらなる発見研究を可能にする、研究内の追加の科学的疑問。")</f>
        <v>主要な目的と副次的な目的を超えて、さらなる発見研究を可能にする、研究内の追加の科学的疑問。</v>
      </c>
      <c r="K3520" s="1" t="str">
        <f>IFERROR(__xludf.DUMMYFUNCTION("GOOGLETRANSLATE(G3520,""EN"",""JA"")"),"試験の探索的目的")</f>
        <v>試験の探索的目的</v>
      </c>
    </row>
    <row r="3521" ht="13.5" customHeight="1">
      <c r="A3521" s="1" t="s">
        <v>397</v>
      </c>
      <c r="B3521" s="1" t="s">
        <v>17666</v>
      </c>
      <c r="C3521" s="1" t="s">
        <v>17667</v>
      </c>
      <c r="D3521" s="1" t="s">
        <v>17668</v>
      </c>
      <c r="E3521" s="1" t="s">
        <v>17669</v>
      </c>
      <c r="F3521" s="1" t="s">
        <v>17670</v>
      </c>
      <c r="G3521" s="1" t="s">
        <v>17668</v>
      </c>
      <c r="H3521" s="1" t="str">
        <f>IFERROR(__xludf.DUMMYFUNCTION("GOOGLETRANSLATE(D3521,""EN"",""JA"")"),"試験の主要目的")</f>
        <v>試験の主要目的</v>
      </c>
      <c r="I3521" s="1" t="str">
        <f>IFERROR(__xludf.DUMMYFUNCTION("GOOGLETRANSLATE(E3521,""EN"",""JA"")"),"研究の主要目的；試験の主要目的")</f>
        <v>研究の主要目的；試験の主要目的</v>
      </c>
      <c r="J3521" s="1" t="str">
        <f>IFERROR(__xludf.DUMMYFUNCTION("GOOGLETRANSLATE(F3521,""EN"",""JA"")"),"研究が答えるために設計された主な科学的な質問。(CDISC 用語集)")</f>
        <v>研究が答えるために設計された主な科学的な質問。(CDISC 用語集)</v>
      </c>
      <c r="K3521" s="1" t="str">
        <f>IFERROR(__xludf.DUMMYFUNCTION("GOOGLETRANSLATE(G3521,""EN"",""JA"")"),"試験の主要目的")</f>
        <v>試験の主要目的</v>
      </c>
    </row>
    <row r="3522" ht="13.5" customHeight="1">
      <c r="A3522" s="1" t="s">
        <v>397</v>
      </c>
      <c r="B3522" s="1" t="s">
        <v>17671</v>
      </c>
      <c r="C3522" s="1" t="s">
        <v>17672</v>
      </c>
      <c r="D3522" s="1" t="s">
        <v>17673</v>
      </c>
      <c r="E3522" s="1" t="s">
        <v>17674</v>
      </c>
      <c r="F3522" s="1" t="s">
        <v>17675</v>
      </c>
      <c r="G3522" s="1" t="s">
        <v>17673</v>
      </c>
      <c r="H3522" s="1" t="str">
        <f>IFERROR(__xludf.DUMMYFUNCTION("GOOGLETRANSLATE(D3522,""EN"",""JA"")"),"試験の副次的目的")</f>
        <v>試験の副次的目的</v>
      </c>
      <c r="I3522" s="1" t="str">
        <f>IFERROR(__xludf.DUMMYFUNCTION("GOOGLETRANSLATE(E3522,""EN"",""JA"")"),"研究の副次的目的；試験の副次的目的")</f>
        <v>研究の副次的目的；試験の副次的目的</v>
      </c>
      <c r="J3522" s="1" t="str">
        <f>IFERROR(__xludf.DUMMYFUNCTION("GOOGLETRANSLATE(F3522,""EN"",""JA"")"),"研究が回答するために設計されている、補助的または補足的な科学的な疑問。(CDISC 用語集)")</f>
        <v>研究が回答するために設計されている、補助的または補足的な科学的な疑問。(CDISC 用語集)</v>
      </c>
      <c r="K3522" s="1" t="str">
        <f>IFERROR(__xludf.DUMMYFUNCTION("GOOGLETRANSLATE(G3522,""EN"",""JA"")"),"試験の副次的目的")</f>
        <v>試験の副次的目的</v>
      </c>
    </row>
    <row r="3523" ht="13.5" customHeight="1">
      <c r="A3523" s="1" t="s">
        <v>90</v>
      </c>
      <c r="B3523" s="1" t="s">
        <v>17676</v>
      </c>
      <c r="C3523" s="1" t="s">
        <v>17677</v>
      </c>
      <c r="D3523" s="1" t="s">
        <v>17678</v>
      </c>
      <c r="E3523" s="1" t="s">
        <v>17679</v>
      </c>
      <c r="F3523" s="1" t="s">
        <v>17680</v>
      </c>
      <c r="G3523" s="1" t="s">
        <v>17681</v>
      </c>
      <c r="H3523" s="1" t="str">
        <f>IFERROR(__xludf.DUMMYFUNCTION("GOOGLETRANSLATE(D3523,""EN"",""JA"")"),"意図した場所でのObs Medデバイスの種類")</f>
        <v>意図した場所でのObs Medデバイスの種類</v>
      </c>
      <c r="I3523" s="1" t="str">
        <f>IFERROR(__xludf.DUMMYFUNCTION("GOOGLETRANSLATE(E3523,""EN"",""JA"")"),"意図した場所での医療機器タイプの観察; 意図した場所で医療機器が観察されました")</f>
        <v>意図した場所での医療機器タイプの観察; 意図した場所で医療機器が観察されました</v>
      </c>
      <c r="J3523" s="1" t="str">
        <f>IFERROR(__xludf.DUMMYFUNCTION("GOOGLETRANSLATE(F3523,""EN"",""JA"")"),"対象に存在し、意図された場所にある医療機器の種類の説明。")</f>
        <v>対象に存在し、意図された場所にある医療機器の種類の説明。</v>
      </c>
      <c r="K3523" s="1" t="str">
        <f>IFERROR(__xludf.DUMMYFUNCTION("GOOGLETRANSLATE(G3523,""EN"",""JA"")"),"意図した場所で観察された医療機器の種類")</f>
        <v>意図した場所で観察された医療機器の種類</v>
      </c>
    </row>
    <row r="3524" ht="13.5" customHeight="1">
      <c r="A3524" s="1" t="s">
        <v>90</v>
      </c>
      <c r="B3524" s="1" t="s">
        <v>17682</v>
      </c>
      <c r="C3524" s="1" t="s">
        <v>17683</v>
      </c>
      <c r="D3524" s="1" t="s">
        <v>17684</v>
      </c>
      <c r="E3524" s="1" t="s">
        <v>17684</v>
      </c>
      <c r="F3524" s="1" t="s">
        <v>17685</v>
      </c>
      <c r="G3524" s="1" t="s">
        <v>17686</v>
      </c>
      <c r="H3524" s="1" t="str">
        <f>IFERROR(__xludf.DUMMYFUNCTION("GOOGLETRANSLATE(D3524,""EN"",""JA"")"),"観察医療機器の種類が意図した場所にありません")</f>
        <v>観察医療機器の種類が意図した場所にありません</v>
      </c>
      <c r="I3524" s="1" t="str">
        <f>IFERROR(__xludf.DUMMYFUNCTION("GOOGLETRANSLATE(E3524,""EN"",""JA"")"),"観察医療機器の種類が意図した場所にありません")</f>
        <v>観察医療機器の種類が意図した場所にありません</v>
      </c>
      <c r="J3524" s="1" t="str">
        <f>IFERROR(__xludf.DUMMYFUNCTION("GOOGLETRANSLATE(F3524,""EN"",""JA"")"),"対象内に見つかったが、意図された位置に存在しない医療機器の種類の説明。")</f>
        <v>対象内に見つかったが、意図された位置に存在しない医療機器の種類の説明。</v>
      </c>
      <c r="K3524" s="1" t="str">
        <f>IFERROR(__xludf.DUMMYFUNCTION("GOOGLETRANSLATE(G3524,""EN"",""JA"")"),"観察された医療機器の種類が意図した場所に存在しない")</f>
        <v>観察された医療機器の種類が意図した場所に存在しない</v>
      </c>
    </row>
    <row r="3525" ht="13.5" customHeight="1">
      <c r="A3525" s="1" t="s">
        <v>90</v>
      </c>
      <c r="B3525" s="1" t="s">
        <v>17687</v>
      </c>
      <c r="C3525" s="1" t="s">
        <v>17688</v>
      </c>
      <c r="D3525" s="1" t="s">
        <v>17689</v>
      </c>
      <c r="E3525" s="1" t="s">
        <v>17689</v>
      </c>
      <c r="F3525" s="1" t="s">
        <v>17690</v>
      </c>
      <c r="G3525" s="1" t="s">
        <v>17689</v>
      </c>
      <c r="H3525" s="1" t="str">
        <f>IFERROR(__xludf.DUMMYFUNCTION("GOOGLETRANSLATE(D3525,""EN"",""JA"")"),"観察された非医療的異物の種類")</f>
        <v>観察された非医療的異物の種類</v>
      </c>
      <c r="I3525" s="1" t="str">
        <f>IFERROR(__xludf.DUMMYFUNCTION("GOOGLETRANSLATE(E3525,""EN"",""JA"")"),"観察された非医療的異物の種類")</f>
        <v>観察された非医療的異物の種類</v>
      </c>
      <c r="J3525" s="1" t="str">
        <f>IFERROR(__xludf.DUMMYFUNCTION("GOOGLETRANSLATE(F3525,""EN"",""JA"")"),"被験者に発見された非医療用異物の種類の説明。")</f>
        <v>被験者に発見された非医療用異物の種類の説明。</v>
      </c>
      <c r="K3525" s="1" t="str">
        <f>IFERROR(__xludf.DUMMYFUNCTION("GOOGLETRANSLATE(G3525,""EN"",""JA"")"),"観察された非医療的異物の種類")</f>
        <v>観察された非医療的異物の種類</v>
      </c>
    </row>
    <row r="3526" ht="13.5" customHeight="1">
      <c r="A3526" s="1" t="s">
        <v>397</v>
      </c>
      <c r="B3526" s="1" t="s">
        <v>17691</v>
      </c>
      <c r="C3526" s="1" t="s">
        <v>17692</v>
      </c>
      <c r="D3526" s="1" t="s">
        <v>17693</v>
      </c>
      <c r="E3526" s="1" t="s">
        <v>17693</v>
      </c>
      <c r="F3526" s="1" t="s">
        <v>17694</v>
      </c>
      <c r="G3526" s="1" t="s">
        <v>17693</v>
      </c>
      <c r="H3526" s="1" t="str">
        <f>IFERROR(__xludf.DUMMYFUNCTION("GOOGLETRANSLATE(D3526,""EN"",""JA"")"),"観察モデル")</f>
        <v>観察モデル</v>
      </c>
      <c r="I3526" s="1" t="str">
        <f>IFERROR(__xludf.DUMMYFUNCTION("GOOGLETRANSLATE(E3526,""EN"",""JA"")"),"観察モデル")</f>
        <v>観察モデル</v>
      </c>
      <c r="J3526" s="1" t="str">
        <f>IFERROR(__xludf.DUMMYFUNCTION("GOOGLETRANSLATE(F3526,""EN"",""JA"")"),"試験設計は、事前に定義された個人グループと割り当てられていない個人グループの生物医学的および/または健康上の結果を比較するために開発されました。")</f>
        <v>試験設計は、事前に定義された個人グループと割り当てられていない個人グループの生物医学的および/または健康上の結果を比較するために開発されました。</v>
      </c>
      <c r="K3526" s="1" t="str">
        <f>IFERROR(__xludf.DUMMYFUNCTION("GOOGLETRANSLATE(G3526,""EN"",""JA"")"),"観察モデル")</f>
        <v>観察モデル</v>
      </c>
    </row>
    <row r="3527" ht="13.5" customHeight="1">
      <c r="A3527" s="1" t="s">
        <v>397</v>
      </c>
      <c r="B3527" s="1" t="s">
        <v>17695</v>
      </c>
      <c r="C3527" s="1" t="s">
        <v>17696</v>
      </c>
      <c r="D3527" s="1" t="s">
        <v>17697</v>
      </c>
      <c r="E3527" s="1" t="s">
        <v>17697</v>
      </c>
      <c r="F3527" s="1" t="s">
        <v>17698</v>
      </c>
      <c r="G3527" s="1" t="s">
        <v>17699</v>
      </c>
      <c r="H3527" s="1" t="str">
        <f>IFERROR(__xludf.DUMMYFUNCTION("GOOGLETRANSLATE(D3527,""EN"",""JA"")"),"観察時間の視点")</f>
        <v>観察時間の視点</v>
      </c>
      <c r="I3527" s="1" t="str">
        <f>IFERROR(__xludf.DUMMYFUNCTION("GOOGLETRANSLATE(E3527,""EN"",""JA"")"),"観察時間の視点")</f>
        <v>観察時間の視点</v>
      </c>
      <c r="J3527" s="1" t="str">
        <f>IFERROR(__xludf.DUMMYFUNCTION("GOOGLETRANSLATE(F3527,""EN"",""JA"")"),"観察期間と被験者登録時期の間の時間的関係。(ClinicalTrials.gov)")</f>
        <v>観察期間と被験者登録時期の間の時間的関係。(ClinicalTrials.gov)</v>
      </c>
      <c r="K3527" s="1" t="str">
        <f>IFERROR(__xludf.DUMMYFUNCTION("GOOGLETRANSLATE(G3527,""EN"",""JA"")"),"研究の観察時間の観点")</f>
        <v>研究の観察時間の観点</v>
      </c>
    </row>
    <row r="3528" ht="13.5" customHeight="1">
      <c r="A3528" s="1" t="s">
        <v>397</v>
      </c>
      <c r="B3528" s="1" t="s">
        <v>17700</v>
      </c>
      <c r="C3528" s="1" t="s">
        <v>17701</v>
      </c>
      <c r="D3528" s="1" t="s">
        <v>17702</v>
      </c>
      <c r="E3528" s="1" t="s">
        <v>17702</v>
      </c>
      <c r="F3528" s="1" t="s">
        <v>17703</v>
      </c>
      <c r="G3528" s="1" t="s">
        <v>17704</v>
      </c>
      <c r="H3528" s="1" t="str">
        <f>IFERROR(__xludf.DUMMYFUNCTION("GOOGLETRANSLATE(D3528,""EN"",""JA"")"),"Obs研究対象集団の説明")</f>
        <v>Obs研究対象集団の説明</v>
      </c>
      <c r="I3528" s="1" t="str">
        <f>IFERROR(__xludf.DUMMYFUNCTION("GOOGLETRANSLATE(E3528,""EN"",""JA"")"),"Obs研究対象集団の説明")</f>
        <v>Obs研究対象集団の説明</v>
      </c>
      <c r="J3528" s="1" t="str">
        <f>IFERROR(__xludf.DUMMYFUNCTION("GOOGLETRANSLATE(F3528,""EN"",""JA"")"),"観察研究においてグループまたはコホートが選択される対象集団の説明。")</f>
        <v>観察研究においてグループまたはコホートが選択される対象集団の説明。</v>
      </c>
      <c r="K3528" s="1" t="str">
        <f>IFERROR(__xludf.DUMMYFUNCTION("GOOGLETRANSLATE(G3528,""EN"",""JA"")"),"観察研究対象集団の説明")</f>
        <v>観察研究対象集団の説明</v>
      </c>
    </row>
    <row r="3529" ht="13.5" customHeight="1">
      <c r="A3529" s="1" t="s">
        <v>397</v>
      </c>
      <c r="B3529" s="1" t="s">
        <v>17705</v>
      </c>
      <c r="C3529" s="1" t="s">
        <v>17706</v>
      </c>
      <c r="D3529" s="1" t="s">
        <v>17707</v>
      </c>
      <c r="E3529" s="1" t="s">
        <v>17707</v>
      </c>
      <c r="F3529" s="1" t="s">
        <v>17708</v>
      </c>
      <c r="G3529" s="1" t="s">
        <v>17707</v>
      </c>
      <c r="H3529" s="1" t="str">
        <f>IFERROR(__xludf.DUMMYFUNCTION("GOOGLETRANSLATE(D3529,""EN"",""JA"")"),"観察研究のサンプリング方法")</f>
        <v>観察研究のサンプリング方法</v>
      </c>
      <c r="I3529" s="1" t="str">
        <f>IFERROR(__xludf.DUMMYFUNCTION("GOOGLETRANSLATE(E3529,""EN"",""JA"")"),"観察研究のサンプリング方法")</f>
        <v>観察研究のサンプリング方法</v>
      </c>
      <c r="J3529" s="1" t="str">
        <f>IFERROR(__xludf.DUMMYFUNCTION("GOOGLETRANSLATE(F3529,""EN"",""JA"")"),"観察研究において研究参加者をグループまたはコホートに割り当てるために使用されるサンプリング方法。")</f>
        <v>観察研究において研究参加者をグループまたはコホートに割り当てるために使用されるサンプリング方法。</v>
      </c>
      <c r="K3529" s="1" t="str">
        <f>IFERROR(__xludf.DUMMYFUNCTION("GOOGLETRANSLATE(G3529,""EN"",""JA"")"),"観察研究のサンプリング方法")</f>
        <v>観察研究のサンプリング方法</v>
      </c>
    </row>
    <row r="3530" ht="13.5" customHeight="1">
      <c r="A3530" s="1" t="s">
        <v>397</v>
      </c>
      <c r="B3530" s="1" t="s">
        <v>17709</v>
      </c>
      <c r="C3530" s="1" t="s">
        <v>17710</v>
      </c>
      <c r="D3530" s="1" t="s">
        <v>17711</v>
      </c>
      <c r="E3530" s="1" t="s">
        <v>17711</v>
      </c>
      <c r="F3530" s="1" t="s">
        <v>17712</v>
      </c>
      <c r="G3530" s="1" t="s">
        <v>17713</v>
      </c>
      <c r="H3530" s="1" t="str">
        <f>IFERROR(__xludf.DUMMYFUNCTION("GOOGLETRANSLATE(D3530,""EN"",""JA"")"),"観察研究のサンプリング方法の説明")</f>
        <v>観察研究のサンプリング方法の説明</v>
      </c>
      <c r="I3530" s="1" t="str">
        <f>IFERROR(__xludf.DUMMYFUNCTION("GOOGLETRANSLATE(E3530,""EN"",""JA"")"),"観察研究のサンプリング方法の説明")</f>
        <v>観察研究のサンプリング方法の説明</v>
      </c>
      <c r="J3530" s="1" t="str">
        <f>IFERROR(__xludf.DUMMYFUNCTION("GOOGLETRANSLATE(F3530,""EN"",""JA"")"),"観察研究において研究参加者をグループまたはコホートに割り当てるために使用されるサンプリング方法のテキストによる説明。")</f>
        <v>観察研究において研究参加者をグループまたはコホートに割り当てるために使用されるサンプリング方法のテキストによる説明。</v>
      </c>
      <c r="K3530" s="1" t="str">
        <f>IFERROR(__xludf.DUMMYFUNCTION("GOOGLETRANSLATE(G3530,""EN"",""JA"")"),"観察研究のサンプリング方法の説明")</f>
        <v>観察研究のサンプリング方法の説明</v>
      </c>
    </row>
    <row r="3531" ht="13.5" customHeight="1">
      <c r="A3531" s="1" t="s">
        <v>67</v>
      </c>
      <c r="B3531" s="1" t="s">
        <v>17714</v>
      </c>
      <c r="C3531" s="1" t="s">
        <v>17715</v>
      </c>
      <c r="D3531" s="1" t="s">
        <v>17716</v>
      </c>
      <c r="E3531" s="1" t="s">
        <v>17717</v>
      </c>
      <c r="F3531" s="1" t="s">
        <v>17718</v>
      </c>
      <c r="G3531" s="1" t="s">
        <v>17719</v>
      </c>
      <c r="H3531" s="1" t="str">
        <f>IFERROR(__xludf.DUMMYFUNCTION("GOOGLETRANSLATE(D3531,""EN"",""JA"")"),"HCoV-OC43核酸")</f>
        <v>HCoV-OC43核酸</v>
      </c>
      <c r="I3531" s="1" t="str">
        <f>IFERROR(__xludf.DUMMYFUNCTION("GOOGLETRANSLATE(E3531,""EN"",""JA"")"),"HCoV-OC43核酸; ヒトコロナウイルスOC43核酸")</f>
        <v>HCoV-OC43核酸; ヒトコロナウイルスOC43核酸</v>
      </c>
      <c r="J3531" s="1" t="str">
        <f>IFERROR(__xludf.DUMMYFUNCTION("GOOGLETRANSLATE(F3531,""EN"",""JA"")"),"生物標本中のヒトコロナウイルス OC43 核酸の測定。")</f>
        <v>生物標本中のヒトコロナウイルス OC43 核酸の測定。</v>
      </c>
      <c r="K3531" s="1" t="str">
        <f>IFERROR(__xludf.DUMMYFUNCTION("GOOGLETRANSLATE(G3531,""EN"",""JA"")"),"ヒトコロナウイルスOC43の核酸測定")</f>
        <v>ヒトコロナウイルスOC43の核酸測定</v>
      </c>
    </row>
    <row r="3532" ht="13.5" customHeight="1">
      <c r="A3532" s="1" t="s">
        <v>67</v>
      </c>
      <c r="B3532" s="1" t="s">
        <v>17720</v>
      </c>
      <c r="C3532" s="1" t="s">
        <v>17721</v>
      </c>
      <c r="D3532" s="1" t="s">
        <v>17722</v>
      </c>
      <c r="E3532" s="1" t="s">
        <v>17723</v>
      </c>
      <c r="F3532" s="1" t="s">
        <v>17724</v>
      </c>
      <c r="G3532" s="1" t="s">
        <v>17725</v>
      </c>
      <c r="H3532" s="1" t="str">
        <f>IFERROR(__xludf.DUMMYFUNCTION("GOOGLETRANSLATE(D3532,""EN"",""JA"")"),"HCoV-OC43 RNA")</f>
        <v>HCoV-OC43 RNA</v>
      </c>
      <c r="I3532" s="1" t="str">
        <f>IFERROR(__xludf.DUMMYFUNCTION("GOOGLETRANSLATE(E3532,""EN"",""JA"")"),"HCoV-OC43 RNA; ヒトコロナウイルスOC43 RNA")</f>
        <v>HCoV-OC43 RNA; ヒトコロナウイルスOC43 RNA</v>
      </c>
      <c r="J3532" s="1" t="str">
        <f>IFERROR(__xludf.DUMMYFUNCTION("GOOGLETRANSLATE(F3532,""EN"",""JA"")"),"生物標本中のヒトコロナウイルス OC43 RNA の測定。")</f>
        <v>生物標本中のヒトコロナウイルス OC43 RNA の測定。</v>
      </c>
      <c r="K3532" s="1" t="str">
        <f>IFERROR(__xludf.DUMMYFUNCTION("GOOGLETRANSLATE(G3532,""EN"",""JA"")"),"HCoV-OC43 RNA測定")</f>
        <v>HCoV-OC43 RNA測定</v>
      </c>
    </row>
    <row r="3533" ht="13.5" customHeight="1">
      <c r="A3533" s="1" t="s">
        <v>11</v>
      </c>
      <c r="B3533" s="1" t="s">
        <v>17726</v>
      </c>
      <c r="C3533" s="1" t="s">
        <v>17727</v>
      </c>
      <c r="D3533" s="1" t="s">
        <v>17728</v>
      </c>
      <c r="E3533" s="1" t="s">
        <v>17728</v>
      </c>
      <c r="F3533" s="1" t="s">
        <v>17729</v>
      </c>
      <c r="G3533" s="1" t="s">
        <v>17730</v>
      </c>
      <c r="H3533" s="1" t="str">
        <f>IFERROR(__xludf.DUMMYFUNCTION("GOOGLETRANSLATE(D3533,""EN"",""JA"")"),"潜血")</f>
        <v>潜血</v>
      </c>
      <c r="I3533" s="1" t="str">
        <f>IFERROR(__xludf.DUMMYFUNCTION("GOOGLETRANSLATE(E3533,""EN"",""JA"")"),"潜血")</f>
        <v>潜血</v>
      </c>
      <c r="J3533" s="1" t="str">
        <f>IFERROR(__xludf.DUMMYFUNCTION("GOOGLETRANSLATE(F3533,""EN"",""JA"")"),"肉眼検査では検出できない尿や便サンプルなどの体内生成物中の血液の測定値。")</f>
        <v>肉眼検査では検出できない尿や便サンプルなどの体内生成物中の血液の測定値。</v>
      </c>
      <c r="K3533" s="1" t="str">
        <f>IFERROR(__xludf.DUMMYFUNCTION("GOOGLETRANSLATE(G3533,""EN"",""JA"")"),"潜血測定")</f>
        <v>潜血測定</v>
      </c>
    </row>
    <row r="3534" ht="13.5" customHeight="1">
      <c r="A3534" s="1" t="s">
        <v>601</v>
      </c>
      <c r="B3534" s="1" t="s">
        <v>17731</v>
      </c>
      <c r="C3534" s="1" t="s">
        <v>17732</v>
      </c>
      <c r="D3534" s="1" t="s">
        <v>17733</v>
      </c>
      <c r="E3534" s="1" t="s">
        <v>17734</v>
      </c>
      <c r="F3534" s="1" t="s">
        <v>17735</v>
      </c>
      <c r="G3534" s="1" t="s">
        <v>17733</v>
      </c>
      <c r="H3534" s="1" t="str">
        <f>IFERROR(__xludf.DUMMYFUNCTION("GOOGLETRANSLATE(D3534,""EN"",""JA"")"),"職業産業")</f>
        <v>職業産業</v>
      </c>
      <c r="I3534" s="1" t="str">
        <f>IFERROR(__xludf.DUMMYFUNCTION("GOOGLETRANSLATE(E3534,""EN"",""JA"")"),"業種; 職業の種類; 職業産業; 就業産業")</f>
        <v>業種; 職業の種類; 職業産業; 就業産業</v>
      </c>
      <c r="J3534" s="1" t="str">
        <f>IFERROR(__xludf.DUMMYFUNCTION("GOOGLETRANSLATE(F3534,""EN"",""JA"")"),"仕事に対して報酬を支払ったり、無給の労働者やボランティアに仕事を割り当てたりするビジネスの種類。(USCDI)")</f>
        <v>仕事に対して報酬を支払ったり、無給の労働者やボランティアに仕事を割り当てたりするビジネスの種類。(USCDI)</v>
      </c>
      <c r="K3534" s="1" t="str">
        <f>IFERROR(__xludf.DUMMYFUNCTION("GOOGLETRANSLATE(G3534,""EN"",""JA"")"),"職業産業")</f>
        <v>職業産業</v>
      </c>
    </row>
    <row r="3535" ht="13.5" customHeight="1">
      <c r="A3535" s="1" t="s">
        <v>11</v>
      </c>
      <c r="B3535" s="1" t="s">
        <v>17736</v>
      </c>
      <c r="C3535" s="1" t="s">
        <v>17737</v>
      </c>
      <c r="D3535" s="1" t="s">
        <v>17738</v>
      </c>
      <c r="E3535" s="1" t="s">
        <v>17738</v>
      </c>
      <c r="F3535" s="1" t="s">
        <v>17739</v>
      </c>
      <c r="G3535" s="1" t="s">
        <v>17740</v>
      </c>
      <c r="H3535" s="1" t="str">
        <f>IFERROR(__xludf.DUMMYFUNCTION("GOOGLETRANSLATE(D3535,""EN"",""JA"")"),"O-デメチラーゼ")</f>
        <v>O-デメチラーゼ</v>
      </c>
      <c r="I3535" s="1" t="str">
        <f>IFERROR(__xludf.DUMMYFUNCTION("GOOGLETRANSLATE(E3535,""EN"",""JA"")"),"O-デメチラーゼ")</f>
        <v>O-デメチラーゼ</v>
      </c>
      <c r="J3535" s="1" t="str">
        <f>IFERROR(__xludf.DUMMYFUNCTION("GOOGLETRANSLATE(F3535,""EN"",""JA"")"),"生物標本中の O-デメチラーゼの測定。")</f>
        <v>生物標本中の O-デメチラーゼの測定。</v>
      </c>
      <c r="K3535" s="1" t="str">
        <f>IFERROR(__xludf.DUMMYFUNCTION("GOOGLETRANSLATE(G3535,""EN"",""JA"")"),"O-脱メチラーゼ測定")</f>
        <v>O-脱メチラーゼ測定</v>
      </c>
    </row>
    <row r="3536" ht="13.5" customHeight="1">
      <c r="A3536" s="1" t="s">
        <v>11</v>
      </c>
      <c r="B3536" s="1" t="s">
        <v>17741</v>
      </c>
      <c r="C3536" s="1" t="s">
        <v>17742</v>
      </c>
      <c r="D3536" s="1" t="s">
        <v>17743</v>
      </c>
      <c r="E3536" s="1" t="s">
        <v>17744</v>
      </c>
      <c r="F3536" s="1" t="s">
        <v>17745</v>
      </c>
      <c r="G3536" s="1" t="s">
        <v>17746</v>
      </c>
      <c r="H3536" s="1" t="str">
        <f>IFERROR(__xludf.DUMMYFUNCTION("GOOGLETRANSLATE(D3536,""EN"",""JA"")"),"O-デスメチルトラマドール")</f>
        <v>O-デスメチルトラマドール</v>
      </c>
      <c r="I3536" s="1" t="str">
        <f>IFERROR(__xludf.DUMMYFUNCTION("GOOGLETRANSLATE(E3536,""EN"",""JA"")"),"デスメトラマドール; O-デスメチルトラマドール; O-DSMT")</f>
        <v>デスメトラマドール; O-デスメチルトラマドール; O-DSMT</v>
      </c>
      <c r="J3536" s="1" t="str">
        <f>IFERROR(__xludf.DUMMYFUNCTION("GOOGLETRANSLATE(F3536,""EN"",""JA"")"),"生物標本中の O-デスメチルトラマドールの測定。")</f>
        <v>生物標本中の O-デスメチルトラマドールの測定。</v>
      </c>
      <c r="K3536" s="1" t="str">
        <f>IFERROR(__xludf.DUMMYFUNCTION("GOOGLETRANSLATE(G3536,""EN"",""JA"")"),"O-デスメチルトラマドール測定")</f>
        <v>O-デスメチルトラマドール測定</v>
      </c>
    </row>
    <row r="3537" ht="13.5" customHeight="1">
      <c r="A3537" s="1" t="s">
        <v>1997</v>
      </c>
      <c r="B3537" s="1" t="s">
        <v>17747</v>
      </c>
      <c r="C3537" s="1" t="s">
        <v>17748</v>
      </c>
      <c r="D3537" s="1" t="s">
        <v>17749</v>
      </c>
      <c r="E3537" s="1" t="s">
        <v>17749</v>
      </c>
      <c r="F3537" s="1" t="s">
        <v>17750</v>
      </c>
      <c r="G3537" s="1" t="s">
        <v>17751</v>
      </c>
      <c r="H3537" s="1" t="str">
        <f>IFERROR(__xludf.DUMMYFUNCTION("GOOGLETRANSLATE(D3537,""EN"",""JA"")"),"眼科検査")</f>
        <v>眼科検査</v>
      </c>
      <c r="I3537" s="1" t="str">
        <f>IFERROR(__xludf.DUMMYFUNCTION("GOOGLETRANSLATE(E3537,""EN"",""JA"")"),"眼科検査")</f>
        <v>眼科検査</v>
      </c>
      <c r="J3537" s="1" t="str">
        <f>IFERROR(__xludf.DUMMYFUNCTION("GOOGLETRANSLATE(F3537,""EN"",""JA"")"),"目の観察、評価、または検査。")</f>
        <v>目の観察、評価、または検査。</v>
      </c>
      <c r="K3537" s="1" t="str">
        <f>IFERROR(__xludf.DUMMYFUNCTION("GOOGLETRANSLATE(G3537,""EN"",""JA"")"),"眼科検査")</f>
        <v>眼科検査</v>
      </c>
    </row>
    <row r="3538" ht="13.5" customHeight="1">
      <c r="A3538" s="1" t="s">
        <v>11</v>
      </c>
      <c r="B3538" s="1" t="s">
        <v>17752</v>
      </c>
      <c r="C3538" s="1" t="s">
        <v>17753</v>
      </c>
      <c r="D3538" s="1" t="s">
        <v>17754</v>
      </c>
      <c r="E3538" s="1" t="s">
        <v>17755</v>
      </c>
      <c r="F3538" s="1" t="s">
        <v>17756</v>
      </c>
      <c r="G3538" s="1" t="s">
        <v>17757</v>
      </c>
      <c r="H3538" s="1" t="str">
        <f>IFERROR(__xludf.DUMMYFUNCTION("GOOGLETRANSLATE(D3538,""EN"",""JA"")"),"8-ヒドロキシ-2'-デオキシグアノシン")</f>
        <v>8-ヒドロキシ-2'-デオキシグアノシン</v>
      </c>
      <c r="I3538" s="1" t="str">
        <f>IFERROR(__xludf.DUMMYFUNCTION("GOOGLETRANSLATE(E3538,""EN"",""JA"")"),"8-ヒドロキシ-2'-デオキシグアノシン; 8-オキソ-dG")</f>
        <v>8-ヒドロキシ-2'-デオキシグアノシン; 8-オキソ-dG</v>
      </c>
      <c r="J3538" s="1" t="str">
        <f>IFERROR(__xludf.DUMMYFUNCTION("GOOGLETRANSLATE(F3538,""EN"",""JA"")"),"生物標本中の 8-ヒドロキシ-2'-デオキシグアノシンの測定。")</f>
        <v>生物標本中の 8-ヒドロキシ-2'-デオキシグアノシンの測定。</v>
      </c>
      <c r="K3538" s="1" t="str">
        <f>IFERROR(__xludf.DUMMYFUNCTION("GOOGLETRANSLATE(G3538,""EN"",""JA"")"),"8-ヒドロキシ-2'-デオキシグアノシン測定")</f>
        <v>8-ヒドロキシ-2'-デオキシグアノシン測定</v>
      </c>
    </row>
    <row r="3539" ht="13.5" customHeight="1">
      <c r="A3539" s="1" t="s">
        <v>11</v>
      </c>
      <c r="B3539" s="1" t="s">
        <v>17758</v>
      </c>
      <c r="C3539" s="1" t="s">
        <v>17759</v>
      </c>
      <c r="D3539" s="1" t="s">
        <v>17760</v>
      </c>
      <c r="E3539" s="1" t="s">
        <v>17761</v>
      </c>
      <c r="F3539" s="1" t="s">
        <v>17762</v>
      </c>
      <c r="G3539" s="1" t="s">
        <v>17763</v>
      </c>
      <c r="H3539" s="1" t="str">
        <f>IFERROR(__xludf.DUMMYFUNCTION("GOOGLETRANSLATE(D3539,""EN"",""JA"")"),"9-ヒドロキシリスペリドン")</f>
        <v>9-ヒドロキシリスペリドン</v>
      </c>
      <c r="I3539" s="1" t="str">
        <f>IFERROR(__xludf.DUMMYFUNCTION("GOOGLETRANSLATE(E3539,""EN"",""JA"")"),"9-ヒドロキシリスペリドン;パリペリドン")</f>
        <v>9-ヒドロキシリスペリドン;パリペリドン</v>
      </c>
      <c r="J3539" s="1" t="str">
        <f>IFERROR(__xludf.DUMMYFUNCTION("GOOGLETRANSLATE(F3539,""EN"",""JA"")"),"生物標本中の 9-ヒドロキシリスペリドンの測定。")</f>
        <v>生物標本中の 9-ヒドロキシリスペリドンの測定。</v>
      </c>
      <c r="K3539" s="1" t="str">
        <f>IFERROR(__xludf.DUMMYFUNCTION("GOOGLETRANSLATE(G3539,""EN"",""JA"")"),"9-ヒドロキシリスペリドン測定")</f>
        <v>9-ヒドロキシリスペリドン測定</v>
      </c>
    </row>
    <row r="3540" ht="13.5" customHeight="1">
      <c r="A3540" s="1" t="s">
        <v>11</v>
      </c>
      <c r="B3540" s="1" t="s">
        <v>17764</v>
      </c>
      <c r="C3540" s="1" t="s">
        <v>17765</v>
      </c>
      <c r="D3540" s="1" t="s">
        <v>17766</v>
      </c>
      <c r="E3540" s="1" t="s">
        <v>17767</v>
      </c>
      <c r="F3540" s="1" t="s">
        <v>17768</v>
      </c>
      <c r="G3540" s="1" t="s">
        <v>17769</v>
      </c>
      <c r="H3540" s="1" t="str">
        <f>IFERROR(__xludf.DUMMYFUNCTION("GOOGLETRANSLATE(D3540,""EN"",""JA"")"),"8-ヒドロキシデオキシグアノシン")</f>
        <v>8-ヒドロキシデオキシグアノシン</v>
      </c>
      <c r="I3540" s="1" t="str">
        <f>IFERROR(__xludf.DUMMYFUNCTION("GOOGLETRANSLATE(E3540,""EN"",""JA"")"),"8-ヒドロキシデオキシグアノシン; 8-OHdG")</f>
        <v>8-ヒドロキシデオキシグアノシン; 8-OHdG</v>
      </c>
      <c r="J3540" s="1" t="str">
        <f>IFERROR(__xludf.DUMMYFUNCTION("GOOGLETRANSLATE(F3540,""EN"",""JA"")"),"生物標本中の 8-ヒドロキシデオキシグアノシンの測定。")</f>
        <v>生物標本中の 8-ヒドロキシデオキシグアノシンの測定。</v>
      </c>
      <c r="K3540" s="1" t="str">
        <f>IFERROR(__xludf.DUMMYFUNCTION("GOOGLETRANSLATE(G3540,""EN"",""JA"")"),"8-ヒドロキシデオキシグアノシン測定")</f>
        <v>8-ヒドロキシデオキシグアノシン測定</v>
      </c>
    </row>
    <row r="3541" ht="13.5" customHeight="1">
      <c r="A3541" s="1" t="s">
        <v>176</v>
      </c>
      <c r="B3541" s="1" t="s">
        <v>17770</v>
      </c>
      <c r="C3541" s="1" t="s">
        <v>17771</v>
      </c>
      <c r="D3541" s="1" t="s">
        <v>17772</v>
      </c>
      <c r="E3541" s="1" t="s">
        <v>17772</v>
      </c>
      <c r="F3541" s="1" t="s">
        <v>17773</v>
      </c>
      <c r="G3541" s="1" t="s">
        <v>17772</v>
      </c>
      <c r="H3541" s="1" t="str">
        <f>IFERROR(__xludf.DUMMYFUNCTION("GOOGLETRANSLATE(D3541,""EN"",""JA"")"),"全体的な聴力評価")</f>
        <v>全体的な聴力評価</v>
      </c>
      <c r="I3541" s="1" t="str">
        <f>IFERROR(__xludf.DUMMYFUNCTION("GOOGLETRANSLATE(E3541,""EN"",""JA"")"),"全体的な聴力評価")</f>
        <v>全体的な聴力評価</v>
      </c>
      <c r="J3541" s="1" t="str">
        <f>IFERROR(__xludf.DUMMYFUNCTION("GOOGLETRANSLATE(F3541,""EN"",""JA"")"),"個人の全体的な聴力を評価する評価。")</f>
        <v>個人の全体的な聴力を評価する評価。</v>
      </c>
      <c r="K3541" s="1" t="str">
        <f>IFERROR(__xludf.DUMMYFUNCTION("GOOGLETRANSLATE(G3541,""EN"",""JA"")"),"全体的な聴力評価")</f>
        <v>全体的な聴力評価</v>
      </c>
    </row>
    <row r="3542" ht="13.5" customHeight="1">
      <c r="A3542" s="1" t="s">
        <v>11</v>
      </c>
      <c r="B3542" s="1" t="s">
        <v>17774</v>
      </c>
      <c r="C3542" s="1" t="s">
        <v>17775</v>
      </c>
      <c r="D3542" s="1" t="s">
        <v>17776</v>
      </c>
      <c r="E3542" s="1" t="s">
        <v>17777</v>
      </c>
      <c r="F3542" s="1" t="s">
        <v>17778</v>
      </c>
      <c r="G3542" s="1" t="s">
        <v>17779</v>
      </c>
      <c r="H3542" s="1" t="str">
        <f>IFERROR(__xludf.DUMMYFUNCTION("GOOGLETRANSLATE(D3542,""EN"",""JA"")"),"6 β-ヒドロキシコルチゾール")</f>
        <v>6 β-ヒドロキシコルチゾール</v>
      </c>
      <c r="I3542" s="1" t="str">
        <f>IFERROR(__xludf.DUMMYFUNCTION("GOOGLETRANSLATE(E3542,""EN"",""JA"")"),"6β-ヒドロコルチゾール; 6β-ヒドロキシコルチゾール; 6β-OHF")</f>
        <v>6β-ヒドロコルチゾール; 6β-ヒドロキシコルチゾール; 6β-OHF</v>
      </c>
      <c r="J3542" s="1" t="str">
        <f>IFERROR(__xludf.DUMMYFUNCTION("GOOGLETRANSLATE(F3542,""EN"",""JA"")"),"生物標本中の 6 β-ヒドロキシコルチゾールの測定。")</f>
        <v>生物標本中の 6 β-ヒドロキシコルチゾールの測定。</v>
      </c>
      <c r="K3542" s="1" t="str">
        <f>IFERROR(__xludf.DUMMYFUNCTION("GOOGLETRANSLATE(G3542,""EN"",""JA"")"),"6 β-ヒドロキシコルチゾール測定")</f>
        <v>6 β-ヒドロキシコルチゾール測定</v>
      </c>
    </row>
    <row r="3543" ht="13.5" customHeight="1">
      <c r="A3543" s="1" t="s">
        <v>580</v>
      </c>
      <c r="B3543" s="1" t="s">
        <v>17780</v>
      </c>
      <c r="C3543" s="1" t="s">
        <v>17781</v>
      </c>
      <c r="D3543" s="1" t="s">
        <v>17782</v>
      </c>
      <c r="E3543" s="1" t="s">
        <v>17782</v>
      </c>
      <c r="F3543" s="1" t="s">
        <v>17783</v>
      </c>
      <c r="G3543" s="1" t="s">
        <v>17782</v>
      </c>
      <c r="H3543" s="1" t="str">
        <f>IFERROR(__xludf.DUMMYFUNCTION("GOOGLETRANSLATE(D3543,""EN"",""JA"")"),"酸素化指数")</f>
        <v>酸素化指数</v>
      </c>
      <c r="I3543" s="1" t="str">
        <f>IFERROR(__xludf.DUMMYFUNCTION("GOOGLETRANSLATE(E3543,""EN"",""JA"")"),"酸素化指数")</f>
        <v>酸素化指数</v>
      </c>
      <c r="J3543" s="1" t="str">
        <f>IFERROR(__xludf.DUMMYFUNCTION("GOOGLETRANSLATE(F3543,""EN"",""JA"")"),"肺による酸素交換の効率の測定値。吸入酸素分率 (FiO2) (%) を平均気道圧 (Mpaw) に掛け、動脈酸素圧 (PaO2) で割って算出されます。")</f>
        <v>肺による酸素交換の効率の測定値。吸入酸素分率 (FiO2) (%) を平均気道圧 (Mpaw) に掛け、動脈酸素圧 (PaO2) で割って算出されます。</v>
      </c>
      <c r="K3543" s="1" t="str">
        <f>IFERROR(__xludf.DUMMYFUNCTION("GOOGLETRANSLATE(G3543,""EN"",""JA"")"),"酸素化指数")</f>
        <v>酸素化指数</v>
      </c>
    </row>
    <row r="3544" ht="13.5" customHeight="1">
      <c r="A3544" s="1" t="s">
        <v>11</v>
      </c>
      <c r="B3544" s="1" t="s">
        <v>17784</v>
      </c>
      <c r="C3544" s="1" t="s">
        <v>17785</v>
      </c>
      <c r="D3544" s="1" t="s">
        <v>17786</v>
      </c>
      <c r="E3544" s="1" t="s">
        <v>17786</v>
      </c>
      <c r="F3544" s="1" t="s">
        <v>17787</v>
      </c>
      <c r="G3544" s="1" t="s">
        <v>17788</v>
      </c>
      <c r="H3544" s="1" t="str">
        <f>IFERROR(__xludf.DUMMYFUNCTION("GOOGLETRANSLATE(D3544,""EN"",""JA"")"),"オランザピン")</f>
        <v>オランザピン</v>
      </c>
      <c r="I3544" s="1" t="str">
        <f>IFERROR(__xludf.DUMMYFUNCTION("GOOGLETRANSLATE(E3544,""EN"",""JA"")"),"オランザピン")</f>
        <v>オランザピン</v>
      </c>
      <c r="J3544" s="1" t="str">
        <f>IFERROR(__xludf.DUMMYFUNCTION("GOOGLETRANSLATE(F3544,""EN"",""JA"")"),"生物標本中のオランザピンの測定。")</f>
        <v>生物標本中のオランザピンの測定。</v>
      </c>
      <c r="K3544" s="1" t="str">
        <f>IFERROR(__xludf.DUMMYFUNCTION("GOOGLETRANSLATE(G3544,""EN"",""JA"")"),"オランザピン測定")</f>
        <v>オランザピン測定</v>
      </c>
    </row>
    <row r="3545" ht="13.5" customHeight="1">
      <c r="A3545" s="1" t="s">
        <v>11</v>
      </c>
      <c r="B3545" s="1" t="s">
        <v>17789</v>
      </c>
      <c r="C3545" s="1" t="s">
        <v>17790</v>
      </c>
      <c r="D3545" s="1" t="s">
        <v>17791</v>
      </c>
      <c r="E3545" s="1" t="s">
        <v>17791</v>
      </c>
      <c r="F3545" s="1" t="s">
        <v>17792</v>
      </c>
      <c r="G3545" s="1" t="s">
        <v>17793</v>
      </c>
      <c r="H3545" s="1" t="str">
        <f>IFERROR(__xludf.DUMMYFUNCTION("GOOGLETRANSLATE(D3545,""EN"",""JA"")"),"オリゴクローナルバンド")</f>
        <v>オリゴクローナルバンド</v>
      </c>
      <c r="I3545" s="1" t="str">
        <f>IFERROR(__xludf.DUMMYFUNCTION("GOOGLETRANSLATE(E3545,""EN"",""JA"")"),"オリゴクローナルバンド")</f>
        <v>オリゴクローナルバンド</v>
      </c>
      <c r="J3545" s="1" t="str">
        <f>IFERROR(__xludf.DUMMYFUNCTION("GOOGLETRANSLATE(F3545,""EN"",""JA"")"),"生物標本中のオリゴクローナルバンドの測定。")</f>
        <v>生物標本中のオリゴクローナルバンドの測定。</v>
      </c>
      <c r="K3545" s="1" t="str">
        <f>IFERROR(__xludf.DUMMYFUNCTION("GOOGLETRANSLATE(G3545,""EN"",""JA"")"),"オリゴクローナルバンド測定")</f>
        <v>オリゴクローナルバンド測定</v>
      </c>
    </row>
    <row r="3546" ht="13.5" customHeight="1">
      <c r="A3546" s="1" t="s">
        <v>397</v>
      </c>
      <c r="B3546" s="1" t="s">
        <v>17794</v>
      </c>
      <c r="C3546" s="1" t="s">
        <v>17795</v>
      </c>
      <c r="D3546" s="1" t="s">
        <v>17796</v>
      </c>
      <c r="E3546" s="1" t="s">
        <v>17796</v>
      </c>
      <c r="F3546" s="1" t="s">
        <v>17797</v>
      </c>
      <c r="G3546" s="1" t="s">
        <v>17796</v>
      </c>
      <c r="H3546" s="1" t="str">
        <f>IFERROR(__xludf.DUMMYFUNCTION("GOOGLETRANSLATE(D3546,""EN"",""JA"")"),"継続研究指標")</f>
        <v>継続研究指標</v>
      </c>
      <c r="I3546" s="1" t="str">
        <f>IFERROR(__xludf.DUMMYFUNCTION("GOOGLETRANSLATE(E3546,""EN"",""JA"")"),"継続研究指標")</f>
        <v>継続研究指標</v>
      </c>
      <c r="J3546" s="1" t="str">
        <f>IFERROR(__xludf.DUMMYFUNCTION("GOOGLETRANSLATE(F3546,""EN"",""JA"")"),"研究が進行中かどうかを示します。")</f>
        <v>研究が進行中かどうかを示します。</v>
      </c>
      <c r="K3546" s="1" t="str">
        <f>IFERROR(__xludf.DUMMYFUNCTION("GOOGLETRANSLATE(G3546,""EN"",""JA"")"),"継続研究指標")</f>
        <v>継続研究指標</v>
      </c>
    </row>
    <row r="3547" ht="13.5" customHeight="1">
      <c r="A3547" s="1" t="s">
        <v>1997</v>
      </c>
      <c r="B3547" s="1" t="s">
        <v>17798</v>
      </c>
      <c r="C3547" s="1" t="s">
        <v>17799</v>
      </c>
      <c r="D3547" s="1" t="s">
        <v>17800</v>
      </c>
      <c r="E3547" s="1" t="s">
        <v>17800</v>
      </c>
      <c r="F3547" s="1" t="s">
        <v>17801</v>
      </c>
      <c r="G3547" s="1" t="s">
        <v>17802</v>
      </c>
      <c r="H3547" s="1" t="str">
        <f>IFERROR(__xludf.DUMMYFUNCTION("GOOGLETRANSLATE(D3547,""EN"",""JA"")"),"不透明度")</f>
        <v>不透明度</v>
      </c>
      <c r="I3547" s="1" t="str">
        <f>IFERROR(__xludf.DUMMYFUNCTION("GOOGLETRANSLATE(E3547,""EN"",""JA"")"),"不透明度")</f>
        <v>不透明度</v>
      </c>
      <c r="J3547" s="1" t="str">
        <f>IFERROR(__xludf.DUMMYFUNCTION("GOOGLETRANSLATE(F3547,""EN"",""JA"")"),"不透明度または透明性の欠如の程度の評価。")</f>
        <v>不透明度または透明性の欠如の程度の評価。</v>
      </c>
      <c r="K3547" s="1" t="str">
        <f>IFERROR(__xludf.DUMMYFUNCTION("GOOGLETRANSLATE(G3547,""EN"",""JA"")"),"不透明度測定")</f>
        <v>不透明度測定</v>
      </c>
    </row>
    <row r="3548" ht="13.5" customHeight="1">
      <c r="A3548" s="1" t="s">
        <v>11</v>
      </c>
      <c r="B3548" s="1" t="s">
        <v>17803</v>
      </c>
      <c r="C3548" s="1" t="s">
        <v>17804</v>
      </c>
      <c r="D3548" s="1" t="s">
        <v>17805</v>
      </c>
      <c r="E3548" s="1" t="s">
        <v>17806</v>
      </c>
      <c r="F3548" s="1" t="s">
        <v>17807</v>
      </c>
      <c r="G3548" s="1" t="s">
        <v>17808</v>
      </c>
      <c r="H3548" s="1" t="str">
        <f>IFERROR(__xludf.DUMMYFUNCTION("GOOGLETRANSLATE(D3548,""EN"",""JA"")"),"オステオプロテゲリン")</f>
        <v>オステオプロテゲリン</v>
      </c>
      <c r="I3548" s="1" t="str">
        <f>IFERROR(__xludf.DUMMYFUNCTION("GOOGLETRANSLATE(E3548,""EN"",""JA"")"),"OCIF; 破骨細胞形成阻害因子; オステオプロテゲリン; TNFRS11B; 腫瘍壊死因子受容体スーパーファミリーメンバー11b")</f>
        <v>OCIF; 破骨細胞形成阻害因子; オステオプロテゲリン; TNFRS11B; 腫瘍壊死因子受容体スーパーファミリーメンバー11b</v>
      </c>
      <c r="J3548" s="1" t="str">
        <f>IFERROR(__xludf.DUMMYFUNCTION("GOOGLETRANSLATE(F3548,""EN"",""JA"")"),"生物標本中のオステオプロテゲリンの測定。")</f>
        <v>生物標本中のオステオプロテゲリンの測定。</v>
      </c>
      <c r="K3548" s="1" t="str">
        <f>IFERROR(__xludf.DUMMYFUNCTION("GOOGLETRANSLATE(G3548,""EN"",""JA"")"),"オステオプロテゲリン測定")</f>
        <v>オステオプロテゲリン測定</v>
      </c>
    </row>
    <row r="3549" ht="13.5" customHeight="1">
      <c r="A3549" s="1" t="s">
        <v>11</v>
      </c>
      <c r="B3549" s="1" t="s">
        <v>17809</v>
      </c>
      <c r="C3549" s="1" t="s">
        <v>17810</v>
      </c>
      <c r="D3549" s="1" t="s">
        <v>17811</v>
      </c>
      <c r="E3549" s="1" t="s">
        <v>17811</v>
      </c>
      <c r="F3549" s="1" t="s">
        <v>17812</v>
      </c>
      <c r="G3549" s="1" t="s">
        <v>17813</v>
      </c>
      <c r="H3549" s="1" t="str">
        <f>IFERROR(__xludf.DUMMYFUNCTION("GOOGLETRANSLATE(D3549,""EN"",""JA"")"),"アヘン剤")</f>
        <v>アヘン剤</v>
      </c>
      <c r="I3549" s="1" t="str">
        <f>IFERROR(__xludf.DUMMYFUNCTION("GOOGLETRANSLATE(E3549,""EN"",""JA"")"),"アヘン剤")</f>
        <v>アヘン剤</v>
      </c>
      <c r="J3549" s="1" t="str">
        <f>IFERROR(__xludf.DUMMYFUNCTION("GOOGLETRANSLATE(F3549,""EN"",""JA"")"),"生物学的標本中に存在するオピオイドクラスの薬物の測定。")</f>
        <v>生物学的標本中に存在するオピオイドクラスの薬物の測定。</v>
      </c>
      <c r="K3549" s="1" t="str">
        <f>IFERROR(__xludf.DUMMYFUNCTION("GOOGLETRANSLATE(G3549,""EN"",""JA"")"),"オピオイド測定")</f>
        <v>オピオイド測定</v>
      </c>
    </row>
    <row r="3550" ht="13.5" customHeight="1">
      <c r="A3550" s="1" t="s">
        <v>11</v>
      </c>
      <c r="B3550" s="1" t="s">
        <v>17814</v>
      </c>
      <c r="C3550" s="1" t="s">
        <v>17815</v>
      </c>
      <c r="D3550" s="1" t="s">
        <v>17816</v>
      </c>
      <c r="E3550" s="1" t="s">
        <v>17816</v>
      </c>
      <c r="F3550" s="1" t="s">
        <v>17817</v>
      </c>
      <c r="G3550" s="1" t="s">
        <v>17818</v>
      </c>
      <c r="H3550" s="1" t="str">
        <f>IFERROR(__xludf.DUMMYFUNCTION("GOOGLETRANSLATE(D3550,""EN"",""JA"")"),"オステオポンチン")</f>
        <v>オステオポンチン</v>
      </c>
      <c r="I3550" s="1" t="str">
        <f>IFERROR(__xludf.DUMMYFUNCTION("GOOGLETRANSLATE(E3550,""EN"",""JA"")"),"オステオポンチン")</f>
        <v>オステオポンチン</v>
      </c>
      <c r="J3550" s="1" t="str">
        <f>IFERROR(__xludf.DUMMYFUNCTION("GOOGLETRANSLATE(F3550,""EN"",""JA"")"),"生物標本中のオステオポンチンの測定。")</f>
        <v>生物標本中のオステオポンチンの測定。</v>
      </c>
      <c r="K3550" s="1" t="str">
        <f>IFERROR(__xludf.DUMMYFUNCTION("GOOGLETRANSLATE(G3550,""EN"",""JA"")"),"オステオポンチン測定")</f>
        <v>オステオポンチン測定</v>
      </c>
    </row>
    <row r="3551" ht="13.5" customHeight="1">
      <c r="A3551" s="1" t="s">
        <v>11</v>
      </c>
      <c r="B3551" s="1" t="s">
        <v>17819</v>
      </c>
      <c r="C3551" s="1" t="s">
        <v>17820</v>
      </c>
      <c r="D3551" s="1" t="s">
        <v>17821</v>
      </c>
      <c r="E3551" s="1" t="s">
        <v>17821</v>
      </c>
      <c r="F3551" s="1" t="s">
        <v>17822</v>
      </c>
      <c r="G3551" s="1" t="s">
        <v>17823</v>
      </c>
      <c r="H3551" s="1" t="str">
        <f>IFERROR(__xludf.DUMMYFUNCTION("GOOGLETRANSLATE(D3551,""EN"",""JA"")"),"オステオポンチン/クレアチニン")</f>
        <v>オステオポンチン/クレアチニン</v>
      </c>
      <c r="I3551" s="1" t="str">
        <f>IFERROR(__xludf.DUMMYFUNCTION("GOOGLETRANSLATE(E3551,""EN"",""JA"")"),"オステオポンチン/クレアチニン")</f>
        <v>オステオポンチン/クレアチニン</v>
      </c>
      <c r="J3551" s="1" t="str">
        <f>IFERROR(__xludf.DUMMYFUNCTION("GOOGLETRANSLATE(F3551,""EN"",""JA"")"),"生物標本中のオステオポンチンとクレアチニンの相対的な測定値（比率またはパーセンテージ）。")</f>
        <v>生物標本中のオステオポンチンとクレアチニンの相対的な測定値（比率またはパーセンテージ）。</v>
      </c>
      <c r="K3551" s="1" t="str">
        <f>IFERROR(__xludf.DUMMYFUNCTION("GOOGLETRANSLATE(G3551,""EN"",""JA"")"),"オステオポンチン対クレアチニン比測定")</f>
        <v>オステオポンチン対クレアチニン比測定</v>
      </c>
    </row>
    <row r="3552" ht="13.5" customHeight="1">
      <c r="A3552" s="1" t="s">
        <v>233</v>
      </c>
      <c r="B3552" s="1" t="s">
        <v>17824</v>
      </c>
      <c r="C3552" s="1" t="s">
        <v>17825</v>
      </c>
      <c r="D3552" s="1" t="s">
        <v>17826</v>
      </c>
      <c r="E3552" s="1" t="s">
        <v>17826</v>
      </c>
      <c r="F3552" s="1" t="s">
        <v>17827</v>
      </c>
      <c r="G3552" s="1" t="s">
        <v>17828</v>
      </c>
      <c r="H3552" s="1" t="str">
        <f>IFERROR(__xludf.DUMMYFUNCTION("GOOGLETRANSLATE(D3552,""EN"",""JA"")"),"臓器の肥大、定量的")</f>
        <v>臓器の肥大、定量的</v>
      </c>
      <c r="I3552" s="1" t="str">
        <f>IFERROR(__xludf.DUMMYFUNCTION("GOOGLETRANSLATE(E3552,""EN"",""JA"")"),"臓器の肥大、定量的")</f>
        <v>臓器の肥大、定量的</v>
      </c>
      <c r="J3552" s="1" t="str">
        <f>IFERROR(__xludf.DUMMYFUNCTION("GOOGLETRANSLATE(F3552,""EN"",""JA"")"),"定義された値に対する臓器のサイズまたは寸法の増加の定量的な測定値。")</f>
        <v>定義された値に対する臓器のサイズまたは寸法の増加の定量的な測定値。</v>
      </c>
      <c r="K3552" s="1" t="str">
        <f>IFERROR(__xludf.DUMMYFUNCTION("GOOGLETRANSLATE(G3552,""EN"",""JA"")"),"定量的臓器肥大評価")</f>
        <v>定量的臓器肥大評価</v>
      </c>
    </row>
    <row r="3553" ht="13.5" customHeight="1">
      <c r="A3553" s="1" t="s">
        <v>11</v>
      </c>
      <c r="B3553" s="1" t="s">
        <v>17829</v>
      </c>
      <c r="C3553" s="1" t="s">
        <v>17830</v>
      </c>
      <c r="D3553" s="1" t="s">
        <v>17831</v>
      </c>
      <c r="E3553" s="1" t="s">
        <v>17831</v>
      </c>
      <c r="F3553" s="1" t="s">
        <v>17832</v>
      </c>
      <c r="G3553" s="1" t="s">
        <v>17833</v>
      </c>
      <c r="H3553" s="1" t="str">
        <f>IFERROR(__xludf.DUMMYFUNCTION("GOOGLETRANSLATE(D3553,""EN"",""JA"")"),"オルニチン")</f>
        <v>オルニチン</v>
      </c>
      <c r="I3553" s="1" t="str">
        <f>IFERROR(__xludf.DUMMYFUNCTION("GOOGLETRANSLATE(E3553,""EN"",""JA"")"),"オルニチン")</f>
        <v>オルニチン</v>
      </c>
      <c r="J3553" s="1" t="str">
        <f>IFERROR(__xludf.DUMMYFUNCTION("GOOGLETRANSLATE(F3553,""EN"",""JA"")"),"生物標本中のオルニチンの測定。")</f>
        <v>生物標本中のオルニチンの測定。</v>
      </c>
      <c r="K3553" s="1" t="str">
        <f>IFERROR(__xludf.DUMMYFUNCTION("GOOGLETRANSLATE(G3553,""EN"",""JA"")"),"オルニチン測定")</f>
        <v>オルニチン測定</v>
      </c>
    </row>
    <row r="3554" ht="13.5" customHeight="1">
      <c r="A3554" s="1" t="s">
        <v>233</v>
      </c>
      <c r="B3554" s="1" t="s">
        <v>17834</v>
      </c>
      <c r="C3554" s="1" t="s">
        <v>17835</v>
      </c>
      <c r="D3554" s="1" t="s">
        <v>17836</v>
      </c>
      <c r="E3554" s="1" t="s">
        <v>17836</v>
      </c>
      <c r="F3554" s="1" t="s">
        <v>17837</v>
      </c>
      <c r="G3554" s="1" t="s">
        <v>17836</v>
      </c>
      <c r="H3554" s="1" t="str">
        <f>IFERROR(__xludf.DUMMYFUNCTION("GOOGLETRANSLATE(D3554,""EN"",""JA"")"),"臓器の状態")</f>
        <v>臓器の状態</v>
      </c>
      <c r="I3554" s="1" t="str">
        <f>IFERROR(__xludf.DUMMYFUNCTION("GOOGLETRANSLATE(E3554,""EN"",""JA"")"),"臓器の状態")</f>
        <v>臓器の状態</v>
      </c>
      <c r="J3554" s="1" t="str">
        <f>IFERROR(__xludf.DUMMYFUNCTION("GOOGLETRANSLATE(F3554,""EN"",""JA"")"),"特定の時点における臓器の状態または状況。")</f>
        <v>特定の時点における臓器の状態または状況。</v>
      </c>
      <c r="K3554" s="1" t="str">
        <f>IFERROR(__xludf.DUMMYFUNCTION("GOOGLETRANSLATE(G3554,""EN"",""JA"")"),"臓器の状態")</f>
        <v>臓器の状態</v>
      </c>
    </row>
    <row r="3555" ht="13.5" customHeight="1">
      <c r="A3555" s="1" t="s">
        <v>233</v>
      </c>
      <c r="B3555" s="1" t="s">
        <v>17838</v>
      </c>
      <c r="C3555" s="1" t="s">
        <v>17839</v>
      </c>
      <c r="D3555" s="1" t="s">
        <v>17840</v>
      </c>
      <c r="E3555" s="1" t="s">
        <v>17840</v>
      </c>
      <c r="F3555" s="1" t="s">
        <v>17841</v>
      </c>
      <c r="G3555" s="1" t="s">
        <v>17842</v>
      </c>
      <c r="H3555" s="1" t="str">
        <f>IFERROR(__xludf.DUMMYFUNCTION("GOOGLETRANSLATE(D3555,""EN"",""JA"")"),"オルガンの垂直長さ")</f>
        <v>オルガンの垂直長さ</v>
      </c>
      <c r="I3555" s="1" t="str">
        <f>IFERROR(__xludf.DUMMYFUNCTION("GOOGLETRANSLATE(E3555,""EN"",""JA"")"),"オルガンの垂直長さ")</f>
        <v>オルガンの垂直長さ</v>
      </c>
      <c r="J3555" s="1" t="str">
        <f>IFERROR(__xludf.DUMMYFUNCTION("GOOGLETRANSLATE(F3555,""EN"",""JA"")"),"臓器の一端から他端までの頭尾方向の軸に沿った直線範囲。(NCI)")</f>
        <v>臓器の一端から他端までの頭尾方向の軸に沿った直線範囲。(NCI)</v>
      </c>
      <c r="K3555" s="1" t="str">
        <f>IFERROR(__xludf.DUMMYFUNCTION("GOOGLETRANSLATE(G3555,""EN"",""JA"")"),"臓器の頭尾方向の長さの測定")</f>
        <v>臓器の頭尾方向の長さの測定</v>
      </c>
    </row>
    <row r="3556" ht="13.5" customHeight="1">
      <c r="A3556" s="1" t="s">
        <v>11</v>
      </c>
      <c r="B3556" s="1" t="s">
        <v>17843</v>
      </c>
      <c r="C3556" s="1" t="s">
        <v>17844</v>
      </c>
      <c r="D3556" s="1" t="s">
        <v>17845</v>
      </c>
      <c r="E3556" s="1" t="s">
        <v>17845</v>
      </c>
      <c r="F3556" s="1" t="s">
        <v>17846</v>
      </c>
      <c r="G3556" s="1" t="s">
        <v>17847</v>
      </c>
      <c r="H3556" s="1" t="str">
        <f>IFERROR(__xludf.DUMMYFUNCTION("GOOGLETRANSLATE(D3556,""EN"",""JA"")"),"オンコスタチンM")</f>
        <v>オンコスタチンM</v>
      </c>
      <c r="I3556" s="1" t="str">
        <f>IFERROR(__xludf.DUMMYFUNCTION("GOOGLETRANSLATE(E3556,""EN"",""JA"")"),"オンコスタチンM")</f>
        <v>オンコスタチンM</v>
      </c>
      <c r="J3556" s="1" t="str">
        <f>IFERROR(__xludf.DUMMYFUNCTION("GOOGLETRANSLATE(F3556,""EN"",""JA"")"),"生物標本中のオンコスタチン M の測定。")</f>
        <v>生物標本中のオンコスタチン M の測定。</v>
      </c>
      <c r="K3556" s="1" t="str">
        <f>IFERROR(__xludf.DUMMYFUNCTION("GOOGLETRANSLATE(G3556,""EN"",""JA"")"),"オンコスタチンM測定")</f>
        <v>オンコスタチンM測定</v>
      </c>
    </row>
    <row r="3557" ht="13.5" customHeight="1">
      <c r="A3557" s="1" t="s">
        <v>11</v>
      </c>
      <c r="B3557" s="1" t="s">
        <v>17848</v>
      </c>
      <c r="C3557" s="1" t="s">
        <v>17849</v>
      </c>
      <c r="D3557" s="1" t="s">
        <v>17850</v>
      </c>
      <c r="E3557" s="1" t="s">
        <v>17850</v>
      </c>
      <c r="F3557" s="1" t="s">
        <v>17851</v>
      </c>
      <c r="G3557" s="1" t="s">
        <v>17852</v>
      </c>
      <c r="H3557" s="1" t="str">
        <f>IFERROR(__xludf.DUMMYFUNCTION("GOOGLETRANSLATE(D3557,""EN"",""JA"")"),"浸透圧")</f>
        <v>浸透圧</v>
      </c>
      <c r="I3557" s="1" t="str">
        <f>IFERROR(__xludf.DUMMYFUNCTION("GOOGLETRANSLATE(E3557,""EN"",""JA"")"),"浸透圧")</f>
        <v>浸透圧</v>
      </c>
      <c r="J3557" s="1" t="str">
        <f>IFERROR(__xludf.DUMMYFUNCTION("GOOGLETRANSLATE(F3557,""EN"",""JA"")"),"生物標本単位あたりの溶質の浸透圧の測定。")</f>
        <v>生物標本単位あたりの溶質の浸透圧の測定。</v>
      </c>
      <c r="K3557" s="1" t="str">
        <f>IFERROR(__xludf.DUMMYFUNCTION("GOOGLETRANSLATE(G3557,""EN"",""JA"")"),"浸透圧測定")</f>
        <v>浸透圧測定</v>
      </c>
    </row>
    <row r="3558" ht="13.5" customHeight="1">
      <c r="A3558" s="1" t="s">
        <v>11</v>
      </c>
      <c r="B3558" s="1" t="s">
        <v>17853</v>
      </c>
      <c r="C3558" s="1" t="s">
        <v>17854</v>
      </c>
      <c r="D3558" s="1" t="s">
        <v>17855</v>
      </c>
      <c r="E3558" s="1" t="s">
        <v>17855</v>
      </c>
      <c r="F3558" s="1" t="s">
        <v>17856</v>
      </c>
      <c r="G3558" s="1" t="s">
        <v>17857</v>
      </c>
      <c r="H3558" s="1" t="str">
        <f>IFERROR(__xludf.DUMMYFUNCTION("GOOGLETRANSLATE(D3558,""EN"",""JA"")"),"浸透圧")</f>
        <v>浸透圧</v>
      </c>
      <c r="I3558" s="1" t="str">
        <f>IFERROR(__xludf.DUMMYFUNCTION("GOOGLETRANSLATE(E3558,""EN"",""JA"")"),"浸透圧")</f>
        <v>浸透圧</v>
      </c>
      <c r="J3558" s="1" t="str">
        <f>IFERROR(__xludf.DUMMYFUNCTION("GOOGLETRANSLATE(F3558,""EN"",""JA"")"),"溶液 1 リットルあたりの溶質のオスモルの測定値。")</f>
        <v>溶液 1 リットルあたりの溶質のオスモルの測定値。</v>
      </c>
      <c r="K3558" s="1" t="str">
        <f>IFERROR(__xludf.DUMMYFUNCTION("GOOGLETRANSLATE(G3558,""EN"",""JA"")"),"浸透圧測定")</f>
        <v>浸透圧測定</v>
      </c>
    </row>
    <row r="3559" ht="13.5" customHeight="1">
      <c r="A3559" s="1" t="s">
        <v>11</v>
      </c>
      <c r="B3559" s="1" t="s">
        <v>17858</v>
      </c>
      <c r="C3559" s="1" t="s">
        <v>17859</v>
      </c>
      <c r="D3559" s="1" t="s">
        <v>17860</v>
      </c>
      <c r="E3559" s="1" t="s">
        <v>17860</v>
      </c>
      <c r="F3559" s="1" t="s">
        <v>17861</v>
      </c>
      <c r="G3559" s="1" t="s">
        <v>17862</v>
      </c>
      <c r="H3559" s="1" t="str">
        <f>IFERROR(__xludf.DUMMYFUNCTION("GOOGLETRANSLATE(D3559,""EN"",""JA"")"),"オステオカルシン")</f>
        <v>オステオカルシン</v>
      </c>
      <c r="I3559" s="1" t="str">
        <f>IFERROR(__xludf.DUMMYFUNCTION("GOOGLETRANSLATE(E3559,""EN"",""JA"")"),"オステオカルシン")</f>
        <v>オステオカルシン</v>
      </c>
      <c r="J3559" s="1" t="str">
        <f>IFERROR(__xludf.DUMMYFUNCTION("GOOGLETRANSLATE(F3559,""EN"",""JA"")"),"生物標本中のオステオカルシンの測定。")</f>
        <v>生物標本中のオステオカルシンの測定。</v>
      </c>
      <c r="K3559" s="1" t="str">
        <f>IFERROR(__xludf.DUMMYFUNCTION("GOOGLETRANSLATE(G3559,""EN"",""JA"")"),"オステオカルシン測定")</f>
        <v>オステオカルシン測定</v>
      </c>
    </row>
    <row r="3560" ht="13.5" customHeight="1">
      <c r="A3560" s="1" t="s">
        <v>11</v>
      </c>
      <c r="B3560" s="1" t="s">
        <v>17863</v>
      </c>
      <c r="C3560" s="1" t="s">
        <v>17864</v>
      </c>
      <c r="D3560" s="1" t="s">
        <v>17865</v>
      </c>
      <c r="E3560" s="1" t="s">
        <v>17866</v>
      </c>
      <c r="F3560" s="1" t="s">
        <v>17867</v>
      </c>
      <c r="G3560" s="1" t="s">
        <v>17868</v>
      </c>
      <c r="H3560" s="1" t="str">
        <f>IFERROR(__xludf.DUMMYFUNCTION("GOOGLETRANSLATE(D3560,""EN"",""JA"")"),"o-トルイジン")</f>
        <v>o-トルイジン</v>
      </c>
      <c r="I3560" s="1" t="str">
        <f>IFERROR(__xludf.DUMMYFUNCTION("GOOGLETRANSLATE(E3560,""EN"",""JA"")"),"2-メチルアニリン; 2-トルイジン; o-トルイジン; オルト-トルイジン")</f>
        <v>2-メチルアニリン; 2-トルイジン; o-トルイジン; オルト-トルイジン</v>
      </c>
      <c r="J3560" s="1" t="str">
        <f>IFERROR(__xludf.DUMMYFUNCTION("GOOGLETRANSLATE(F3560,""EN"",""JA"")"),"標本中のo-トルイジンの測定。")</f>
        <v>標本中のo-トルイジンの測定。</v>
      </c>
      <c r="K3560" s="1" t="str">
        <f>IFERROR(__xludf.DUMMYFUNCTION("GOOGLETRANSLATE(G3560,""EN"",""JA"")"),"o-トルイジン測定")</f>
        <v>o-トルイジン測定</v>
      </c>
    </row>
    <row r="3561" ht="13.5" customHeight="1">
      <c r="A3561" s="1" t="s">
        <v>233</v>
      </c>
      <c r="B3561" s="1" t="s">
        <v>17869</v>
      </c>
      <c r="C3561" s="1" t="s">
        <v>17870</v>
      </c>
      <c r="D3561" s="1" t="s">
        <v>17871</v>
      </c>
      <c r="E3561" s="1" t="s">
        <v>17872</v>
      </c>
      <c r="F3561" s="1" t="s">
        <v>17873</v>
      </c>
      <c r="G3561" s="1" t="s">
        <v>17874</v>
      </c>
      <c r="H3561" s="1" t="str">
        <f>IFERROR(__xludf.DUMMYFUNCTION("GOOGLETRANSLATE(D3561,""EN"",""JA"")"),"BLと比較した全体的なトレーサー吸収")</f>
        <v>BLと比較した全体的なトレーサー吸収</v>
      </c>
      <c r="I3561" s="1" t="str">
        <f>IFERROR(__xludf.DUMMYFUNCTION("GOOGLETRANSLATE(E3561,""EN"",""JA"")"),"ベースラインと比較した全体的なトレーサー吸収; BLと比較した全体的なトレーサー吸収")</f>
        <v>ベースラインと比較した全体的なトレーサー吸収; BLと比較した全体的なトレーサー吸収</v>
      </c>
      <c r="J3561" s="1" t="str">
        <f>IFERROR(__xludf.DUMMYFUNCTION("GOOGLETRANSLATE(F3561,""EN"",""JA"")"),"ベースラインと比較したトレーサー吸収の範囲と強度の組み合わせを視覚的に評価します。")</f>
        <v>ベースラインと比較したトレーサー吸収の範囲と強度の組み合わせを視覚的に評価します。</v>
      </c>
      <c r="K3561" s="1" t="str">
        <f>IFERROR(__xludf.DUMMYFUNCTION("GOOGLETRANSLATE(G3561,""EN"",""JA"")"),"ベースラインと比較した全体的なトレーサー吸収")</f>
        <v>ベースラインと比較した全体的なトレーサー吸収</v>
      </c>
    </row>
    <row r="3562" ht="13.5" customHeight="1">
      <c r="A3562" s="1" t="s">
        <v>233</v>
      </c>
      <c r="B3562" s="1" t="s">
        <v>17875</v>
      </c>
      <c r="C3562" s="1" t="s">
        <v>17876</v>
      </c>
      <c r="D3562" s="1" t="s">
        <v>17877</v>
      </c>
      <c r="E3562" s="1" t="s">
        <v>17877</v>
      </c>
      <c r="F3562" s="1" t="s">
        <v>17878</v>
      </c>
      <c r="G3562" s="1" t="s">
        <v>17877</v>
      </c>
      <c r="H3562" s="1" t="str">
        <f>IFERROR(__xludf.DUMMYFUNCTION("GOOGLETRANSLATE(D3562,""EN"",""JA"")"),"最低値と比較した全体的なトレーサー吸収")</f>
        <v>最低値と比較した全体的なトレーサー吸収</v>
      </c>
      <c r="I3562" s="1" t="str">
        <f>IFERROR(__xludf.DUMMYFUNCTION("GOOGLETRANSLATE(E3562,""EN"",""JA"")"),"最低値と比較した全体的なトレーサー吸収")</f>
        <v>最低値と比較した全体的なトレーサー吸収</v>
      </c>
      <c r="J3562" s="1" t="str">
        <f>IFERROR(__xludf.DUMMYFUNCTION("GOOGLETRANSLATE(F3562,""EN"",""JA"")"),"最下点と比較したトレーサー吸収の範囲と強度の組み合わせを視覚的に評価します。")</f>
        <v>最下点と比較したトレーサー吸収の範囲と強度の組み合わせを視覚的に評価します。</v>
      </c>
      <c r="K3562" s="1" t="str">
        <f>IFERROR(__xludf.DUMMYFUNCTION("GOOGLETRANSLATE(G3562,""EN"",""JA"")"),"最低値と比較した全体的なトレーサー吸収")</f>
        <v>最低値と比較した全体的なトレーサー吸収</v>
      </c>
    </row>
    <row r="3563" ht="13.5" customHeight="1">
      <c r="A3563" s="1" t="s">
        <v>397</v>
      </c>
      <c r="B3563" s="1" t="s">
        <v>17879</v>
      </c>
      <c r="C3563" s="1" t="s">
        <v>17880</v>
      </c>
      <c r="D3563" s="1" t="s">
        <v>17881</v>
      </c>
      <c r="E3563" s="1" t="s">
        <v>17881</v>
      </c>
      <c r="F3563" s="1" t="s">
        <v>17882</v>
      </c>
      <c r="G3563" s="1" t="s">
        <v>17881</v>
      </c>
      <c r="H3563" s="1" t="str">
        <f>IFERROR(__xludf.DUMMYFUNCTION("GOOGLETRANSLATE(D3563,""EN"",""JA"")"),"追加アウトカム指標")</f>
        <v>追加アウトカム指標</v>
      </c>
      <c r="I3563" s="1" t="str">
        <f>IFERROR(__xludf.DUMMYFUNCTION("GOOGLETRANSLATE(E3563,""EN"",""JA"")"),"追加アウトカム指標")</f>
        <v>追加アウトカム指標</v>
      </c>
      <c r="J3563" s="1" t="str">
        <f>IFERROR(__xludf.DUMMYFUNCTION("GOOGLETRANSLATE(F3563,""EN"",""JA"")"),"介入を評価するために使用される追加の主要指標、または観察研究の場合は研究の焦点となる指標。これらは、主要目的または副次目的の評価には使用されないアウトカム指標です。")</f>
        <v>介入を評価するために使用される追加の主要指標、または観察研究の場合は研究の焦点となる指標。これらは、主要目的または副次目的の評価には使用されないアウトカム指標です。</v>
      </c>
      <c r="K3563" s="1" t="str">
        <f>IFERROR(__xludf.DUMMYFUNCTION("GOOGLETRANSLATE(G3563,""EN"",""JA"")"),"追加アウトカム指標")</f>
        <v>追加アウトカム指標</v>
      </c>
    </row>
    <row r="3564" ht="13.5" customHeight="1">
      <c r="A3564" s="1" t="s">
        <v>397</v>
      </c>
      <c r="B3564" s="1" t="s">
        <v>17883</v>
      </c>
      <c r="C3564" s="1" t="s">
        <v>17884</v>
      </c>
      <c r="D3564" s="1" t="s">
        <v>17885</v>
      </c>
      <c r="E3564" s="1" t="s">
        <v>17885</v>
      </c>
      <c r="F3564" s="1" t="s">
        <v>17886</v>
      </c>
      <c r="G3564" s="1" t="s">
        <v>17885</v>
      </c>
      <c r="H3564" s="1" t="str">
        <f>IFERROR(__xludf.DUMMYFUNCTION("GOOGLETRANSLATE(D3564,""EN"",""JA"")"),"探索的アウトカム測定")</f>
        <v>探索的アウトカム測定</v>
      </c>
      <c r="I3564" s="1" t="str">
        <f>IFERROR(__xludf.DUMMYFUNCTION("GOOGLETRANSLATE(E3564,""EN"",""JA"")"),"探索的アウトカム測定")</f>
        <v>探索的アウトカム測定</v>
      </c>
      <c r="J3564" s="1" t="str">
        <f>IFERROR(__xludf.DUMMYFUNCTION("GOOGLETRANSLATE(F3564,""EN"",""JA"")"),"探索的研究目的に関連する探索的エンドポイントを評価するために使用される、事前に指定された分析計画の一部であるアウトカム指標、および/または事後評価指標を除く、研究の焦点となるその他の指標。（")</f>
        <v>探索的研究目的に関連する探索的エンドポイントを評価するために使用される、事前に指定された分析計画の一部であるアウトカム指標、および/または事後評価指標を除く、研究の焦点となるその他の指標。（</v>
      </c>
      <c r="K3564" s="1" t="str">
        <f>IFERROR(__xludf.DUMMYFUNCTION("GOOGLETRANSLATE(G3564,""EN"",""JA"")"),"探索的アウトカム測定")</f>
        <v>探索的アウトカム測定</v>
      </c>
    </row>
    <row r="3565" ht="13.5" customHeight="1">
      <c r="A3565" s="1" t="s">
        <v>397</v>
      </c>
      <c r="B3565" s="1" t="s">
        <v>17887</v>
      </c>
      <c r="C3565" s="1" t="s">
        <v>17888</v>
      </c>
      <c r="D3565" s="1" t="s">
        <v>17889</v>
      </c>
      <c r="E3565" s="1" t="s">
        <v>17889</v>
      </c>
      <c r="F3565" s="1" t="s">
        <v>17890</v>
      </c>
      <c r="G3565" s="1" t="s">
        <v>17889</v>
      </c>
      <c r="H3565" s="1" t="str">
        <f>IFERROR(__xludf.DUMMYFUNCTION("GOOGLETRANSLATE(D3565,""EN"",""JA"")"),"主要評価項目")</f>
        <v>主要評価項目</v>
      </c>
      <c r="I3565" s="1" t="str">
        <f>IFERROR(__xludf.DUMMYFUNCTION("GOOGLETRANSLATE(E3565,""EN"",""JA"")"),"主要評価項目")</f>
        <v>主要評価項目</v>
      </c>
      <c r="J3565" s="1" t="str">
        <f>IFERROR(__xludf.DUMMYFUNCTION("GOOGLETRANSLATE(F3565,""EN"",""JA"")"),"プロトコルで規定された最も重要なアウトカム指標（通常は検出力計算に用いられる指標）であり、主要な研究目的に関連する主要評価項目を評価するために使用されます。（Clinicaltrials.govより引用）")</f>
        <v>プロトコルで規定された最も重要なアウトカム指標（通常は検出力計算に用いられる指標）であり、主要な研究目的に関連する主要評価項目を評価するために使用されます。（Clinicaltrials.govより引用）</v>
      </c>
      <c r="K3565" s="1" t="str">
        <f>IFERROR(__xludf.DUMMYFUNCTION("GOOGLETRANSLATE(G3565,""EN"",""JA"")"),"主要評価項目")</f>
        <v>主要評価項目</v>
      </c>
    </row>
    <row r="3566" ht="13.5" customHeight="1">
      <c r="A3566" s="1" t="s">
        <v>397</v>
      </c>
      <c r="B3566" s="1" t="s">
        <v>17891</v>
      </c>
      <c r="C3566" s="1" t="s">
        <v>17892</v>
      </c>
      <c r="D3566" s="1" t="s">
        <v>17893</v>
      </c>
      <c r="E3566" s="1" t="s">
        <v>17893</v>
      </c>
      <c r="F3566" s="1" t="s">
        <v>17894</v>
      </c>
      <c r="G3566" s="1" t="s">
        <v>17893</v>
      </c>
      <c r="H3566" s="1" t="str">
        <f>IFERROR(__xludf.DUMMYFUNCTION("GOOGLETRANSLATE(D3566,""EN"",""JA"")"),"副次的評価指標")</f>
        <v>副次的評価指標</v>
      </c>
      <c r="I3566" s="1" t="str">
        <f>IFERROR(__xludf.DUMMYFUNCTION("GOOGLETRANSLATE(E3566,""EN"",""JA"")"),"副次的評価指標")</f>
        <v>副次的評価指標</v>
      </c>
      <c r="J3566" s="1" t="str">
        <f>IFERROR(__xludf.DUMMYFUNCTION("GOOGLETRANSLATE(F3566,""EN"",""JA"")"),"事前に指定された解析計画の一部であるアウトカム指標は、副次的な研究目的に関連する副次的エンドポイントを評価するために使用されるか、または主要エンドポイントまたは副次的エンドポイントに付随する指標を評価するために使用される。（C")</f>
        <v>事前に指定された解析計画の一部であるアウトカム指標は、副次的な研究目的に関連する副次的エンドポイントを評価するために使用されるか、または主要エンドポイントまたは副次的エンドポイントに付随する指標を評価するために使用される。（C</v>
      </c>
      <c r="K3566" s="1" t="str">
        <f>IFERROR(__xludf.DUMMYFUNCTION("GOOGLETRANSLATE(G3566,""EN"",""JA"")"),"副次的評価指標")</f>
        <v>副次的評価指標</v>
      </c>
    </row>
    <row r="3567" ht="13.5" customHeight="1">
      <c r="A3567" s="1" t="s">
        <v>11</v>
      </c>
      <c r="B3567" s="1" t="s">
        <v>17895</v>
      </c>
      <c r="C3567" s="1" t="s">
        <v>17896</v>
      </c>
      <c r="D3567" s="1" t="s">
        <v>17897</v>
      </c>
      <c r="E3567" s="1" t="s">
        <v>17897</v>
      </c>
      <c r="F3567" s="1" t="s">
        <v>17898</v>
      </c>
      <c r="G3567" s="1" t="s">
        <v>17899</v>
      </c>
      <c r="H3567" s="1" t="str">
        <f>IFERROR(__xludf.DUMMYFUNCTION("GOOGLETRANSLATE(D3567,""EN"",""JA"")"),"卵形赤血球")</f>
        <v>卵形赤血球</v>
      </c>
      <c r="I3567" s="1" t="str">
        <f>IFERROR(__xludf.DUMMYFUNCTION("GOOGLETRANSLATE(E3567,""EN"",""JA"")"),"卵形赤血球")</f>
        <v>卵形赤血球</v>
      </c>
      <c r="J3567" s="1" t="str">
        <f>IFERROR(__xludf.DUMMYFUNCTION("GOOGLETRANSLATE(F3567,""EN"",""JA"")"),"生物標本中の卵円赤血球（両端が丸く、長軸が短軸の 2 倍未満の楕円形の細胞）の測定。")</f>
        <v>生物標本中の卵円赤血球（両端が丸く、長軸が短軸の 2 倍未満の楕円形の細胞）の測定。</v>
      </c>
      <c r="K3567" s="1" t="str">
        <f>IFERROR(__xludf.DUMMYFUNCTION("GOOGLETRANSLATE(G3567,""EN"",""JA"")"),"卵母細胞数")</f>
        <v>卵母細胞数</v>
      </c>
    </row>
    <row r="3568" ht="13.5" customHeight="1">
      <c r="A3568" s="1" t="s">
        <v>67</v>
      </c>
      <c r="B3568" s="1" t="s">
        <v>17900</v>
      </c>
      <c r="C3568" s="1" t="s">
        <v>17901</v>
      </c>
      <c r="D3568" s="1" t="s">
        <v>17902</v>
      </c>
      <c r="E3568" s="1" t="s">
        <v>17902</v>
      </c>
      <c r="F3568" s="1" t="s">
        <v>17903</v>
      </c>
      <c r="G3568" s="1" t="s">
        <v>17904</v>
      </c>
      <c r="H3568" s="1" t="str">
        <f>IFERROR(__xludf.DUMMYFUNCTION("GOOGLETRANSLATE(D3568,""EN"",""JA"")"),"卵子と寄生虫")</f>
        <v>卵子と寄生虫</v>
      </c>
      <c r="I3568" s="1" t="str">
        <f>IFERROR(__xludf.DUMMYFUNCTION("GOOGLETRANSLATE(E3568,""EN"",""JA"")"),"卵子と寄生虫")</f>
        <v>卵子と寄生虫</v>
      </c>
      <c r="J3568" s="1" t="str">
        <f>IFERROR(__xludf.DUMMYFUNCTION("GOOGLETRANSLATE(F3568,""EN"",""JA"")"),"生物標本内の寄生虫と卵の測定。")</f>
        <v>生物標本内の寄生虫と卵の測定。</v>
      </c>
      <c r="K3568" s="1" t="str">
        <f>IFERROR(__xludf.DUMMYFUNCTION("GOOGLETRANSLATE(G3568,""EN"",""JA"")"),"卵子と寄生虫の測定")</f>
        <v>卵子と寄生虫の測定</v>
      </c>
    </row>
    <row r="3569" ht="13.5" customHeight="1">
      <c r="A3569" s="1" t="s">
        <v>134</v>
      </c>
      <c r="B3569" s="1" t="s">
        <v>17905</v>
      </c>
      <c r="C3569" s="1" t="s">
        <v>17906</v>
      </c>
      <c r="D3569" s="1" t="s">
        <v>17907</v>
      </c>
      <c r="E3569" s="1" t="s">
        <v>17908</v>
      </c>
      <c r="F3569" s="1" t="s">
        <v>17909</v>
      </c>
      <c r="G3569" s="1" t="s">
        <v>17910</v>
      </c>
      <c r="H3569" s="1" t="str">
        <f>IFERROR(__xludf.DUMMYFUNCTION("GOOGLETRANSLATE(D3569,""EN"",""JA"")"),"腫瘍全体のグレード")</f>
        <v>腫瘍全体のグレード</v>
      </c>
      <c r="I3569" s="1" t="str">
        <f>IFERROR(__xludf.DUMMYFUNCTION("GOOGLETRANSLATE(E3569,""EN"",""JA"")"),"組織学的グレード; 腫瘍全体のグレード; 腫瘍のグレード")</f>
        <v>組織学的グレード; 腫瘍全体のグレード; 腫瘍のグレード</v>
      </c>
      <c r="J3569" s="1" t="str">
        <f>IFERROR(__xludf.DUMMYFUNCTION("GOOGLETRANSLATE(F3569,""EN"",""JA"")"),"定義されたスコアリング システムに基づいて割り当てられた腫瘍のグレード。")</f>
        <v>定義されたスコアリング システムに基づいて割り当てられた腫瘍のグレード。</v>
      </c>
      <c r="K3569" s="1" t="str">
        <f>IFERROR(__xludf.DUMMYFUNCTION("GOOGLETRANSLATE(G3569,""EN"",""JA"")"),"組織学的グレード")</f>
        <v>組織学的グレード</v>
      </c>
    </row>
    <row r="3570" ht="13.5" customHeight="1">
      <c r="A3570" s="1" t="s">
        <v>1342</v>
      </c>
      <c r="B3570" s="1" t="s">
        <v>17911</v>
      </c>
      <c r="C3570" s="1" t="s">
        <v>17912</v>
      </c>
      <c r="D3570" s="1" t="s">
        <v>17913</v>
      </c>
      <c r="E3570" s="1" t="s">
        <v>17913</v>
      </c>
      <c r="F3570" s="1" t="s">
        <v>17914</v>
      </c>
      <c r="G3570" s="1" t="s">
        <v>17913</v>
      </c>
      <c r="H3570" s="1" t="str">
        <f>IFERROR(__xludf.DUMMYFUNCTION("GOOGLETRANSLATE(D3570,""EN"",""JA"")"),"全体的な反応")</f>
        <v>全体的な反応</v>
      </c>
      <c r="I3570" s="1" t="str">
        <f>IFERROR(__xludf.DUMMYFUNCTION("GOOGLETRANSLATE(E3570,""EN"",""JA"")"),"全体的な反応")</f>
        <v>全体的な反応</v>
      </c>
      <c r="J3570" s="1" t="str">
        <f>IFERROR(__xludf.DUMMYFUNCTION("GOOGLETRANSLATE(F3570,""EN"",""JA"")"),"治療に対する疾患の総合的な反応の評価。(NCI)")</f>
        <v>治療に対する疾患の総合的な反応の評価。(NCI)</v>
      </c>
      <c r="K3570" s="1" t="str">
        <f>IFERROR(__xludf.DUMMYFUNCTION("GOOGLETRANSLATE(G3570,""EN"",""JA"")"),"全体的な反応")</f>
        <v>全体的な反応</v>
      </c>
    </row>
    <row r="3571" ht="13.5" customHeight="1">
      <c r="A3571" s="1" t="s">
        <v>11</v>
      </c>
      <c r="B3571" s="1" t="s">
        <v>17915</v>
      </c>
      <c r="C3571" s="1" t="s">
        <v>17916</v>
      </c>
      <c r="D3571" s="1" t="s">
        <v>17917</v>
      </c>
      <c r="E3571" s="1" t="s">
        <v>17917</v>
      </c>
      <c r="F3571" s="1" t="s">
        <v>17918</v>
      </c>
      <c r="G3571" s="1" t="s">
        <v>17919</v>
      </c>
      <c r="H3571" s="1" t="str">
        <f>IFERROR(__xludf.DUMMYFUNCTION("GOOGLETRANSLATE(D3571,""EN"",""JA"")"),"シュウ酸/クレアチニン")</f>
        <v>シュウ酸/クレアチニン</v>
      </c>
      <c r="I3571" s="1" t="str">
        <f>IFERROR(__xludf.DUMMYFUNCTION("GOOGLETRANSLATE(E3571,""EN"",""JA"")"),"シュウ酸/クレアチニン")</f>
        <v>シュウ酸/クレアチニン</v>
      </c>
      <c r="J3571" s="1" t="str">
        <f>IFERROR(__xludf.DUMMYFUNCTION("GOOGLETRANSLATE(F3571,""EN"",""JA"")"),"生物標本中のシュウ酸とクレアチニンの相対的な測定値（比率またはパーセンテージ）。")</f>
        <v>生物標本中のシュウ酸とクレアチニンの相対的な測定値（比率またはパーセンテージ）。</v>
      </c>
      <c r="K3571" s="1" t="str">
        <f>IFERROR(__xludf.DUMMYFUNCTION("GOOGLETRANSLATE(G3571,""EN"",""JA"")"),"シュウ酸対クレアチニン比測定")</f>
        <v>シュウ酸対クレアチニン比測定</v>
      </c>
    </row>
    <row r="3572" ht="13.5" customHeight="1">
      <c r="A3572" s="1" t="s">
        <v>11</v>
      </c>
      <c r="B3572" s="1" t="s">
        <v>17920</v>
      </c>
      <c r="C3572" s="1" t="s">
        <v>17921</v>
      </c>
      <c r="D3572" s="1" t="s">
        <v>17922</v>
      </c>
      <c r="E3572" s="1" t="s">
        <v>17922</v>
      </c>
      <c r="F3572" s="1" t="s">
        <v>17923</v>
      </c>
      <c r="G3572" s="1" t="s">
        <v>17922</v>
      </c>
      <c r="H3572" s="1" t="str">
        <f>IFERROR(__xludf.DUMMYFUNCTION("GOOGLETRANSLATE(D3572,""EN"",""JA"")"),"シュウ酸排泄率")</f>
        <v>シュウ酸排泄率</v>
      </c>
      <c r="I3572" s="1" t="str">
        <f>IFERROR(__xludf.DUMMYFUNCTION("GOOGLETRANSLATE(E3572,""EN"",""JA"")"),"シュウ酸排泄率")</f>
        <v>シュウ酸排泄率</v>
      </c>
      <c r="J3572" s="1" t="str">
        <f>IFERROR(__xludf.DUMMYFUNCTION("GOOGLETRANSLATE(F3572,""EN"",""JA"")"),"定義された時間（例：1 時間）にわたって生物標本中に排出されるシュウ酸の量を測定します。")</f>
        <v>定義された時間（例：1 時間）にわたって生物標本中に排出されるシュウ酸の量を測定します。</v>
      </c>
      <c r="K3572" s="1" t="str">
        <f>IFERROR(__xludf.DUMMYFUNCTION("GOOGLETRANSLATE(G3572,""EN"",""JA"")"),"シュウ酸排泄率")</f>
        <v>シュウ酸排泄率</v>
      </c>
    </row>
    <row r="3573" ht="13.5" customHeight="1">
      <c r="A3573" s="1" t="s">
        <v>11</v>
      </c>
      <c r="B3573" s="1" t="s">
        <v>17924</v>
      </c>
      <c r="C3573" s="1" t="s">
        <v>17925</v>
      </c>
      <c r="D3573" s="1" t="s">
        <v>17926</v>
      </c>
      <c r="E3573" s="1" t="s">
        <v>17927</v>
      </c>
      <c r="F3573" s="1" t="s">
        <v>17928</v>
      </c>
      <c r="G3573" s="1" t="s">
        <v>17929</v>
      </c>
      <c r="H3573" s="1" t="str">
        <f>IFERROR(__xludf.DUMMYFUNCTION("GOOGLETRANSLATE(D3573,""EN"",""JA"")"),"シュウ酸")</f>
        <v>シュウ酸</v>
      </c>
      <c r="I3573" s="1" t="str">
        <f>IFERROR(__xludf.DUMMYFUNCTION("GOOGLETRANSLATE(E3573,""EN"",""JA"")"),"エタン二酸; シュウ酸")</f>
        <v>エタン二酸; シュウ酸</v>
      </c>
      <c r="J3573" s="1" t="str">
        <f>IFERROR(__xludf.DUMMYFUNCTION("GOOGLETRANSLATE(F3573,""EN"",""JA"")"),"生物標本中のシュウ酸の測定。")</f>
        <v>生物標本中のシュウ酸の測定。</v>
      </c>
      <c r="K3573" s="1" t="str">
        <f>IFERROR(__xludf.DUMMYFUNCTION("GOOGLETRANSLATE(G3573,""EN"",""JA"")"),"シュウ酸測定")</f>
        <v>シュウ酸測定</v>
      </c>
    </row>
    <row r="3574" ht="13.5" customHeight="1">
      <c r="A3574" s="1" t="s">
        <v>11</v>
      </c>
      <c r="B3574" s="1" t="s">
        <v>17930</v>
      </c>
      <c r="C3574" s="1" t="s">
        <v>17931</v>
      </c>
      <c r="D3574" s="1" t="s">
        <v>17932</v>
      </c>
      <c r="E3574" s="1" t="s">
        <v>17933</v>
      </c>
      <c r="F3574" s="1" t="s">
        <v>17934</v>
      </c>
      <c r="G3574" s="1" t="s">
        <v>17935</v>
      </c>
      <c r="H3574" s="1" t="str">
        <f>IFERROR(__xludf.DUMMYFUNCTION("GOOGLETRANSLATE(D3574,""EN"",""JA"")"),"オキサンドロロン")</f>
        <v>オキサンドロロン</v>
      </c>
      <c r="I3574" s="1" t="str">
        <f>IFERROR(__xludf.DUMMYFUNCTION("GOOGLETRANSLATE(E3574,""EN"",""JA"")"),"オサンドロロン; オキサンドロロン")</f>
        <v>オサンドロロン; オキサンドロロン</v>
      </c>
      <c r="J3574" s="1" t="str">
        <f>IFERROR(__xludf.DUMMYFUNCTION("GOOGLETRANSLATE(F3574,""EN"",""JA"")"),"生物標本中のオキサンドロロンの測定。")</f>
        <v>生物標本中のオキサンドロロンの測定。</v>
      </c>
      <c r="K3574" s="1" t="str">
        <f>IFERROR(__xludf.DUMMYFUNCTION("GOOGLETRANSLATE(G3574,""EN"",""JA"")"),"オキサンドロロン測定")</f>
        <v>オキサンドロロン測定</v>
      </c>
    </row>
    <row r="3575" ht="13.5" customHeight="1">
      <c r="A3575" s="1" t="s">
        <v>11</v>
      </c>
      <c r="B3575" s="1" t="s">
        <v>17936</v>
      </c>
      <c r="C3575" s="1" t="s">
        <v>17937</v>
      </c>
      <c r="D3575" s="1" t="s">
        <v>17938</v>
      </c>
      <c r="E3575" s="1" t="s">
        <v>17938</v>
      </c>
      <c r="F3575" s="1" t="s">
        <v>17939</v>
      </c>
      <c r="G3575" s="1" t="s">
        <v>17940</v>
      </c>
      <c r="H3575" s="1" t="str">
        <f>IFERROR(__xludf.DUMMYFUNCTION("GOOGLETRANSLATE(D3575,""EN"",""JA"")"),"オキシモルフォン")</f>
        <v>オキシモルフォン</v>
      </c>
      <c r="I3575" s="1" t="str">
        <f>IFERROR(__xludf.DUMMYFUNCTION("GOOGLETRANSLATE(E3575,""EN"",""JA"")"),"オキシモルフォン")</f>
        <v>オキシモルフォン</v>
      </c>
      <c r="J3575" s="1" t="str">
        <f>IFERROR(__xludf.DUMMYFUNCTION("GOOGLETRANSLATE(F3575,""EN"",""JA"")"),"生物標本中のオキシモルフォンの測定。")</f>
        <v>生物標本中のオキシモルフォンの測定。</v>
      </c>
      <c r="K3575" s="1" t="str">
        <f>IFERROR(__xludf.DUMMYFUNCTION("GOOGLETRANSLATE(G3575,""EN"",""JA"")"),"オキシモルフォン測定")</f>
        <v>オキシモルフォン測定</v>
      </c>
    </row>
    <row r="3576" ht="13.5" customHeight="1">
      <c r="A3576" s="1" t="s">
        <v>11</v>
      </c>
      <c r="B3576" s="1" t="s">
        <v>17941</v>
      </c>
      <c r="C3576" s="1" t="s">
        <v>17942</v>
      </c>
      <c r="D3576" s="1" t="s">
        <v>17943</v>
      </c>
      <c r="E3576" s="1" t="s">
        <v>17943</v>
      </c>
      <c r="F3576" s="1" t="s">
        <v>17944</v>
      </c>
      <c r="G3576" s="1" t="s">
        <v>17945</v>
      </c>
      <c r="H3576" s="1" t="str">
        <f>IFERROR(__xludf.DUMMYFUNCTION("GOOGLETRANSLATE(D3576,""EN"",""JA"")"),"オキシメステロン")</f>
        <v>オキシメステロン</v>
      </c>
      <c r="I3576" s="1" t="str">
        <f>IFERROR(__xludf.DUMMYFUNCTION("GOOGLETRANSLATE(E3576,""EN"",""JA"")"),"オキシメステロン")</f>
        <v>オキシメステロン</v>
      </c>
      <c r="J3576" s="1" t="str">
        <f>IFERROR(__xludf.DUMMYFUNCTION("GOOGLETRANSLATE(F3576,""EN"",""JA"")"),"生物標本中のオキシメステロンの測定。")</f>
        <v>生物標本中のオキシメステロンの測定。</v>
      </c>
      <c r="K3576" s="1" t="str">
        <f>IFERROR(__xludf.DUMMYFUNCTION("GOOGLETRANSLATE(G3576,""EN"",""JA"")"),"オキシメステロン測定")</f>
        <v>オキシメステロン測定</v>
      </c>
    </row>
    <row r="3577" ht="13.5" customHeight="1">
      <c r="A3577" s="1" t="s">
        <v>11</v>
      </c>
      <c r="B3577" s="1" t="s">
        <v>17946</v>
      </c>
      <c r="C3577" s="1" t="s">
        <v>17947</v>
      </c>
      <c r="D3577" s="1" t="s">
        <v>17948</v>
      </c>
      <c r="E3577" s="1" t="s">
        <v>17949</v>
      </c>
      <c r="F3577" s="1" t="s">
        <v>17950</v>
      </c>
      <c r="G3577" s="1" t="s">
        <v>17951</v>
      </c>
      <c r="H3577" s="1" t="str">
        <f>IFERROR(__xludf.DUMMYFUNCTION("GOOGLETRANSLATE(D3577,""EN"",""JA"")"),"オキシメトロン")</f>
        <v>オキシメトロン</v>
      </c>
      <c r="I3577" s="1" t="str">
        <f>IFERROR(__xludf.DUMMYFUNCTION("GOOGLETRANSLATE(E3577,""EN"",""JA"")"),"オキシメタロン; オキシメテノロン; オキシメトロン")</f>
        <v>オキシメタロン; オキシメテノロン; オキシメトロン</v>
      </c>
      <c r="J3577" s="1" t="str">
        <f>IFERROR(__xludf.DUMMYFUNCTION("GOOGLETRANSLATE(F3577,""EN"",""JA"")"),"生物標本中のオキシメトロンの測定。")</f>
        <v>生物標本中のオキシメトロンの測定。</v>
      </c>
      <c r="K3577" s="1" t="str">
        <f>IFERROR(__xludf.DUMMYFUNCTION("GOOGLETRANSLATE(G3577,""EN"",""JA"")"),"オキシメトロン測定")</f>
        <v>オキシメトロン測定</v>
      </c>
    </row>
    <row r="3578" ht="13.5" customHeight="1">
      <c r="A3578" s="1" t="s">
        <v>11</v>
      </c>
      <c r="B3578" s="1" t="s">
        <v>17952</v>
      </c>
      <c r="C3578" s="1" t="s">
        <v>17953</v>
      </c>
      <c r="D3578" s="1" t="s">
        <v>17954</v>
      </c>
      <c r="E3578" s="1" t="s">
        <v>17954</v>
      </c>
      <c r="F3578" s="1" t="s">
        <v>17955</v>
      </c>
      <c r="G3578" s="1" t="s">
        <v>17956</v>
      </c>
      <c r="H3578" s="1" t="str">
        <f>IFERROR(__xludf.DUMMYFUNCTION("GOOGLETRANSLATE(D3578,""EN"",""JA"")"),"酸素容量")</f>
        <v>酸素容量</v>
      </c>
      <c r="I3578" s="1" t="str">
        <f>IFERROR(__xludf.DUMMYFUNCTION("GOOGLETRANSLATE(E3578,""EN"",""JA"")"),"酸素容量")</f>
        <v>酸素容量</v>
      </c>
      <c r="J3578" s="1" t="str">
        <f>IFERROR(__xludf.DUMMYFUNCTION("GOOGLETRANSLATE(F3578,""EN"",""JA"")"),"血液量中のヘモグロビンと化学的に結合できる酸素の最大量の測定値。")</f>
        <v>血液量中のヘモグロビンと化学的に結合できる酸素の最大量の測定値。</v>
      </c>
      <c r="K3578" s="1" t="str">
        <f>IFERROR(__xludf.DUMMYFUNCTION("GOOGLETRANSLATE(G3578,""EN"",""JA"")"),"酸素容量測定")</f>
        <v>酸素容量測定</v>
      </c>
    </row>
    <row r="3579" ht="13.5" customHeight="1">
      <c r="A3579" s="1" t="s">
        <v>11</v>
      </c>
      <c r="B3579" s="1" t="s">
        <v>17957</v>
      </c>
      <c r="C3579" s="1" t="s">
        <v>17958</v>
      </c>
      <c r="D3579" s="1" t="s">
        <v>17959</v>
      </c>
      <c r="E3579" s="1" t="s">
        <v>17960</v>
      </c>
      <c r="F3579" s="1" t="s">
        <v>17961</v>
      </c>
      <c r="G3579" s="1" t="s">
        <v>17962</v>
      </c>
      <c r="H3579" s="1" t="str">
        <f>IFERROR(__xludf.DUMMYFUNCTION("GOOGLETRANSLATE(D3579,""EN"",""JA"")"),"オキシコドン")</f>
        <v>オキシコドン</v>
      </c>
      <c r="I3579" s="1" t="str">
        <f>IFERROR(__xludf.DUMMYFUNCTION("GOOGLETRANSLATE(E3579,""EN"",""JA"")"),"オキシコドン; オキシコンチン")</f>
        <v>オキシコドン; オキシコンチン</v>
      </c>
      <c r="J3579" s="1" t="str">
        <f>IFERROR(__xludf.DUMMYFUNCTION("GOOGLETRANSLATE(F3579,""EN"",""JA"")"),"生物学的標本中に存在するオキシコドンの測定。")</f>
        <v>生物学的標本中に存在するオキシコドンの測定。</v>
      </c>
      <c r="K3579" s="1" t="str">
        <f>IFERROR(__xludf.DUMMYFUNCTION("GOOGLETRANSLATE(G3579,""EN"",""JA"")"),"オキシコドン測定")</f>
        <v>オキシコドン測定</v>
      </c>
    </row>
    <row r="3580" ht="13.5" customHeight="1">
      <c r="A3580" s="1" t="s">
        <v>580</v>
      </c>
      <c r="B3580" s="1" t="s">
        <v>17963</v>
      </c>
      <c r="C3580" s="1" t="s">
        <v>17964</v>
      </c>
      <c r="D3580" s="1" t="s">
        <v>17965</v>
      </c>
      <c r="E3580" s="1" t="s">
        <v>17965</v>
      </c>
      <c r="F3580" s="1" t="s">
        <v>17966</v>
      </c>
      <c r="G3580" s="1" t="s">
        <v>17965</v>
      </c>
      <c r="H3580" s="1" t="str">
        <f>IFERROR(__xludf.DUMMYFUNCTION("GOOGLETRANSLATE(D3580,""EN"",""JA"")"),"酸素パルス")</f>
        <v>酸素パルス</v>
      </c>
      <c r="I3580" s="1" t="str">
        <f>IFERROR(__xludf.DUMMYFUNCTION("GOOGLETRANSLATE(E3580,""EN"",""JA"")"),"酸素パルス")</f>
        <v>酸素パルス</v>
      </c>
      <c r="J3580" s="1" t="str">
        <f>IFERROR(__xludf.DUMMYFUNCTION("GOOGLETRANSLATE(F3580,""EN"",""JA"")"),"安静時に身体が消費する心拍あたりの酸素量。")</f>
        <v>安静時に身体が消費する心拍あたりの酸素量。</v>
      </c>
      <c r="K3580" s="1" t="str">
        <f>IFERROR(__xludf.DUMMYFUNCTION("GOOGLETRANSLATE(G3580,""EN"",""JA"")"),"酸素パルス")</f>
        <v>酸素パルス</v>
      </c>
    </row>
    <row r="3581" ht="13.5" customHeight="1">
      <c r="A3581" s="1" t="s">
        <v>129</v>
      </c>
      <c r="B3581" s="1" t="s">
        <v>17967</v>
      </c>
      <c r="C3581" s="1" t="s">
        <v>17968</v>
      </c>
      <c r="D3581" s="1" t="s">
        <v>17969</v>
      </c>
      <c r="E3581" s="1" t="s">
        <v>17969</v>
      </c>
      <c r="F3581" s="1" t="s">
        <v>17970</v>
      </c>
      <c r="G3581" s="1" t="s">
        <v>17971</v>
      </c>
      <c r="H3581" s="1" t="str">
        <f>IFERROR(__xludf.DUMMYFUNCTION("GOOGLETRANSLATE(D3581,""EN"",""JA"")"),"酸素飽和度")</f>
        <v>酸素飽和度</v>
      </c>
      <c r="I3581" s="1" t="str">
        <f>IFERROR(__xludf.DUMMYFUNCTION("GOOGLETRANSLATE(E3581,""EN"",""JA"")"),"酸素飽和度")</f>
        <v>酸素飽和度</v>
      </c>
      <c r="J3581" s="1" t="str">
        <f>IFERROR(__xludf.DUMMYFUNCTION("GOOGLETRANSLATE(F3581,""EN"",""JA"")"),"一定量の血液中の酸素-ヘモグロビン飽和度の測定値。")</f>
        <v>一定量の血液中の酸素-ヘモグロビン飽和度の測定値。</v>
      </c>
      <c r="K3581" s="1" t="str">
        <f>IFERROR(__xludf.DUMMYFUNCTION("GOOGLETRANSLATE(G3581,""EN"",""JA"")"),"酸素飽和度測定")</f>
        <v>酸素飽和度測定</v>
      </c>
    </row>
    <row r="3582" ht="13.5" customHeight="1">
      <c r="A3582" s="1" t="s">
        <v>580</v>
      </c>
      <c r="B3582" s="1" t="s">
        <v>17967</v>
      </c>
      <c r="C3582" s="1" t="s">
        <v>17968</v>
      </c>
      <c r="D3582" s="1" t="s">
        <v>17969</v>
      </c>
      <c r="E3582" s="1" t="s">
        <v>17969</v>
      </c>
      <c r="F3582" s="1" t="s">
        <v>17970</v>
      </c>
      <c r="G3582" s="1" t="s">
        <v>17971</v>
      </c>
      <c r="H3582" s="1" t="str">
        <f>IFERROR(__xludf.DUMMYFUNCTION("GOOGLETRANSLATE(D3582,""EN"",""JA"")"),"酸素飽和度")</f>
        <v>酸素飽和度</v>
      </c>
      <c r="I3582" s="1" t="str">
        <f>IFERROR(__xludf.DUMMYFUNCTION("GOOGLETRANSLATE(E3582,""EN"",""JA"")"),"酸素飽和度")</f>
        <v>酸素飽和度</v>
      </c>
      <c r="J3582" s="1" t="str">
        <f>IFERROR(__xludf.DUMMYFUNCTION("GOOGLETRANSLATE(F3582,""EN"",""JA"")"),"一定量の血液中の酸素-ヘモグロビン飽和度の測定値。")</f>
        <v>一定量の血液中の酸素-ヘモグロビン飽和度の測定値。</v>
      </c>
      <c r="K3582" s="1" t="str">
        <f>IFERROR(__xludf.DUMMYFUNCTION("GOOGLETRANSLATE(G3582,""EN"",""JA"")"),"酸素飽和度測定")</f>
        <v>酸素飽和度測定</v>
      </c>
    </row>
    <row r="3583" ht="13.5" customHeight="1">
      <c r="A3583" s="1" t="s">
        <v>11</v>
      </c>
      <c r="B3583" s="1" t="s">
        <v>17967</v>
      </c>
      <c r="C3583" s="1" t="s">
        <v>17968</v>
      </c>
      <c r="D3583" s="1" t="s">
        <v>17969</v>
      </c>
      <c r="E3583" s="1" t="s">
        <v>17969</v>
      </c>
      <c r="F3583" s="1" t="s">
        <v>17970</v>
      </c>
      <c r="G3583" s="1" t="s">
        <v>17971</v>
      </c>
      <c r="H3583" s="1" t="str">
        <f>IFERROR(__xludf.DUMMYFUNCTION("GOOGLETRANSLATE(D3583,""EN"",""JA"")"),"酸素飽和度")</f>
        <v>酸素飽和度</v>
      </c>
      <c r="I3583" s="1" t="str">
        <f>IFERROR(__xludf.DUMMYFUNCTION("GOOGLETRANSLATE(E3583,""EN"",""JA"")"),"酸素飽和度")</f>
        <v>酸素飽和度</v>
      </c>
      <c r="J3583" s="1" t="str">
        <f>IFERROR(__xludf.DUMMYFUNCTION("GOOGLETRANSLATE(F3583,""EN"",""JA"")"),"一定量の血液中の酸素-ヘモグロビン飽和度の測定値。")</f>
        <v>一定量の血液中の酸素-ヘモグロビン飽和度の測定値。</v>
      </c>
      <c r="K3583" s="1" t="str">
        <f>IFERROR(__xludf.DUMMYFUNCTION("GOOGLETRANSLATE(G3583,""EN"",""JA"")"),"酸素飽和度測定")</f>
        <v>酸素飽和度測定</v>
      </c>
    </row>
    <row r="3584" ht="13.5" customHeight="1">
      <c r="A3584" s="1" t="s">
        <v>11</v>
      </c>
      <c r="B3584" s="1" t="s">
        <v>17972</v>
      </c>
      <c r="C3584" s="1" t="s">
        <v>17973</v>
      </c>
      <c r="D3584" s="1" t="s">
        <v>17974</v>
      </c>
      <c r="E3584" s="1" t="s">
        <v>17975</v>
      </c>
      <c r="F3584" s="1" t="s">
        <v>17976</v>
      </c>
      <c r="G3584" s="1" t="s">
        <v>17977</v>
      </c>
      <c r="H3584" s="1" t="str">
        <f>IFERROR(__xludf.DUMMYFUNCTION("GOOGLETRANSLATE(D3584,""EN"",""JA"")"),"オキシトシン")</f>
        <v>オキシトシン</v>
      </c>
      <c r="I3584" s="1" t="str">
        <f>IFERROR(__xludf.DUMMYFUNCTION("GOOGLETRANSLATE(E3584,""EN"",""JA"")"),"オキシトシン; オキシトキシン")</f>
        <v>オキシトシン; オキシトキシン</v>
      </c>
      <c r="J3584" s="1" t="str">
        <f>IFERROR(__xludf.DUMMYFUNCTION("GOOGLETRANSLATE(F3584,""EN"",""JA"")"),"生物標本中のオキシトシンホルモンの測定。")</f>
        <v>生物標本中のオキシトシンホルモンの測定。</v>
      </c>
      <c r="K3584" s="1" t="str">
        <f>IFERROR(__xludf.DUMMYFUNCTION("GOOGLETRANSLATE(G3584,""EN"",""JA"")"),"オキシトシン測定")</f>
        <v>オキシトシン測定</v>
      </c>
    </row>
    <row r="3585" ht="13.5" customHeight="1">
      <c r="A3585" s="1" t="s">
        <v>11</v>
      </c>
      <c r="B3585" s="1" t="s">
        <v>17978</v>
      </c>
      <c r="C3585" s="1" t="s">
        <v>17979</v>
      </c>
      <c r="D3585" s="1" t="s">
        <v>17980</v>
      </c>
      <c r="E3585" s="1" t="s">
        <v>17980</v>
      </c>
      <c r="F3585" s="1" t="s">
        <v>17981</v>
      </c>
      <c r="G3585" s="1" t="s">
        <v>17982</v>
      </c>
      <c r="H3585" s="1" t="str">
        <f>IFERROR(__xludf.DUMMYFUNCTION("GOOGLETRANSLATE(D3585,""EN"",""JA"")"),"オキサゼパム")</f>
        <v>オキサゼパム</v>
      </c>
      <c r="I3585" s="1" t="str">
        <f>IFERROR(__xludf.DUMMYFUNCTION("GOOGLETRANSLATE(E3585,""EN"",""JA"")"),"オキサゼパム")</f>
        <v>オキサゼパム</v>
      </c>
      <c r="J3585" s="1" t="str">
        <f>IFERROR(__xludf.DUMMYFUNCTION("GOOGLETRANSLATE(F3585,""EN"",""JA"")"),"生物学的標本中に存在するオキサゼパムの測定。")</f>
        <v>生物学的標本中に存在するオキサゼパムの測定。</v>
      </c>
      <c r="K3585" s="1" t="str">
        <f>IFERROR(__xludf.DUMMYFUNCTION("GOOGLETRANSLATE(G3585,""EN"",""JA"")"),"オキサゼパム測定")</f>
        <v>オキサゼパム測定</v>
      </c>
    </row>
    <row r="3586" ht="13.5" customHeight="1">
      <c r="A3586" s="1" t="s">
        <v>1168</v>
      </c>
      <c r="B3586" s="1" t="s">
        <v>17983</v>
      </c>
      <c r="C3586" s="1" t="s">
        <v>17984</v>
      </c>
      <c r="D3586" s="1" t="s">
        <v>17985</v>
      </c>
      <c r="E3586" s="1" t="s">
        <v>17985</v>
      </c>
      <c r="F3586" s="1" t="s">
        <v>17986</v>
      </c>
      <c r="G3586" s="1" t="s">
        <v>17985</v>
      </c>
      <c r="H3586" s="1" t="str">
        <f>IFERROR(__xludf.DUMMYFUNCTION("GOOGLETRANSLATE(D3586,""EN"",""JA"")"),"P波軸")</f>
        <v>P波軸</v>
      </c>
      <c r="I3586" s="1" t="str">
        <f>IFERROR(__xludf.DUMMYFUNCTION("GOOGLETRANSLATE(E3586,""EN"",""JA"")"),"P波軸")</f>
        <v>P波軸</v>
      </c>
      <c r="J3586" s="1" t="str">
        <f>IFERROR(__xludf.DUMMYFUNCTION("GOOGLETRANSLATE(F3586,""EN"",""JA"")"),"等電位ベースラインからの P 波の最大偏差で評価された心電図ベクトルの数値表現。通常は前頭部面で報告されます。")</f>
        <v>等電位ベースラインからの P 波の最大偏差で評価された心電図ベクトルの数値表現。通常は前頭部面で報告されます。</v>
      </c>
      <c r="K3586" s="1" t="str">
        <f>IFERROR(__xludf.DUMMYFUNCTION("GOOGLETRANSLATE(G3586,""EN"",""JA"")"),"P波軸")</f>
        <v>P波軸</v>
      </c>
    </row>
    <row r="3587" ht="13.5" customHeight="1">
      <c r="A3587" s="1" t="s">
        <v>176</v>
      </c>
      <c r="B3587" s="1" t="s">
        <v>17987</v>
      </c>
      <c r="C3587" s="1" t="s">
        <v>17988</v>
      </c>
      <c r="D3587" s="1" t="s">
        <v>17989</v>
      </c>
      <c r="E3587" s="1" t="s">
        <v>17989</v>
      </c>
      <c r="F3587" s="1" t="s">
        <v>17990</v>
      </c>
      <c r="G3587" s="1" t="s">
        <v>17991</v>
      </c>
      <c r="H3587" s="1" t="str">
        <f>IFERROR(__xludf.DUMMYFUNCTION("GOOGLETRANSLATE(D3587,""EN"",""JA"")"),"P100振幅")</f>
        <v>P100振幅</v>
      </c>
      <c r="I3587" s="1" t="str">
        <f>IFERROR(__xludf.DUMMYFUNCTION("GOOGLETRANSLATE(E3587,""EN"",""JA"")"),"P100振幅")</f>
        <v>P100振幅</v>
      </c>
      <c r="J3587" s="1" t="str">
        <f>IFERROR(__xludf.DUMMYFUNCTION("GOOGLETRANSLATE(F3587,""EN"",""JA"")"),"視覚誘発電位評価波形におけるP100波の振幅、または高さ。この評価では、N75の陰性ピークからP100の陽性ピークまでの高さを計算します。")</f>
        <v>視覚誘発電位評価波形におけるP100波の振幅、または高さ。この評価では、N75の陰性ピークからP100の陽性ピークまでの高さを計算します。</v>
      </c>
      <c r="K3587" s="1" t="str">
        <f>IFERROR(__xludf.DUMMYFUNCTION("GOOGLETRANSLATE(G3587,""EN"",""JA"")"),"N75～P100 ピークツーピーク振幅")</f>
        <v>N75～P100 ピークツーピーク振幅</v>
      </c>
    </row>
    <row r="3588" ht="13.5" customHeight="1">
      <c r="A3588" s="1" t="s">
        <v>176</v>
      </c>
      <c r="B3588" s="1" t="s">
        <v>17992</v>
      </c>
      <c r="C3588" s="1" t="s">
        <v>17993</v>
      </c>
      <c r="D3588" s="1" t="s">
        <v>17994</v>
      </c>
      <c r="E3588" s="1" t="s">
        <v>17994</v>
      </c>
      <c r="F3588" s="1" t="s">
        <v>17995</v>
      </c>
      <c r="G3588" s="1" t="s">
        <v>17994</v>
      </c>
      <c r="H3588" s="1" t="str">
        <f>IFERROR(__xludf.DUMMYFUNCTION("GOOGLETRANSLATE(D3588,""EN"",""JA"")"),"P100レイテンシ")</f>
        <v>P100レイテンシ</v>
      </c>
      <c r="I3588" s="1" t="str">
        <f>IFERROR(__xludf.DUMMYFUNCTION("GOOGLETRANSLATE(E3588,""EN"",""JA"")"),"P100レイテンシ")</f>
        <v>P100レイテンシ</v>
      </c>
      <c r="J3588" s="1" t="str">
        <f>IFERROR(__xludf.DUMMYFUNCTION("GOOGLETRANSLATE(F3588,""EN"",""JA"")"),"視覚誘発電位評価波形の P100 波または P1 波の潜時を評価します。")</f>
        <v>視覚誘発電位評価波形の P100 波または P1 波の潜時を評価します。</v>
      </c>
      <c r="K3588" s="1" t="str">
        <f>IFERROR(__xludf.DUMMYFUNCTION("GOOGLETRANSLATE(G3588,""EN"",""JA"")"),"P100レイテンシ")</f>
        <v>P100レイテンシ</v>
      </c>
    </row>
    <row r="3589" ht="13.5" customHeight="1">
      <c r="A3589" s="1" t="s">
        <v>134</v>
      </c>
      <c r="B3589" s="1" t="s">
        <v>17996</v>
      </c>
      <c r="C3589" s="1" t="s">
        <v>17997</v>
      </c>
      <c r="D3589" s="1" t="s">
        <v>17998</v>
      </c>
      <c r="E3589" s="1" t="s">
        <v>17999</v>
      </c>
      <c r="F3589" s="1" t="s">
        <v>18000</v>
      </c>
      <c r="G3589" s="1" t="s">
        <v>18001</v>
      </c>
      <c r="H3589" s="1" t="str">
        <f>IFERROR(__xludf.DUMMYFUNCTION("GOOGLETRANSLATE(D3589,""EN"",""JA"")"),"p16-INK4A")</f>
        <v>p16-INK4A</v>
      </c>
      <c r="I3589" s="1" t="str">
        <f>IFERROR(__xludf.DUMMYFUNCTION("GOOGLETRANSLATE(E3589,""EN"",""JA"")"),"CDK4I; サイクリン依存性キナーゼ阻害剤 2A p16; p16; p16 CDK4 の阻害剤; p16-INK4a")</f>
        <v>CDK4I; サイクリン依存性キナーゼ阻害剤 2A p16; p16; p16 CDK4 の阻害剤; p16-INK4a</v>
      </c>
      <c r="J3589" s="1" t="str">
        <f>IFERROR(__xludf.DUMMYFUNCTION("GOOGLETRANSLATE(F3589,""EN"",""JA"")"),"生物標本中の p16-INK4A の測定。")</f>
        <v>生物標本中の p16-INK4A の測定。</v>
      </c>
      <c r="K3589" s="1" t="str">
        <f>IFERROR(__xludf.DUMMYFUNCTION("GOOGLETRANSLATE(G3589,""EN"",""JA"")"),"p16-INK4A測定")</f>
        <v>p16-INK4A測定</v>
      </c>
    </row>
    <row r="3590" ht="13.5" customHeight="1">
      <c r="A3590" s="1" t="s">
        <v>11</v>
      </c>
      <c r="B3590" s="1" t="s">
        <v>18002</v>
      </c>
      <c r="C3590" s="1" t="s">
        <v>18003</v>
      </c>
      <c r="D3590" s="1" t="s">
        <v>18004</v>
      </c>
      <c r="E3590" s="1" t="s">
        <v>18005</v>
      </c>
      <c r="F3590" s="1" t="s">
        <v>18006</v>
      </c>
      <c r="G3590" s="1" t="s">
        <v>18007</v>
      </c>
      <c r="H3590" s="1" t="str">
        <f>IFERROR(__xludf.DUMMYFUNCTION("GOOGLETRANSLATE(D3590,""EN"",""JA"")"),"プロコラーゲン1 N末端プロペプチド")</f>
        <v>プロコラーゲン1 N末端プロペプチド</v>
      </c>
      <c r="I3590" s="1" t="str">
        <f>IFERROR(__xludf.DUMMYFUNCTION("GOOGLETRANSLATE(E3590,""EN"",""JA"")"),"1型プロコラーゲンのアミノ末端プロペプチド; P1NP アミノ末端 1型; プロコラーゲン1 N末端プロペプチド")</f>
        <v>1型プロコラーゲンのアミノ末端プロペプチド; P1NP アミノ末端 1型; プロコラーゲン1 N末端プロペプチド</v>
      </c>
      <c r="J3590" s="1" t="str">
        <f>IFERROR(__xludf.DUMMYFUNCTION("GOOGLETRANSLATE(F3590,""EN"",""JA"")"),"生物標本中のプロコラーゲン 1 N 末端プロペプチドの測定。")</f>
        <v>生物標本中のプロコラーゲン 1 N 末端プロペプチドの測定。</v>
      </c>
      <c r="K3590" s="1" t="str">
        <f>IFERROR(__xludf.DUMMYFUNCTION("GOOGLETRANSLATE(G3590,""EN"",""JA"")"),"プロコラーゲン1 N末端プロペプチド測定")</f>
        <v>プロコラーゲン1 N末端プロペプチド測定</v>
      </c>
    </row>
    <row r="3591" ht="13.5" customHeight="1">
      <c r="A3591" s="1" t="s">
        <v>11</v>
      </c>
      <c r="B3591" s="1" t="s">
        <v>18008</v>
      </c>
      <c r="C3591" s="1" t="s">
        <v>18009</v>
      </c>
      <c r="D3591" s="1" t="s">
        <v>18010</v>
      </c>
      <c r="E3591" s="1" t="s">
        <v>18011</v>
      </c>
      <c r="F3591" s="1" t="s">
        <v>18012</v>
      </c>
      <c r="G3591" s="1" t="s">
        <v>18013</v>
      </c>
      <c r="H3591" s="1" t="str">
        <f>IFERROR(__xludf.DUMMYFUNCTION("GOOGLETRANSLATE(D3591,""EN"",""JA"")"),"プロコラーゲン3 N末端プロペプチド")</f>
        <v>プロコラーゲン3 N末端プロペプチド</v>
      </c>
      <c r="I3591" s="1" t="str">
        <f>IFERROR(__xludf.DUMMYFUNCTION("GOOGLETRANSLATE(E3591,""EN"",""JA"")"),"N末端III型コラーゲンプロペプチド; PIIINP; プロコラーゲン3 N末端プロペプチド")</f>
        <v>N末端III型コラーゲンプロペプチド; PIIINP; プロコラーゲン3 N末端プロペプチド</v>
      </c>
      <c r="J3591" s="1" t="str">
        <f>IFERROR(__xludf.DUMMYFUNCTION("GOOGLETRANSLATE(F3591,""EN"",""JA"")"),"生物標本中のプロコラーゲン 3 N 末端プロペプチドの測定。")</f>
        <v>生物標本中のプロコラーゲン 3 N 末端プロペプチドの測定。</v>
      </c>
      <c r="K3591" s="1" t="str">
        <f>IFERROR(__xludf.DUMMYFUNCTION("GOOGLETRANSLATE(G3591,""EN"",""JA"")"),"プロコラーゲン3 N末端プロペプチド測定")</f>
        <v>プロコラーゲン3 N末端プロペプチド測定</v>
      </c>
    </row>
    <row r="3592" ht="13.5" customHeight="1">
      <c r="A3592" s="1" t="s">
        <v>11</v>
      </c>
      <c r="B3592" s="1" t="s">
        <v>18014</v>
      </c>
      <c r="C3592" s="1" t="s">
        <v>18015</v>
      </c>
      <c r="D3592" s="1" t="s">
        <v>18016</v>
      </c>
      <c r="E3592" s="1" t="s">
        <v>18016</v>
      </c>
      <c r="F3592" s="1" t="s">
        <v>18017</v>
      </c>
      <c r="G3592" s="1" t="s">
        <v>18018</v>
      </c>
      <c r="H3592" s="1" t="str">
        <f>IFERROR(__xludf.DUMMYFUNCTION("GOOGLETRANSLATE(D3592,""EN"",""JA"")"),"P50酸素")</f>
        <v>P50酸素</v>
      </c>
      <c r="I3592" s="1" t="str">
        <f>IFERROR(__xludf.DUMMYFUNCTION("GOOGLETRANSLATE(E3592,""EN"",""JA"")"),"P50酸素")</f>
        <v>P50酸素</v>
      </c>
      <c r="J3592" s="1" t="str">
        <f>IFERROR(__xludf.DUMMYFUNCTION("GOOGLETRANSLATE(F3592,""EN"",""JA"")"),"生物標本中のヘモグロビンが半分飽和したときの酸素分圧の測定値。")</f>
        <v>生物標本中のヘモグロビンが半分飽和したときの酸素分圧の測定値。</v>
      </c>
      <c r="K3592" s="1" t="str">
        <f>IFERROR(__xludf.DUMMYFUNCTION("GOOGLETRANSLATE(G3592,""EN"",""JA"")"),"P50酸素測定")</f>
        <v>P50酸素測定</v>
      </c>
    </row>
    <row r="3593" ht="13.5" customHeight="1">
      <c r="A3593" s="1" t="s">
        <v>134</v>
      </c>
      <c r="B3593" s="1" t="s">
        <v>18019</v>
      </c>
      <c r="C3593" s="1" t="s">
        <v>18020</v>
      </c>
      <c r="D3593" s="1" t="s">
        <v>18021</v>
      </c>
      <c r="E3593" s="1" t="s">
        <v>18021</v>
      </c>
      <c r="F3593" s="1" t="s">
        <v>18022</v>
      </c>
      <c r="G3593" s="1" t="s">
        <v>18023</v>
      </c>
      <c r="H3593" s="1" t="str">
        <f>IFERROR(__xludf.DUMMYFUNCTION("GOOGLETRANSLATE(D3593,""EN"",""JA"")"),"腫瘍タンパク質p53")</f>
        <v>腫瘍タンパク質p53</v>
      </c>
      <c r="I3593" s="1" t="str">
        <f>IFERROR(__xludf.DUMMYFUNCTION("GOOGLETRANSLATE(E3593,""EN"",""JA"")"),"腫瘍タンパク質p53")</f>
        <v>腫瘍タンパク質p53</v>
      </c>
      <c r="J3593" s="1" t="str">
        <f>IFERROR(__xludf.DUMMYFUNCTION("GOOGLETRANSLATE(F3593,""EN"",""JA"")"),"生物標本中の腫瘍タンパク質 p53 の測定。")</f>
        <v>生物標本中の腫瘍タンパク質 p53 の測定。</v>
      </c>
      <c r="K3593" s="1" t="str">
        <f>IFERROR(__xludf.DUMMYFUNCTION("GOOGLETRANSLATE(G3593,""EN"",""JA"")"),"細胞性腫瘍抗原p53測定")</f>
        <v>細胞性腫瘍抗原p53測定</v>
      </c>
    </row>
    <row r="3594" ht="13.5" customHeight="1">
      <c r="A3594" s="1" t="s">
        <v>11</v>
      </c>
      <c r="B3594" s="1" t="s">
        <v>18024</v>
      </c>
      <c r="C3594" s="1" t="s">
        <v>18025</v>
      </c>
      <c r="D3594" s="1" t="s">
        <v>18026</v>
      </c>
      <c r="E3594" s="1" t="s">
        <v>18027</v>
      </c>
      <c r="F3594" s="1" t="s">
        <v>18028</v>
      </c>
      <c r="G3594" s="1" t="s">
        <v>18029</v>
      </c>
      <c r="H3594" s="1" t="str">
        <f>IFERROR(__xludf.DUMMYFUNCTION("GOOGLETRANSLATE(D3594,""EN"",""JA"")"),"プラスミンα-2抗プラスミン複合体")</f>
        <v>プラスミンα-2抗プラスミン複合体</v>
      </c>
      <c r="I3594" s="1" t="str">
        <f>IFERROR(__xludf.DUMMYFUNCTION("GOOGLETRANSLATE(E3594,""EN"",""JA"")"),"PAP; プラスミンα-2抗プラスミン複合体")</f>
        <v>PAP; プラスミンα-2抗プラスミン複合体</v>
      </c>
      <c r="J3594" s="1" t="str">
        <f>IFERROR(__xludf.DUMMYFUNCTION("GOOGLETRANSLATE(F3594,""EN"",""JA"")"),"生物標本中のプラスミン α-2 抗プラスミン複合体の測定。")</f>
        <v>生物標本中のプラスミン α-2 抗プラスミン複合体の測定。</v>
      </c>
      <c r="K3594" s="1" t="str">
        <f>IFERROR(__xludf.DUMMYFUNCTION("GOOGLETRANSLATE(G3594,""EN"",""JA"")"),"プラスミンα-2抗プラスミン複合体測定")</f>
        <v>プラスミンα-2抗プラスミン複合体測定</v>
      </c>
    </row>
    <row r="3595" ht="13.5" customHeight="1">
      <c r="A3595" s="1" t="s">
        <v>11</v>
      </c>
      <c r="B3595" s="1" t="s">
        <v>18030</v>
      </c>
      <c r="C3595" s="1" t="s">
        <v>18031</v>
      </c>
      <c r="D3595" s="1" t="s">
        <v>18032</v>
      </c>
      <c r="E3595" s="1" t="s">
        <v>18033</v>
      </c>
      <c r="F3595" s="1" t="s">
        <v>18034</v>
      </c>
      <c r="G3595" s="1" t="s">
        <v>18035</v>
      </c>
      <c r="H3595" s="1" t="str">
        <f>IFERROR(__xludf.DUMMYFUNCTION("GOOGLETRANSLATE(D3595,""EN"",""JA"")"),"パラアミノ安息香酸")</f>
        <v>パラアミノ安息香酸</v>
      </c>
      <c r="I3595" s="1" t="str">
        <f>IFERROR(__xludf.DUMMYFUNCTION("GOOGLETRANSLATE(E3595,""EN"",""JA"")"),"パラアミノ安息香酸")</f>
        <v>パラアミノ安息香酸</v>
      </c>
      <c r="J3595" s="1" t="str">
        <f>IFERROR(__xludf.DUMMYFUNCTION("GOOGLETRANSLATE(F3595,""EN"",""JA"")"),"生物標本中のパラアミノ安息香酸の測定。")</f>
        <v>生物標本中のパラアミノ安息香酸の測定。</v>
      </c>
      <c r="K3595" s="1" t="str">
        <f>IFERROR(__xludf.DUMMYFUNCTION("GOOGLETRANSLATE(G3595,""EN"",""JA"")"),"パラアミノ安息香酸測定")</f>
        <v>パラアミノ安息香酸測定</v>
      </c>
    </row>
    <row r="3596" ht="13.5" customHeight="1">
      <c r="A3596" s="1" t="s">
        <v>1168</v>
      </c>
      <c r="B3596" s="1" t="s">
        <v>18036</v>
      </c>
      <c r="C3596" s="1" t="s">
        <v>18037</v>
      </c>
      <c r="D3596" s="1" t="s">
        <v>18038</v>
      </c>
      <c r="E3596" s="1" t="s">
        <v>18038</v>
      </c>
      <c r="F3596" s="1" t="s">
        <v>18039</v>
      </c>
      <c r="G3596" s="1" t="s">
        <v>18040</v>
      </c>
      <c r="H3596" s="1" t="str">
        <f>IFERROR(__xludf.DUMMYFUNCTION("GOOGLETRANSLATE(D3596,""EN"",""JA"")"),"ペースメーカー")</f>
        <v>ペースメーカー</v>
      </c>
      <c r="I3596" s="1" t="str">
        <f>IFERROR(__xludf.DUMMYFUNCTION("GOOGLETRANSLATE(E3596,""EN"",""JA"")"),"ペースメーカー")</f>
        <v>ペースメーカー</v>
      </c>
      <c r="J3596" s="1" t="str">
        <f>IFERROR(__xludf.DUMMYFUNCTION("GOOGLETRANSLATE(F3596,""EN"",""JA"")"),"人工電子ペーシングの存在の心電図評価。")</f>
        <v>人工電子ペーシングの存在の心電図評価。</v>
      </c>
      <c r="K3596" s="1" t="str">
        <f>IFERROR(__xludf.DUMMYFUNCTION("GOOGLETRANSLATE(G3596,""EN"",""JA"")"),"ペースメーカー心電図評価")</f>
        <v>ペースメーカー心電図評価</v>
      </c>
    </row>
    <row r="3597" ht="13.5" customHeight="1">
      <c r="A3597" s="1" t="s">
        <v>1168</v>
      </c>
      <c r="B3597" s="1" t="s">
        <v>18036</v>
      </c>
      <c r="C3597" s="1" t="s">
        <v>18037</v>
      </c>
      <c r="D3597" s="1" t="s">
        <v>18038</v>
      </c>
      <c r="E3597" s="1" t="s">
        <v>18038</v>
      </c>
      <c r="F3597" s="1" t="s">
        <v>18039</v>
      </c>
      <c r="G3597" s="1" t="s">
        <v>18040</v>
      </c>
      <c r="H3597" s="1" t="str">
        <f>IFERROR(__xludf.DUMMYFUNCTION("GOOGLETRANSLATE(D3597,""EN"",""JA"")"),"ペースメーカー")</f>
        <v>ペースメーカー</v>
      </c>
      <c r="I3597" s="1" t="str">
        <f>IFERROR(__xludf.DUMMYFUNCTION("GOOGLETRANSLATE(E3597,""EN"",""JA"")"),"ペースメーカー")</f>
        <v>ペースメーカー</v>
      </c>
      <c r="J3597" s="1" t="str">
        <f>IFERROR(__xludf.DUMMYFUNCTION("GOOGLETRANSLATE(F3597,""EN"",""JA"")"),"人工電子ペーシングの存在の心電図評価。")</f>
        <v>人工電子ペーシングの存在の心電図評価。</v>
      </c>
      <c r="K3597" s="1" t="str">
        <f>IFERROR(__xludf.DUMMYFUNCTION("GOOGLETRANSLATE(G3597,""EN"",""JA"")"),"ペースメーカー心電図評価")</f>
        <v>ペースメーカー心電図評価</v>
      </c>
    </row>
    <row r="3598" ht="13.5" customHeight="1">
      <c r="A3598" s="1" t="s">
        <v>1168</v>
      </c>
      <c r="B3598" s="1" t="s">
        <v>18036</v>
      </c>
      <c r="C3598" s="1" t="s">
        <v>18037</v>
      </c>
      <c r="D3598" s="1" t="s">
        <v>18038</v>
      </c>
      <c r="E3598" s="1" t="s">
        <v>18038</v>
      </c>
      <c r="F3598" s="1" t="s">
        <v>18039</v>
      </c>
      <c r="G3598" s="1" t="s">
        <v>18040</v>
      </c>
      <c r="H3598" s="1" t="str">
        <f>IFERROR(__xludf.DUMMYFUNCTION("GOOGLETRANSLATE(D3598,""EN"",""JA"")"),"ペースメーカー")</f>
        <v>ペースメーカー</v>
      </c>
      <c r="I3598" s="1" t="str">
        <f>IFERROR(__xludf.DUMMYFUNCTION("GOOGLETRANSLATE(E3598,""EN"",""JA"")"),"ペースメーカー")</f>
        <v>ペースメーカー</v>
      </c>
      <c r="J3598" s="1" t="str">
        <f>IFERROR(__xludf.DUMMYFUNCTION("GOOGLETRANSLATE(F3598,""EN"",""JA"")"),"人工電子ペーシングの存在の心電図評価。")</f>
        <v>人工電子ペーシングの存在の心電図評価。</v>
      </c>
      <c r="K3598" s="1" t="str">
        <f>IFERROR(__xludf.DUMMYFUNCTION("GOOGLETRANSLATE(G3598,""EN"",""JA"")"),"ペースメーカー心電図評価")</f>
        <v>ペースメーカー心電図評価</v>
      </c>
    </row>
    <row r="3599" ht="13.5" customHeight="1">
      <c r="A3599" s="1" t="s">
        <v>1168</v>
      </c>
      <c r="B3599" s="1" t="s">
        <v>18036</v>
      </c>
      <c r="C3599" s="1" t="s">
        <v>18037</v>
      </c>
      <c r="D3599" s="1" t="s">
        <v>18038</v>
      </c>
      <c r="E3599" s="1" t="s">
        <v>18038</v>
      </c>
      <c r="F3599" s="1" t="s">
        <v>18039</v>
      </c>
      <c r="G3599" s="1" t="s">
        <v>18040</v>
      </c>
      <c r="H3599" s="1" t="str">
        <f>IFERROR(__xludf.DUMMYFUNCTION("GOOGLETRANSLATE(D3599,""EN"",""JA"")"),"ペースメーカー")</f>
        <v>ペースメーカー</v>
      </c>
      <c r="I3599" s="1" t="str">
        <f>IFERROR(__xludf.DUMMYFUNCTION("GOOGLETRANSLATE(E3599,""EN"",""JA"")"),"ペースメーカー")</f>
        <v>ペースメーカー</v>
      </c>
      <c r="J3599" s="1" t="str">
        <f>IFERROR(__xludf.DUMMYFUNCTION("GOOGLETRANSLATE(F3599,""EN"",""JA"")"),"人工電子ペーシングの存在の心電図評価。")</f>
        <v>人工電子ペーシングの存在の心電図評価。</v>
      </c>
      <c r="K3599" s="1" t="str">
        <f>IFERROR(__xludf.DUMMYFUNCTION("GOOGLETRANSLATE(G3599,""EN"",""JA"")"),"ペースメーカー心電図評価")</f>
        <v>ペースメーカー心電図評価</v>
      </c>
    </row>
    <row r="3600" ht="13.5" customHeight="1">
      <c r="A3600" s="1" t="s">
        <v>67</v>
      </c>
      <c r="B3600" s="1" t="s">
        <v>18041</v>
      </c>
      <c r="C3600" s="1" t="s">
        <v>18042</v>
      </c>
      <c r="D3600" s="1" t="s">
        <v>18043</v>
      </c>
      <c r="E3600" s="1" t="s">
        <v>18043</v>
      </c>
      <c r="F3600" s="1" t="s">
        <v>18044</v>
      </c>
      <c r="G3600" s="1" t="s">
        <v>18045</v>
      </c>
      <c r="H3600" s="1" t="str">
        <f>IFERROR(__xludf.DUMMYFUNCTION("GOOGLETRANSLATE(D3600,""EN"",""JA"")"),"緑膿菌")</f>
        <v>緑膿菌</v>
      </c>
      <c r="I3600" s="1" t="str">
        <f>IFERROR(__xludf.DUMMYFUNCTION("GOOGLETRANSLATE(E3600,""EN"",""JA"")"),"緑膿菌")</f>
        <v>緑膿菌</v>
      </c>
      <c r="J3600" s="1" t="str">
        <f>IFERROR(__xludf.DUMMYFUNCTION("GOOGLETRANSLATE(F3600,""EN"",""JA"")"),"生物標本中の緑膿菌の測定。")</f>
        <v>生物標本中の緑膿菌の測定。</v>
      </c>
      <c r="K3600" s="1" t="str">
        <f>IFERROR(__xludf.DUMMYFUNCTION("GOOGLETRANSLATE(G3600,""EN"",""JA"")"),"緑膿菌測定")</f>
        <v>緑膿菌測定</v>
      </c>
    </row>
    <row r="3601" ht="13.5" customHeight="1">
      <c r="A3601" s="1" t="s">
        <v>67</v>
      </c>
      <c r="B3601" s="1" t="s">
        <v>18046</v>
      </c>
      <c r="C3601" s="1" t="s">
        <v>18047</v>
      </c>
      <c r="D3601" s="1" t="s">
        <v>18048</v>
      </c>
      <c r="E3601" s="1" t="s">
        <v>18048</v>
      </c>
      <c r="F3601" s="1" t="s">
        <v>18049</v>
      </c>
      <c r="G3601" s="1" t="s">
        <v>18050</v>
      </c>
      <c r="H3601" s="1" t="str">
        <f>IFERROR(__xludf.DUMMYFUNCTION("GOOGLETRANSLATE(D3601,""EN"",""JA"")"),"緑膿菌DNA")</f>
        <v>緑膿菌DNA</v>
      </c>
      <c r="I3601" s="1" t="str">
        <f>IFERROR(__xludf.DUMMYFUNCTION("GOOGLETRANSLATE(E3601,""EN"",""JA"")"),"緑膿菌DNA")</f>
        <v>緑膿菌DNA</v>
      </c>
      <c r="J3601" s="1" t="str">
        <f>IFERROR(__xludf.DUMMYFUNCTION("GOOGLETRANSLATE(F3601,""EN"",""JA"")"),"生物標本中の Pseudomonas aeruginosa DNA の測定。")</f>
        <v>生物標本中の Pseudomonas aeruginosa DNA の測定。</v>
      </c>
      <c r="K3601" s="1" t="str">
        <f>IFERROR(__xludf.DUMMYFUNCTION("GOOGLETRANSLATE(G3601,""EN"",""JA"")"),"緑膿菌DNA測定")</f>
        <v>緑膿菌DNA測定</v>
      </c>
    </row>
    <row r="3602" ht="13.5" customHeight="1">
      <c r="A3602" s="1" t="s">
        <v>67</v>
      </c>
      <c r="B3602" s="1" t="s">
        <v>18051</v>
      </c>
      <c r="C3602" s="1" t="s">
        <v>18052</v>
      </c>
      <c r="D3602" s="1" t="s">
        <v>18053</v>
      </c>
      <c r="E3602" s="1" t="s">
        <v>18054</v>
      </c>
      <c r="F3602" s="1" t="s">
        <v>18055</v>
      </c>
      <c r="G3602" s="1" t="s">
        <v>18056</v>
      </c>
      <c r="H3602" s="1" t="str">
        <f>IFERROR(__xludf.DUMMYFUNCTION("GOOGLETRANSLATE(D3602,""EN"",""JA"")"),"P. aeruginosa、ムコイド")</f>
        <v>P. aeruginosa、ムコイド</v>
      </c>
      <c r="I3602" s="1" t="str">
        <f>IFERROR(__xludf.DUMMYFUNCTION("GOOGLETRANSLATE(E3602,""EN"",""JA"")"),"P. aeruginosa, ムコイド; Pseudomonas aeruginosa, ムコイド")</f>
        <v>P. aeruginosa, ムコイド; Pseudomonas aeruginosa, ムコイド</v>
      </c>
      <c r="J3602" s="1" t="str">
        <f>IFERROR(__xludf.DUMMYFUNCTION("GOOGLETRANSLATE(F3602,""EN"",""JA"")"),"生物標本中の緑膿菌の粘液株の測定。")</f>
        <v>生物標本中の緑膿菌の粘液株の測定。</v>
      </c>
      <c r="K3602" s="1" t="str">
        <f>IFERROR(__xludf.DUMMYFUNCTION("GOOGLETRANSLATE(G3602,""EN"",""JA"")"),"粘液性緑膿菌測定")</f>
        <v>粘液性緑膿菌測定</v>
      </c>
    </row>
    <row r="3603" ht="13.5" customHeight="1">
      <c r="A3603" s="1" t="s">
        <v>67</v>
      </c>
      <c r="B3603" s="1" t="s">
        <v>18057</v>
      </c>
      <c r="C3603" s="1" t="s">
        <v>18058</v>
      </c>
      <c r="D3603" s="1" t="s">
        <v>18059</v>
      </c>
      <c r="E3603" s="1" t="s">
        <v>18060</v>
      </c>
      <c r="F3603" s="1" t="s">
        <v>18061</v>
      </c>
      <c r="G3603" s="1" t="s">
        <v>18062</v>
      </c>
      <c r="H3603" s="1" t="str">
        <f>IFERROR(__xludf.DUMMYFUNCTION("GOOGLETRANSLATE(D3603,""EN"",""JA"")"),"非粘液性緑膿菌")</f>
        <v>非粘液性緑膿菌</v>
      </c>
      <c r="I3603" s="1" t="str">
        <f>IFERROR(__xludf.DUMMYFUNCTION("GOOGLETRANSLATE(E3603,""EN"",""JA"")"),"非ムコイド性緑膿菌; 非ムコイド性緑膿菌")</f>
        <v>非ムコイド性緑膿菌; 非ムコイド性緑膿菌</v>
      </c>
      <c r="J3603" s="1" t="str">
        <f>IFERROR(__xludf.DUMMYFUNCTION("GOOGLETRANSLATE(F3603,""EN"",""JA"")"),"生物標本中の Pseudomonas aeruginosa の非粘液性株の測定。")</f>
        <v>生物標本中の Pseudomonas aeruginosa の非粘液性株の測定。</v>
      </c>
      <c r="K3603" s="1" t="str">
        <f>IFERROR(__xludf.DUMMYFUNCTION("GOOGLETRANSLATE(G3603,""EN"",""JA"")"),"非粘液性緑膿菌測定")</f>
        <v>非粘液性緑膿菌測定</v>
      </c>
    </row>
    <row r="3604" ht="13.5" customHeight="1">
      <c r="A3604" s="1" t="s">
        <v>67</v>
      </c>
      <c r="B3604" s="1" t="s">
        <v>18063</v>
      </c>
      <c r="C3604" s="1" t="s">
        <v>18064</v>
      </c>
      <c r="D3604" s="1" t="s">
        <v>18065</v>
      </c>
      <c r="E3604" s="1" t="s">
        <v>18066</v>
      </c>
      <c r="F3604" s="1" t="s">
        <v>18067</v>
      </c>
      <c r="G3604" s="1" t="s">
        <v>18068</v>
      </c>
      <c r="H3604" s="1" t="str">
        <f>IFERROR(__xludf.DUMMYFUNCTION("GOOGLETRANSLATE(D3604,""EN"",""JA"")"),"P. aeruginosa、小コロニー変異体")</f>
        <v>P. aeruginosa、小コロニー変異体</v>
      </c>
      <c r="I3604" s="1" t="str">
        <f>IFERROR(__xludf.DUMMYFUNCTION("GOOGLETRANSLATE(E3604,""EN"",""JA"")"),"Pseudomonas aeruginosa、小コロニー変異体; Pseudomonas aeruginosa、SCV; Pseudomonas aeruginosa、小コロニー変異体")</f>
        <v>Pseudomonas aeruginosa、小コロニー変異体; Pseudomonas aeruginosa、SCV; Pseudomonas aeruginosa、小コロニー変異体</v>
      </c>
      <c r="J3604" s="1" t="str">
        <f>IFERROR(__xludf.DUMMYFUNCTION("GOOGLETRANSLATE(F3604,""EN"",""JA"")"),"生物標本中の緑膿菌の小コロニー変異株の測定。")</f>
        <v>生物標本中の緑膿菌の小コロニー変異株の測定。</v>
      </c>
      <c r="K3604" s="1" t="str">
        <f>IFERROR(__xludf.DUMMYFUNCTION("GOOGLETRANSLATE(G3604,""EN"",""JA"")"),"小コロニー変異型緑膿菌の測定")</f>
        <v>小コロニー変異型緑膿菌の測定</v>
      </c>
    </row>
    <row r="3605" ht="13.5" customHeight="1">
      <c r="A3605" s="1" t="s">
        <v>11</v>
      </c>
      <c r="B3605" s="1" t="s">
        <v>18069</v>
      </c>
      <c r="C3605" s="1" t="s">
        <v>18070</v>
      </c>
      <c r="D3605" s="1" t="s">
        <v>18071</v>
      </c>
      <c r="E3605" s="1" t="s">
        <v>18071</v>
      </c>
      <c r="F3605" s="1" t="s">
        <v>18072</v>
      </c>
      <c r="G3605" s="1" t="s">
        <v>18073</v>
      </c>
      <c r="H3605" s="1" t="str">
        <f>IFERROR(__xludf.DUMMYFUNCTION("GOOGLETRANSLATE(D3605,""EN"",""JA"")"),"血小板活性化因子")</f>
        <v>血小板活性化因子</v>
      </c>
      <c r="I3605" s="1" t="str">
        <f>IFERROR(__xludf.DUMMYFUNCTION("GOOGLETRANSLATE(E3605,""EN"",""JA"")"),"血小板活性化因子")</f>
        <v>血小板活性化因子</v>
      </c>
      <c r="J3605" s="1" t="str">
        <f>IFERROR(__xludf.DUMMYFUNCTION("GOOGLETRANSLATE(F3605,""EN"",""JA"")"),"生物標本中の血小板活性化因子の測定。")</f>
        <v>生物標本中の血小板活性化因子の測定。</v>
      </c>
      <c r="K3605" s="1" t="str">
        <f>IFERROR(__xludf.DUMMYFUNCTION("GOOGLETRANSLATE(G3605,""EN"",""JA"")"),"血小板活性化因子測定")</f>
        <v>血小板活性化因子測定</v>
      </c>
    </row>
    <row r="3606" ht="13.5" customHeight="1">
      <c r="A3606" s="1" t="s">
        <v>67</v>
      </c>
      <c r="B3606" s="1" t="s">
        <v>18074</v>
      </c>
      <c r="C3606" s="1" t="s">
        <v>18075</v>
      </c>
      <c r="D3606" s="1" t="s">
        <v>18076</v>
      </c>
      <c r="E3606" s="1" t="s">
        <v>18077</v>
      </c>
      <c r="F3606" s="1" t="s">
        <v>18078</v>
      </c>
      <c r="G3606" s="1" t="s">
        <v>18079</v>
      </c>
      <c r="H3606" s="1" t="str">
        <f>IFERROR(__xludf.DUMMYFUNCTION("GOOGLETRANSLATE(D3606,""EN"",""JA"")"),"マラリア原虫抗原、MLTTRG")</f>
        <v>マラリア原虫抗原、MLTTRG</v>
      </c>
      <c r="I3606" s="1" t="str">
        <f>IFERROR(__xludf.DUMMYFUNCTION("GOOGLETRANSLATE(E3606,""EN"",""JA"")"),"マラリア原虫抗原、MLTTRG; マラリア原虫抗原、マルチターゲット")</f>
        <v>マラリア原虫抗原、MLTTRG; マラリア原虫抗原、マルチターゲット</v>
      </c>
      <c r="J3606" s="1" t="str">
        <f>IFERROR(__xludf.DUMMYFUNCTION("GOOGLETRANSLATE(F3606,""EN"",""JA"")"),"生物検体中のマラリア原虫抗原の測定。これは多標的検査です。")</f>
        <v>生物検体中のマラリア原虫抗原の測定。これは多標的検査です。</v>
      </c>
      <c r="K3606" s="1" t="str">
        <f>IFERROR(__xludf.DUMMYFUNCTION("GOOGLETRANSLATE(G3606,""EN"",""JA"")"),"マラリア原虫抗原測定")</f>
        <v>マラリア原虫抗原測定</v>
      </c>
    </row>
    <row r="3607" ht="13.5" customHeight="1">
      <c r="A3607" s="1" t="s">
        <v>11</v>
      </c>
      <c r="B3607" s="1" t="s">
        <v>18080</v>
      </c>
      <c r="C3607" s="1" t="s">
        <v>18081</v>
      </c>
      <c r="D3607" s="1" t="s">
        <v>18082</v>
      </c>
      <c r="E3607" s="1" t="s">
        <v>18083</v>
      </c>
      <c r="F3607" s="1" t="s">
        <v>18084</v>
      </c>
      <c r="G3607" s="1" t="s">
        <v>18085</v>
      </c>
      <c r="H3607" s="1" t="str">
        <f>IFERROR(__xludf.DUMMYFUNCTION("GOOGLETRANSLATE(D3607,""EN"",""JA"")"),"パラアミノ馬尿酸")</f>
        <v>パラアミノ馬尿酸</v>
      </c>
      <c r="I3607" s="1" t="str">
        <f>IFERROR(__xludf.DUMMYFUNCTION("GOOGLETRANSLATE(E3607,""EN"",""JA"")"),"4-アミノ馬尿酸; P-アミノ馬尿酸; P-アミノ馬尿酸; PAH;パラアミノ馬酸塩;パラアミノ馬尿酸;パラアミノ馬尿酸;パラアミノ馬尿酸")</f>
        <v>4-アミノ馬尿酸; P-アミノ馬尿酸; P-アミノ馬尿酸; PAH;パラアミノ馬酸塩;パラアミノ馬尿酸;パラアミノ馬尿酸;パラアミノ馬尿酸</v>
      </c>
      <c r="J3607" s="1" t="str">
        <f>IFERROR(__xludf.DUMMYFUNCTION("GOOGLETRANSLATE(F3607,""EN"",""JA"")"),"生物標本中のパラアミノ馬尿酸の測定。")</f>
        <v>生物標本中のパラアミノ馬尿酸の測定。</v>
      </c>
      <c r="K3607" s="1" t="str">
        <f>IFERROR(__xludf.DUMMYFUNCTION("GOOGLETRANSLATE(G3607,""EN"",""JA"")"),"パラアミノ馬尿酸の測定")</f>
        <v>パラアミノ馬尿酸の測定</v>
      </c>
    </row>
    <row r="3608" ht="13.5" customHeight="1">
      <c r="A3608" s="1" t="s">
        <v>11</v>
      </c>
      <c r="B3608" s="1" t="s">
        <v>18086</v>
      </c>
      <c r="C3608" s="1" t="s">
        <v>18087</v>
      </c>
      <c r="D3608" s="1" t="s">
        <v>18088</v>
      </c>
      <c r="E3608" s="1" t="s">
        <v>18089</v>
      </c>
      <c r="F3608" s="1" t="s">
        <v>18090</v>
      </c>
      <c r="G3608" s="1" t="s">
        <v>18091</v>
      </c>
      <c r="H3608" s="1" t="str">
        <f>IFERROR(__xludf.DUMMYFUNCTION("GOOGLETRANSLATE(D3608,""EN"",""JA"")"),"パラアミノ馬酸クリアランス")</f>
        <v>パラアミノ馬酸クリアランス</v>
      </c>
      <c r="I3608" s="1" t="str">
        <f>IFERROR(__xludf.DUMMYFUNCTION("GOOGLETRANSLATE(E3608,""EN"",""JA"")"),"4-アミノ馬尿酸クリアランス、P-アミノ馬尿酸クリアランス、P-アミノ馬尿酸クリアランス、PAHクリアランス、パラアミノ馬尿酸クリアランス、パラアミノ馬尿酸クリアランス、パラアミノ馬尿酸クリアランス、パラアミノ馬尿酸クリアランス")</f>
        <v>4-アミノ馬尿酸クリアランス、P-アミノ馬尿酸クリアランス、P-アミノ馬尿酸クリアランス、PAHクリアランス、パラアミノ馬尿酸クリアランス、パラアミノ馬尿酸クリアランス、パラアミノ馬尿酸クリアランス、パラアミノ馬尿酸クリアランス</v>
      </c>
      <c r="J3608" s="1" t="str">
        <f>IFERROR(__xludf.DUMMYFUNCTION("GOOGLETRANSLATE(F3608,""EN"",""JA"")"),"指定された時間単位（例：1 分）に尿として排泄され、パラアミノ馬尿酸が除去される血清または血漿の量の測定値。")</f>
        <v>指定された時間単位（例：1 分）に尿として排泄され、パラアミノ馬尿酸が除去される血清または血漿の量の測定値。</v>
      </c>
      <c r="K3608" s="1" t="str">
        <f>IFERROR(__xludf.DUMMYFUNCTION("GOOGLETRANSLATE(G3608,""EN"",""JA"")"),"パラアミノ馬尿酸クリアランス測定")</f>
        <v>パラアミノ馬尿酸クリアランス測定</v>
      </c>
    </row>
    <row r="3609" ht="13.5" customHeight="1">
      <c r="A3609" s="1" t="s">
        <v>90</v>
      </c>
      <c r="B3609" s="1" t="s">
        <v>18092</v>
      </c>
      <c r="C3609" s="1" t="s">
        <v>18093</v>
      </c>
      <c r="D3609" s="1" t="s">
        <v>18094</v>
      </c>
      <c r="E3609" s="1" t="s">
        <v>18095</v>
      </c>
      <c r="F3609" s="1" t="s">
        <v>18096</v>
      </c>
      <c r="G3609" s="1" t="s">
        <v>18097</v>
      </c>
      <c r="H3609" s="1" t="str">
        <f>IFERROR(__xludf.DUMMYFUNCTION("GOOGLETRANSLATE(D3609,""EN"",""JA"")"),"肺動脈性高血圧症")</f>
        <v>肺動脈性高血圧症</v>
      </c>
      <c r="I3609" s="1" t="str">
        <f>IFERROR(__xludf.DUMMYFUNCTION("GOOGLETRANSLATE(E3609,""EN"",""JA"")"),"肺動脈性高血圧症指標")</f>
        <v>肺動脈性高血圧症指標</v>
      </c>
      <c r="J3609" s="1" t="str">
        <f>IFERROR(__xludf.DUMMYFUNCTION("GOOGLETRANSLATE(F3609,""EN"",""JA"")"),"肺動脈性高血圧症が存在するかどうかを示す指標。")</f>
        <v>肺動脈性高血圧症が存在するかどうかを示す指標。</v>
      </c>
      <c r="K3609" s="1" t="str">
        <f>IFERROR(__xludf.DUMMYFUNCTION("GOOGLETRANSLATE(G3609,""EN"",""JA"")"),"肺動脈性高血圧指標")</f>
        <v>肺動脈性高血圧指標</v>
      </c>
    </row>
    <row r="3610" ht="13.5" customHeight="1">
      <c r="A3610" s="1" t="s">
        <v>11</v>
      </c>
      <c r="B3610" s="1" t="s">
        <v>18098</v>
      </c>
      <c r="C3610" s="1" t="s">
        <v>18099</v>
      </c>
      <c r="D3610" s="1" t="s">
        <v>18100</v>
      </c>
      <c r="E3610" s="1" t="s">
        <v>18101</v>
      </c>
      <c r="F3610" s="1" t="s">
        <v>18102</v>
      </c>
      <c r="G3610" s="1" t="s">
        <v>18103</v>
      </c>
      <c r="H3610" s="1" t="str">
        <f>IFERROR(__xludf.DUMMYFUNCTION("GOOGLETRANSLATE(D3610,""EN"",""JA"")"),"プラスミノーゲン活性化因子阻害因子-1")</f>
        <v>プラスミノーゲン活性化因子阻害因子-1</v>
      </c>
      <c r="I3610" s="1" t="str">
        <f>IFERROR(__xludf.DUMMYFUNCTION("GOOGLETRANSLATE(E3610,""EN"",""JA"")"),"プラスミノーゲン活性化因子阻害因子-1; プラスミノーゲン活性化因子阻害因子-1 AG; プラスミノーゲン活性化因子阻害因子-1抗原")</f>
        <v>プラスミノーゲン活性化因子阻害因子-1; プラスミノーゲン活性化因子阻害因子-1 AG; プラスミノーゲン活性化因子阻害因子-1抗原</v>
      </c>
      <c r="J3610" s="1" t="str">
        <f>IFERROR(__xludf.DUMMYFUNCTION("GOOGLETRANSLATE(F3610,""EN"",""JA"")"),"生物標本中のプラスミノーゲン活性化因子阻害因子-1の測定。")</f>
        <v>生物標本中のプラスミノーゲン活性化因子阻害因子-1の測定。</v>
      </c>
      <c r="K3610" s="1" t="str">
        <f>IFERROR(__xludf.DUMMYFUNCTION("GOOGLETRANSLATE(G3610,""EN"",""JA"")"),"プラスミノーゲン活性化因子阻害因子1測定")</f>
        <v>プラスミノーゲン活性化因子阻害因子1測定</v>
      </c>
    </row>
    <row r="3611" ht="13.5" customHeight="1">
      <c r="A3611" s="1" t="s">
        <v>233</v>
      </c>
      <c r="B3611" s="1" t="s">
        <v>18104</v>
      </c>
      <c r="C3611" s="1" t="s">
        <v>18105</v>
      </c>
      <c r="D3611" s="1" t="s">
        <v>18106</v>
      </c>
      <c r="E3611" s="1" t="s">
        <v>18106</v>
      </c>
      <c r="F3611" s="1" t="s">
        <v>18107</v>
      </c>
      <c r="G3611" s="1" t="s">
        <v>18106</v>
      </c>
      <c r="H3611" s="1" t="str">
        <f>IFERROR(__xludf.DUMMYFUNCTION("GOOGLETRANSLATE(D3611,""EN"",""JA"")"),"触知可能な状態")</f>
        <v>触知可能な状態</v>
      </c>
      <c r="I3611" s="1" t="str">
        <f>IFERROR(__xludf.DUMMYFUNCTION("GOOGLETRANSLATE(E3611,""EN"",""JA"")"),"触知可能な状態")</f>
        <v>触知可能な状態</v>
      </c>
      <c r="J3611" s="1" t="str">
        <f>IFERROR(__xludf.DUMMYFUNCTION("GOOGLETRANSLATE(F3611,""EN"",""JA"")"),"特定の時点での病変の触知可能性に関する状態または状況。")</f>
        <v>特定の時点での病変の触知可能性に関する状態または状況。</v>
      </c>
      <c r="K3611" s="1" t="str">
        <f>IFERROR(__xludf.DUMMYFUNCTION("GOOGLETRANSLATE(G3611,""EN"",""JA"")"),"触知可能な状態")</f>
        <v>触知可能な状態</v>
      </c>
    </row>
    <row r="3612" ht="13.5" customHeight="1">
      <c r="A3612" s="1" t="s">
        <v>134</v>
      </c>
      <c r="B3612" s="1" t="s">
        <v>18108</v>
      </c>
      <c r="C3612" s="1" t="s">
        <v>18109</v>
      </c>
      <c r="D3612" s="1" t="s">
        <v>18110</v>
      </c>
      <c r="E3612" s="1" t="s">
        <v>18110</v>
      </c>
      <c r="F3612" s="1" t="s">
        <v>18111</v>
      </c>
      <c r="G3612" s="1" t="s">
        <v>18112</v>
      </c>
      <c r="H3612" s="1" t="str">
        <f>IFERROR(__xludf.DUMMYFUNCTION("GOOGLETRANSLATE(D3612,""EN"",""JA"")"),"前立腺酸性ホスファターゼ")</f>
        <v>前立腺酸性ホスファターゼ</v>
      </c>
      <c r="I3612" s="1" t="str">
        <f>IFERROR(__xludf.DUMMYFUNCTION("GOOGLETRANSLATE(E3612,""EN"",""JA"")"),"前立腺酸性ホスファターゼ")</f>
        <v>前立腺酸性ホスファターゼ</v>
      </c>
      <c r="J3612" s="1" t="str">
        <f>IFERROR(__xludf.DUMMYFUNCTION("GOOGLETRANSLATE(F3612,""EN"",""JA"")"),"生物学的標本中の前立腺酸性ホスファターゼの測定。")</f>
        <v>生物学的標本中の前立腺酸性ホスファターゼの測定。</v>
      </c>
      <c r="K3612" s="1" t="str">
        <f>IFERROR(__xludf.DUMMYFUNCTION("GOOGLETRANSLATE(G3612,""EN"",""JA"")"),"前立腺酸性ホスファターゼ測定")</f>
        <v>前立腺酸性ホスファターゼ測定</v>
      </c>
    </row>
    <row r="3613" ht="13.5" customHeight="1">
      <c r="A3613" s="1" t="s">
        <v>11</v>
      </c>
      <c r="B3613" s="1" t="s">
        <v>18108</v>
      </c>
      <c r="C3613" s="1" t="s">
        <v>18109</v>
      </c>
      <c r="D3613" s="1" t="s">
        <v>18110</v>
      </c>
      <c r="E3613" s="1" t="s">
        <v>18110</v>
      </c>
      <c r="F3613" s="1" t="s">
        <v>18111</v>
      </c>
      <c r="G3613" s="1" t="s">
        <v>18112</v>
      </c>
      <c r="H3613" s="1" t="str">
        <f>IFERROR(__xludf.DUMMYFUNCTION("GOOGLETRANSLATE(D3613,""EN"",""JA"")"),"前立腺酸性ホスファターゼ")</f>
        <v>前立腺酸性ホスファターゼ</v>
      </c>
      <c r="I3613" s="1" t="str">
        <f>IFERROR(__xludf.DUMMYFUNCTION("GOOGLETRANSLATE(E3613,""EN"",""JA"")"),"前立腺酸性ホスファターゼ")</f>
        <v>前立腺酸性ホスファターゼ</v>
      </c>
      <c r="J3613" s="1" t="str">
        <f>IFERROR(__xludf.DUMMYFUNCTION("GOOGLETRANSLATE(F3613,""EN"",""JA"")"),"生物学的標本中の前立腺酸性ホスファターゼの測定。")</f>
        <v>生物学的標本中の前立腺酸性ホスファターゼの測定。</v>
      </c>
      <c r="K3613" s="1" t="str">
        <f>IFERROR(__xludf.DUMMYFUNCTION("GOOGLETRANSLATE(G3613,""EN"",""JA"")"),"前立腺酸性ホスファターゼ測定")</f>
        <v>前立腺酸性ホスファターゼ測定</v>
      </c>
    </row>
    <row r="3614" ht="13.5" customHeight="1">
      <c r="A3614" s="1" t="s">
        <v>11</v>
      </c>
      <c r="B3614" s="1" t="s">
        <v>18113</v>
      </c>
      <c r="C3614" s="1" t="s">
        <v>18114</v>
      </c>
      <c r="D3614" s="1" t="s">
        <v>18115</v>
      </c>
      <c r="E3614" s="1" t="s">
        <v>18115</v>
      </c>
      <c r="F3614" s="1" t="s">
        <v>18116</v>
      </c>
      <c r="G3614" s="1" t="s">
        <v>18117</v>
      </c>
      <c r="H3614" s="1" t="str">
        <f>IFERROR(__xludf.DUMMYFUNCTION("GOOGLETRANSLATE(D3614,""EN"",""JA"")"),"妊娠関連血漿タンパク質A")</f>
        <v>妊娠関連血漿タンパク質A</v>
      </c>
      <c r="I3614" s="1" t="str">
        <f>IFERROR(__xludf.DUMMYFUNCTION("GOOGLETRANSLATE(E3614,""EN"",""JA"")"),"妊娠関連血漿タンパク質A")</f>
        <v>妊娠関連血漿タンパク質A</v>
      </c>
      <c r="J3614" s="1" t="str">
        <f>IFERROR(__xludf.DUMMYFUNCTION("GOOGLETRANSLATE(F3614,""EN"",""JA"")"),"生物学的標本中の妊娠関連血漿タンパク質 A の測定。")</f>
        <v>生物学的標本中の妊娠関連血漿タンパク質 A の測定。</v>
      </c>
      <c r="K3614" s="1" t="str">
        <f>IFERROR(__xludf.DUMMYFUNCTION("GOOGLETRANSLATE(G3614,""EN"",""JA"")"),"妊娠関連血漿タンパク質A測定")</f>
        <v>妊娠関連血漿タンパク質A測定</v>
      </c>
    </row>
    <row r="3615" ht="13.5" customHeight="1">
      <c r="A3615" s="1" t="s">
        <v>11</v>
      </c>
      <c r="B3615" s="1" t="s">
        <v>18118</v>
      </c>
      <c r="C3615" s="1" t="s">
        <v>18119</v>
      </c>
      <c r="D3615" s="1" t="s">
        <v>18120</v>
      </c>
      <c r="E3615" s="1" t="s">
        <v>18120</v>
      </c>
      <c r="F3615" s="1" t="s">
        <v>18121</v>
      </c>
      <c r="G3615" s="1" t="s">
        <v>18122</v>
      </c>
      <c r="H3615" s="1" t="str">
        <f>IFERROR(__xludf.DUMMYFUNCTION("GOOGLETRANSLATE(D3615,""EN"",""JA"")"),"パッペンハイマー・ボディーズ")</f>
        <v>パッペンハイマー・ボディーズ</v>
      </c>
      <c r="I3615" s="1" t="str">
        <f>IFERROR(__xludf.DUMMYFUNCTION("GOOGLETRANSLATE(E3615,""EN"",""JA"")"),"パッペンハイマー・ボディーズ")</f>
        <v>パッペンハイマー・ボディーズ</v>
      </c>
      <c r="J3615" s="1" t="str">
        <f>IFERROR(__xludf.DUMMYFUNCTION("GOOGLETRANSLATE(F3615,""EN"",""JA"")"),"生物標本中のパッペンハイマー小体（通常、赤血球の周辺部にある、紫または青に染色されたフェリチン顆粒）を含む細胞の測定値。")</f>
        <v>生物標本中のパッペンハイマー小体（通常、赤血球の周辺部にある、紫または青に染色されたフェリチン顆粒）を含む細胞の測定値。</v>
      </c>
      <c r="K3615" s="1" t="str">
        <f>IFERROR(__xludf.DUMMYFUNCTION("GOOGLETRANSLATE(G3615,""EN"",""JA"")"),"パッペンハイマーの死者数")</f>
        <v>パッペンハイマーの死者数</v>
      </c>
    </row>
    <row r="3616" ht="13.5" customHeight="1">
      <c r="A3616" s="1" t="s">
        <v>11</v>
      </c>
      <c r="B3616" s="1" t="s">
        <v>18123</v>
      </c>
      <c r="C3616" s="1" t="s">
        <v>18124</v>
      </c>
      <c r="D3616" s="1" t="s">
        <v>18125</v>
      </c>
      <c r="E3616" s="1" t="s">
        <v>18125</v>
      </c>
      <c r="F3616" s="1" t="s">
        <v>18126</v>
      </c>
      <c r="G3616" s="1" t="s">
        <v>18127</v>
      </c>
      <c r="H3616" s="1" t="str">
        <f>IFERROR(__xludf.DUMMYFUNCTION("GOOGLETRANSLATE(D3616,""EN"",""JA"")"),"パラアルデヒド")</f>
        <v>パラアルデヒド</v>
      </c>
      <c r="I3616" s="1" t="str">
        <f>IFERROR(__xludf.DUMMYFUNCTION("GOOGLETRANSLATE(E3616,""EN"",""JA"")"),"パラアルデヒド")</f>
        <v>パラアルデヒド</v>
      </c>
      <c r="J3616" s="1" t="str">
        <f>IFERROR(__xludf.DUMMYFUNCTION("GOOGLETRANSLATE(F3616,""EN"",""JA"")"),"生物標本中のパラアルデヒドの測定。")</f>
        <v>生物標本中のパラアルデヒドの測定。</v>
      </c>
      <c r="K3616" s="1" t="str">
        <f>IFERROR(__xludf.DUMMYFUNCTION("GOOGLETRANSLATE(G3616,""EN"",""JA"")"),"パラアルデヒド測定")</f>
        <v>パラアルデヒド測定</v>
      </c>
    </row>
    <row r="3617" ht="13.5" customHeight="1">
      <c r="A3617" s="1" t="s">
        <v>67</v>
      </c>
      <c r="B3617" s="1" t="s">
        <v>18128</v>
      </c>
      <c r="C3617" s="1" t="s">
        <v>18129</v>
      </c>
      <c r="D3617" s="1" t="s">
        <v>18130</v>
      </c>
      <c r="E3617" s="1" t="s">
        <v>18130</v>
      </c>
      <c r="F3617" s="1" t="s">
        <v>18131</v>
      </c>
      <c r="G3617" s="1" t="s">
        <v>18132</v>
      </c>
      <c r="H3617" s="1" t="str">
        <f>IFERROR(__xludf.DUMMYFUNCTION("GOOGLETRANSLATE(D3617,""EN"",""JA"")"),"パレコウイルスRNA")</f>
        <v>パレコウイルスRNA</v>
      </c>
      <c r="I3617" s="1" t="str">
        <f>IFERROR(__xludf.DUMMYFUNCTION("GOOGLETRANSLATE(E3617,""EN"",""JA"")"),"パレコウイルスRNA")</f>
        <v>パレコウイルスRNA</v>
      </c>
      <c r="J3617" s="1" t="str">
        <f>IFERROR(__xludf.DUMMYFUNCTION("GOOGLETRANSLATE(F3617,""EN"",""JA"")"),"生物標本中のパレコウイルス属の任意のメンバーの RNA の測定。")</f>
        <v>生物標本中のパレコウイルス属の任意のメンバーの RNA の測定。</v>
      </c>
      <c r="K3617" s="1" t="str">
        <f>IFERROR(__xludf.DUMMYFUNCTION("GOOGLETRANSLATE(G3617,""EN"",""JA"")"),"パレコウイルスRNA測定")</f>
        <v>パレコウイルスRNA測定</v>
      </c>
    </row>
    <row r="3618" ht="13.5" customHeight="1">
      <c r="A3618" s="1" t="s">
        <v>160</v>
      </c>
      <c r="B3618" s="1" t="s">
        <v>18133</v>
      </c>
      <c r="C3618" s="1" t="s">
        <v>18134</v>
      </c>
      <c r="D3618" s="1" t="s">
        <v>18135</v>
      </c>
      <c r="E3618" s="1" t="s">
        <v>18135</v>
      </c>
      <c r="F3618" s="1" t="s">
        <v>18136</v>
      </c>
      <c r="G3618" s="1" t="s">
        <v>18135</v>
      </c>
      <c r="H3618" s="1" t="str">
        <f>IFERROR(__xludf.DUMMYFUNCTION("GOOGLETRANSLATE(D3618,""EN"",""JA"")"),"パリティ")</f>
        <v>パリティ</v>
      </c>
      <c r="I3618" s="1" t="str">
        <f>IFERROR(__xludf.DUMMYFUNCTION("GOOGLETRANSLATE(E3618,""EN"",""JA"")"),"パリティ")</f>
        <v>パリティ</v>
      </c>
      <c r="J3618" s="1" t="str">
        <f>IFERROR(__xludf.DUMMYFUNCTION("GOOGLETRANSLATE(F3618,""EN"",""JA"")"),"胎児数や結果に関係なく、妊娠20週0日以上に達した妊娠の数。(NICHD)")</f>
        <v>胎児数や結果に関係なく、妊娠20週0日以上に達した妊娠の数。(NICHD)</v>
      </c>
      <c r="K3618" s="1" t="str">
        <f>IFERROR(__xludf.DUMMYFUNCTION("GOOGLETRANSLATE(G3618,""EN"",""JA"")"),"パリティ")</f>
        <v>パリティ</v>
      </c>
    </row>
    <row r="3619" ht="13.5" customHeight="1">
      <c r="A3619" s="1" t="s">
        <v>11</v>
      </c>
      <c r="B3619" s="1" t="s">
        <v>18137</v>
      </c>
      <c r="C3619" s="1" t="s">
        <v>18138</v>
      </c>
      <c r="D3619" s="1" t="s">
        <v>18139</v>
      </c>
      <c r="E3619" s="1" t="s">
        <v>18140</v>
      </c>
      <c r="F3619" s="1" t="s">
        <v>18141</v>
      </c>
      <c r="G3619" s="1" t="s">
        <v>18142</v>
      </c>
      <c r="H3619" s="1" t="str">
        <f>IFERROR(__xludf.DUMMYFUNCTION("GOOGLETRANSLATE(D3619,""EN"",""JA"")"),"パーキンソン病タンパク質7")</f>
        <v>パーキンソン病タンパク質7</v>
      </c>
      <c r="I3619" s="1" t="str">
        <f>IFERROR(__xludf.DUMMYFUNCTION("GOOGLETRANSLATE(E3619,""EN"",""JA"")"),"DJ-1; GATD2; PARK7; パーキンソン病タンパク質7; パーキンソン病関連脱グリカーゼ; タンパク質脱グリカーゼDJ-1; タンパク質DJ-1")</f>
        <v>DJ-1; GATD2; PARK7; パーキンソン病タンパク質7; パーキンソン病関連脱グリカーゼ; タンパク質脱グリカーゼDJ-1; タンパク質DJ-1</v>
      </c>
      <c r="J3619" s="1" t="str">
        <f>IFERROR(__xludf.DUMMYFUNCTION("GOOGLETRANSLATE(F3619,""EN"",""JA"")"),"生物標本中のパーキンソン病タンパク質 7 の測定。")</f>
        <v>生物標本中のパーキンソン病タンパク質 7 の測定。</v>
      </c>
      <c r="K3619" s="1" t="str">
        <f>IFERROR(__xludf.DUMMYFUNCTION("GOOGLETRANSLATE(G3619,""EN"",""JA"")"),"パーキンソン病タンパク質7の測定")</f>
        <v>パーキンソン病タンパク質7の測定</v>
      </c>
    </row>
    <row r="3620" ht="13.5" customHeight="1">
      <c r="A3620" s="1" t="s">
        <v>11</v>
      </c>
      <c r="B3620" s="1" t="s">
        <v>18143</v>
      </c>
      <c r="C3620" s="1" t="s">
        <v>18144</v>
      </c>
      <c r="D3620" s="1" t="s">
        <v>18145</v>
      </c>
      <c r="E3620" s="1" t="s">
        <v>18145</v>
      </c>
      <c r="F3620" s="1" t="s">
        <v>18146</v>
      </c>
      <c r="G3620" s="1" t="s">
        <v>18147</v>
      </c>
      <c r="H3620" s="1" t="str">
        <f>IFERROR(__xludf.DUMMYFUNCTION("GOOGLETRANSLATE(D3620,""EN"",""JA"")"),"パロキセチン")</f>
        <v>パロキセチン</v>
      </c>
      <c r="I3620" s="1" t="str">
        <f>IFERROR(__xludf.DUMMYFUNCTION("GOOGLETRANSLATE(E3620,""EN"",""JA"")"),"パロキセチン")</f>
        <v>パロキセチン</v>
      </c>
      <c r="J3620" s="1" t="str">
        <f>IFERROR(__xludf.DUMMYFUNCTION("GOOGLETRANSLATE(F3620,""EN"",""JA"")"),"生物学的標本中に存在するパロキセチンの測定。")</f>
        <v>生物学的標本中に存在するパロキセチンの測定。</v>
      </c>
      <c r="K3620" s="1" t="str">
        <f>IFERROR(__xludf.DUMMYFUNCTION("GOOGLETRANSLATE(G3620,""EN"",""JA"")"),"パロキセチン測定")</f>
        <v>パロキセチン測定</v>
      </c>
    </row>
    <row r="3621" ht="13.5" customHeight="1">
      <c r="A3621" s="1" t="s">
        <v>397</v>
      </c>
      <c r="B3621" s="1" t="s">
        <v>18148</v>
      </c>
      <c r="C3621" s="1" t="s">
        <v>18149</v>
      </c>
      <c r="D3621" s="1" t="s">
        <v>18150</v>
      </c>
      <c r="E3621" s="1" t="s">
        <v>18150</v>
      </c>
      <c r="F3621" s="1" t="s">
        <v>18151</v>
      </c>
      <c r="G3621" s="1" t="s">
        <v>18152</v>
      </c>
      <c r="H3621" s="1" t="str">
        <f>IFERROR(__xludf.DUMMYFUNCTION("GOOGLETRANSLATE(D3621,""EN"",""JA"")"),"認可後安全性調査Ind")</f>
        <v>認可後安全性調査Ind</v>
      </c>
      <c r="I3621" s="1" t="str">
        <f>IFERROR(__xludf.DUMMYFUNCTION("GOOGLETRANSLATE(E3621,""EN"",""JA"")"),"認可後安全性調査Ind")</f>
        <v>認可後安全性調査Ind</v>
      </c>
      <c r="J3621" s="1" t="str">
        <f>IFERROR(__xludf.DUMMYFUNCTION("GOOGLETRANSLATE(F3621,""EN"",""JA"")"),"臨床試験が承認後の安全性試験であるかどうかを示します。")</f>
        <v>臨床試験が承認後の安全性試験であるかどうかを示します。</v>
      </c>
      <c r="K3621" s="1" t="str">
        <f>IFERROR(__xludf.DUMMYFUNCTION("GOOGLETRANSLATE(G3621,""EN"",""JA"")"),"承認後安全性調査指標")</f>
        <v>承認後安全性調査指標</v>
      </c>
    </row>
    <row r="3622" ht="13.5" customHeight="1">
      <c r="A3622" s="1" t="s">
        <v>1342</v>
      </c>
      <c r="B3622" s="1" t="s">
        <v>18153</v>
      </c>
      <c r="C3622" s="1" t="s">
        <v>18154</v>
      </c>
      <c r="D3622" s="1" t="s">
        <v>18155</v>
      </c>
      <c r="E3622" s="1" t="s">
        <v>18155</v>
      </c>
      <c r="F3622" s="1" t="s">
        <v>18156</v>
      </c>
      <c r="G3622" s="1" t="s">
        <v>18155</v>
      </c>
      <c r="H3622" s="1" t="str">
        <f>IFERROR(__xludf.DUMMYFUNCTION("GOOGLETRANSLATE(D3622,""EN"",""JA"")"),"病理学的反応")</f>
        <v>病理学的反応</v>
      </c>
      <c r="I3622" s="1" t="str">
        <f>IFERROR(__xludf.DUMMYFUNCTION("GOOGLETRANSLATE(E3622,""EN"",""JA"")"),"病理学的反応")</f>
        <v>病理学的反応</v>
      </c>
      <c r="J3622" s="1" t="str">
        <f>IFERROR(__xludf.DUMMYFUNCTION("GOOGLETRANSLATE(F3622,""EN"",""JA"")"),"治療に対する疾患の病理学的反応の評価。")</f>
        <v>治療に対する疾患の病理学的反応の評価。</v>
      </c>
      <c r="K3622" s="1" t="str">
        <f>IFERROR(__xludf.DUMMYFUNCTION("GOOGLETRANSLATE(G3622,""EN"",""JA"")"),"病理学的反応")</f>
        <v>病理学的反応</v>
      </c>
    </row>
    <row r="3623" ht="13.5" customHeight="1">
      <c r="A3623" s="1" t="s">
        <v>134</v>
      </c>
      <c r="B3623" s="1" t="s">
        <v>18157</v>
      </c>
      <c r="C3623" s="1" t="s">
        <v>18158</v>
      </c>
      <c r="D3623" s="1" t="s">
        <v>18159</v>
      </c>
      <c r="E3623" s="1" t="s">
        <v>18159</v>
      </c>
      <c r="F3623" s="1" t="s">
        <v>18160</v>
      </c>
      <c r="G3623" s="1" t="s">
        <v>18161</v>
      </c>
      <c r="H3623" s="1" t="str">
        <f>IFERROR(__xludf.DUMMYFUNCTION("GOOGLETRANSLATE(D3623,""EN"",""JA"")"),"PAX3-FKHR融合タンパク質")</f>
        <v>PAX3-FKHR融合タンパク質</v>
      </c>
      <c r="I3623" s="1" t="str">
        <f>IFERROR(__xludf.DUMMYFUNCTION("GOOGLETRANSLATE(E3623,""EN"",""JA"")"),"PAX3-FKHR融合タンパク質")</f>
        <v>PAX3-FKHR融合タンパク質</v>
      </c>
      <c r="J3623" s="1" t="str">
        <f>IFERROR(__xludf.DUMMYFUNCTION("GOOGLETRANSLATE(F3623,""EN"",""JA"")"),"生物標本中の PAX3-FKHR 融合タンパク質の測定。")</f>
        <v>生物標本中の PAX3-FKHR 融合タンパク質の測定。</v>
      </c>
      <c r="K3623" s="1" t="str">
        <f>IFERROR(__xludf.DUMMYFUNCTION("GOOGLETRANSLATE(G3623,""EN"",""JA"")"),"PAX3-FKHR融合タンパク質測定")</f>
        <v>PAX3-FKHR融合タンパク質測定</v>
      </c>
    </row>
    <row r="3624" ht="13.5" customHeight="1">
      <c r="A3624" s="1" t="s">
        <v>11</v>
      </c>
      <c r="B3624" s="1" t="s">
        <v>18162</v>
      </c>
      <c r="C3624" s="1" t="s">
        <v>18163</v>
      </c>
      <c r="D3624" s="1" t="s">
        <v>18164</v>
      </c>
      <c r="E3624" s="1" t="s">
        <v>18164</v>
      </c>
      <c r="F3624" s="1" t="s">
        <v>18165</v>
      </c>
      <c r="G3624" s="1" t="s">
        <v>18166</v>
      </c>
      <c r="H3624" s="1" t="str">
        <f>IFERROR(__xludf.DUMMYFUNCTION("GOOGLETRANSLATE(D3624,""EN"",""JA"")"),"PB-22 3-カルボキシインドール")</f>
        <v>PB-22 3-カルボキシインドール</v>
      </c>
      <c r="I3624" s="1" t="str">
        <f>IFERROR(__xludf.DUMMYFUNCTION("GOOGLETRANSLATE(E3624,""EN"",""JA"")"),"PB-22 3-カルボキシインドール")</f>
        <v>PB-22 3-カルボキシインドール</v>
      </c>
      <c r="J3624" s="1" t="str">
        <f>IFERROR(__xludf.DUMMYFUNCTION("GOOGLETRANSLATE(F3624,""EN"",""JA"")"),"生物標本中の合成カンナビノイド代謝物 PB-22 3-カルボキシインドールの測定。")</f>
        <v>生物標本中の合成カンナビノイド代謝物 PB-22 3-カルボキシインドールの測定。</v>
      </c>
      <c r="K3624" s="1" t="str">
        <f>IFERROR(__xludf.DUMMYFUNCTION("GOOGLETRANSLATE(G3624,""EN"",""JA"")"),"PB-22 3-カルボキシインドール測定")</f>
        <v>PB-22 3-カルボキシインドール測定</v>
      </c>
    </row>
    <row r="3625" ht="13.5" customHeight="1">
      <c r="A3625" s="1" t="s">
        <v>11</v>
      </c>
      <c r="B3625" s="1" t="s">
        <v>18167</v>
      </c>
      <c r="C3625" s="1" t="s">
        <v>18168</v>
      </c>
      <c r="D3625" s="1" t="s">
        <v>18169</v>
      </c>
      <c r="E3625" s="1" t="s">
        <v>18169</v>
      </c>
      <c r="F3625" s="1" t="s">
        <v>18170</v>
      </c>
      <c r="G3625" s="1" t="s">
        <v>18171</v>
      </c>
      <c r="H3625" s="1" t="str">
        <f>IFERROR(__xludf.DUMMYFUNCTION("GOOGLETRANSLATE(D3625,""EN"",""JA"")"),"5-フルオロPB-22 3-カルボキシインドール")</f>
        <v>5-フルオロPB-22 3-カルボキシインドール</v>
      </c>
      <c r="I3625" s="1" t="str">
        <f>IFERROR(__xludf.DUMMYFUNCTION("GOOGLETRANSLATE(E3625,""EN"",""JA"")"),"5-フルオロPB-22 3-カルボキシインドール")</f>
        <v>5-フルオロPB-22 3-カルボキシインドール</v>
      </c>
      <c r="J3625" s="1" t="str">
        <f>IFERROR(__xludf.DUMMYFUNCTION("GOOGLETRANSLATE(F3625,""EN"",""JA"")"),"生物標本中の合成カンナビノイド代謝物 5-フルオロ PB-22 3-カルボキシインドールの測定。")</f>
        <v>生物標本中の合成カンナビノイド代謝物 5-フルオロ PB-22 3-カルボキシインドールの測定。</v>
      </c>
      <c r="K3625" s="1" t="str">
        <f>IFERROR(__xludf.DUMMYFUNCTION("GOOGLETRANSLATE(G3625,""EN"",""JA"")"),"5-フルオロPB-22 3-カルボキシインドール測定")</f>
        <v>5-フルオロPB-22 3-カルボキシインドール測定</v>
      </c>
    </row>
    <row r="3626" ht="13.5" customHeight="1">
      <c r="A3626" s="1" t="s">
        <v>90</v>
      </c>
      <c r="B3626" s="1" t="s">
        <v>18172</v>
      </c>
      <c r="C3626" s="1" t="s">
        <v>18173</v>
      </c>
      <c r="D3626" s="1" t="s">
        <v>18174</v>
      </c>
      <c r="E3626" s="1" t="s">
        <v>18174</v>
      </c>
      <c r="F3626" s="1" t="s">
        <v>18175</v>
      </c>
      <c r="G3626" s="1" t="s">
        <v>18174</v>
      </c>
      <c r="H3626" s="1" t="str">
        <f>IFERROR(__xludf.DUMMYFUNCTION("GOOGLETRANSLATE(D3626,""EN"",""JA"")"),"最大血流速度")</f>
        <v>最大血流速度</v>
      </c>
      <c r="I3626" s="1" t="str">
        <f>IFERROR(__xludf.DUMMYFUNCTION("GOOGLETRANSLATE(E3626,""EN"",""JA"")"),"最大血流速度")</f>
        <v>最大血流速度</v>
      </c>
      <c r="J3626" s="1" t="str">
        <f>IFERROR(__xludf.DUMMYFUNCTION("GOOGLETRANSLATE(F3626,""EN"",""JA"")"),"ある領域または組織を流れる血液の最大速度の測定値。")</f>
        <v>ある領域または組織を流れる血液の最大速度の測定値。</v>
      </c>
      <c r="K3626" s="1" t="str">
        <f>IFERROR(__xludf.DUMMYFUNCTION("GOOGLETRANSLATE(G3626,""EN"",""JA"")"),"最大血流速度")</f>
        <v>最大血流速度</v>
      </c>
    </row>
    <row r="3627" ht="13.5" customHeight="1">
      <c r="A3627" s="1" t="s">
        <v>11</v>
      </c>
      <c r="B3627" s="1" t="s">
        <v>18176</v>
      </c>
      <c r="C3627" s="1" t="s">
        <v>18177</v>
      </c>
      <c r="D3627" s="1" t="s">
        <v>18178</v>
      </c>
      <c r="E3627" s="1" t="s">
        <v>18178</v>
      </c>
      <c r="F3627" s="1" t="s">
        <v>18179</v>
      </c>
      <c r="G3627" s="1" t="s">
        <v>18180</v>
      </c>
      <c r="H3627" s="1" t="str">
        <f>IFERROR(__xludf.DUMMYFUNCTION("GOOGLETRANSLATE(D3627,""EN"",""JA"")"),"ポルフォビリノーゲン")</f>
        <v>ポルフォビリノーゲン</v>
      </c>
      <c r="I3627" s="1" t="str">
        <f>IFERROR(__xludf.DUMMYFUNCTION("GOOGLETRANSLATE(E3627,""EN"",""JA"")"),"ポルフォビリノーゲン")</f>
        <v>ポルフォビリノーゲン</v>
      </c>
      <c r="J3627" s="1" t="str">
        <f>IFERROR(__xludf.DUMMYFUNCTION("GOOGLETRANSLATE(F3627,""EN"",""JA"")"),"生物標本中のポルフォビリノーゲンの測定。")</f>
        <v>生物標本中のポルフォビリノーゲンの測定。</v>
      </c>
      <c r="K3627" s="1" t="str">
        <f>IFERROR(__xludf.DUMMYFUNCTION("GOOGLETRANSLATE(G3627,""EN"",""JA"")"),"ポルフォビリノーゲン測定")</f>
        <v>ポルフォビリノーゲン測定</v>
      </c>
    </row>
    <row r="3628" ht="13.5" customHeight="1">
      <c r="A3628" s="1" t="s">
        <v>11</v>
      </c>
      <c r="B3628" s="1" t="s">
        <v>18181</v>
      </c>
      <c r="C3628" s="1" t="s">
        <v>18182</v>
      </c>
      <c r="D3628" s="1" t="s">
        <v>18183</v>
      </c>
      <c r="E3628" s="1" t="s">
        <v>18183</v>
      </c>
      <c r="F3628" s="1" t="s">
        <v>18184</v>
      </c>
      <c r="G3628" s="1" t="s">
        <v>18185</v>
      </c>
      <c r="H3628" s="1" t="str">
        <f>IFERROR(__xludf.DUMMYFUNCTION("GOOGLETRANSLATE(D3628,""EN"",""JA"")"),"ポルホビリノーゲン/クレアチニン")</f>
        <v>ポルホビリノーゲン/クレアチニン</v>
      </c>
      <c r="I3628" s="1" t="str">
        <f>IFERROR(__xludf.DUMMYFUNCTION("GOOGLETRANSLATE(E3628,""EN"",""JA"")"),"ポルホビリノーゲン/クレアチニン")</f>
        <v>ポルホビリノーゲン/クレアチニン</v>
      </c>
      <c r="J3628" s="1" t="str">
        <f>IFERROR(__xludf.DUMMYFUNCTION("GOOGLETRANSLATE(F3628,""EN"",""JA"")"),"生物標本中のポルフォビリノーゲンとクレアチニンの相対的な測定値（比率またはパーセンテージ）。")</f>
        <v>生物標本中のポルフォビリノーゲンとクレアチニンの相対的な測定値（比率またはパーセンテージ）。</v>
      </c>
      <c r="K3628" s="1" t="str">
        <f>IFERROR(__xludf.DUMMYFUNCTION("GOOGLETRANSLATE(G3628,""EN"",""JA"")"),"ポルホビリノーゲン対クレアチニン比測定")</f>
        <v>ポルホビリノーゲン対クレアチニン比測定</v>
      </c>
    </row>
    <row r="3629" ht="13.5" customHeight="1">
      <c r="A3629" s="1" t="s">
        <v>67</v>
      </c>
      <c r="B3629" s="1" t="s">
        <v>18186</v>
      </c>
      <c r="C3629" s="1" t="s">
        <v>18187</v>
      </c>
      <c r="D3629" s="1" t="s">
        <v>18188</v>
      </c>
      <c r="E3629" s="1" t="s">
        <v>18188</v>
      </c>
      <c r="F3629" s="1" t="s">
        <v>18189</v>
      </c>
      <c r="G3629" s="1" t="s">
        <v>18190</v>
      </c>
      <c r="H3629" s="1" t="str">
        <f>IFERROR(__xludf.DUMMYFUNCTION("GOOGLETRANSLATE(D3629,""EN"",""JA"")"),"プレボテラ・ビビア")</f>
        <v>プレボテラ・ビビア</v>
      </c>
      <c r="I3629" s="1" t="str">
        <f>IFERROR(__xludf.DUMMYFUNCTION("GOOGLETRANSLATE(E3629,""EN"",""JA"")"),"プレボテラ・ビビア")</f>
        <v>プレボテラ・ビビア</v>
      </c>
      <c r="J3629" s="1" t="str">
        <f>IFERROR(__xludf.DUMMYFUNCTION("GOOGLETRANSLATE(F3629,""EN"",""JA"")"),"生物標本中の Prevotella bivia の測定。")</f>
        <v>生物標本中の Prevotella bivia の測定。</v>
      </c>
      <c r="K3629" s="1" t="str">
        <f>IFERROR(__xludf.DUMMYFUNCTION("GOOGLETRANSLATE(G3629,""EN"",""JA"")"),"プレボテラ・ビビア測定")</f>
        <v>プレボテラ・ビビア測定</v>
      </c>
    </row>
    <row r="3630" ht="13.5" customHeight="1">
      <c r="A3630" s="1" t="s">
        <v>1342</v>
      </c>
      <c r="B3630" s="1" t="s">
        <v>18191</v>
      </c>
      <c r="C3630" s="1" t="s">
        <v>18192</v>
      </c>
      <c r="D3630" s="1" t="s">
        <v>18193</v>
      </c>
      <c r="E3630" s="1" t="s">
        <v>18194</v>
      </c>
      <c r="F3630" s="1" t="s">
        <v>18195</v>
      </c>
      <c r="G3630" s="1" t="s">
        <v>18193</v>
      </c>
      <c r="H3630" s="1" t="str">
        <f>IFERROR(__xludf.DUMMYFUNCTION("GOOGLETRANSLATE(D3630,""EN"",""JA"")"),"周辺爆発インジケーター")</f>
        <v>周辺爆発インジケーター</v>
      </c>
      <c r="I3630" s="1" t="str">
        <f>IFERROR(__xludf.DUMMYFUNCTION("GOOGLETRANSLATE(E3630,""EN"",""JA"")"),"循環性爆発指標；末梢性爆発指標")</f>
        <v>循環性爆発指標；末梢性爆発指標</v>
      </c>
      <c r="J3630" s="1" t="str">
        <f>IFERROR(__xludf.DUMMYFUNCTION("GOOGLETRANSLATE(F3630,""EN"",""JA"")"),"末梢芽球が存在するかどうかを示します。")</f>
        <v>末梢芽球が存在するかどうかを示します。</v>
      </c>
      <c r="K3630" s="1" t="str">
        <f>IFERROR(__xludf.DUMMYFUNCTION("GOOGLETRANSLATE(G3630,""EN"",""JA"")"),"周辺爆発インジケーター")</f>
        <v>周辺爆発インジケーター</v>
      </c>
    </row>
    <row r="3631" ht="13.5" customHeight="1">
      <c r="A3631" s="1" t="s">
        <v>233</v>
      </c>
      <c r="B3631" s="1" t="s">
        <v>18196</v>
      </c>
      <c r="C3631" s="1" t="s">
        <v>18197</v>
      </c>
      <c r="D3631" s="1" t="s">
        <v>18198</v>
      </c>
      <c r="E3631" s="1" t="s">
        <v>18199</v>
      </c>
      <c r="F3631" s="1" t="s">
        <v>18200</v>
      </c>
      <c r="G3631" s="1" t="s">
        <v>18201</v>
      </c>
      <c r="H3631" s="1" t="str">
        <f>IFERROR(__xludf.DUMMYFUNCTION("GOOGLETRANSLATE(D3631,""EN"",""JA"")"),"2つ以上の持続性新骨病変Ind")</f>
        <v>2つ以上の持続性新骨病変Ind</v>
      </c>
      <c r="I3631" s="1" t="str">
        <f>IFERROR(__xludf.DUMMYFUNCTION("GOOGLETRANSLATE(E3631,""EN"",""JA"")"),"2つ以上の持続性新生骨病変指標; 2つ以上の持続性新生骨病変指標")</f>
        <v>2つ以上の持続性新生骨病変指標; 2つ以上の持続性新生骨病変指標</v>
      </c>
      <c r="J3631" s="1" t="str">
        <f>IFERROR(__xludf.DUMMYFUNCTION("GOOGLETRANSLATE(F3631,""EN"",""JA"")"),"以前に新規として特定され、持続していると考えられる骨病変が 2 つ以上あるかどうかを示します。")</f>
        <v>以前に新規として特定され、持続していると考えられる骨病変が 2 つ以上あるかどうかを示します。</v>
      </c>
      <c r="K3631" s="1" t="str">
        <f>IFERROR(__xludf.DUMMYFUNCTION("GOOGLETRANSLATE(G3631,""EN"",""JA"")"),"2つ以上の持続性新生骨病変の指標")</f>
        <v>2つ以上の持続性新生骨病変の指標</v>
      </c>
    </row>
    <row r="3632" ht="13.5" customHeight="1">
      <c r="A3632" s="1" t="s">
        <v>11</v>
      </c>
      <c r="B3632" s="1" t="s">
        <v>18202</v>
      </c>
      <c r="C3632" s="1" t="s">
        <v>18203</v>
      </c>
      <c r="D3632" s="1" t="s">
        <v>18204</v>
      </c>
      <c r="E3632" s="1" t="s">
        <v>18205</v>
      </c>
      <c r="F3632" s="1" t="s">
        <v>18206</v>
      </c>
      <c r="G3632" s="1" t="s">
        <v>18207</v>
      </c>
      <c r="H3632" s="1" t="str">
        <f>IFERROR(__xludf.DUMMYFUNCTION("GOOGLETRANSLATE(D3632,""EN"",""JA"")"),"ポリシスチン-1")</f>
        <v>ポリシスチン-1</v>
      </c>
      <c r="I3632" s="1" t="str">
        <f>IFERROR(__xludf.DUMMYFUNCTION("GOOGLETRANSLATE(E3632,""EN"",""JA"")"),"常染色体優性多発性嚢胞腎1型タンパク質；ポリシスチン1、一過性受容体電位チャネル相互作用；ポリシスチン-1；TRPP1")</f>
        <v>常染色体優性多発性嚢胞腎1型タンパク質；ポリシスチン1、一過性受容体電位チャネル相互作用；ポリシスチン-1；TRPP1</v>
      </c>
      <c r="J3632" s="1" t="str">
        <f>IFERROR(__xludf.DUMMYFUNCTION("GOOGLETRANSLATE(F3632,""EN"",""JA"")"),"生物標本中のポリシスチン-1の測定。")</f>
        <v>生物標本中のポリシスチン-1の測定。</v>
      </c>
      <c r="K3632" s="1" t="str">
        <f>IFERROR(__xludf.DUMMYFUNCTION("GOOGLETRANSLATE(G3632,""EN"",""JA"")"),"ポリシスチン-1測定")</f>
        <v>ポリシスチン-1測定</v>
      </c>
    </row>
    <row r="3633" ht="13.5" customHeight="1">
      <c r="A3633" s="1" t="s">
        <v>11</v>
      </c>
      <c r="B3633" s="1" t="s">
        <v>18208</v>
      </c>
      <c r="C3633" s="1" t="s">
        <v>18209</v>
      </c>
      <c r="D3633" s="1" t="s">
        <v>18210</v>
      </c>
      <c r="E3633" s="1" t="s">
        <v>18210</v>
      </c>
      <c r="F3633" s="1" t="s">
        <v>18211</v>
      </c>
      <c r="G3633" s="1" t="s">
        <v>18212</v>
      </c>
      <c r="H3633" s="1" t="str">
        <f>IFERROR(__xludf.DUMMYFUNCTION("GOOGLETRANSLATE(D3633,""EN"",""JA"")"),"PCA3 mRNA/PSA mRNA")</f>
        <v>PCA3 mRNA/PSA mRNA</v>
      </c>
      <c r="I3633" s="1" t="str">
        <f>IFERROR(__xludf.DUMMYFUNCTION("GOOGLETRANSLATE(E3633,""EN"",""JA"")"),"PCA3 mRNA/PSA mRNA")</f>
        <v>PCA3 mRNA/PSA mRNA</v>
      </c>
      <c r="J3633" s="1" t="str">
        <f>IFERROR(__xludf.DUMMYFUNCTION("GOOGLETRANSLATE(F3633,""EN"",""JA"")"),"生物学的標本中の前立腺癌抗原 3 mRNA と前立腺特異抗原 mRNA の相対的な測定値 (比率)。")</f>
        <v>生物学的標本中の前立腺癌抗原 3 mRNA と前立腺特異抗原 mRNA の相対的な測定値 (比率)。</v>
      </c>
      <c r="K3633" s="1" t="str">
        <f>IFERROR(__xludf.DUMMYFUNCTION("GOOGLETRANSLATE(G3633,""EN"",""JA"")"),"PCA3 mRNAとPSA mRNAの比率測定")</f>
        <v>PCA3 mRNAとPSA mRNAの比率測定</v>
      </c>
    </row>
    <row r="3634" ht="13.5" customHeight="1">
      <c r="A3634" s="1" t="s">
        <v>11</v>
      </c>
      <c r="B3634" s="1" t="s">
        <v>18213</v>
      </c>
      <c r="C3634" s="1" t="s">
        <v>18214</v>
      </c>
      <c r="D3634" s="1" t="s">
        <v>18215</v>
      </c>
      <c r="E3634" s="1" t="s">
        <v>18215</v>
      </c>
      <c r="F3634" s="1" t="s">
        <v>18216</v>
      </c>
      <c r="G3634" s="1" t="s">
        <v>18217</v>
      </c>
      <c r="H3634" s="1" t="str">
        <f>IFERROR(__xludf.DUMMYFUNCTION("GOOGLETRANSLATE(D3634,""EN"",""JA"")"),"前立腺癌抗原3 mRNA")</f>
        <v>前立腺癌抗原3 mRNA</v>
      </c>
      <c r="I3634" s="1" t="str">
        <f>IFERROR(__xludf.DUMMYFUNCTION("GOOGLETRANSLATE(E3634,""EN"",""JA"")"),"前立腺癌抗原3 mRNA")</f>
        <v>前立腺癌抗原3 mRNA</v>
      </c>
      <c r="J3634" s="1" t="str">
        <f>IFERROR(__xludf.DUMMYFUNCTION("GOOGLETRANSLATE(F3634,""EN"",""JA"")"),"生物学的標本中の前立腺癌抗原 3 mRNA の測定。")</f>
        <v>生物学的標本中の前立腺癌抗原 3 mRNA の測定。</v>
      </c>
      <c r="K3634" s="1" t="str">
        <f>IFERROR(__xludf.DUMMYFUNCTION("GOOGLETRANSLATE(G3634,""EN"",""JA"")"),"前立腺癌抗原3 mRNA測定")</f>
        <v>前立腺癌抗原3 mRNA測定</v>
      </c>
    </row>
    <row r="3635" ht="13.5" customHeight="1">
      <c r="A3635" s="1" t="s">
        <v>233</v>
      </c>
      <c r="B3635" s="1" t="s">
        <v>18218</v>
      </c>
      <c r="C3635" s="1" t="s">
        <v>18219</v>
      </c>
      <c r="D3635" s="1" t="s">
        <v>18220</v>
      </c>
      <c r="E3635" s="1" t="s">
        <v>18220</v>
      </c>
      <c r="F3635" s="1" t="s">
        <v>18221</v>
      </c>
      <c r="G3635" s="1" t="s">
        <v>18222</v>
      </c>
      <c r="H3635" s="1" t="str">
        <f>IFERROR(__xludf.DUMMYFUNCTION("GOOGLETRANSLATE(D3635,""EN"",""JA"")"),"PPDのベースラインの変化率")</f>
        <v>PPDのベースラインの変化率</v>
      </c>
      <c r="I3635" s="1" t="str">
        <f>IFERROR(__xludf.DUMMYFUNCTION("GOOGLETRANSLATE(E3635,""EN"",""JA"")"),"PPDのベースラインの変化率")</f>
        <v>PPDのベースラインの変化率</v>
      </c>
      <c r="J3635" s="1" t="str">
        <f>IFERROR(__xludf.DUMMYFUNCTION("GOOGLETRANSLATE(F3635,""EN"",""JA"")"),"(現在の垂直直径の積から基準垂直直径の積を引いた値) を基準垂直直径の積で割り、100 を掛けた値。")</f>
        <v>(現在の垂直直径の積から基準垂直直径の積を引いた値) を基準垂直直径の積で割り、100 を掛けた値。</v>
      </c>
      <c r="K3635" s="1" t="str">
        <f>IFERROR(__xludf.DUMMYFUNCTION("GOOGLETRANSLATE(G3635,""EN"",""JA"")"),"垂直直径の製品におけるベースラインからのパーセント変化")</f>
        <v>垂直直径の製品におけるベースラインからのパーセント変化</v>
      </c>
    </row>
    <row r="3636" ht="13.5" customHeight="1">
      <c r="A3636" s="1" t="s">
        <v>233</v>
      </c>
      <c r="B3636" s="1" t="s">
        <v>18223</v>
      </c>
      <c r="C3636" s="1" t="s">
        <v>18224</v>
      </c>
      <c r="D3636" s="1" t="s">
        <v>18225</v>
      </c>
      <c r="E3636" s="1" t="s">
        <v>18225</v>
      </c>
      <c r="F3636" s="1" t="s">
        <v>18226</v>
      </c>
      <c r="G3636" s="1" t="s">
        <v>18227</v>
      </c>
      <c r="H3636" s="1" t="str">
        <f>IFERROR(__xludf.DUMMYFUNCTION("GOOGLETRANSLATE(D3636,""EN"",""JA"")"),"直径の合計におけるベースラインのパーセント変化")</f>
        <v>直径の合計におけるベースラインのパーセント変化</v>
      </c>
      <c r="I3636" s="1" t="str">
        <f>IFERROR(__xludf.DUMMYFUNCTION("GOOGLETRANSLATE(E3636,""EN"",""JA"")"),"直径の合計におけるベースラインのパーセント変化")</f>
        <v>直径の合計におけるベースラインのパーセント変化</v>
      </c>
      <c r="J3636" s="1" t="str">
        <f>IFERROR(__xludf.DUMMYFUNCTION("GOOGLETRANSLATE(F3636,""EN"",""JA"")"),"(現在の直径の合計から基準直径の合計を引いた値) を基準直径の合計で割り、100 を掛けます。")</f>
        <v>(現在の直径の合計から基準直径の合計を引いた値) を基準直径の合計で割り、100 を掛けます。</v>
      </c>
      <c r="K3636" s="1" t="str">
        <f>IFERROR(__xludf.DUMMYFUNCTION("GOOGLETRANSLATE(G3636,""EN"",""JA"")"),"直径の合計のベースラインからのパーセント変化")</f>
        <v>直径の合計のベースラインからのパーセント変化</v>
      </c>
    </row>
    <row r="3637" ht="13.5" customHeight="1">
      <c r="A3637" s="1" t="s">
        <v>233</v>
      </c>
      <c r="B3637" s="1" t="s">
        <v>18228</v>
      </c>
      <c r="C3637" s="1" t="s">
        <v>18229</v>
      </c>
      <c r="D3637" s="1" t="s">
        <v>18230</v>
      </c>
      <c r="E3637" s="1" t="s">
        <v>18230</v>
      </c>
      <c r="F3637" s="1" t="s">
        <v>18231</v>
      </c>
      <c r="G3637" s="1" t="s">
        <v>18232</v>
      </c>
      <c r="H3637" s="1" t="str">
        <f>IFERROR(__xludf.DUMMYFUNCTION("GOOGLETRANSLATE(D3637,""EN"",""JA"")"),"パーセント変化 ベースライン合計 最長径")</f>
        <v>パーセント変化 ベースライン合計 最長径</v>
      </c>
      <c r="I3637" s="1" t="str">
        <f>IFERROR(__xludf.DUMMYFUNCTION("GOOGLETRANSLATE(E3637,""EN"",""JA"")"),"パーセント変化 ベースライン合計 最長径")</f>
        <v>パーセント変化 ベースライン合計 最長径</v>
      </c>
      <c r="J3637" s="1" t="str">
        <f>IFERROR(__xludf.DUMMYFUNCTION("GOOGLETRANSLATE(F3637,""EN"",""JA"")"),"(現在の最長直径の合計からベースラインの最長直径の合計を引いた値) をベースラインの最長直径の合計で割り、100 を掛けます。")</f>
        <v>(現在の最長直径の合計からベースラインの最長直径の合計を引いた値) をベースラインの最長直径の合計で割り、100 を掛けます。</v>
      </c>
      <c r="K3637" s="1" t="str">
        <f>IFERROR(__xludf.DUMMYFUNCTION("GOOGLETRANSLATE(G3637,""EN"",""JA"")"),"最長直径の合計のベースラインからのパーセント変化")</f>
        <v>最長直径の合計のベースラインからのパーセント変化</v>
      </c>
    </row>
    <row r="3638" ht="13.5" customHeight="1">
      <c r="A3638" s="1" t="s">
        <v>233</v>
      </c>
      <c r="B3638" s="1" t="s">
        <v>18233</v>
      </c>
      <c r="C3638" s="1" t="s">
        <v>18234</v>
      </c>
      <c r="D3638" s="1" t="s">
        <v>18235</v>
      </c>
      <c r="E3638" s="1" t="s">
        <v>18236</v>
      </c>
      <c r="F3638" s="1" t="s">
        <v>18237</v>
      </c>
      <c r="G3638" s="1" t="s">
        <v>18238</v>
      </c>
      <c r="H3638" s="1" t="str">
        <f>IFERROR(__xludf.DUMMYFUNCTION("GOOGLETRANSLATE(D3638,""EN"",""JA"")"),"臓器拡大におけるベースラインの変化率")</f>
        <v>臓器拡大におけるベースラインの変化率</v>
      </c>
      <c r="I3638" s="1" t="str">
        <f>IFERROR(__xludf.DUMMYFUNCTION("GOOGLETRANSLATE(E3638,""EN"",""JA"")"),"臓器拡大のベースラインに対するパーセント変化; 臓器拡大のベースラインに対するパーセント変化")</f>
        <v>臓器拡大のベースラインに対するパーセント変化; 臓器拡大のベースラインに対するパーセント変化</v>
      </c>
      <c r="J3638" s="1" t="str">
        <f>IFERROR(__xludf.DUMMYFUNCTION("GOOGLETRANSLATE(F3638,""EN"",""JA"")"),"（現在の臓器肥大から基準臓器肥大を引いた値）を基準臓器肥大で割り、100を掛けた値。（NCI）")</f>
        <v>（現在の臓器肥大から基準臓器肥大を引いた値）を基準臓器肥大で割り、100を掛けた値。（NCI）</v>
      </c>
      <c r="K3638" s="1" t="str">
        <f>IFERROR(__xludf.DUMMYFUNCTION("GOOGLETRANSLATE(G3638,""EN"",""JA"")"),"臓器肥大のベースラインからの変化率")</f>
        <v>臓器肥大のベースラインからの変化率</v>
      </c>
    </row>
    <row r="3639" ht="13.5" customHeight="1">
      <c r="A3639" s="1" t="s">
        <v>233</v>
      </c>
      <c r="B3639" s="1" t="s">
        <v>18239</v>
      </c>
      <c r="C3639" s="1" t="s">
        <v>18240</v>
      </c>
      <c r="D3639" s="1" t="s">
        <v>18241</v>
      </c>
      <c r="E3639" s="1" t="s">
        <v>18241</v>
      </c>
      <c r="F3639" s="1" t="s">
        <v>18242</v>
      </c>
      <c r="G3639" s="1" t="s">
        <v>18243</v>
      </c>
      <c r="H3639" s="1" t="str">
        <f>IFERROR(__xludf.DUMMYFUNCTION("GOOGLETRANSLATE(D3639,""EN"",""JA"")"),"PPDの合計におけるベースラインのパーセント変化")</f>
        <v>PPDの合計におけるベースラインのパーセント変化</v>
      </c>
      <c r="I3639" s="1" t="str">
        <f>IFERROR(__xludf.DUMMYFUNCTION("GOOGLETRANSLATE(E3639,""EN"",""JA"")"),"PPDの合計におけるベースラインのパーセント変化")</f>
        <v>PPDの合計におけるベースラインのパーセント変化</v>
      </c>
      <c r="J3639" s="1" t="str">
        <f>IFERROR(__xludf.DUMMYFUNCTION("GOOGLETRANSLATE(F3639,""EN"",""JA"")"),"(現在の垂直直径の積の合計から基準垂直直径の積の合計を引いたもの) を基準垂直直径の積の合計で割り、100 を掛けます。")</f>
        <v>(現在の垂直直径の積の合計から基準垂直直径の積の合計を引いたもの) を基準垂直直径の積の合計で割り、100 を掛けます。</v>
      </c>
      <c r="K3639" s="1" t="str">
        <f>IFERROR(__xludf.DUMMYFUNCTION("GOOGLETRANSLATE(G3639,""EN"",""JA"")"),"垂直直径の積の合計のベースラインからのパーセント変化")</f>
        <v>垂直直径の積の合計のベースラインからのパーセント変化</v>
      </c>
    </row>
    <row r="3640" ht="13.5" customHeight="1">
      <c r="A3640" s="1" t="s">
        <v>233</v>
      </c>
      <c r="B3640" s="1" t="s">
        <v>18244</v>
      </c>
      <c r="C3640" s="1" t="s">
        <v>18245</v>
      </c>
      <c r="D3640" s="1" t="s">
        <v>18246</v>
      </c>
      <c r="E3640" s="1" t="s">
        <v>18246</v>
      </c>
      <c r="F3640" s="1" t="s">
        <v>18247</v>
      </c>
      <c r="G3640" s="1" t="s">
        <v>18248</v>
      </c>
      <c r="H3640" s="1" t="str">
        <f>IFERROR(__xludf.DUMMYFUNCTION("GOOGLETRANSLATE(D3640,""EN"",""JA"")"),"数量合計のベースラインの変化率")</f>
        <v>数量合計のベースラインの変化率</v>
      </c>
      <c r="I3640" s="1" t="str">
        <f>IFERROR(__xludf.DUMMYFUNCTION("GOOGLETRANSLATE(E3640,""EN"",""JA"")"),"数量合計のベースラインの変化率")</f>
        <v>数量合計のベースラインの変化率</v>
      </c>
      <c r="J3640" s="1" t="str">
        <f>IFERROR(__xludf.DUMMYFUNCTION("GOOGLETRANSLATE(F3640,""EN"",""JA"")"),"(現在のボリュームの合計からベースラインのボリュームの合計を引いた値) をベースラインのボリュームの合計で割り、100 を掛けた値。")</f>
        <v>(現在のボリュームの合計からベースラインのボリュームの合計を引いた値) をベースラインのボリュームの合計で割り、100 を掛けた値。</v>
      </c>
      <c r="K3640" s="1" t="str">
        <f>IFERROR(__xludf.DUMMYFUNCTION("GOOGLETRANSLATE(G3640,""EN"",""JA"")"),"ベースラインからの合計量の変化率")</f>
        <v>ベースラインからの合計量の変化率</v>
      </c>
    </row>
    <row r="3641" ht="13.5" customHeight="1">
      <c r="A3641" s="1" t="s">
        <v>11</v>
      </c>
      <c r="B3641" s="1" t="s">
        <v>18249</v>
      </c>
      <c r="C3641" s="1" t="s">
        <v>18250</v>
      </c>
      <c r="D3641" s="1" t="s">
        <v>18251</v>
      </c>
      <c r="E3641" s="1" t="s">
        <v>18251</v>
      </c>
      <c r="F3641" s="1" t="s">
        <v>18252</v>
      </c>
      <c r="G3641" s="1" t="s">
        <v>18253</v>
      </c>
      <c r="H3641" s="1" t="str">
        <f>IFERROR(__xludf.DUMMYFUNCTION("GOOGLETRANSLATE(D3641,""EN"",""JA"")"),"血小板成分分布幅")</f>
        <v>血小板成分分布幅</v>
      </c>
      <c r="I3641" s="1" t="str">
        <f>IFERROR(__xludf.DUMMYFUNCTION("GOOGLETRANSLATE(E3641,""EN"",""JA"")"),"血小板成分分布幅")</f>
        <v>血小板成分分布幅</v>
      </c>
      <c r="J3641" s="1" t="str">
        <f>IFERROR(__xludf.DUMMYFUNCTION("GOOGLETRANSLATE(F3641,""EN"",""JA"")"),"生物標本における血小板形状変化のマーカーの測定。")</f>
        <v>生物標本における血小板形状変化のマーカーの測定。</v>
      </c>
      <c r="K3641" s="1" t="str">
        <f>IFERROR(__xludf.DUMMYFUNCTION("GOOGLETRANSLATE(G3641,""EN"",""JA"")"),"血小板成分分布幅測定")</f>
        <v>血小板成分分布幅測定</v>
      </c>
    </row>
    <row r="3642" ht="13.5" customHeight="1">
      <c r="A3642" s="1" t="s">
        <v>580</v>
      </c>
      <c r="B3642" s="1" t="s">
        <v>18254</v>
      </c>
      <c r="C3642" s="1" t="s">
        <v>18255</v>
      </c>
      <c r="D3642" s="1" t="s">
        <v>18256</v>
      </c>
      <c r="E3642" s="1" t="s">
        <v>18256</v>
      </c>
      <c r="F3642" s="1" t="s">
        <v>18257</v>
      </c>
      <c r="G3642" s="1" t="s">
        <v>18256</v>
      </c>
      <c r="H3642" s="1" t="str">
        <f>IFERROR(__xludf.DUMMYFUNCTION("GOOGLETRANSLATE(D3642,""EN"",""JA"")"),"ピーク咳嗽流量")</f>
        <v>ピーク咳嗽流量</v>
      </c>
      <c r="I3642" s="1" t="str">
        <f>IFERROR(__xludf.DUMMYFUNCTION("GOOGLETRANSLATE(E3642,""EN"",""JA"")"),"ピーク咳嗽流量")</f>
        <v>ピーク咳嗽流量</v>
      </c>
      <c r="J3642" s="1" t="str">
        <f>IFERROR(__xludf.DUMMYFUNCTION("GOOGLETRANSLATE(F3642,""EN"",""JA"")"),"咳をしたときに口、気管内チューブ、または気管切開チューブを通じて排出される空気の最大流量。(NCI)")</f>
        <v>咳をしたときに口、気管内チューブ、または気管切開チューブを通じて排出される空気の最大流量。(NCI)</v>
      </c>
      <c r="K3642" s="1" t="str">
        <f>IFERROR(__xludf.DUMMYFUNCTION("GOOGLETRANSLATE(G3642,""EN"",""JA"")"),"ピーク咳嗽流量")</f>
        <v>ピーク咳嗽流量</v>
      </c>
    </row>
    <row r="3643" ht="13.5" customHeight="1">
      <c r="A3643" s="1" t="s">
        <v>233</v>
      </c>
      <c r="B3643" s="1" t="s">
        <v>18258</v>
      </c>
      <c r="C3643" s="1" t="s">
        <v>18259</v>
      </c>
      <c r="D3643" s="1" t="s">
        <v>18260</v>
      </c>
      <c r="E3643" s="1" t="s">
        <v>18260</v>
      </c>
      <c r="F3643" s="1" t="s">
        <v>18261</v>
      </c>
      <c r="G3643" s="1" t="s">
        <v>18260</v>
      </c>
      <c r="H3643" s="1" t="str">
        <f>IFERROR(__xludf.DUMMYFUNCTION("GOOGLETRANSLATE(D3643,""EN"",""JA"")"),"ベースラインからの変化率")</f>
        <v>ベースラインからの変化率</v>
      </c>
      <c r="I3643" s="1" t="str">
        <f>IFERROR(__xludf.DUMMYFUNCTION("GOOGLETRANSLATE(E3643,""EN"",""JA"")"),"ベースラインからの変化率")</f>
        <v>ベースラインからの変化率</v>
      </c>
      <c r="J3643" s="1" t="str">
        <f>IFERROR(__xludf.DUMMYFUNCTION("GOOGLETRANSLATE(F3643,""EN"",""JA"")"),"(現在の値から基準値を引いた値) を基準値で割り、100 を掛けます。")</f>
        <v>(現在の値から基準値を引いた値) を基準値で割り、100 を掛けます。</v>
      </c>
      <c r="K3643" s="1" t="str">
        <f>IFERROR(__xludf.DUMMYFUNCTION("GOOGLETRANSLATE(G3643,""EN"",""JA"")"),"ベースラインからの変化率")</f>
        <v>ベースラインからの変化率</v>
      </c>
    </row>
    <row r="3644" ht="13.5" customHeight="1">
      <c r="A3644" s="1" t="s">
        <v>233</v>
      </c>
      <c r="B3644" s="1" t="s">
        <v>18262</v>
      </c>
      <c r="C3644" s="1" t="s">
        <v>18263</v>
      </c>
      <c r="D3644" s="1" t="s">
        <v>18264</v>
      </c>
      <c r="E3644" s="1" t="s">
        <v>18264</v>
      </c>
      <c r="F3644" s="1" t="s">
        <v>18265</v>
      </c>
      <c r="G3644" s="1" t="s">
        <v>18264</v>
      </c>
      <c r="H3644" s="1" t="str">
        <f>IFERROR(__xludf.DUMMYFUNCTION("GOOGLETRANSLATE(D3644,""EN"",""JA"")"),"最低値からの変化率")</f>
        <v>最低値からの変化率</v>
      </c>
      <c r="I3644" s="1" t="str">
        <f>IFERROR(__xludf.DUMMYFUNCTION("GOOGLETRANSLATE(E3644,""EN"",""JA"")"),"最低値からの変化率")</f>
        <v>最低値からの変化率</v>
      </c>
      <c r="J3644" s="1" t="str">
        <f>IFERROR(__xludf.DUMMYFUNCTION("GOOGLETRANSLATE(F3644,""EN"",""JA"")"),"(現在の値から以前に記録された最低値を引いた値) を以前に記録された最低値で割り、100 を掛けた値。")</f>
        <v>(現在の値から以前に記録された最低値を引いた値) を以前に記録された最低値で割り、100 を掛けた値。</v>
      </c>
      <c r="K3644" s="1" t="str">
        <f>IFERROR(__xludf.DUMMYFUNCTION("GOOGLETRANSLATE(G3644,""EN"",""JA"")"),"最低値からの変化率")</f>
        <v>最低値からの変化率</v>
      </c>
    </row>
    <row r="3645" ht="13.5" customHeight="1">
      <c r="A3645" s="1" t="s">
        <v>11</v>
      </c>
      <c r="B3645" s="1" t="s">
        <v>18266</v>
      </c>
      <c r="C3645" s="1" t="s">
        <v>18267</v>
      </c>
      <c r="D3645" s="1" t="s">
        <v>18268</v>
      </c>
      <c r="E3645" s="1" t="s">
        <v>18268</v>
      </c>
      <c r="F3645" s="1" t="s">
        <v>18269</v>
      </c>
      <c r="G3645" s="1" t="s">
        <v>18270</v>
      </c>
      <c r="H3645" s="1" t="str">
        <f>IFERROR(__xludf.DUMMYFUNCTION("GOOGLETRANSLATE(D3645,""EN"",""JA"")"),"プロクロルペラジン")</f>
        <v>プロクロルペラジン</v>
      </c>
      <c r="I3645" s="1" t="str">
        <f>IFERROR(__xludf.DUMMYFUNCTION("GOOGLETRANSLATE(E3645,""EN"",""JA"")"),"プロクロルペラジン")</f>
        <v>プロクロルペラジン</v>
      </c>
      <c r="J3645" s="1" t="str">
        <f>IFERROR(__xludf.DUMMYFUNCTION("GOOGLETRANSLATE(F3645,""EN"",""JA"")"),"生物標本中のプロクロルペラジンの測定。")</f>
        <v>生物標本中のプロクロルペラジンの測定。</v>
      </c>
      <c r="K3645" s="1" t="str">
        <f>IFERROR(__xludf.DUMMYFUNCTION("GOOGLETRANSLATE(G3645,""EN"",""JA"")"),"プロクロルペラジン測定")</f>
        <v>プロクロルペラジン測定</v>
      </c>
    </row>
    <row r="3646" ht="13.5" customHeight="1">
      <c r="A3646" s="1" t="s">
        <v>397</v>
      </c>
      <c r="B3646" s="1" t="s">
        <v>18271</v>
      </c>
      <c r="C3646" s="1" t="s">
        <v>18272</v>
      </c>
      <c r="D3646" s="1" t="s">
        <v>18273</v>
      </c>
      <c r="E3646" s="1" t="s">
        <v>18273</v>
      </c>
      <c r="F3646" s="1" t="s">
        <v>18274</v>
      </c>
      <c r="G3646" s="1" t="s">
        <v>18275</v>
      </c>
      <c r="H3646" s="1" t="str">
        <f>IFERROR(__xludf.DUMMYFUNCTION("GOOGLETRANSLATE(D3646,""EN"",""JA"")"),"薬理学的クラス")</f>
        <v>薬理学的クラス</v>
      </c>
      <c r="I3646" s="1" t="str">
        <f>IFERROR(__xludf.DUMMYFUNCTION("GOOGLETRANSLATE(E3646,""EN"",""JA"")"),"薬理学的クラス")</f>
        <v>薬理学的クラス</v>
      </c>
      <c r="J3646" s="1" t="str">
        <f>IFERROR(__xludf.DUMMYFUNCTION("GOOGLETRANSLATE(F3646,""EN"",""JA"")"),"治験薬の薬理学的クラス。")</f>
        <v>治験薬の薬理学的クラス。</v>
      </c>
      <c r="K3646" s="1" t="str">
        <f>IFERROR(__xludf.DUMMYFUNCTION("GOOGLETRANSLATE(G3646,""EN"",""JA"")"),"治験薬の薬理学的クラス")</f>
        <v>治験薬の薬理学的クラス</v>
      </c>
    </row>
    <row r="3647" ht="13.5" customHeight="1">
      <c r="A3647" s="1" t="s">
        <v>11</v>
      </c>
      <c r="B3647" s="1" t="s">
        <v>18276</v>
      </c>
      <c r="C3647" s="1" t="s">
        <v>18277</v>
      </c>
      <c r="D3647" s="1" t="s">
        <v>18278</v>
      </c>
      <c r="E3647" s="1" t="s">
        <v>18279</v>
      </c>
      <c r="F3647" s="1" t="s">
        <v>18280</v>
      </c>
      <c r="G3647" s="1" t="s">
        <v>18281</v>
      </c>
      <c r="H3647" s="1" t="str">
        <f>IFERROR(__xludf.DUMMYFUNCTION("GOOGLETRANSLATE(D3647,""EN"",""JA"")"),"増殖細胞核抗原")</f>
        <v>増殖細胞核抗原</v>
      </c>
      <c r="I3647" s="1" t="str">
        <f>IFERROR(__xludf.DUMMYFUNCTION("GOOGLETRANSLATE(E3647,""EN"",""JA"")"),"サイクリン; 増殖細胞核抗原")</f>
        <v>サイクリン; 増殖細胞核抗原</v>
      </c>
      <c r="J3647" s="1" t="str">
        <f>IFERROR(__xludf.DUMMYFUNCTION("GOOGLETRANSLATE(F3647,""EN"",""JA"")"),"生物標本中の増殖細胞核抗原の測定。")</f>
        <v>生物標本中の増殖細胞核抗原の測定。</v>
      </c>
      <c r="K3647" s="1" t="str">
        <f>IFERROR(__xludf.DUMMYFUNCTION("GOOGLETRANSLATE(G3647,""EN"",""JA"")"),"増殖細胞核抗原測定")</f>
        <v>増殖細胞核抗原測定</v>
      </c>
    </row>
    <row r="3648" ht="13.5" customHeight="1">
      <c r="A3648" s="1" t="s">
        <v>233</v>
      </c>
      <c r="B3648" s="1" t="s">
        <v>18282</v>
      </c>
      <c r="C3648" s="1" t="s">
        <v>18283</v>
      </c>
      <c r="D3648" s="1" t="s">
        <v>18284</v>
      </c>
      <c r="E3648" s="1" t="s">
        <v>18285</v>
      </c>
      <c r="F3648" s="1" t="s">
        <v>18286</v>
      </c>
      <c r="G3648" s="1" t="s">
        <v>18287</v>
      </c>
      <c r="H3648" s="1" t="str">
        <f>IFERROR(__xludf.DUMMYFUNCTION("GOOGLETRANSLATE(D3648,""EN"",""JA"")"),"臓器拡大における最低値の変化率")</f>
        <v>臓器拡大における最低値の変化率</v>
      </c>
      <c r="I3648" s="1" t="str">
        <f>IFERROR(__xludf.DUMMYFUNCTION("GOOGLETRANSLATE(E3648,""EN"",""JA"")"),"臓器拡大の最低値に対するパーセント変化; 臓器拡大の最低値に対するパーセント変化")</f>
        <v>臓器拡大の最低値に対するパーセント変化; 臓器拡大の最低値に対するパーセント変化</v>
      </c>
      <c r="J3648" s="1" t="str">
        <f>IFERROR(__xludf.DUMMYFUNCTION("GOOGLETRANSLATE(F3648,""EN"",""JA"")"),"（現在の臓器肥大から過去に記録された臓器肥大の最小値を引いた値）を、過去に記録された臓器肥大の最小値で割り、100 を掛けた値。（NCI）")</f>
        <v>（現在の臓器肥大から過去に記録された臓器肥大の最小値を引いた値）を、過去に記録された臓器肥大の最小値で割り、100 を掛けた値。（NCI）</v>
      </c>
      <c r="K3648" s="1" t="str">
        <f>IFERROR(__xludf.DUMMYFUNCTION("GOOGLETRANSLATE(G3648,""EN"",""JA"")"),"臓器肥大の最低値からの変化率")</f>
        <v>臓器肥大の最低値からの変化率</v>
      </c>
    </row>
    <row r="3649" ht="13.5" customHeight="1">
      <c r="A3649" s="1" t="s">
        <v>233</v>
      </c>
      <c r="B3649" s="1" t="s">
        <v>18288</v>
      </c>
      <c r="C3649" s="1" t="s">
        <v>18289</v>
      </c>
      <c r="D3649" s="1" t="s">
        <v>18290</v>
      </c>
      <c r="E3649" s="1" t="s">
        <v>18290</v>
      </c>
      <c r="F3649" s="1" t="s">
        <v>18291</v>
      </c>
      <c r="G3649" s="1" t="s">
        <v>18292</v>
      </c>
      <c r="H3649" s="1" t="str">
        <f>IFERROR(__xludf.DUMMYFUNCTION("GOOGLETRANSLATE(D3649,""EN"",""JA"")"),"PPDの最低値の変化率")</f>
        <v>PPDの最低値の変化率</v>
      </c>
      <c r="I3649" s="1" t="str">
        <f>IFERROR(__xludf.DUMMYFUNCTION("GOOGLETRANSLATE(E3649,""EN"",""JA"")"),"PPDの最低値の変化率")</f>
        <v>PPDの最低値の変化率</v>
      </c>
      <c r="J3649" s="1" t="str">
        <f>IFERROR(__xludf.DUMMYFUNCTION("GOOGLETRANSLATE(F3649,""EN"",""JA"")"),"(現在の垂直直径の積から以前に記録された垂直直径の最小の積を引いた値) を以前に記録された垂直直径の最小の積で割り、100 を掛けた値。")</f>
        <v>(現在の垂直直径の積から以前に記録された垂直直径の最小の積を引いた値) を以前に記録された垂直直径の最小の積で割り、100 を掛けた値。</v>
      </c>
      <c r="K3649" s="1" t="str">
        <f>IFERROR(__xludf.DUMMYFUNCTION("GOOGLETRANSLATE(G3649,""EN"",""JA"")"),"垂直直径の積における最下点からのパーセント変化")</f>
        <v>垂直直径の積における最下点からのパーセント変化</v>
      </c>
    </row>
    <row r="3650" ht="13.5" customHeight="1">
      <c r="A3650" s="1" t="s">
        <v>233</v>
      </c>
      <c r="B3650" s="1" t="s">
        <v>18293</v>
      </c>
      <c r="C3650" s="1" t="s">
        <v>18294</v>
      </c>
      <c r="D3650" s="1" t="s">
        <v>18295</v>
      </c>
      <c r="E3650" s="1" t="s">
        <v>18295</v>
      </c>
      <c r="F3650" s="1" t="s">
        <v>18296</v>
      </c>
      <c r="G3650" s="1" t="s">
        <v>18297</v>
      </c>
      <c r="H3650" s="1" t="str">
        <f>IFERROR(__xludf.DUMMYFUNCTION("GOOGLETRANSLATE(D3650,""EN"",""JA"")"),"直径の合計における最低値の変化率")</f>
        <v>直径の合計における最低値の変化率</v>
      </c>
      <c r="I3650" s="1" t="str">
        <f>IFERROR(__xludf.DUMMYFUNCTION("GOOGLETRANSLATE(E3650,""EN"",""JA"")"),"直径の合計における最低値の変化率")</f>
        <v>直径の合計における最低値の変化率</v>
      </c>
      <c r="J3650" s="1" t="str">
        <f>IFERROR(__xludf.DUMMYFUNCTION("GOOGLETRANSLATE(F3650,""EN"",""JA"")"),"(現在の直径の合計から以前に記録された最小の直径の合計を引いた値) を以前に記録された最小の直径の合計で割り、100 を掛けます。")</f>
        <v>(現在の直径の合計から以前に記録された最小の直径の合計を引いた値) を以前に記録された最小の直径の合計で割り、100 を掛けます。</v>
      </c>
      <c r="K3650" s="1" t="str">
        <f>IFERROR(__xludf.DUMMYFUNCTION("GOOGLETRANSLATE(G3650,""EN"",""JA"")"),"直径の合計における最低値からのパーセント変化")</f>
        <v>直径の合計における最低値からのパーセント変化</v>
      </c>
    </row>
    <row r="3651" ht="13.5" customHeight="1">
      <c r="A3651" s="1" t="s">
        <v>233</v>
      </c>
      <c r="B3651" s="1" t="s">
        <v>18298</v>
      </c>
      <c r="C3651" s="1" t="s">
        <v>18299</v>
      </c>
      <c r="D3651" s="1" t="s">
        <v>18300</v>
      </c>
      <c r="E3651" s="1" t="s">
        <v>18300</v>
      </c>
      <c r="F3651" s="1" t="s">
        <v>18301</v>
      </c>
      <c r="G3651" s="1" t="s">
        <v>18302</v>
      </c>
      <c r="H3651" s="1" t="str">
        <f>IFERROR(__xludf.DUMMYFUNCTION("GOOGLETRANSLATE(D3651,""EN"",""JA"")"),"合計最長直径の最低値に対するパーセント変化")</f>
        <v>合計最長直径の最低値に対するパーセント変化</v>
      </c>
      <c r="I3651" s="1" t="str">
        <f>IFERROR(__xludf.DUMMYFUNCTION("GOOGLETRANSLATE(E3651,""EN"",""JA"")"),"合計最長直径の最低値に対するパーセント変化")</f>
        <v>合計最長直径の最低値に対するパーセント変化</v>
      </c>
      <c r="J3651" s="1" t="str">
        <f>IFERROR(__xludf.DUMMYFUNCTION("GOOGLETRANSLATE(F3651,""EN"",""JA"")"),"(現在の最長直径の合計から、以前に記録された最長直径の最小の合計を引いた値) を、以前に記録された最長直径の最小の合計で割り、100 を掛けた値。")</f>
        <v>(現在の最長直径の合計から、以前に記録された最長直径の最小の合計を引いた値) を、以前に記録された最長直径の最小の合計で割り、100 を掛けた値。</v>
      </c>
      <c r="K3651" s="1" t="str">
        <f>IFERROR(__xludf.DUMMYFUNCTION("GOOGLETRANSLATE(G3651,""EN"",""JA"")"),"最長直径の合計の最低値からのパーセント変化")</f>
        <v>最長直径の合計の最低値からのパーセント変化</v>
      </c>
    </row>
    <row r="3652" ht="13.5" customHeight="1">
      <c r="A3652" s="1" t="s">
        <v>233</v>
      </c>
      <c r="B3652" s="1" t="s">
        <v>18303</v>
      </c>
      <c r="C3652" s="1" t="s">
        <v>18304</v>
      </c>
      <c r="D3652" s="1" t="s">
        <v>18305</v>
      </c>
      <c r="E3652" s="1" t="s">
        <v>18305</v>
      </c>
      <c r="F3652" s="1" t="s">
        <v>18306</v>
      </c>
      <c r="G3652" s="1" t="s">
        <v>18307</v>
      </c>
      <c r="H3652" s="1" t="str">
        <f>IFERROR(__xludf.DUMMYFUNCTION("GOOGLETRANSLATE(D3652,""EN"",""JA"")"),"PPD合計の最低値の変化率")</f>
        <v>PPD合計の最低値の変化率</v>
      </c>
      <c r="I3652" s="1" t="str">
        <f>IFERROR(__xludf.DUMMYFUNCTION("GOOGLETRANSLATE(E3652,""EN"",""JA"")"),"PPD合計の最低値の変化率")</f>
        <v>PPD合計の最低値の変化率</v>
      </c>
      <c r="J3652" s="1" t="str">
        <f>IFERROR(__xludf.DUMMYFUNCTION("GOOGLETRANSLATE(F3652,""EN"",""JA"")"),"(現在の垂直直径の積の合計から、以前に記録された垂直直径の積の合計の最小値を引いた値) を、以前に記録された垂直直径の積の合計の最小値で割り、100 を掛けた値。")</f>
        <v>(現在の垂直直径の積の合計から、以前に記録された垂直直径の積の合計の最小値を引いた値) を、以前に記録された垂直直径の積の合計の最小値で割り、100 を掛けた値。</v>
      </c>
      <c r="K3652" s="1" t="str">
        <f>IFERROR(__xludf.DUMMYFUNCTION("GOOGLETRANSLATE(G3652,""EN"",""JA"")"),"垂直直径の積の合計における最下点からのパーセント変化")</f>
        <v>垂直直径の積の合計における最下点からのパーセント変化</v>
      </c>
    </row>
    <row r="3653" ht="13.5" customHeight="1">
      <c r="A3653" s="1" t="s">
        <v>233</v>
      </c>
      <c r="B3653" s="1" t="s">
        <v>18308</v>
      </c>
      <c r="C3653" s="1" t="s">
        <v>18309</v>
      </c>
      <c r="D3653" s="1" t="s">
        <v>18310</v>
      </c>
      <c r="E3653" s="1" t="s">
        <v>18310</v>
      </c>
      <c r="F3653" s="1" t="s">
        <v>18311</v>
      </c>
      <c r="G3653" s="1" t="s">
        <v>18310</v>
      </c>
      <c r="H3653" s="1" t="str">
        <f>IFERROR(__xludf.DUMMYFUNCTION("GOOGLETRANSLATE(D3653,""EN"",""JA"")"),"数量合計のパーセント変化最低値")</f>
        <v>数量合計のパーセント変化最低値</v>
      </c>
      <c r="I3653" s="1" t="str">
        <f>IFERROR(__xludf.DUMMYFUNCTION("GOOGLETRANSLATE(E3653,""EN"",""JA"")"),"数量合計のパーセント変化最低値")</f>
        <v>数量合計のパーセント変化最低値</v>
      </c>
      <c r="J3653" s="1" t="str">
        <f>IFERROR(__xludf.DUMMYFUNCTION("GOOGLETRANSLATE(F3653,""EN"",""JA"")"),"(現在の合計取引量から過去に記録された最低の合計取引量を引いた値) を、過去に記録された最低の合計取引量で割り、100 を掛けた値。")</f>
        <v>(現在の合計取引量から過去に記録された最低の合計取引量を引いた値) を、過去に記録された最低の合計取引量で割り、100 を掛けた値。</v>
      </c>
      <c r="K3653" s="1" t="str">
        <f>IFERROR(__xludf.DUMMYFUNCTION("GOOGLETRANSLATE(G3653,""EN"",""JA"")"),"数量合計のパーセント変化最低値")</f>
        <v>数量合計のパーセント変化最低値</v>
      </c>
    </row>
    <row r="3654" ht="13.5" customHeight="1">
      <c r="A3654" s="1" t="s">
        <v>11</v>
      </c>
      <c r="B3654" s="1" t="s">
        <v>18312</v>
      </c>
      <c r="C3654" s="1" t="s">
        <v>18313</v>
      </c>
      <c r="D3654" s="1" t="s">
        <v>18314</v>
      </c>
      <c r="E3654" s="1" t="s">
        <v>18314</v>
      </c>
      <c r="F3654" s="1" t="s">
        <v>18315</v>
      </c>
      <c r="G3654" s="1" t="s">
        <v>18316</v>
      </c>
      <c r="H3654" s="1" t="str">
        <f>IFERROR(__xludf.DUMMYFUNCTION("GOOGLETRANSLATE(D3654,""EN"",""JA"")"),"分圧二酸化炭素")</f>
        <v>分圧二酸化炭素</v>
      </c>
      <c r="I3654" s="1" t="str">
        <f>IFERROR(__xludf.DUMMYFUNCTION("GOOGLETRANSLATE(E3654,""EN"",""JA"")"),"分圧二酸化炭素")</f>
        <v>分圧二酸化炭素</v>
      </c>
      <c r="J3654" s="1" t="str">
        <f>IFERROR(__xludf.DUMMYFUNCTION("GOOGLETRANSLATE(F3654,""EN"",""JA"")"),"生物標本内の二酸化炭素の圧力の測定。")</f>
        <v>生物標本内の二酸化炭素の圧力の測定。</v>
      </c>
      <c r="K3654" s="1" t="str">
        <f>IFERROR(__xludf.DUMMYFUNCTION("GOOGLETRANSLATE(G3654,""EN"",""JA"")"),"二酸化炭素分圧測定")</f>
        <v>二酸化炭素分圧測定</v>
      </c>
    </row>
    <row r="3655" ht="13.5" customHeight="1">
      <c r="A3655" s="1" t="s">
        <v>11</v>
      </c>
      <c r="B3655" s="1" t="s">
        <v>18317</v>
      </c>
      <c r="C3655" s="1" t="s">
        <v>18318</v>
      </c>
      <c r="D3655" s="1" t="s">
        <v>18319</v>
      </c>
      <c r="E3655" s="1" t="s">
        <v>18319</v>
      </c>
      <c r="F3655" s="1" t="s">
        <v>18320</v>
      </c>
      <c r="G3655" s="1" t="s">
        <v>18321</v>
      </c>
      <c r="H3655" s="1" t="str">
        <f>IFERROR(__xludf.DUMMYFUNCTION("GOOGLETRANSLATE(D3655,""EN"",""JA"")"),"分圧二酸化炭素調整温度")</f>
        <v>分圧二酸化炭素調整温度</v>
      </c>
      <c r="I3655" s="1" t="str">
        <f>IFERROR(__xludf.DUMMYFUNCTION("GOOGLETRANSLATE(E3655,""EN"",""JA"")"),"分圧二酸化炭素調整温度")</f>
        <v>分圧二酸化炭素調整温度</v>
      </c>
      <c r="J3655" s="1" t="str">
        <f>IFERROR(__xludf.DUMMYFUNCTION("GOOGLETRANSLATE(F3655,""EN"",""JA"")"),"生物標本内の体温に合わせて調整された二酸化炭素の圧力の測定値。")</f>
        <v>生物標本内の体温に合わせて調整された二酸化炭素の圧力の測定値。</v>
      </c>
      <c r="K3655" s="1" t="str">
        <f>IFERROR(__xludf.DUMMYFUNCTION("GOOGLETRANSLATE(G3655,""EN"",""JA"")"),"体温測定用に調整された二酸化炭素分圧")</f>
        <v>体温測定用に調整された二酸化炭素分圧</v>
      </c>
    </row>
    <row r="3656" ht="13.5" customHeight="1">
      <c r="A3656" s="1" t="s">
        <v>160</v>
      </c>
      <c r="B3656" s="1" t="s">
        <v>18322</v>
      </c>
      <c r="C3656" s="1" t="s">
        <v>18323</v>
      </c>
      <c r="D3656" s="1" t="s">
        <v>18324</v>
      </c>
      <c r="E3656" s="1" t="s">
        <v>18324</v>
      </c>
      <c r="F3656" s="1" t="s">
        <v>18325</v>
      </c>
      <c r="G3656" s="1" t="s">
        <v>18324</v>
      </c>
      <c r="H3656" s="1" t="str">
        <f>IFERROR(__xludf.DUMMYFUNCTION("GOOGLETRANSLATE(D3656,""EN"",""JA"")"),"妊娠確認指標")</f>
        <v>妊娠確認指標</v>
      </c>
      <c r="I3656" s="1" t="str">
        <f>IFERROR(__xludf.DUMMYFUNCTION("GOOGLETRANSLATE(E3656,""EN"",""JA"")"),"妊娠確認指標")</f>
        <v>妊娠確認指標</v>
      </c>
      <c r="J3656" s="1" t="str">
        <f>IFERROR(__xludf.DUMMYFUNCTION("GOOGLETRANSLATE(F3656,""EN"",""JA"")"),"対象者の妊娠が確認されたかどうかを示します。")</f>
        <v>対象者の妊娠が確認されたかどうかを示します。</v>
      </c>
      <c r="K3656" s="1" t="str">
        <f>IFERROR(__xludf.DUMMYFUNCTION("GOOGLETRANSLATE(G3656,""EN"",""JA"")"),"妊娠確認指標")</f>
        <v>妊娠確認指標</v>
      </c>
    </row>
    <row r="3657" ht="13.5" customHeight="1">
      <c r="A3657" s="1" t="s">
        <v>11</v>
      </c>
      <c r="B3657" s="1" t="s">
        <v>18326</v>
      </c>
      <c r="C3657" s="1" t="s">
        <v>18327</v>
      </c>
      <c r="D3657" s="1" t="s">
        <v>18328</v>
      </c>
      <c r="E3657" s="1" t="s">
        <v>18329</v>
      </c>
      <c r="F3657" s="1" t="s">
        <v>18330</v>
      </c>
      <c r="G3657" s="1" t="s">
        <v>18331</v>
      </c>
      <c r="H3657" s="1" t="str">
        <f>IFERROR(__xludf.DUMMYFUNCTION("GOOGLETRANSLATE(D3657,""EN"",""JA"")"),"フェンシクリン")</f>
        <v>フェンシクリン</v>
      </c>
      <c r="I3657" s="1" t="str">
        <f>IFERROR(__xludf.DUMMYFUNCTION("GOOGLETRANSLATE(E3657,""EN"",""JA"")"),"フェンシクリジン; フェニルシクロヘキシルピペリジン")</f>
        <v>フェンシクリジン; フェニルシクロヘキシルピペリジン</v>
      </c>
      <c r="J3657" s="1" t="str">
        <f>IFERROR(__xludf.DUMMYFUNCTION("GOOGLETRANSLATE(F3657,""EN"",""JA"")"),"生物学的標本中に存在するフェンサイクリジンの測定。")</f>
        <v>生物学的標本中に存在するフェンサイクリジンの測定。</v>
      </c>
      <c r="K3657" s="1" t="str">
        <f>IFERROR(__xludf.DUMMYFUNCTION("GOOGLETRANSLATE(G3657,""EN"",""JA"")"),"フェンシクリジン測定")</f>
        <v>フェンシクリジン測定</v>
      </c>
    </row>
    <row r="3658" ht="13.5" customHeight="1">
      <c r="A3658" s="1" t="s">
        <v>11</v>
      </c>
      <c r="B3658" s="1" t="s">
        <v>18332</v>
      </c>
      <c r="C3658" s="1" t="s">
        <v>18333</v>
      </c>
      <c r="D3658" s="1" t="s">
        <v>18334</v>
      </c>
      <c r="E3658" s="1" t="s">
        <v>18334</v>
      </c>
      <c r="F3658" s="1" t="s">
        <v>18335</v>
      </c>
      <c r="G3658" s="1" t="s">
        <v>18336</v>
      </c>
      <c r="H3658" s="1" t="str">
        <f>IFERROR(__xludf.DUMMYFUNCTION("GOOGLETRANSLATE(D3658,""EN"",""JA"")"),"プロタンパク質転換酵素サブチリシン/ケキシン9")</f>
        <v>プロタンパク質転換酵素サブチリシン/ケキシン9</v>
      </c>
      <c r="I3658" s="1" t="str">
        <f>IFERROR(__xludf.DUMMYFUNCTION("GOOGLETRANSLATE(E3658,""EN"",""JA"")"),"プロタンパク質転換酵素サブチリシン/ケキシン9")</f>
        <v>プロタンパク質転換酵素サブチリシン/ケキシン9</v>
      </c>
      <c r="J3658" s="1" t="str">
        <f>IFERROR(__xludf.DUMMYFUNCTION("GOOGLETRANSLATE(F3658,""EN"",""JA"")"),"生物標本中のプロタンパク質転換酵素サブチリシン/ケキシン 9 型の測定。")</f>
        <v>生物標本中のプロタンパク質転換酵素サブチリシン/ケキシン 9 型の測定。</v>
      </c>
      <c r="K3658" s="1" t="str">
        <f>IFERROR(__xludf.DUMMYFUNCTION("GOOGLETRANSLATE(G3658,""EN"",""JA"")"),"プロタンパク質転換酵素サブチリシン/ケキシン9型測定")</f>
        <v>プロタンパク質転換酵素サブチリシン/ケキシン9型測定</v>
      </c>
    </row>
    <row r="3659" ht="13.5" customHeight="1">
      <c r="A3659" s="1" t="s">
        <v>11</v>
      </c>
      <c r="B3659" s="1" t="s">
        <v>18337</v>
      </c>
      <c r="C3659" s="1" t="s">
        <v>18338</v>
      </c>
      <c r="D3659" s="1" t="s">
        <v>18339</v>
      </c>
      <c r="E3659" s="1" t="s">
        <v>18340</v>
      </c>
      <c r="F3659" s="1" t="s">
        <v>18341</v>
      </c>
      <c r="G3659" s="1" t="s">
        <v>18342</v>
      </c>
      <c r="H3659" s="1" t="str">
        <f>IFERROR(__xludf.DUMMYFUNCTION("GOOGLETRANSLATE(D3659,""EN"",""JA"")"),"プロプト・コンビルターゼ・スブチリシン-ケキシン9、フリー")</f>
        <v>プロプト・コンビルターゼ・スブチリシン-ケキシン9、フリー</v>
      </c>
      <c r="I3659" s="1" t="str">
        <f>IFERROR(__xludf.DUMMYFUNCTION("GOOGLETRANSLATE(E3659,""EN"",""JA"")"),"プロタンパク質転換酵素サブチリシン/ケキシン9型; プロタンパク質転換酵素サブチリシン-ケキシン9、遊離")</f>
        <v>プロタンパク質転換酵素サブチリシン/ケキシン9型; プロタンパク質転換酵素サブチリシン-ケキシン9、遊離</v>
      </c>
      <c r="J3659" s="1" t="str">
        <f>IFERROR(__xludf.DUMMYFUNCTION("GOOGLETRANSLATE(F3659,""EN"",""JA"")"),"生物標本中の遊離プロタンパク質転換酵素サブチリシン/ケキシン 9 型の測定。")</f>
        <v>生物標本中の遊離プロタンパク質転換酵素サブチリシン/ケキシン 9 型の測定。</v>
      </c>
      <c r="K3659" s="1" t="str">
        <f>IFERROR(__xludf.DUMMYFUNCTION("GOOGLETRANSLATE(G3659,""EN"",""JA"")"),"遊離プロタンパク質転換酵素サブチリシン/ケキシン9型測定")</f>
        <v>遊離プロタンパク質転換酵素サブチリシン/ケキシン9型測定</v>
      </c>
    </row>
    <row r="3660" ht="13.5" customHeight="1">
      <c r="A3660" s="1" t="s">
        <v>11</v>
      </c>
      <c r="B3660" s="1" t="s">
        <v>18343</v>
      </c>
      <c r="C3660" s="1" t="s">
        <v>18344</v>
      </c>
      <c r="D3660" s="1" t="s">
        <v>18345</v>
      </c>
      <c r="E3660" s="1" t="s">
        <v>18345</v>
      </c>
      <c r="F3660" s="1" t="s">
        <v>18346</v>
      </c>
      <c r="G3660" s="1" t="s">
        <v>18347</v>
      </c>
      <c r="H3660" s="1" t="str">
        <f>IFERROR(__xludf.DUMMYFUNCTION("GOOGLETRANSLATE(D3660,""EN"",""JA"")"),"プロカルシトニン")</f>
        <v>プロカルシトニン</v>
      </c>
      <c r="I3660" s="1" t="str">
        <f>IFERROR(__xludf.DUMMYFUNCTION("GOOGLETRANSLATE(E3660,""EN"",""JA"")"),"プロカルシトニン")</f>
        <v>プロカルシトニン</v>
      </c>
      <c r="J3660" s="1" t="str">
        <f>IFERROR(__xludf.DUMMYFUNCTION("GOOGLETRANSLATE(F3660,""EN"",""JA"")"),"生物標本中のプロカルシトニンの測定。")</f>
        <v>生物標本中のプロカルシトニンの測定。</v>
      </c>
      <c r="K3660" s="1" t="str">
        <f>IFERROR(__xludf.DUMMYFUNCTION("GOOGLETRANSLATE(G3660,""EN"",""JA"")"),"プロカルシトニン測定")</f>
        <v>プロカルシトニン測定</v>
      </c>
    </row>
    <row r="3661" ht="13.5" customHeight="1">
      <c r="A3661" s="1" t="s">
        <v>90</v>
      </c>
      <c r="B3661" s="1" t="s">
        <v>18348</v>
      </c>
      <c r="C3661" s="1" t="s">
        <v>18349</v>
      </c>
      <c r="D3661" s="1" t="s">
        <v>18350</v>
      </c>
      <c r="E3661" s="1" t="s">
        <v>18350</v>
      </c>
      <c r="F3661" s="1" t="s">
        <v>18351</v>
      </c>
      <c r="G3661" s="1" t="s">
        <v>18350</v>
      </c>
      <c r="H3661" s="1" t="str">
        <f>IFERROR(__xludf.DUMMYFUNCTION("GOOGLETRANSLATE(D3661,""EN"",""JA"")"),"直径狭窄率")</f>
        <v>直径狭窄率</v>
      </c>
      <c r="I3661" s="1" t="str">
        <f>IFERROR(__xludf.DUMMYFUNCTION("GOOGLETRANSLATE(E3661,""EN"",""JA"")"),"直径狭窄率")</f>
        <v>直径狭窄率</v>
      </c>
      <c r="J3661" s="1" t="str">
        <f>IFERROR(__xludf.DUMMYFUNCTION("GOOGLETRANSLATE(F3661,""EN"",""JA"")"),"最小内腔径 (MLD) と基準血管径 (RVD) の平均定量値を使用して、100 x (1 - MLD/RVD) として計算された値。")</f>
        <v>最小内腔径 (MLD) と基準血管径 (RVD) の平均定量値を使用して、100 x (1 - MLD/RVD) として計算された値。</v>
      </c>
      <c r="K3661" s="1" t="str">
        <f>IFERROR(__xludf.DUMMYFUNCTION("GOOGLETRANSLATE(G3661,""EN"",""JA"")"),"直径狭窄率")</f>
        <v>直径狭窄率</v>
      </c>
    </row>
    <row r="3662" ht="13.5" customHeight="1">
      <c r="A3662" s="1" t="s">
        <v>134</v>
      </c>
      <c r="B3662" s="1" t="s">
        <v>18352</v>
      </c>
      <c r="C3662" s="1" t="s">
        <v>18353</v>
      </c>
      <c r="D3662" s="1" t="s">
        <v>18354</v>
      </c>
      <c r="E3662" s="1" t="s">
        <v>18354</v>
      </c>
      <c r="F3662" s="1" t="s">
        <v>18355</v>
      </c>
      <c r="G3662" s="1" t="s">
        <v>18356</v>
      </c>
      <c r="H3662" s="1" t="str">
        <f>IFERROR(__xludf.DUMMYFUNCTION("GOOGLETRANSLATE(D3662,""EN"",""JA"")"),"原発性癌の割合")</f>
        <v>原発性癌の割合</v>
      </c>
      <c r="I3662" s="1" t="str">
        <f>IFERROR(__xludf.DUMMYFUNCTION("GOOGLETRANSLATE(E3662,""EN"",""JA"")"),"原発性癌の割合")</f>
        <v>原発性癌の割合</v>
      </c>
      <c r="J3662" s="1" t="str">
        <f>IFERROR(__xludf.DUMMYFUNCTION("GOOGLETRANSLATE(F3662,""EN"",""JA"")"),"癌細胞全体の増殖と比較した、癌腫内に存在する原位置成分の相対的な測定値（パーセンテージ）。（NCI）")</f>
        <v>癌細胞全体の増殖と比較した、癌腫内に存在する原位置成分の相対的な測定値（パーセンテージ）。（NCI）</v>
      </c>
      <c r="K3662" s="1" t="str">
        <f>IFERROR(__xludf.DUMMYFUNCTION("GOOGLETRANSLATE(G3662,""EN"",""JA"")"),"原発性癌の割合")</f>
        <v>原発性癌の割合</v>
      </c>
    </row>
    <row r="3663" ht="13.5" customHeight="1">
      <c r="A3663" s="1" t="s">
        <v>90</v>
      </c>
      <c r="B3663" s="1" t="s">
        <v>18357</v>
      </c>
      <c r="C3663" s="1" t="s">
        <v>18358</v>
      </c>
      <c r="D3663" s="1" t="s">
        <v>18359</v>
      </c>
      <c r="E3663" s="1" t="s">
        <v>18359</v>
      </c>
      <c r="F3663" s="1" t="s">
        <v>18360</v>
      </c>
      <c r="G3663" s="1" t="s">
        <v>18359</v>
      </c>
      <c r="H3663" s="1" t="str">
        <f>IFERROR(__xludf.DUMMYFUNCTION("GOOGLETRANSLATE(D3663,""EN"",""JA"")"),"人工心臓弁の種類")</f>
        <v>人工心臓弁の種類</v>
      </c>
      <c r="I3663" s="1" t="str">
        <f>IFERROR(__xludf.DUMMYFUNCTION("GOOGLETRANSLATE(E3663,""EN"",""JA"")"),"人工心臓弁の種類")</f>
        <v>人工心臓弁の種類</v>
      </c>
      <c r="J3663" s="1" t="str">
        <f>IFERROR(__xludf.DUMMYFUNCTION("GOOGLETRANSLATE(F3663,""EN"",""JA"")"),"使用されている人工心臓弁の種類の説明。")</f>
        <v>使用されている人工心臓弁の種類の説明。</v>
      </c>
      <c r="K3663" s="1" t="str">
        <f>IFERROR(__xludf.DUMMYFUNCTION("GOOGLETRANSLATE(G3663,""EN"",""JA"")"),"人工心臓弁の種類")</f>
        <v>人工心臓弁の種類</v>
      </c>
    </row>
    <row r="3664" ht="13.5" customHeight="1">
      <c r="A3664" s="1" t="s">
        <v>11</v>
      </c>
      <c r="B3664" s="1" t="s">
        <v>18361</v>
      </c>
      <c r="C3664" s="1" t="s">
        <v>18362</v>
      </c>
      <c r="D3664" s="1" t="s">
        <v>18363</v>
      </c>
      <c r="E3664" s="1" t="s">
        <v>18364</v>
      </c>
      <c r="F3664" s="1" t="s">
        <v>18365</v>
      </c>
      <c r="G3664" s="1" t="s">
        <v>18366</v>
      </c>
      <c r="H3664" s="1" t="str">
        <f>IFERROR(__xludf.DUMMYFUNCTION("GOOGLETRANSLATE(D3664,""EN"",""JA"")"),"可溶性プログラム死-1")</f>
        <v>可溶性プログラム死-1</v>
      </c>
      <c r="I3664" s="1" t="str">
        <f>IFERROR(__xludf.DUMMYFUNCTION("GOOGLETRANSLATE(E3664,""EN"",""JA"")"),"可溶性CD279; 可溶性PD-1; 可溶性PD1; 可溶性プログラム細胞死タンパク質1; 可溶性プログラム死-1")</f>
        <v>可溶性CD279; 可溶性PD-1; 可溶性PD1; 可溶性プログラム細胞死タンパク質1; 可溶性プログラム死-1</v>
      </c>
      <c r="J3664" s="1" t="str">
        <f>IFERROR(__xludf.DUMMYFUNCTION("GOOGLETRANSLATE(F3664,""EN"",""JA"")"),"生物標本中の可溶性プログラム細胞死-1タンパク質の測定。")</f>
        <v>生物標本中の可溶性プログラム細胞死-1タンパク質の測定。</v>
      </c>
      <c r="K3664" s="1" t="str">
        <f>IFERROR(__xludf.DUMMYFUNCTION("GOOGLETRANSLATE(G3664,""EN"",""JA"")"),"可溶性プログラム死-1測定")</f>
        <v>可溶性プログラム死-1測定</v>
      </c>
    </row>
    <row r="3665" ht="13.5" customHeight="1">
      <c r="A3665" s="1" t="s">
        <v>3094</v>
      </c>
      <c r="B3665" s="1" t="s">
        <v>18367</v>
      </c>
      <c r="C3665" s="1" t="s">
        <v>18368</v>
      </c>
      <c r="D3665" s="1" t="s">
        <v>18369</v>
      </c>
      <c r="E3665" s="1" t="s">
        <v>18369</v>
      </c>
      <c r="F3665" s="1" t="s">
        <v>18370</v>
      </c>
      <c r="G3665" s="1" t="s">
        <v>18369</v>
      </c>
      <c r="H3665" s="1" t="str">
        <f>IFERROR(__xludf.DUMMYFUNCTION("GOOGLETRANSLATE(D3665,""EN"",""JA"")"),"プロトン密度脂肪分率")</f>
        <v>プロトン密度脂肪分率</v>
      </c>
      <c r="I3665" s="1" t="str">
        <f>IFERROR(__xludf.DUMMYFUNCTION("GOOGLETRANSLATE(E3665,""EN"",""JA"")"),"プロトン密度脂肪分率")</f>
        <v>プロトン密度脂肪分率</v>
      </c>
      <c r="J3665" s="1" t="str">
        <f>IFERROR(__xludf.DUMMYFUNCTION("GOOGLETRANSLATE(F3665,""EN"",""JA"")"),"磁気共鳴画像法による陽子密度評価を通じて、対象組織内の脂肪を推定して測定します。")</f>
        <v>磁気共鳴画像法による陽子密度評価を通じて、対象組織内の脂肪を推定して測定します。</v>
      </c>
      <c r="K3665" s="1" t="str">
        <f>IFERROR(__xludf.DUMMYFUNCTION("GOOGLETRANSLATE(G3665,""EN"",""JA"")"),"プロトン密度脂肪分率")</f>
        <v>プロトン密度脂肪分率</v>
      </c>
    </row>
    <row r="3666" ht="13.5" customHeight="1">
      <c r="A3666" s="1" t="s">
        <v>11</v>
      </c>
      <c r="B3666" s="1" t="s">
        <v>18371</v>
      </c>
      <c r="C3666" s="1" t="s">
        <v>18372</v>
      </c>
      <c r="D3666" s="1" t="s">
        <v>18373</v>
      </c>
      <c r="E3666" s="1" t="s">
        <v>18374</v>
      </c>
      <c r="F3666" s="1" t="s">
        <v>18375</v>
      </c>
      <c r="G3666" s="1" t="s">
        <v>18376</v>
      </c>
      <c r="H3666" s="1" t="str">
        <f>IFERROR(__xludf.DUMMYFUNCTION("GOOGLETRANSLATE(D3666,""EN"",""JA"")"),"血小板由来成長因子アイソフォームAA")</f>
        <v>血小板由来成長因子アイソフォームAA</v>
      </c>
      <c r="I3666" s="1" t="str">
        <f>IFERROR(__xludf.DUMMYFUNCTION("GOOGLETRANSLATE(E3666,""EN"",""JA"")"),"PDGF アイソフォーム AA; 血小板由来成長因子アイソフォーム AA; 血小板由来成長因子 AA アイソフォーム")</f>
        <v>PDGF アイソフォーム AA; 血小板由来成長因子アイソフォーム AA; 血小板由来成長因子 AA アイソフォーム</v>
      </c>
      <c r="J3666" s="1" t="str">
        <f>IFERROR(__xludf.DUMMYFUNCTION("GOOGLETRANSLATE(F3666,""EN"",""JA"")"),"生物標本中の血小板由来成長因子アイソフォーム AA の測定。")</f>
        <v>生物標本中の血小板由来成長因子アイソフォーム AA の測定。</v>
      </c>
      <c r="K3666" s="1" t="str">
        <f>IFERROR(__xludf.DUMMYFUNCTION("GOOGLETRANSLATE(G3666,""EN"",""JA"")"),"血小板由来成長因子アイソフォームAA測定")</f>
        <v>血小板由来成長因子アイソフォームAA測定</v>
      </c>
    </row>
    <row r="3667" ht="13.5" customHeight="1">
      <c r="A3667" s="1" t="s">
        <v>11</v>
      </c>
      <c r="B3667" s="1" t="s">
        <v>18377</v>
      </c>
      <c r="C3667" s="1" t="s">
        <v>18378</v>
      </c>
      <c r="D3667" s="1" t="s">
        <v>18379</v>
      </c>
      <c r="E3667" s="1" t="s">
        <v>18380</v>
      </c>
      <c r="F3667" s="1" t="s">
        <v>18381</v>
      </c>
      <c r="G3667" s="1" t="s">
        <v>18382</v>
      </c>
      <c r="H3667" s="1" t="str">
        <f>IFERROR(__xludf.DUMMYFUNCTION("GOOGLETRANSLATE(D3667,""EN"",""JA"")"),"血小板由来成長因子アイソフォームAB")</f>
        <v>血小板由来成長因子アイソフォームAB</v>
      </c>
      <c r="I3667" s="1" t="str">
        <f>IFERROR(__xludf.DUMMYFUNCTION("GOOGLETRANSLATE(E3667,""EN"",""JA"")"),"PDGF アイソフォーム AB; 血小板由来成長因子アイソフォーム AB; 血小板由来成長因子 AB アイソフォーム")</f>
        <v>PDGF アイソフォーム AB; 血小板由来成長因子アイソフォーム AB; 血小板由来成長因子 AB アイソフォーム</v>
      </c>
      <c r="J3667" s="1" t="str">
        <f>IFERROR(__xludf.DUMMYFUNCTION("GOOGLETRANSLATE(F3667,""EN"",""JA"")"),"生物標本中の血小板由来成長因子アイソフォーム AB の測定。")</f>
        <v>生物標本中の血小板由来成長因子アイソフォーム AB の測定。</v>
      </c>
      <c r="K3667" s="1" t="str">
        <f>IFERROR(__xludf.DUMMYFUNCTION("GOOGLETRANSLATE(G3667,""EN"",""JA"")"),"血小板由来成長因子アイソフォームAB測定")</f>
        <v>血小板由来成長因子アイソフォームAB測定</v>
      </c>
    </row>
    <row r="3668" ht="13.5" customHeight="1">
      <c r="A3668" s="1" t="s">
        <v>11</v>
      </c>
      <c r="B3668" s="1" t="s">
        <v>18383</v>
      </c>
      <c r="C3668" s="1" t="s">
        <v>18384</v>
      </c>
      <c r="D3668" s="1" t="s">
        <v>18385</v>
      </c>
      <c r="E3668" s="1" t="s">
        <v>18386</v>
      </c>
      <c r="F3668" s="1" t="s">
        <v>18387</v>
      </c>
      <c r="G3668" s="1" t="s">
        <v>18388</v>
      </c>
      <c r="H3668" s="1" t="str">
        <f>IFERROR(__xludf.DUMMYFUNCTION("GOOGLETRANSLATE(D3668,""EN"",""JA"")"),"血小板由来成長因子アイソフォームBB")</f>
        <v>血小板由来成長因子アイソフォームBB</v>
      </c>
      <c r="I3668" s="1" t="str">
        <f>IFERROR(__xludf.DUMMYFUNCTION("GOOGLETRANSLATE(E3668,""EN"",""JA"")"),"PDGF アイソフォーム BB; 血小板由来成長因子アイソフォーム BB; 血小板由来成長因子 BB アイソフォーム; 血小板由来成長因子 BB")</f>
        <v>PDGF アイソフォーム BB; 血小板由来成長因子アイソフォーム BB; 血小板由来成長因子 BB アイソフォーム; 血小板由来成長因子 BB</v>
      </c>
      <c r="J3668" s="1" t="str">
        <f>IFERROR(__xludf.DUMMYFUNCTION("GOOGLETRANSLATE(F3668,""EN"",""JA"")"),"生物標本中の血小板由来成長因子アイソフォーム BB の測定。")</f>
        <v>生物標本中の血小板由来成長因子アイソフォーム BB の測定。</v>
      </c>
      <c r="K3668" s="1" t="str">
        <f>IFERROR(__xludf.DUMMYFUNCTION("GOOGLETRANSLATE(G3668,""EN"",""JA"")"),"血小板由来成長因子アイソフォームBB測定")</f>
        <v>血小板由来成長因子アイソフォームBB測定</v>
      </c>
    </row>
    <row r="3669" ht="13.5" customHeight="1">
      <c r="A3669" s="1" t="s">
        <v>134</v>
      </c>
      <c r="B3669" s="1" t="s">
        <v>18389</v>
      </c>
      <c r="C3669" s="1" t="s">
        <v>18390</v>
      </c>
      <c r="D3669" s="1" t="s">
        <v>18391</v>
      </c>
      <c r="E3669" s="1" t="s">
        <v>18392</v>
      </c>
      <c r="F3669" s="1" t="s">
        <v>18393</v>
      </c>
      <c r="G3669" s="1" t="s">
        <v>18394</v>
      </c>
      <c r="H3669" s="1" t="str">
        <f>IFERROR(__xludf.DUMMYFUNCTION("GOOGLETRANSLATE(D3669,""EN"",""JA"")"),"プログラム死リガンド1")</f>
        <v>プログラム死リガンド1</v>
      </c>
      <c r="I3669" s="1" t="str">
        <f>IFERROR(__xludf.DUMMYFUNCTION("GOOGLETRANSLATE(E3669,""EN"",""JA"")"),"CD274; PD-L1; プログラム細胞死1リガンド1; プログラム細胞死リガンド1")</f>
        <v>CD274; PD-L1; プログラム細胞死1リガンド1; プログラム細胞死リガンド1</v>
      </c>
      <c r="J3669" s="1" t="str">
        <f>IFERROR(__xludf.DUMMYFUNCTION("GOOGLETRANSLATE(F3669,""EN"",""JA"")"),"生物標本中のプログラム細胞死リガンド 1 の測定。")</f>
        <v>生物標本中のプログラム細胞死リガンド 1 の測定。</v>
      </c>
      <c r="K3669" s="1" t="str">
        <f>IFERROR(__xludf.DUMMYFUNCTION("GOOGLETRANSLATE(G3669,""EN"",""JA"")"),"プログラム細胞死リガンド1の測定")</f>
        <v>プログラム細胞死リガンド1の測定</v>
      </c>
    </row>
    <row r="3670" ht="13.5" customHeight="1">
      <c r="A3670" s="1" t="s">
        <v>11</v>
      </c>
      <c r="B3670" s="1" t="s">
        <v>18395</v>
      </c>
      <c r="C3670" s="1" t="s">
        <v>18396</v>
      </c>
      <c r="D3670" s="1" t="s">
        <v>18397</v>
      </c>
      <c r="E3670" s="1" t="s">
        <v>18398</v>
      </c>
      <c r="F3670" s="1" t="s">
        <v>18399</v>
      </c>
      <c r="G3670" s="1" t="s">
        <v>18400</v>
      </c>
      <c r="H3670" s="1" t="str">
        <f>IFERROR(__xludf.DUMMYFUNCTION("GOOGLETRANSLATE(D3670,""EN"",""JA"")"),"可溶性プログラム細胞死リガンド1")</f>
        <v>可溶性プログラム細胞死リガンド1</v>
      </c>
      <c r="I3670" s="1" t="str">
        <f>IFERROR(__xludf.DUMMYFUNCTION("GOOGLETRANSLATE(E3670,""EN"",""JA"")"),"可溶性CD274; 可溶性PD-L1; 可溶性PDL1; 可溶性プログラム細胞死リガンド1")</f>
        <v>可溶性CD274; 可溶性PD-L1; 可溶性PDL1; 可溶性プログラム細胞死リガンド1</v>
      </c>
      <c r="J3670" s="1" t="str">
        <f>IFERROR(__xludf.DUMMYFUNCTION("GOOGLETRANSLATE(F3670,""EN"",""JA"")"),"生物標本中の可溶性プログラム細胞死リガンド 1 の測定。")</f>
        <v>生物標本中の可溶性プログラム細胞死リガンド 1 の測定。</v>
      </c>
      <c r="K3670" s="1" t="str">
        <f>IFERROR(__xludf.DUMMYFUNCTION("GOOGLETRANSLATE(G3670,""EN"",""JA"")"),"可溶性プログラム細胞死リガンド1の測定")</f>
        <v>可溶性プログラム細胞死リガンド1の測定</v>
      </c>
    </row>
    <row r="3671" ht="13.5" customHeight="1">
      <c r="A3671" s="1" t="s">
        <v>397</v>
      </c>
      <c r="B3671" s="1" t="s">
        <v>18401</v>
      </c>
      <c r="C3671" s="1" t="s">
        <v>18402</v>
      </c>
      <c r="D3671" s="1" t="s">
        <v>18403</v>
      </c>
      <c r="E3671" s="1" t="s">
        <v>18403</v>
      </c>
      <c r="F3671" s="1" t="s">
        <v>18404</v>
      </c>
      <c r="G3671" s="1" t="s">
        <v>18403</v>
      </c>
      <c r="H3671" s="1" t="str">
        <f>IFERROR(__xludf.DUMMYFUNCTION("GOOGLETRANSLATE(D3671,""EN"",""JA"")"),"小児市販後調査指標")</f>
        <v>小児市販後調査指標</v>
      </c>
      <c r="I3671" s="1" t="str">
        <f>IFERROR(__xludf.DUMMYFUNCTION("GOOGLETRANSLATE(E3671,""EN"",""JA"")"),"小児市販後調査指標")</f>
        <v>小児市販後調査指標</v>
      </c>
      <c r="J3671" s="1" t="str">
        <f>IFERROR(__xludf.DUMMYFUNCTION("GOOGLETRANSLATE(F3671,""EN"",""JA"")"),"研究が小児市販後研究であるかどうかを示します。")</f>
        <v>研究が小児市販後研究であるかどうかを示します。</v>
      </c>
      <c r="K3671" s="1" t="str">
        <f>IFERROR(__xludf.DUMMYFUNCTION("GOOGLETRANSLATE(G3671,""EN"",""JA"")"),"小児市販後調査指標")</f>
        <v>小児市販後調査指標</v>
      </c>
    </row>
    <row r="3672" ht="13.5" customHeight="1">
      <c r="A3672" s="1" t="s">
        <v>397</v>
      </c>
      <c r="B3672" s="1" t="s">
        <v>18405</v>
      </c>
      <c r="C3672" s="1" t="s">
        <v>18406</v>
      </c>
      <c r="D3672" s="1" t="s">
        <v>18407</v>
      </c>
      <c r="E3672" s="1" t="s">
        <v>18407</v>
      </c>
      <c r="F3672" s="1" t="s">
        <v>18408</v>
      </c>
      <c r="G3672" s="1" t="s">
        <v>18407</v>
      </c>
      <c r="H3672" s="1" t="str">
        <f>IFERROR(__xludf.DUMMYFUNCTION("GOOGLETRANSLATE(D3672,""EN"",""JA"")"),"小児研究指標")</f>
        <v>小児研究指標</v>
      </c>
      <c r="I3672" s="1" t="str">
        <f>IFERROR(__xludf.DUMMYFUNCTION("GOOGLETRANSLATE(E3672,""EN"",""JA"")"),"小児研究指標")</f>
        <v>小児研究指標</v>
      </c>
      <c r="J3672" s="1" t="str">
        <f>IFERROR(__xludf.DUMMYFUNCTION("GOOGLETRANSLATE(F3672,""EN"",""JA"")"),"研究が小児研究であるかどうかを示します。")</f>
        <v>研究が小児研究であるかどうかを示します。</v>
      </c>
      <c r="K3672" s="1" t="str">
        <f>IFERROR(__xludf.DUMMYFUNCTION("GOOGLETRANSLATE(G3672,""EN"",""JA"")"),"小児研究指標")</f>
        <v>小児研究指標</v>
      </c>
    </row>
    <row r="3673" ht="13.5" customHeight="1">
      <c r="A3673" s="1" t="s">
        <v>11</v>
      </c>
      <c r="B3673" s="1" t="s">
        <v>18409</v>
      </c>
      <c r="C3673" s="1" t="s">
        <v>18410</v>
      </c>
      <c r="D3673" s="1" t="s">
        <v>18411</v>
      </c>
      <c r="E3673" s="1" t="s">
        <v>18411</v>
      </c>
      <c r="F3673" s="1" t="s">
        <v>18412</v>
      </c>
      <c r="G3673" s="1" t="s">
        <v>18411</v>
      </c>
      <c r="H3673" s="1" t="str">
        <f>IFERROR(__xludf.DUMMYFUNCTION("GOOGLETRANSLATE(D3673,""EN"",""JA"")"),"血小板分布幅")</f>
        <v>血小板分布幅</v>
      </c>
      <c r="I3673" s="1" t="str">
        <f>IFERROR(__xludf.DUMMYFUNCTION("GOOGLETRANSLATE(E3673,""EN"",""JA"")"),"血小板分布幅")</f>
        <v>血小板分布幅</v>
      </c>
      <c r="J3673" s="1" t="str">
        <f>IFERROR(__xludf.DUMMYFUNCTION("GOOGLETRANSLATE(F3673,""EN"",""JA"")"),"生物標本中の血小板サイズの範囲の測定。")</f>
        <v>生物標本中の血小板サイズの範囲の測定。</v>
      </c>
      <c r="K3673" s="1" t="str">
        <f>IFERROR(__xludf.DUMMYFUNCTION("GOOGLETRANSLATE(G3673,""EN"",""JA"")"),"血小板分布幅")</f>
        <v>血小板分布幅</v>
      </c>
    </row>
    <row r="3674" ht="13.5" customHeight="1">
      <c r="A3674" s="1" t="s">
        <v>176</v>
      </c>
      <c r="B3674" s="1" t="s">
        <v>18413</v>
      </c>
      <c r="C3674" s="1" t="s">
        <v>18414</v>
      </c>
      <c r="D3674" s="1" t="s">
        <v>18415</v>
      </c>
      <c r="E3674" s="1" t="s">
        <v>18415</v>
      </c>
      <c r="F3674" s="1" t="s">
        <v>18416</v>
      </c>
      <c r="G3674" s="1" t="s">
        <v>18415</v>
      </c>
      <c r="H3674" s="1" t="str">
        <f>IFERROR(__xludf.DUMMYFUNCTION("GOOGLETRANSLATE(D3674,""EN"",""JA"")"),"ピーク応答振幅")</f>
        <v>ピーク応答振幅</v>
      </c>
      <c r="I3674" s="1" t="str">
        <f>IFERROR(__xludf.DUMMYFUNCTION("GOOGLETRANSLATE(E3674,""EN"",""JA"")"),"ピーク応答振幅")</f>
        <v>ピーク応答振幅</v>
      </c>
      <c r="J3674" s="1" t="str">
        <f>IFERROR(__xludf.DUMMYFUNCTION("GOOGLETRANSLATE(F3674,""EN"",""JA"")"),"刺激反応波形の波と平衡点の間の最大高さの変化。")</f>
        <v>刺激反応波形の波と平衡点の間の最大高さの変化。</v>
      </c>
      <c r="K3674" s="1" t="str">
        <f>IFERROR(__xludf.DUMMYFUNCTION("GOOGLETRANSLATE(G3674,""EN"",""JA"")"),"ピーク応答振幅")</f>
        <v>ピーク応答振幅</v>
      </c>
    </row>
    <row r="3675" ht="13.5" customHeight="1">
      <c r="A3675" s="1" t="s">
        <v>176</v>
      </c>
      <c r="B3675" s="1" t="s">
        <v>18417</v>
      </c>
      <c r="C3675" s="1" t="s">
        <v>18418</v>
      </c>
      <c r="D3675" s="1" t="s">
        <v>18419</v>
      </c>
      <c r="E3675" s="1" t="s">
        <v>18419</v>
      </c>
      <c r="F3675" s="1" t="s">
        <v>18420</v>
      </c>
      <c r="G3675" s="1" t="s">
        <v>18419</v>
      </c>
      <c r="H3675" s="1" t="str">
        <f>IFERROR(__xludf.DUMMYFUNCTION("GOOGLETRANSLATE(D3675,""EN"",""JA"")"),"ピーク応答振幅遅延")</f>
        <v>ピーク応答振幅遅延</v>
      </c>
      <c r="I3675" s="1" t="str">
        <f>IFERROR(__xludf.DUMMYFUNCTION("GOOGLETRANSLATE(E3675,""EN"",""JA"")"),"ピーク応答振幅遅延")</f>
        <v>ピーク応答振幅遅延</v>
      </c>
      <c r="J3675" s="1" t="str">
        <f>IFERROR(__xludf.DUMMYFUNCTION("GOOGLETRANSLATE(F3675,""EN"",""JA"")"),"刺激と最大反応の間の時間間隔の測定値。")</f>
        <v>刺激と最大反応の間の時間間隔の測定値。</v>
      </c>
      <c r="K3675" s="1" t="str">
        <f>IFERROR(__xludf.DUMMYFUNCTION("GOOGLETRANSLATE(G3675,""EN"",""JA"")"),"ピーク応答振幅遅延")</f>
        <v>ピーク応答振幅遅延</v>
      </c>
    </row>
    <row r="3676" ht="13.5" customHeight="1">
      <c r="A3676" s="1" t="s">
        <v>134</v>
      </c>
      <c r="B3676" s="1" t="s">
        <v>18421</v>
      </c>
      <c r="C3676" s="1" t="s">
        <v>18422</v>
      </c>
      <c r="D3676" s="1" t="s">
        <v>18423</v>
      </c>
      <c r="E3676" s="1" t="s">
        <v>18424</v>
      </c>
      <c r="F3676" s="1" t="s">
        <v>18425</v>
      </c>
      <c r="G3676" s="1" t="s">
        <v>18426</v>
      </c>
      <c r="H3676" s="1" t="str">
        <f>IFERROR(__xludf.DUMMYFUNCTION("GOOGLETRANSLATE(D3676,""EN"",""JA"")"),"血小板内細胞接着分子1")</f>
        <v>血小板内細胞接着分子1</v>
      </c>
      <c r="I3676" s="1" t="str">
        <f>IFERROR(__xludf.DUMMYFUNCTION("GOOGLETRANSLATE(E3676,""EN"",""JA"")"),"CD31抗原; PECAM; PECAM-1; PECAM1; 血小板および内皮細胞接着分子1; 血小板内皮細胞接着分子1; 血小板内皮細胞接着分子; 可溶性CD31")</f>
        <v>CD31抗原; PECAM; PECAM-1; PECAM1; 血小板および内皮細胞接着分子1; 血小板内皮細胞接着分子1; 血小板内皮細胞接着分子; 可溶性CD31</v>
      </c>
      <c r="J3676" s="1" t="str">
        <f>IFERROR(__xludf.DUMMYFUNCTION("GOOGLETRANSLATE(F3676,""EN"",""JA"")"),"生物標本中の血小板と内皮細胞接着分子 1 の測定。")</f>
        <v>生物標本中の血小板と内皮細胞接着分子 1 の測定。</v>
      </c>
      <c r="K3676" s="1" t="str">
        <f>IFERROR(__xludf.DUMMYFUNCTION("GOOGLETRANSLATE(G3676,""EN"",""JA"")"),"血小板内皮細胞接着分子1の測定")</f>
        <v>血小板内皮細胞接着分子1の測定</v>
      </c>
    </row>
    <row r="3677" ht="13.5" customHeight="1">
      <c r="A3677" s="1" t="s">
        <v>11</v>
      </c>
      <c r="B3677" s="1" t="s">
        <v>18421</v>
      </c>
      <c r="C3677" s="1" t="s">
        <v>18422</v>
      </c>
      <c r="D3677" s="1" t="s">
        <v>18427</v>
      </c>
      <c r="E3677" s="1" t="s">
        <v>18424</v>
      </c>
      <c r="F3677" s="1" t="s">
        <v>18425</v>
      </c>
      <c r="G3677" s="1" t="s">
        <v>18426</v>
      </c>
      <c r="H3677" s="1" t="str">
        <f>IFERROR(__xludf.DUMMYFUNCTION("GOOGLETRANSLATE(D3677,""EN"",""JA"")"),"血小板内皮接着分子1")</f>
        <v>血小板内皮接着分子1</v>
      </c>
      <c r="I3677" s="1" t="str">
        <f>IFERROR(__xludf.DUMMYFUNCTION("GOOGLETRANSLATE(E3677,""EN"",""JA"")"),"CD31抗原; PECAM; PECAM-1; PECAM1; 血小板および内皮細胞接着分子1; 血小板内皮細胞接着分子1; 血小板内皮細胞接着分子; 可溶性CD31")</f>
        <v>CD31抗原; PECAM; PECAM-1; PECAM1; 血小板および内皮細胞接着分子1; 血小板内皮細胞接着分子1; 血小板内皮細胞接着分子; 可溶性CD31</v>
      </c>
      <c r="J3677" s="1" t="str">
        <f>IFERROR(__xludf.DUMMYFUNCTION("GOOGLETRANSLATE(F3677,""EN"",""JA"")"),"生物標本中の血小板と内皮細胞接着分子 1 の測定。")</f>
        <v>生物標本中の血小板と内皮細胞接着分子 1 の測定。</v>
      </c>
      <c r="K3677" s="1" t="str">
        <f>IFERROR(__xludf.DUMMYFUNCTION("GOOGLETRANSLATE(G3677,""EN"",""JA"")"),"血小板内皮細胞接着分子1の測定")</f>
        <v>血小板内皮細胞接着分子1の測定</v>
      </c>
    </row>
    <row r="3678" ht="13.5" customHeight="1">
      <c r="A3678" s="1" t="s">
        <v>160</v>
      </c>
      <c r="B3678" s="1" t="s">
        <v>18428</v>
      </c>
      <c r="C3678" s="1" t="s">
        <v>18429</v>
      </c>
      <c r="D3678" s="1" t="s">
        <v>18430</v>
      </c>
      <c r="E3678" s="1" t="s">
        <v>18430</v>
      </c>
      <c r="F3678" s="1" t="s">
        <v>18431</v>
      </c>
      <c r="G3678" s="1" t="s">
        <v>18430</v>
      </c>
      <c r="H3678" s="1" t="str">
        <f>IFERROR(__xludf.DUMMYFUNCTION("GOOGLETRANSLATE(D3678,""EN"",""JA"")"),"剥離インジケーター")</f>
        <v>剥離インジケーター</v>
      </c>
      <c r="I3678" s="1" t="str">
        <f>IFERROR(__xludf.DUMMYFUNCTION("GOOGLETRANSLATE(E3678,""EN"",""JA"")"),"剥離インジケーター")</f>
        <v>剥離インジケーター</v>
      </c>
      <c r="J3678" s="1" t="str">
        <f>IFERROR(__xludf.DUMMYFUNCTION("GOOGLETRANSLATE(F3678,""EN"",""JA"")"),"剥がれの有無を示します。")</f>
        <v>剥がれの有無を示します。</v>
      </c>
      <c r="K3678" s="1" t="str">
        <f>IFERROR(__xludf.DUMMYFUNCTION("GOOGLETRANSLATE(G3678,""EN"",""JA"")"),"剥離インジケーター")</f>
        <v>剥離インジケーター</v>
      </c>
    </row>
    <row r="3679" ht="13.5" customHeight="1">
      <c r="A3679" s="1" t="s">
        <v>580</v>
      </c>
      <c r="B3679" s="1" t="s">
        <v>18432</v>
      </c>
      <c r="C3679" s="1" t="s">
        <v>18433</v>
      </c>
      <c r="D3679" s="1" t="s">
        <v>18434</v>
      </c>
      <c r="E3679" s="1" t="s">
        <v>18434</v>
      </c>
      <c r="F3679" s="1" t="s">
        <v>18435</v>
      </c>
      <c r="G3679" s="1" t="s">
        <v>18434</v>
      </c>
      <c r="H3679" s="1" t="str">
        <f>IFERROR(__xludf.DUMMYFUNCTION("GOOGLETRANSLATE(D3679,""EN"",""JA"")"),"最大呼気流量")</f>
        <v>最大呼気流量</v>
      </c>
      <c r="I3679" s="1" t="str">
        <f>IFERROR(__xludf.DUMMYFUNCTION("GOOGLETRANSLATE(E3679,""EN"",""JA"")"),"最大呼気流量")</f>
        <v>最大呼気流量</v>
      </c>
      <c r="J3679" s="1" t="str">
        <f>IFERROR(__xludf.DUMMYFUNCTION("GOOGLETRANSLATE(F3679,""EN"",""JA"")"),"呼気の最大速度。")</f>
        <v>呼気の最大速度。</v>
      </c>
      <c r="K3679" s="1" t="str">
        <f>IFERROR(__xludf.DUMMYFUNCTION("GOOGLETRANSLATE(G3679,""EN"",""JA"")"),"最大呼気流量")</f>
        <v>最大呼気流量</v>
      </c>
    </row>
    <row r="3680" ht="13.5" customHeight="1">
      <c r="A3680" s="1" t="s">
        <v>90</v>
      </c>
      <c r="B3680" s="1" t="s">
        <v>18436</v>
      </c>
      <c r="C3680" s="1" t="s">
        <v>18437</v>
      </c>
      <c r="D3680" s="1" t="s">
        <v>18438</v>
      </c>
      <c r="E3680" s="1" t="s">
        <v>18438</v>
      </c>
      <c r="F3680" s="1" t="s">
        <v>18439</v>
      </c>
      <c r="G3680" s="1" t="s">
        <v>18438</v>
      </c>
      <c r="H3680" s="1" t="str">
        <f>IFERROR(__xludf.DUMMYFUNCTION("GOOGLETRANSLATE(D3680,""EN"",""JA"")"),"心膜液貯留指標")</f>
        <v>心膜液貯留指標</v>
      </c>
      <c r="I3680" s="1" t="str">
        <f>IFERROR(__xludf.DUMMYFUNCTION("GOOGLETRANSLATE(E3680,""EN"",""JA"")"),"心膜液貯留指標")</f>
        <v>心膜液貯留指標</v>
      </c>
      <c r="J3680" s="1" t="str">
        <f>IFERROR(__xludf.DUMMYFUNCTION("GOOGLETRANSLATE(F3680,""EN"",""JA"")"),"壁側心膜と臓側心膜の間に滲出液があるかどうかを示します。")</f>
        <v>壁側心膜と臓側心膜の間に滲出液があるかどうかを示します。</v>
      </c>
      <c r="K3680" s="1" t="str">
        <f>IFERROR(__xludf.DUMMYFUNCTION("GOOGLETRANSLATE(G3680,""EN"",""JA"")"),"心膜液貯留指標")</f>
        <v>心膜液貯留指標</v>
      </c>
    </row>
    <row r="3681" ht="13.5" customHeight="1">
      <c r="A3681" s="1" t="s">
        <v>90</v>
      </c>
      <c r="B3681" s="1" t="s">
        <v>18440</v>
      </c>
      <c r="C3681" s="1" t="s">
        <v>18441</v>
      </c>
      <c r="D3681" s="1" t="s">
        <v>18442</v>
      </c>
      <c r="E3681" s="1" t="s">
        <v>18442</v>
      </c>
      <c r="F3681" s="1" t="s">
        <v>18443</v>
      </c>
      <c r="G3681" s="1" t="s">
        <v>18442</v>
      </c>
      <c r="H3681" s="1" t="str">
        <f>IFERROR(__xludf.DUMMYFUNCTION("GOOGLETRANSLATE(D3681,""EN"",""JA"")"),"心膜液貯留量")</f>
        <v>心膜液貯留量</v>
      </c>
      <c r="I3681" s="1" t="str">
        <f>IFERROR(__xludf.DUMMYFUNCTION("GOOGLETRANSLATE(E3681,""EN"",""JA"")"),"心膜液貯留量")</f>
        <v>心膜液貯留量</v>
      </c>
      <c r="J3681" s="1" t="str">
        <f>IFERROR(__xludf.DUMMYFUNCTION("GOOGLETRANSLATE(F3681,""EN"",""JA"")"),"拡張期に壁側心膜と臓側心膜が最も離れている地点で評価した心膜液の全体的な大きさの定性的な説明。")</f>
        <v>拡張期に壁側心膜と臓側心膜が最も離れている地点で評価した心膜液の全体的な大きさの定性的な説明。</v>
      </c>
      <c r="K3681" s="1" t="str">
        <f>IFERROR(__xludf.DUMMYFUNCTION("GOOGLETRANSLATE(G3681,""EN"",""JA"")"),"心膜液貯留量")</f>
        <v>心膜液貯留量</v>
      </c>
    </row>
    <row r="3682" ht="13.5" customHeight="1">
      <c r="A3682" s="1" t="s">
        <v>580</v>
      </c>
      <c r="B3682" s="1" t="s">
        <v>18444</v>
      </c>
      <c r="C3682" s="1" t="s">
        <v>18445</v>
      </c>
      <c r="D3682" s="1" t="s">
        <v>18446</v>
      </c>
      <c r="E3682" s="1" t="s">
        <v>18446</v>
      </c>
      <c r="F3682" s="1" t="s">
        <v>18447</v>
      </c>
      <c r="G3682" s="1" t="s">
        <v>18446</v>
      </c>
      <c r="H3682" s="1" t="str">
        <f>IFERROR(__xludf.DUMMYFUNCTION("GOOGLETRANSLATE(D3682,""EN"",""JA"")"),"予測最大呼気流量の割合")</f>
        <v>予測最大呼気流量の割合</v>
      </c>
      <c r="I3682" s="1" t="str">
        <f>IFERROR(__xludf.DUMMYFUNCTION("GOOGLETRANSLATE(E3682,""EN"",""JA"")"),"予測最大呼気流量の割合")</f>
        <v>予測最大呼気流量の割合</v>
      </c>
      <c r="J3682" s="1" t="str">
        <f>IFERROR(__xludf.DUMMYFUNCTION("GOOGLETRANSLATE(F3682,""EN"",""JA"")"),"最大吸入時に開始される最大強制呼気中に達成される最大流量を、予測される正常値の割合として表します。")</f>
        <v>最大吸入時に開始される最大強制呼気中に達成される最大流量を、予測される正常値の割合として表します。</v>
      </c>
      <c r="K3682" s="1" t="str">
        <f>IFERROR(__xludf.DUMMYFUNCTION("GOOGLETRANSLATE(G3682,""EN"",""JA"")"),"予測最大呼気流量の割合")</f>
        <v>予測最大呼気流量の割合</v>
      </c>
    </row>
    <row r="3683" ht="13.5" customHeight="1">
      <c r="A3683" s="1" t="s">
        <v>580</v>
      </c>
      <c r="B3683" s="1" t="s">
        <v>18448</v>
      </c>
      <c r="C3683" s="1" t="s">
        <v>18449</v>
      </c>
      <c r="D3683" s="1" t="s">
        <v>18450</v>
      </c>
      <c r="E3683" s="1" t="s">
        <v>18450</v>
      </c>
      <c r="F3683" s="1" t="s">
        <v>18451</v>
      </c>
      <c r="G3683" s="1" t="s">
        <v>18452</v>
      </c>
      <c r="H3683" s="1" t="str">
        <f>IFERROR(__xludf.DUMMYFUNCTION("GOOGLETRANSLATE(D3683,""EN"",""JA"")"),"PEFの可逆性")</f>
        <v>PEFの可逆性</v>
      </c>
      <c r="I3683" s="1" t="str">
        <f>IFERROR(__xludf.DUMMYFUNCTION("GOOGLETRANSLATE(E3683,""EN"",""JA"")"),"PEFの可逆性")</f>
        <v>PEFの可逆性</v>
      </c>
      <c r="J3683" s="1" t="str">
        <f>IFERROR(__xludf.DUMMYFUNCTION("GOOGLETRANSLATE(F3683,""EN"",""JA"")"),"気管支拡張薬投与後の PEF の変化を治療前の PEF 値と比較したもの。")</f>
        <v>気管支拡張薬投与後の PEF の変化を治療前の PEF 値と比較したもの。</v>
      </c>
      <c r="K3683" s="1" t="str">
        <f>IFERROR(__xludf.DUMMYFUNCTION("GOOGLETRANSLATE(G3683,""EN"",""JA"")"),"最大呼気流量の可逆性")</f>
        <v>最大呼気流量の可逆性</v>
      </c>
    </row>
    <row r="3684" ht="13.5" customHeight="1">
      <c r="A3684" s="1" t="s">
        <v>580</v>
      </c>
      <c r="B3684" s="1" t="s">
        <v>18453</v>
      </c>
      <c r="C3684" s="1" t="s">
        <v>18454</v>
      </c>
      <c r="D3684" s="1" t="s">
        <v>18455</v>
      </c>
      <c r="E3684" s="1" t="s">
        <v>18455</v>
      </c>
      <c r="F3684" s="1" t="s">
        <v>18456</v>
      </c>
      <c r="G3684" s="1" t="s">
        <v>18455</v>
      </c>
      <c r="H3684" s="1" t="str">
        <f>IFERROR(__xludf.DUMMYFUNCTION("GOOGLETRANSLATE(D3684,""EN"",""JA"")"),"最大呼気流量時間")</f>
        <v>最大呼気流量時間</v>
      </c>
      <c r="I3684" s="1" t="str">
        <f>IFERROR(__xludf.DUMMYFUNCTION("GOOGLETRANSLATE(E3684,""EN"",""JA"")"),"最大呼気流量時間")</f>
        <v>最大呼気流量時間</v>
      </c>
      <c r="J3684" s="1" t="str">
        <f>IFERROR(__xludf.DUMMYFUNCTION("GOOGLETRANSLATE(F3684,""EN"",""JA"")"),"テスト開始から被験者が最大呼気ガス流量に達するまでの時間。")</f>
        <v>テスト開始から被験者が最大呼気ガス流量に達するまでの時間。</v>
      </c>
      <c r="K3684" s="1" t="str">
        <f>IFERROR(__xludf.DUMMYFUNCTION("GOOGLETRANSLATE(G3684,""EN"",""JA"")"),"最大呼気流量時間")</f>
        <v>最大呼気流量時間</v>
      </c>
    </row>
    <row r="3685" ht="13.5" customHeight="1">
      <c r="A3685" s="1" t="s">
        <v>11</v>
      </c>
      <c r="B3685" s="1" t="s">
        <v>18457</v>
      </c>
      <c r="C3685" s="1" t="s">
        <v>18458</v>
      </c>
      <c r="D3685" s="1" t="s">
        <v>18459</v>
      </c>
      <c r="E3685" s="1" t="s">
        <v>18460</v>
      </c>
      <c r="F3685" s="1" t="s">
        <v>18461</v>
      </c>
      <c r="G3685" s="1" t="s">
        <v>18462</v>
      </c>
      <c r="H3685" s="1" t="str">
        <f>IFERROR(__xludf.DUMMYFUNCTION("GOOGLETRANSLATE(D3685,""EN"",""JA"")"),"ペルガー・ヒュート異常")</f>
        <v>ペルガー・ヒュート異常</v>
      </c>
      <c r="I3685" s="1" t="str">
        <f>IFERROR(__xludf.DUMMYFUNCTION("GOOGLETRANSLATE(E3685,""EN"",""JA"")"),"ペルガー・ヒュートの異常。ペルガー・ヒューエット細胞; PHA")</f>
        <v>ペルガー・ヒュートの異常。ペルガー・ヒューエット細胞; PHA</v>
      </c>
      <c r="J3685" s="1" t="str">
        <f>IFERROR(__xludf.DUMMYFUNCTION("GOOGLETRANSLATE(F3685,""EN"",""JA"")"),"生物標本におけるペルガー・ヒュエ異常（顆粒球の核が棒状、二葉状、ピーナッツ状、またはダンベル状に見える）の測定値。")</f>
        <v>生物標本におけるペルガー・ヒュエ異常（顆粒球の核が棒状、二葉状、ピーナッツ状、またはダンベル状に見える）の測定値。</v>
      </c>
      <c r="K3685" s="1" t="str">
        <f>IFERROR(__xludf.DUMMYFUNCTION("GOOGLETRANSLATE(G3685,""EN"",""JA"")"),"Pelger Huet 異常測定")</f>
        <v>Pelger Huet 異常測定</v>
      </c>
    </row>
    <row r="3686" ht="13.5" customHeight="1">
      <c r="A3686" s="1" t="s">
        <v>11</v>
      </c>
      <c r="B3686" s="1" t="s">
        <v>18463</v>
      </c>
      <c r="C3686" s="1" t="s">
        <v>18464</v>
      </c>
      <c r="D3686" s="1" t="s">
        <v>18465</v>
      </c>
      <c r="E3686" s="1" t="s">
        <v>18465</v>
      </c>
      <c r="F3686" s="1" t="s">
        <v>18466</v>
      </c>
      <c r="G3686" s="1" t="s">
        <v>18467</v>
      </c>
      <c r="H3686" s="1" t="str">
        <f>IFERROR(__xludf.DUMMYFUNCTION("GOOGLETRANSLATE(D3686,""EN"",""JA"")"),"ペモリン")</f>
        <v>ペモリン</v>
      </c>
      <c r="I3686" s="1" t="str">
        <f>IFERROR(__xludf.DUMMYFUNCTION("GOOGLETRANSLATE(E3686,""EN"",""JA"")"),"ペモリン")</f>
        <v>ペモリン</v>
      </c>
      <c r="J3686" s="1" t="str">
        <f>IFERROR(__xludf.DUMMYFUNCTION("GOOGLETRANSLATE(F3686,""EN"",""JA"")"),"生物標本中のペモリンの測定。")</f>
        <v>生物標本中のペモリンの測定。</v>
      </c>
      <c r="K3686" s="1" t="str">
        <f>IFERROR(__xludf.DUMMYFUNCTION("GOOGLETRANSLATE(G3686,""EN"",""JA"")"),"ペモリン測定")</f>
        <v>ペモリン測定</v>
      </c>
    </row>
    <row r="3687" ht="13.5" customHeight="1">
      <c r="A3687" s="1" t="s">
        <v>11</v>
      </c>
      <c r="B3687" s="1" t="s">
        <v>18468</v>
      </c>
      <c r="C3687" s="1" t="s">
        <v>18469</v>
      </c>
      <c r="D3687" s="1" t="s">
        <v>18470</v>
      </c>
      <c r="E3687" s="1" t="s">
        <v>18470</v>
      </c>
      <c r="F3687" s="1" t="s">
        <v>18471</v>
      </c>
      <c r="G3687" s="1" t="s">
        <v>18472</v>
      </c>
      <c r="H3687" s="1" t="str">
        <f>IFERROR(__xludf.DUMMYFUNCTION("GOOGLETRANSLATE(D3687,""EN"",""JA"")"),"ペンテドロン")</f>
        <v>ペンテドロン</v>
      </c>
      <c r="I3687" s="1" t="str">
        <f>IFERROR(__xludf.DUMMYFUNCTION("GOOGLETRANSLATE(E3687,""EN"",""JA"")"),"ペンテドロン")</f>
        <v>ペンテドロン</v>
      </c>
      <c r="J3687" s="1" t="str">
        <f>IFERROR(__xludf.DUMMYFUNCTION("GOOGLETRANSLATE(F3687,""EN"",""JA"")"),"生物標本中のペンテドロンの測定。")</f>
        <v>生物標本中のペンテドロンの測定。</v>
      </c>
      <c r="K3687" s="1" t="str">
        <f>IFERROR(__xludf.DUMMYFUNCTION("GOOGLETRANSLATE(G3687,""EN"",""JA"")"),"ペンテドロン測定")</f>
        <v>ペンテドロン測定</v>
      </c>
    </row>
    <row r="3688" ht="13.5" customHeight="1">
      <c r="A3688" s="1" t="s">
        <v>11</v>
      </c>
      <c r="B3688" s="1" t="s">
        <v>18473</v>
      </c>
      <c r="C3688" s="1" t="s">
        <v>18474</v>
      </c>
      <c r="D3688" s="1" t="s">
        <v>18475</v>
      </c>
      <c r="E3688" s="1" t="s">
        <v>18475</v>
      </c>
      <c r="F3688" s="1" t="s">
        <v>18476</v>
      </c>
      <c r="G3688" s="1" t="s">
        <v>18477</v>
      </c>
      <c r="H3688" s="1" t="str">
        <f>IFERROR(__xludf.DUMMYFUNCTION("GOOGLETRANSLATE(D3688,""EN"",""JA"")"),"ペンチロン")</f>
        <v>ペンチロン</v>
      </c>
      <c r="I3688" s="1" t="str">
        <f>IFERROR(__xludf.DUMMYFUNCTION("GOOGLETRANSLATE(E3688,""EN"",""JA"")"),"ペンチロン")</f>
        <v>ペンチロン</v>
      </c>
      <c r="J3688" s="1" t="str">
        <f>IFERROR(__xludf.DUMMYFUNCTION("GOOGLETRANSLATE(F3688,""EN"",""JA"")"),"生物標本中のペンチロンの測定。")</f>
        <v>生物標本中のペンチロンの測定。</v>
      </c>
      <c r="K3688" s="1" t="str">
        <f>IFERROR(__xludf.DUMMYFUNCTION("GOOGLETRANSLATE(G3688,""EN"",""JA"")"),"ペンチロン測定")</f>
        <v>ペンチロン測定</v>
      </c>
    </row>
    <row r="3689" ht="13.5" customHeight="1">
      <c r="A3689" s="1" t="s">
        <v>11</v>
      </c>
      <c r="B3689" s="1" t="s">
        <v>18478</v>
      </c>
      <c r="C3689" s="1" t="s">
        <v>18479</v>
      </c>
      <c r="D3689" s="1" t="s">
        <v>18480</v>
      </c>
      <c r="E3689" s="1" t="s">
        <v>18480</v>
      </c>
      <c r="F3689" s="1" t="s">
        <v>18481</v>
      </c>
      <c r="G3689" s="1" t="s">
        <v>18482</v>
      </c>
      <c r="H3689" s="1" t="str">
        <f>IFERROR(__xludf.DUMMYFUNCTION("GOOGLETRANSLATE(D3689,""EN"",""JA"")"),"ペプシノゲン")</f>
        <v>ペプシノゲン</v>
      </c>
      <c r="I3689" s="1" t="str">
        <f>IFERROR(__xludf.DUMMYFUNCTION("GOOGLETRANSLATE(E3689,""EN"",""JA"")"),"ペプシノゲン")</f>
        <v>ペプシノゲン</v>
      </c>
      <c r="J3689" s="1" t="str">
        <f>IFERROR(__xludf.DUMMYFUNCTION("GOOGLETRANSLATE(F3689,""EN"",""JA"")"),"生物標本中のペプシノーゲンの測定。")</f>
        <v>生物標本中のペプシノーゲンの測定。</v>
      </c>
      <c r="K3689" s="1" t="str">
        <f>IFERROR(__xludf.DUMMYFUNCTION("GOOGLETRANSLATE(G3689,""EN"",""JA"")"),"ペプシノゲン測定")</f>
        <v>ペプシノゲン測定</v>
      </c>
    </row>
    <row r="3690" ht="13.5" customHeight="1">
      <c r="A3690" s="1" t="s">
        <v>11</v>
      </c>
      <c r="B3690" s="1" t="s">
        <v>18483</v>
      </c>
      <c r="C3690" s="1" t="s">
        <v>18484</v>
      </c>
      <c r="D3690" s="1" t="s">
        <v>18485</v>
      </c>
      <c r="E3690" s="1" t="s">
        <v>18486</v>
      </c>
      <c r="F3690" s="1" t="s">
        <v>18487</v>
      </c>
      <c r="G3690" s="1" t="s">
        <v>18488</v>
      </c>
      <c r="H3690" s="1" t="str">
        <f>IFERROR(__xludf.DUMMYFUNCTION("GOOGLETRANSLATE(D3690,""EN"",""JA"")"),"ペプシノーゲンA")</f>
        <v>ペプシノーゲンA</v>
      </c>
      <c r="I3690" s="1" t="str">
        <f>IFERROR(__xludf.DUMMYFUNCTION("GOOGLETRANSLATE(E3690,""EN"",""JA"")"),"ペプシノーゲンA; PGA")</f>
        <v>ペプシノーゲンA; PGA</v>
      </c>
      <c r="J3690" s="1" t="str">
        <f>IFERROR(__xludf.DUMMYFUNCTION("GOOGLETRANSLATE(F3690,""EN"",""JA"")"),"生物標本中のペプシノーゲン A の測定。")</f>
        <v>生物標本中のペプシノーゲン A の測定。</v>
      </c>
      <c r="K3690" s="1" t="str">
        <f>IFERROR(__xludf.DUMMYFUNCTION("GOOGLETRANSLATE(G3690,""EN"",""JA"")"),"ペプシノーゲンA測定")</f>
        <v>ペプシノーゲンA測定</v>
      </c>
    </row>
    <row r="3691" ht="13.5" customHeight="1">
      <c r="A3691" s="1" t="s">
        <v>11</v>
      </c>
      <c r="B3691" s="1" t="s">
        <v>18489</v>
      </c>
      <c r="C3691" s="1" t="s">
        <v>18490</v>
      </c>
      <c r="D3691" s="1" t="s">
        <v>18491</v>
      </c>
      <c r="E3691" s="1" t="s">
        <v>18492</v>
      </c>
      <c r="F3691" s="1" t="s">
        <v>18493</v>
      </c>
      <c r="G3691" s="1" t="s">
        <v>18494</v>
      </c>
      <c r="H3691" s="1" t="str">
        <f>IFERROR(__xludf.DUMMYFUNCTION("GOOGLETRANSLATE(D3691,""EN"",""JA"")"),"ペプシノーゲンC")</f>
        <v>ペプシノーゲンC</v>
      </c>
      <c r="I3691" s="1" t="str">
        <f>IFERROR(__xludf.DUMMYFUNCTION("GOOGLETRANSLATE(E3691,""EN"",""JA"")"),"ペプシノーゲンC; PGC")</f>
        <v>ペプシノーゲンC; PGC</v>
      </c>
      <c r="J3691" s="1" t="str">
        <f>IFERROR(__xludf.DUMMYFUNCTION("GOOGLETRANSLATE(F3691,""EN"",""JA"")"),"生物標本中のペプシノーゲン C の測定。")</f>
        <v>生物標本中のペプシノーゲン C の測定。</v>
      </c>
      <c r="K3691" s="1" t="str">
        <f>IFERROR(__xludf.DUMMYFUNCTION("GOOGLETRANSLATE(G3691,""EN"",""JA"")"),"ペプシノーゲンC測定")</f>
        <v>ペプシノーゲンC測定</v>
      </c>
    </row>
    <row r="3692" ht="13.5" customHeight="1">
      <c r="A3692" s="1" t="s">
        <v>11</v>
      </c>
      <c r="B3692" s="1" t="s">
        <v>18495</v>
      </c>
      <c r="C3692" s="1" t="s">
        <v>18496</v>
      </c>
      <c r="D3692" s="1" t="s">
        <v>18497</v>
      </c>
      <c r="E3692" s="1" t="s">
        <v>18498</v>
      </c>
      <c r="F3692" s="1" t="s">
        <v>18499</v>
      </c>
      <c r="G3692" s="1" t="s">
        <v>18500</v>
      </c>
      <c r="H3692" s="1" t="str">
        <f>IFERROR(__xludf.DUMMYFUNCTION("GOOGLETRANSLATE(D3692,""EN"",""JA"")"),"ペプシノーゲンI")</f>
        <v>ペプシノーゲンI</v>
      </c>
      <c r="I3692" s="1" t="str">
        <f>IFERROR(__xludf.DUMMYFUNCTION("GOOGLETRANSLATE(E3692,""EN"",""JA"")"),"ペプシノーゲンI; PGI")</f>
        <v>ペプシノーゲンI; PGI</v>
      </c>
      <c r="J3692" s="1" t="str">
        <f>IFERROR(__xludf.DUMMYFUNCTION("GOOGLETRANSLATE(F3692,""EN"",""JA"")"),"生物標本中のペプシノーゲン I の測定。")</f>
        <v>生物標本中のペプシノーゲン I の測定。</v>
      </c>
      <c r="K3692" s="1" t="str">
        <f>IFERROR(__xludf.DUMMYFUNCTION("GOOGLETRANSLATE(G3692,""EN"",""JA"")"),"ペプシノーゲンI測定")</f>
        <v>ペプシノーゲンI測定</v>
      </c>
    </row>
    <row r="3693" ht="13.5" customHeight="1">
      <c r="A3693" s="1" t="s">
        <v>11</v>
      </c>
      <c r="B3693" s="1" t="s">
        <v>18501</v>
      </c>
      <c r="C3693" s="1" t="s">
        <v>18502</v>
      </c>
      <c r="D3693" s="1" t="s">
        <v>18503</v>
      </c>
      <c r="E3693" s="1" t="s">
        <v>18504</v>
      </c>
      <c r="F3693" s="1" t="s">
        <v>18505</v>
      </c>
      <c r="G3693" s="1" t="s">
        <v>18506</v>
      </c>
      <c r="H3693" s="1" t="str">
        <f>IFERROR(__xludf.DUMMYFUNCTION("GOOGLETRANSLATE(D3693,""EN"",""JA"")"),"ペプシノーゲンII")</f>
        <v>ペプシノーゲンII</v>
      </c>
      <c r="I3693" s="1" t="str">
        <f>IFERROR(__xludf.DUMMYFUNCTION("GOOGLETRANSLATE(E3693,""EN"",""JA"")"),"ペプシノーゲンII; PGII")</f>
        <v>ペプシノーゲンII; PGII</v>
      </c>
      <c r="J3693" s="1" t="str">
        <f>IFERROR(__xludf.DUMMYFUNCTION("GOOGLETRANSLATE(F3693,""EN"",""JA"")"),"生物標本中のペプシノーゲン II の測定。")</f>
        <v>生物標本中のペプシノーゲン II の測定。</v>
      </c>
      <c r="K3693" s="1" t="str">
        <f>IFERROR(__xludf.DUMMYFUNCTION("GOOGLETRANSLATE(G3693,""EN"",""JA"")"),"ペプシノーゲンII測定")</f>
        <v>ペプシノーゲンII測定</v>
      </c>
    </row>
    <row r="3694" ht="13.5" customHeight="1">
      <c r="A3694" s="1" t="s">
        <v>67</v>
      </c>
      <c r="B3694" s="1" t="s">
        <v>18507</v>
      </c>
      <c r="C3694" s="1" t="s">
        <v>18508</v>
      </c>
      <c r="D3694" s="1" t="s">
        <v>18509</v>
      </c>
      <c r="E3694" s="1" t="s">
        <v>18509</v>
      </c>
      <c r="F3694" s="1" t="s">
        <v>18510</v>
      </c>
      <c r="G3694" s="1" t="s">
        <v>18511</v>
      </c>
      <c r="H3694" s="1" t="str">
        <f>IFERROR(__xludf.DUMMYFUNCTION("GOOGLETRANSLATE(D3694,""EN"",""JA"")"),"ペプトストレプトコッカス")</f>
        <v>ペプトストレプトコッカス</v>
      </c>
      <c r="I3694" s="1" t="str">
        <f>IFERROR(__xludf.DUMMYFUNCTION("GOOGLETRANSLATE(E3694,""EN"",""JA"")"),"ペプトストレプトコッカス")</f>
        <v>ペプトストレプトコッカス</v>
      </c>
      <c r="J3694" s="1" t="str">
        <f>IFERROR(__xludf.DUMMYFUNCTION("GOOGLETRANSLATE(F3694,""EN"",""JA"")"),"生物標本において、種レベルには割り当てられていないが、ペプトストレプトコッカス属レベルに割り当てられている微生物の測定値。")</f>
        <v>生物標本において、種レベルには割り当てられていないが、ペプトストレプトコッカス属レベルに割り当てられている微生物の測定値。</v>
      </c>
      <c r="K3694" s="1" t="str">
        <f>IFERROR(__xludf.DUMMYFUNCTION("GOOGLETRANSLATE(G3694,""EN"",""JA"")"),"ペプトストレプトコッカス測定")</f>
        <v>ペプトストレプトコッカス測定</v>
      </c>
    </row>
    <row r="3695" ht="13.5" customHeight="1">
      <c r="A3695" s="1" t="s">
        <v>11</v>
      </c>
      <c r="B3695" s="1" t="s">
        <v>18512</v>
      </c>
      <c r="C3695" s="1" t="s">
        <v>18513</v>
      </c>
      <c r="D3695" s="1" t="s">
        <v>18514</v>
      </c>
      <c r="E3695" s="1" t="s">
        <v>18514</v>
      </c>
      <c r="F3695" s="1" t="s">
        <v>18515</v>
      </c>
      <c r="G3695" s="1" t="s">
        <v>18516</v>
      </c>
      <c r="H3695" s="1" t="str">
        <f>IFERROR(__xludf.DUMMYFUNCTION("GOOGLETRANSLATE(D3695,""EN"",""JA"")"),"増殖性赤血球/総細胞")</f>
        <v>増殖性赤血球/総細胞</v>
      </c>
      <c r="I3695" s="1" t="str">
        <f>IFERROR(__xludf.DUMMYFUNCTION("GOOGLETRANSLATE(E3695,""EN"",""JA"")"),"増殖性赤血球/総細胞")</f>
        <v>増殖性赤血球/総細胞</v>
      </c>
      <c r="J3695" s="1" t="str">
        <f>IFERROR(__xludf.DUMMYFUNCTION("GOOGLETRANSLATE(F3695,""EN"",""JA"")"),"生物標本内の増殖している赤血球細胞と総細胞の相対的な測定値（比率またはパーセンテージ）。")</f>
        <v>生物標本内の増殖している赤血球細胞と総細胞の相対的な測定値（比率またはパーセンテージ）。</v>
      </c>
      <c r="K3695" s="1" t="str">
        <f>IFERROR(__xludf.DUMMYFUNCTION("GOOGLETRANSLATE(G3695,""EN"",""JA"")"),"増殖赤血球細胞と全細胞比の測定")</f>
        <v>増殖赤血球細胞と全細胞比の測定</v>
      </c>
    </row>
    <row r="3696" ht="13.5" customHeight="1">
      <c r="A3696" s="1" t="s">
        <v>11</v>
      </c>
      <c r="B3696" s="1" t="s">
        <v>18517</v>
      </c>
      <c r="C3696" s="1" t="s">
        <v>18518</v>
      </c>
      <c r="D3696" s="1" t="s">
        <v>18519</v>
      </c>
      <c r="E3696" s="1" t="s">
        <v>18520</v>
      </c>
      <c r="F3696" s="1" t="s">
        <v>18521</v>
      </c>
      <c r="G3696" s="1" t="s">
        <v>18522</v>
      </c>
      <c r="H3696" s="1" t="str">
        <f>IFERROR(__xludf.DUMMYFUNCTION("GOOGLETRANSLATE(D3696,""EN"",""JA"")"),"ペリオスチン")</f>
        <v>ペリオスチン</v>
      </c>
      <c r="I3696" s="1" t="str">
        <f>IFERROR(__xludf.DUMMYFUNCTION("GOOGLETRANSLATE(E3696,""EN"",""JA"")"),"OSF2; 骨芽細胞特異因子2; ペリオスチン; POSTN")</f>
        <v>OSF2; 骨芽細胞特異因子2; ペリオスチン; POSTN</v>
      </c>
      <c r="J3696" s="1" t="str">
        <f>IFERROR(__xludf.DUMMYFUNCTION("GOOGLETRANSLATE(F3696,""EN"",""JA"")"),"生物標本中のペリオスチンの測定。")</f>
        <v>生物標本中のペリオスチンの測定。</v>
      </c>
      <c r="K3696" s="1" t="str">
        <f>IFERROR(__xludf.DUMMYFUNCTION("GOOGLETRANSLATE(G3696,""EN"",""JA"")"),"ペリオスチン測定")</f>
        <v>ペリオスチン測定</v>
      </c>
    </row>
    <row r="3697" ht="13.5" customHeight="1">
      <c r="A3697" s="1" t="s">
        <v>11</v>
      </c>
      <c r="B3697" s="1" t="s">
        <v>18523</v>
      </c>
      <c r="C3697" s="1" t="s">
        <v>18524</v>
      </c>
      <c r="D3697" s="1" t="s">
        <v>18525</v>
      </c>
      <c r="E3697" s="1" t="s">
        <v>18525</v>
      </c>
      <c r="F3697" s="1" t="s">
        <v>18526</v>
      </c>
      <c r="G3697" s="1" t="s">
        <v>18527</v>
      </c>
      <c r="H3697" s="1" t="str">
        <f>IFERROR(__xludf.DUMMYFUNCTION("GOOGLETRANSLATE(D3697,""EN"",""JA"")"),"ペルフェナジン")</f>
        <v>ペルフェナジン</v>
      </c>
      <c r="I3697" s="1" t="str">
        <f>IFERROR(__xludf.DUMMYFUNCTION("GOOGLETRANSLATE(E3697,""EN"",""JA"")"),"ペルフェナジン")</f>
        <v>ペルフェナジン</v>
      </c>
      <c r="J3697" s="1" t="str">
        <f>IFERROR(__xludf.DUMMYFUNCTION("GOOGLETRANSLATE(F3697,""EN"",""JA"")"),"生物標本中のペルフェナジンの測定。")</f>
        <v>生物標本中のペルフェナジンの測定。</v>
      </c>
      <c r="K3697" s="1" t="str">
        <f>IFERROR(__xludf.DUMMYFUNCTION("GOOGLETRANSLATE(G3697,""EN"",""JA"")"),"ペルフェナジン測定")</f>
        <v>ペルフェナジン測定</v>
      </c>
    </row>
    <row r="3698" ht="13.5" customHeight="1">
      <c r="A3698" s="1" t="s">
        <v>11</v>
      </c>
      <c r="B3698" s="1" t="s">
        <v>18528</v>
      </c>
      <c r="C3698" s="1" t="s">
        <v>18529</v>
      </c>
      <c r="D3698" s="1" t="s">
        <v>18530</v>
      </c>
      <c r="E3698" s="1" t="s">
        <v>18530</v>
      </c>
      <c r="F3698" s="1" t="s">
        <v>18531</v>
      </c>
      <c r="G3698" s="1" t="s">
        <v>18532</v>
      </c>
      <c r="H3698" s="1" t="str">
        <f>IFERROR(__xludf.DUMMYFUNCTION("GOOGLETRANSLATE(D3698,""EN"",""JA"")"),"8-イソ-PGF2α/クレアチニン")</f>
        <v>8-イソ-PGF2α/クレアチニン</v>
      </c>
      <c r="I3698" s="1" t="str">
        <f>IFERROR(__xludf.DUMMYFUNCTION("GOOGLETRANSLATE(E3698,""EN"",""JA"")"),"8-イソ-PGF2α/クレアチニン")</f>
        <v>8-イソ-PGF2α/クレアチニン</v>
      </c>
      <c r="J3698" s="1" t="str">
        <f>IFERROR(__xludf.DUMMYFUNCTION("GOOGLETRANSLATE(F3698,""EN"",""JA"")"),"生物標本中のプロスタグランジン F2 アルファアイソフォーム 8 とクレアチニンの相対測定値 (比率またはパーセンテージ)。")</f>
        <v>生物標本中のプロスタグランジン F2 アルファアイソフォーム 8 とクレアチニンの相対測定値 (比率またはパーセンテージ)。</v>
      </c>
      <c r="K3698" s="1" t="str">
        <f>IFERROR(__xludf.DUMMYFUNCTION("GOOGLETRANSLATE(G3698,""EN"",""JA"")"),"8-イソプロスタグランジンF2アルファとクレアチニンの比測定")</f>
        <v>8-イソプロスタグランジンF2アルファとクレアチニンの比測定</v>
      </c>
    </row>
    <row r="3699" ht="13.5" customHeight="1">
      <c r="A3699" s="1" t="s">
        <v>11</v>
      </c>
      <c r="B3699" s="1" t="s">
        <v>18533</v>
      </c>
      <c r="C3699" s="1" t="s">
        <v>18534</v>
      </c>
      <c r="D3699" s="1" t="s">
        <v>18535</v>
      </c>
      <c r="E3699" s="1" t="s">
        <v>18536</v>
      </c>
      <c r="F3699" s="1" t="s">
        <v>18537</v>
      </c>
      <c r="G3699" s="1" t="s">
        <v>18538</v>
      </c>
      <c r="H3699" s="1" t="str">
        <f>IFERROR(__xludf.DUMMYFUNCTION("GOOGLETRANSLATE(D3699,""EN"",""JA"")"),"血小板機能閉鎖時間")</f>
        <v>血小板機能閉鎖時間</v>
      </c>
      <c r="I3699" s="1" t="str">
        <f>IFERROR(__xludf.DUMMYFUNCTION("GOOGLETRANSLATE(E3699,""EN"",""JA"")"),"PFCT; 血小板機能閉鎖時間")</f>
        <v>PFCT; 血小板機能閉鎖時間</v>
      </c>
      <c r="J3699" s="1" t="str">
        <f>IFERROR(__xludf.DUMMYFUNCTION("GOOGLETRANSLATE(F3699,""EN"",""JA"")"),"生物標本における血小板機能閉鎖時間の測定。")</f>
        <v>生物標本における血小板機能閉鎖時間の測定。</v>
      </c>
      <c r="K3699" s="1" t="str">
        <f>IFERROR(__xludf.DUMMYFUNCTION("GOOGLETRANSLATE(G3699,""EN"",""JA"")"),"血小板機能閉鎖時間測定")</f>
        <v>血小板機能閉鎖時間測定</v>
      </c>
    </row>
    <row r="3700" ht="13.5" customHeight="1">
      <c r="A3700" s="1" t="s">
        <v>11</v>
      </c>
      <c r="B3700" s="1" t="s">
        <v>18539</v>
      </c>
      <c r="C3700" s="1" t="s">
        <v>18540</v>
      </c>
      <c r="D3700" s="1" t="s">
        <v>18541</v>
      </c>
      <c r="E3700" s="1" t="s">
        <v>18541</v>
      </c>
      <c r="F3700" s="1" t="s">
        <v>18542</v>
      </c>
      <c r="G3700" s="1" t="s">
        <v>18543</v>
      </c>
      <c r="H3700" s="1" t="str">
        <f>IFERROR(__xludf.DUMMYFUNCTION("GOOGLETRANSLATE(D3700,""EN"",""JA"")"),"プロスタグランジン")</f>
        <v>プロスタグランジン</v>
      </c>
      <c r="I3700" s="1" t="str">
        <f>IFERROR(__xludf.DUMMYFUNCTION("GOOGLETRANSLATE(E3700,""EN"",""JA"")"),"プロスタグランジン")</f>
        <v>プロスタグランジン</v>
      </c>
      <c r="J3700" s="1" t="str">
        <f>IFERROR(__xludf.DUMMYFUNCTION("GOOGLETRANSLATE(F3700,""EN"",""JA"")"),"生物標本中の総プロスタグランジンの測定。")</f>
        <v>生物標本中の総プロスタグランジンの測定。</v>
      </c>
      <c r="K3700" s="1" t="str">
        <f>IFERROR(__xludf.DUMMYFUNCTION("GOOGLETRANSLATE(G3700,""EN"",""JA"")"),"プロスタグランジン測定")</f>
        <v>プロスタグランジン測定</v>
      </c>
    </row>
    <row r="3701" ht="13.5" customHeight="1">
      <c r="A3701" s="1" t="s">
        <v>11</v>
      </c>
      <c r="B3701" s="1" t="s">
        <v>18544</v>
      </c>
      <c r="C3701" s="1" t="s">
        <v>18545</v>
      </c>
      <c r="D3701" s="1" t="s">
        <v>18546</v>
      </c>
      <c r="E3701" s="1" t="s">
        <v>18547</v>
      </c>
      <c r="F3701" s="1" t="s">
        <v>18548</v>
      </c>
      <c r="G3701" s="1" t="s">
        <v>18549</v>
      </c>
      <c r="H3701" s="1" t="str">
        <f>IFERROR(__xludf.DUMMYFUNCTION("GOOGLETRANSLATE(D3701,""EN"",""JA"")"),"血小板-顆粒球凝集体")</f>
        <v>血小板-顆粒球凝集体</v>
      </c>
      <c r="I3701" s="1" t="str">
        <f>IFERROR(__xludf.DUMMYFUNCTION("GOOGLETRANSLATE(E3701,""EN"",""JA"")"),"血小板顆粒球凝集体; 血小板顆粒球凝集体")</f>
        <v>血小板顆粒球凝集体; 血小板顆粒球凝集体</v>
      </c>
      <c r="J3701" s="1" t="str">
        <f>IFERROR(__xludf.DUMMYFUNCTION("GOOGLETRANSLATE(F3701,""EN"",""JA"")"),"生物標本中の血小板と顆粒球からなる凝集体の測定。")</f>
        <v>生物標本中の血小板と顆粒球からなる凝集体の測定。</v>
      </c>
      <c r="K3701" s="1" t="str">
        <f>IFERROR(__xludf.DUMMYFUNCTION("GOOGLETRANSLATE(G3701,""EN"",""JA"")"),"血小板顆粒球凝集体測定")</f>
        <v>血小板顆粒球凝集体測定</v>
      </c>
    </row>
    <row r="3702" ht="13.5" customHeight="1">
      <c r="A3702" s="1" t="s">
        <v>11</v>
      </c>
      <c r="B3702" s="1" t="s">
        <v>18550</v>
      </c>
      <c r="C3702" s="1" t="s">
        <v>18551</v>
      </c>
      <c r="D3702" s="1" t="s">
        <v>18552</v>
      </c>
      <c r="E3702" s="1" t="s">
        <v>18552</v>
      </c>
      <c r="F3702" s="1" t="s">
        <v>18553</v>
      </c>
      <c r="G3702" s="1" t="s">
        <v>18554</v>
      </c>
      <c r="H3702" s="1" t="str">
        <f>IFERROR(__xludf.DUMMYFUNCTION("GOOGLETRANSLATE(D3702,""EN"",""JA"")"),"プロスタグランジンD2")</f>
        <v>プロスタグランジンD2</v>
      </c>
      <c r="I3702" s="1" t="str">
        <f>IFERROR(__xludf.DUMMYFUNCTION("GOOGLETRANSLATE(E3702,""EN"",""JA"")"),"プロスタグランジンD2")</f>
        <v>プロスタグランジンD2</v>
      </c>
      <c r="J3702" s="1" t="str">
        <f>IFERROR(__xludf.DUMMYFUNCTION("GOOGLETRANSLATE(F3702,""EN"",""JA"")"),"生物標本中のプロスタグランジン D2 の測定。")</f>
        <v>生物標本中のプロスタグランジン D2 の測定。</v>
      </c>
      <c r="K3702" s="1" t="str">
        <f>IFERROR(__xludf.DUMMYFUNCTION("GOOGLETRANSLATE(G3702,""EN"",""JA"")"),"プロスタグランジンD2測定")</f>
        <v>プロスタグランジンD2測定</v>
      </c>
    </row>
    <row r="3703" ht="13.5" customHeight="1">
      <c r="A3703" s="1" t="s">
        <v>11</v>
      </c>
      <c r="B3703" s="1" t="s">
        <v>18555</v>
      </c>
      <c r="C3703" s="1" t="s">
        <v>18556</v>
      </c>
      <c r="D3703" s="1" t="s">
        <v>18557</v>
      </c>
      <c r="E3703" s="1" t="s">
        <v>18557</v>
      </c>
      <c r="F3703" s="1" t="s">
        <v>18558</v>
      </c>
      <c r="G3703" s="1" t="s">
        <v>18559</v>
      </c>
      <c r="H3703" s="1" t="str">
        <f>IFERROR(__xludf.DUMMYFUNCTION("GOOGLETRANSLATE(D3703,""EN"",""JA"")"),"プロスタグランジンD2受容体2")</f>
        <v>プロスタグランジンD2受容体2</v>
      </c>
      <c r="I3703" s="1" t="str">
        <f>IFERROR(__xludf.DUMMYFUNCTION("GOOGLETRANSLATE(E3703,""EN"",""JA"")"),"プロスタグランジンD2受容体2")</f>
        <v>プロスタグランジンD2受容体2</v>
      </c>
      <c r="J3703" s="1" t="str">
        <f>IFERROR(__xludf.DUMMYFUNCTION("GOOGLETRANSLATE(F3703,""EN"",""JA"")"),"生物標本中のプロスタグランジン D2 受容体 2 の測定。")</f>
        <v>生物標本中のプロスタグランジン D2 受容体 2 の測定。</v>
      </c>
      <c r="K3703" s="1" t="str">
        <f>IFERROR(__xludf.DUMMYFUNCTION("GOOGLETRANSLATE(G3703,""EN"",""JA"")"),"プロスタグランジンD2受容体2の測定")</f>
        <v>プロスタグランジンD2受容体2の測定</v>
      </c>
    </row>
    <row r="3704" ht="13.5" customHeight="1">
      <c r="A3704" s="1" t="s">
        <v>11</v>
      </c>
      <c r="B3704" s="1" t="s">
        <v>18560</v>
      </c>
      <c r="C3704" s="1" t="s">
        <v>18561</v>
      </c>
      <c r="D3704" s="1" t="s">
        <v>18562</v>
      </c>
      <c r="E3704" s="1" t="s">
        <v>18563</v>
      </c>
      <c r="F3704" s="1" t="s">
        <v>18564</v>
      </c>
      <c r="G3704" s="1" t="s">
        <v>18565</v>
      </c>
      <c r="H3704" s="1" t="str">
        <f>IFERROR(__xludf.DUMMYFUNCTION("GOOGLETRANSLATE(D3704,""EN"",""JA"")"),"プロスタグランジンD2合成酵素")</f>
        <v>プロスタグランジンD2合成酵素</v>
      </c>
      <c r="I3704" s="1" t="str">
        <f>IFERROR(__xludf.DUMMYFUNCTION("GOOGLETRANSLATE(E3704,""EN"",""JA"")"),"ベータトレースタンパク質; プロスタグランジンD2合成酵素")</f>
        <v>ベータトレースタンパク質; プロスタグランジンD2合成酵素</v>
      </c>
      <c r="J3704" s="1" t="str">
        <f>IFERROR(__xludf.DUMMYFUNCTION("GOOGLETRANSLATE(F3704,""EN"",""JA"")"),"生物標本中のプロスタグランジン D2 合成酵素の測定。")</f>
        <v>生物標本中のプロスタグランジン D2 合成酵素の測定。</v>
      </c>
      <c r="K3704" s="1" t="str">
        <f>IFERROR(__xludf.DUMMYFUNCTION("GOOGLETRANSLATE(G3704,""EN"",""JA"")"),"プロスタグランジンD2合成酵素測定")</f>
        <v>プロスタグランジンD2合成酵素測定</v>
      </c>
    </row>
    <row r="3705" ht="13.5" customHeight="1">
      <c r="A3705" s="1" t="s">
        <v>11</v>
      </c>
      <c r="B3705" s="1" t="s">
        <v>18566</v>
      </c>
      <c r="C3705" s="1" t="s">
        <v>18567</v>
      </c>
      <c r="D3705" s="1" t="s">
        <v>18568</v>
      </c>
      <c r="E3705" s="1" t="s">
        <v>18568</v>
      </c>
      <c r="F3705" s="1" t="s">
        <v>18569</v>
      </c>
      <c r="G3705" s="1" t="s">
        <v>18570</v>
      </c>
      <c r="H3705" s="1" t="str">
        <f>IFERROR(__xludf.DUMMYFUNCTION("GOOGLETRANSLATE(D3705,""EN"",""JA"")"),"プロスタグランジンE1")</f>
        <v>プロスタグランジンE1</v>
      </c>
      <c r="I3705" s="1" t="str">
        <f>IFERROR(__xludf.DUMMYFUNCTION("GOOGLETRANSLATE(E3705,""EN"",""JA"")"),"プロスタグランジンE1")</f>
        <v>プロスタグランジンE1</v>
      </c>
      <c r="J3705" s="1" t="str">
        <f>IFERROR(__xludf.DUMMYFUNCTION("GOOGLETRANSLATE(F3705,""EN"",""JA"")"),"生物標本中のプロスタグランジン E1 の測定。")</f>
        <v>生物標本中のプロスタグランジン E1 の測定。</v>
      </c>
      <c r="K3705" s="1" t="str">
        <f>IFERROR(__xludf.DUMMYFUNCTION("GOOGLETRANSLATE(G3705,""EN"",""JA"")"),"プロスタグランジンE1測定")</f>
        <v>プロスタグランジンE1測定</v>
      </c>
    </row>
    <row r="3706" ht="13.5" customHeight="1">
      <c r="A3706" s="1" t="s">
        <v>11</v>
      </c>
      <c r="B3706" s="1" t="s">
        <v>18571</v>
      </c>
      <c r="C3706" s="1" t="s">
        <v>18572</v>
      </c>
      <c r="D3706" s="1" t="s">
        <v>18573</v>
      </c>
      <c r="E3706" s="1" t="s">
        <v>18573</v>
      </c>
      <c r="F3706" s="1" t="s">
        <v>18574</v>
      </c>
      <c r="G3706" s="1" t="s">
        <v>18575</v>
      </c>
      <c r="H3706" s="1" t="str">
        <f>IFERROR(__xludf.DUMMYFUNCTION("GOOGLETRANSLATE(D3706,""EN"",""JA"")"),"プロスタグランジンE2")</f>
        <v>プロスタグランジンE2</v>
      </c>
      <c r="I3706" s="1" t="str">
        <f>IFERROR(__xludf.DUMMYFUNCTION("GOOGLETRANSLATE(E3706,""EN"",""JA"")"),"プロスタグランジンE2")</f>
        <v>プロスタグランジンE2</v>
      </c>
      <c r="J3706" s="1" t="str">
        <f>IFERROR(__xludf.DUMMYFUNCTION("GOOGLETRANSLATE(F3706,""EN"",""JA"")"),"生物標本中のプロスタグランジン E2 の測定。")</f>
        <v>生物標本中のプロスタグランジン E2 の測定。</v>
      </c>
      <c r="K3706" s="1" t="str">
        <f>IFERROR(__xludf.DUMMYFUNCTION("GOOGLETRANSLATE(G3706,""EN"",""JA"")"),"プロスタグランジンE2測定")</f>
        <v>プロスタグランジンE2測定</v>
      </c>
    </row>
    <row r="3707" ht="13.5" customHeight="1">
      <c r="A3707" s="1" t="s">
        <v>11</v>
      </c>
      <c r="B3707" s="1" t="s">
        <v>18576</v>
      </c>
      <c r="C3707" s="1" t="s">
        <v>18577</v>
      </c>
      <c r="D3707" s="1" t="s">
        <v>18578</v>
      </c>
      <c r="E3707" s="1" t="s">
        <v>18578</v>
      </c>
      <c r="F3707" s="1" t="s">
        <v>18579</v>
      </c>
      <c r="G3707" s="1" t="s">
        <v>18580</v>
      </c>
      <c r="H3707" s="1" t="str">
        <f>IFERROR(__xludf.DUMMYFUNCTION("GOOGLETRANSLATE(D3707,""EN"",""JA"")"),"プロスタグランジンE合成酵素")</f>
        <v>プロスタグランジンE合成酵素</v>
      </c>
      <c r="I3707" s="1" t="str">
        <f>IFERROR(__xludf.DUMMYFUNCTION("GOOGLETRANSLATE(E3707,""EN"",""JA"")"),"プロスタグランジンE合成酵素")</f>
        <v>プロスタグランジンE合成酵素</v>
      </c>
      <c r="J3707" s="1" t="str">
        <f>IFERROR(__xludf.DUMMYFUNCTION("GOOGLETRANSLATE(F3707,""EN"",""JA"")"),"生物標本中のプロスタグランジン E 合成酵素の測定。")</f>
        <v>生物標本中のプロスタグランジン E 合成酵素の測定。</v>
      </c>
      <c r="K3707" s="1" t="str">
        <f>IFERROR(__xludf.DUMMYFUNCTION("GOOGLETRANSLATE(G3707,""EN"",""JA"")"),"プロスタグランジンE合成酵素測定")</f>
        <v>プロスタグランジンE合成酵素測定</v>
      </c>
    </row>
    <row r="3708" ht="13.5" customHeight="1">
      <c r="A3708" s="1" t="s">
        <v>11</v>
      </c>
      <c r="B3708" s="1" t="s">
        <v>18581</v>
      </c>
      <c r="C3708" s="1" t="s">
        <v>18582</v>
      </c>
      <c r="D3708" s="1" t="s">
        <v>18583</v>
      </c>
      <c r="E3708" s="1" t="s">
        <v>18583</v>
      </c>
      <c r="F3708" s="1" t="s">
        <v>18584</v>
      </c>
      <c r="G3708" s="1" t="s">
        <v>18585</v>
      </c>
      <c r="H3708" s="1" t="str">
        <f>IFERROR(__xludf.DUMMYFUNCTION("GOOGLETRANSLATE(D3708,""EN"",""JA"")"),"プロスタグランジンF1アルファ")</f>
        <v>プロスタグランジンF1アルファ</v>
      </c>
      <c r="I3708" s="1" t="str">
        <f>IFERROR(__xludf.DUMMYFUNCTION("GOOGLETRANSLATE(E3708,""EN"",""JA"")"),"プロスタグランジンF1アルファ")</f>
        <v>プロスタグランジンF1アルファ</v>
      </c>
      <c r="J3708" s="1" t="str">
        <f>IFERROR(__xludf.DUMMYFUNCTION("GOOGLETRANSLATE(F3708,""EN"",""JA"")"),"生物標本中のプロスタグランジン F1 アルファの測定。")</f>
        <v>生物標本中のプロスタグランジン F1 アルファの測定。</v>
      </c>
      <c r="K3708" s="1" t="str">
        <f>IFERROR(__xludf.DUMMYFUNCTION("GOOGLETRANSLATE(G3708,""EN"",""JA"")"),"プロスタグランジンF1アルファ測定")</f>
        <v>プロスタグランジンF1アルファ測定</v>
      </c>
    </row>
    <row r="3709" ht="13.5" customHeight="1">
      <c r="A3709" s="1" t="s">
        <v>11</v>
      </c>
      <c r="B3709" s="1" t="s">
        <v>18586</v>
      </c>
      <c r="C3709" s="1" t="s">
        <v>18587</v>
      </c>
      <c r="D3709" s="1" t="s">
        <v>18588</v>
      </c>
      <c r="E3709" s="1" t="s">
        <v>18588</v>
      </c>
      <c r="F3709" s="1" t="s">
        <v>18589</v>
      </c>
      <c r="G3709" s="1" t="s">
        <v>18590</v>
      </c>
      <c r="H3709" s="1" t="str">
        <f>IFERROR(__xludf.DUMMYFUNCTION("GOOGLETRANSLATE(D3709,""EN"",""JA"")"),"プロスタグランジンF2アルファ")</f>
        <v>プロスタグランジンF2アルファ</v>
      </c>
      <c r="I3709" s="1" t="str">
        <f>IFERROR(__xludf.DUMMYFUNCTION("GOOGLETRANSLATE(E3709,""EN"",""JA"")"),"プロスタグランジンF2アルファ")</f>
        <v>プロスタグランジンF2アルファ</v>
      </c>
      <c r="J3709" s="1" t="str">
        <f>IFERROR(__xludf.DUMMYFUNCTION("GOOGLETRANSLATE(F3709,""EN"",""JA"")"),"生物標本中のプロスタグランジン F2 アルファの測定。")</f>
        <v>生物標本中のプロスタグランジン F2 アルファの測定。</v>
      </c>
      <c r="K3709" s="1" t="str">
        <f>IFERROR(__xludf.DUMMYFUNCTION("GOOGLETRANSLATE(G3709,""EN"",""JA"")"),"プロスタグランジンF2アルファ測定")</f>
        <v>プロスタグランジンF2アルファ測定</v>
      </c>
    </row>
    <row r="3710" ht="13.5" customHeight="1">
      <c r="A3710" s="1" t="s">
        <v>11</v>
      </c>
      <c r="B3710" s="1" t="s">
        <v>18591</v>
      </c>
      <c r="C3710" s="1" t="s">
        <v>18592</v>
      </c>
      <c r="D3710" s="1" t="s">
        <v>18593</v>
      </c>
      <c r="E3710" s="1" t="s">
        <v>18593</v>
      </c>
      <c r="F3710" s="1" t="s">
        <v>18594</v>
      </c>
      <c r="G3710" s="1" t="s">
        <v>18595</v>
      </c>
      <c r="H3710" s="1" t="str">
        <f>IFERROR(__xludf.DUMMYFUNCTION("GOOGLETRANSLATE(D3710,""EN"",""JA"")"),"8-イソプロスタグランジンF2アルファ")</f>
        <v>8-イソプロスタグランジンF2アルファ</v>
      </c>
      <c r="I3710" s="1" t="str">
        <f>IFERROR(__xludf.DUMMYFUNCTION("GOOGLETRANSLATE(E3710,""EN"",""JA"")"),"8-イソプロスタグランジンF2アルファ")</f>
        <v>8-イソプロスタグランジンF2アルファ</v>
      </c>
      <c r="J3710" s="1" t="str">
        <f>IFERROR(__xludf.DUMMYFUNCTION("GOOGLETRANSLATE(F3710,""EN"",""JA"")"),"生物標本中のプロスタグランジン F2 アルファアイソフォーム 8 の測定。")</f>
        <v>生物標本中のプロスタグランジン F2 アルファアイソフォーム 8 の測定。</v>
      </c>
      <c r="K3710" s="1" t="str">
        <f>IFERROR(__xludf.DUMMYFUNCTION("GOOGLETRANSLATE(G3710,""EN"",""JA"")"),"8-イソプロスタグランジンF2アルファ測定")</f>
        <v>8-イソプロスタグランジンF2アルファ測定</v>
      </c>
    </row>
    <row r="3711" ht="13.5" customHeight="1">
      <c r="A3711" s="1" t="s">
        <v>90</v>
      </c>
      <c r="B3711" s="1" t="s">
        <v>18596</v>
      </c>
      <c r="C3711" s="1" t="s">
        <v>18597</v>
      </c>
      <c r="D3711" s="1" t="s">
        <v>18598</v>
      </c>
      <c r="E3711" s="1" t="s">
        <v>18598</v>
      </c>
      <c r="F3711" s="1" t="s">
        <v>18599</v>
      </c>
      <c r="G3711" s="1" t="s">
        <v>18598</v>
      </c>
      <c r="H3711" s="1" t="str">
        <f>IFERROR(__xludf.DUMMYFUNCTION("GOOGLETRANSLATE(D3711,""EN"",""JA"")"),"ピーク圧力勾配")</f>
        <v>ピーク圧力勾配</v>
      </c>
      <c r="I3711" s="1" t="str">
        <f>IFERROR(__xludf.DUMMYFUNCTION("GOOGLETRANSLATE(E3711,""EN"",""JA"")"),"ピーク圧力勾配")</f>
        <v>ピーク圧力勾配</v>
      </c>
      <c r="J3711" s="1" t="str">
        <f>IFERROR(__xludf.DUMMYFUNCTION("GOOGLETRANSLATE(F3711,""EN"",""JA"")"),"構造上の 2 点間に存在する最大圧力勾配を表す値。")</f>
        <v>構造上の 2 点間に存在する最大圧力勾配を表す値。</v>
      </c>
      <c r="K3711" s="1" t="str">
        <f>IFERROR(__xludf.DUMMYFUNCTION("GOOGLETRANSLATE(G3711,""EN"",""JA"")"),"ピーク圧力勾配")</f>
        <v>ピーク圧力勾配</v>
      </c>
    </row>
    <row r="3712" ht="13.5" customHeight="1">
      <c r="A3712" s="1" t="s">
        <v>11</v>
      </c>
      <c r="B3712" s="1" t="s">
        <v>18600</v>
      </c>
      <c r="C3712" s="1" t="s">
        <v>18601</v>
      </c>
      <c r="D3712" s="1" t="s">
        <v>18602</v>
      </c>
      <c r="E3712" s="1" t="s">
        <v>18602</v>
      </c>
      <c r="F3712" s="1" t="s">
        <v>18603</v>
      </c>
      <c r="G3712" s="1" t="s">
        <v>18602</v>
      </c>
      <c r="H3712" s="1" t="str">
        <f>IFERROR(__xludf.DUMMYFUNCTION("GOOGLETRANSLATE(D3712,""EN"",""JA"")"),"pH")</f>
        <v>pH</v>
      </c>
      <c r="I3712" s="1" t="str">
        <f>IFERROR(__xludf.DUMMYFUNCTION("GOOGLETRANSLATE(E3712,""EN"",""JA"")"),"pH")</f>
        <v>pH</v>
      </c>
      <c r="J3712" s="1" t="str">
        <f>IFERROR(__xludf.DUMMYFUNCTION("GOOGLETRANSLATE(F3712,""EN"",""JA"")"),"ヒドロニウムイオンの濃度の負の対数（底 10）。流体の酸性度またはアルカリ性の尺度として使用されます。")</f>
        <v>ヒドロニウムイオンの濃度の負の対数（底 10）。流体の酸性度またはアルカリ性の尺度として使用されます。</v>
      </c>
      <c r="K3712" s="1" t="str">
        <f>IFERROR(__xludf.DUMMYFUNCTION("GOOGLETRANSLATE(G3712,""EN"",""JA"")"),"pH")</f>
        <v>pH</v>
      </c>
    </row>
    <row r="3713" ht="13.5" customHeight="1">
      <c r="A3713" s="1" t="s">
        <v>67</v>
      </c>
      <c r="B3713" s="1" t="s">
        <v>18604</v>
      </c>
      <c r="C3713" s="1" t="s">
        <v>18605</v>
      </c>
      <c r="D3713" s="1" t="s">
        <v>18606</v>
      </c>
      <c r="E3713" s="1" t="s">
        <v>18606</v>
      </c>
      <c r="F3713" s="1" t="s">
        <v>18607</v>
      </c>
      <c r="G3713" s="1" t="s">
        <v>18608</v>
      </c>
      <c r="H3713" s="1" t="str">
        <f>IFERROR(__xludf.DUMMYFUNCTION("GOOGLETRANSLATE(D3713,""EN"",""JA"")"),"プロテウス・ハウゼリ")</f>
        <v>プロテウス・ハウゼリ</v>
      </c>
      <c r="I3713" s="1" t="str">
        <f>IFERROR(__xludf.DUMMYFUNCTION("GOOGLETRANSLATE(E3713,""EN"",""JA"")"),"プロテウス・ハウゼリ")</f>
        <v>プロテウス・ハウゼリ</v>
      </c>
      <c r="J3713" s="1" t="str">
        <f>IFERROR(__xludf.DUMMYFUNCTION("GOOGLETRANSLATE(F3713,""EN"",""JA"")"),"生物標本中の Proteus hauseri の測定。")</f>
        <v>生物標本中の Proteus hauseri の測定。</v>
      </c>
      <c r="K3713" s="1" t="str">
        <f>IFERROR(__xludf.DUMMYFUNCTION("GOOGLETRANSLATE(G3713,""EN"",""JA"")"),"プロテウス・ハウゼリ測定")</f>
        <v>プロテウス・ハウゼリ測定</v>
      </c>
    </row>
    <row r="3714" ht="13.5" customHeight="1">
      <c r="A3714" s="1" t="s">
        <v>11</v>
      </c>
      <c r="B3714" s="1" t="s">
        <v>18609</v>
      </c>
      <c r="C3714" s="1" t="s">
        <v>18610</v>
      </c>
      <c r="D3714" s="1" t="s">
        <v>18611</v>
      </c>
      <c r="E3714" s="1" t="s">
        <v>18611</v>
      </c>
      <c r="F3714" s="1" t="s">
        <v>18612</v>
      </c>
      <c r="G3714" s="1" t="s">
        <v>18613</v>
      </c>
      <c r="H3714" s="1" t="str">
        <f>IFERROR(__xludf.DUMMYFUNCTION("GOOGLETRANSLATE(D3714,""EN"",""JA"")"),"体温に合わせてpH調整")</f>
        <v>体温に合わせてpH調整</v>
      </c>
      <c r="I3714" s="1" t="str">
        <f>IFERROR(__xludf.DUMMYFUNCTION("GOOGLETRANSLATE(E3714,""EN"",""JA"")"),"体温に合わせてpH調整")</f>
        <v>体温に合わせてpH調整</v>
      </c>
      <c r="J3714" s="1" t="str">
        <f>IFERROR(__xludf.DUMMYFUNCTION("GOOGLETRANSLATE(F3714,""EN"",""JA"")"),"体温に合わせて調整された生物標本内の pH の測定値。")</f>
        <v>体温に合わせて調整された生物標本内の pH の測定値。</v>
      </c>
      <c r="K3714" s="1" t="str">
        <f>IFERROR(__xludf.DUMMYFUNCTION("GOOGLETRANSLATE(G3714,""EN"",""JA"")"),"体温測定用に調整されたpH")</f>
        <v>体温測定用に調整されたpH</v>
      </c>
    </row>
    <row r="3715" ht="13.5" customHeight="1">
      <c r="A3715" s="1" t="s">
        <v>11</v>
      </c>
      <c r="B3715" s="1" t="s">
        <v>18614</v>
      </c>
      <c r="C3715" s="1" t="s">
        <v>18615</v>
      </c>
      <c r="D3715" s="1" t="s">
        <v>18616</v>
      </c>
      <c r="E3715" s="1" t="s">
        <v>18616</v>
      </c>
      <c r="F3715" s="1" t="s">
        <v>18617</v>
      </c>
      <c r="G3715" s="1" t="s">
        <v>18618</v>
      </c>
      <c r="H3715" s="1" t="str">
        <f>IFERROR(__xludf.DUMMYFUNCTION("GOOGLETRANSLATE(D3715,""EN"",""JA"")"),"フェニルアラニン")</f>
        <v>フェニルアラニン</v>
      </c>
      <c r="I3715" s="1" t="str">
        <f>IFERROR(__xludf.DUMMYFUNCTION("GOOGLETRANSLATE(E3715,""EN"",""JA"")"),"フェニルアラニン")</f>
        <v>フェニルアラニン</v>
      </c>
      <c r="J3715" s="1" t="str">
        <f>IFERROR(__xludf.DUMMYFUNCTION("GOOGLETRANSLATE(F3715,""EN"",""JA"")"),"生物標本中のフェニルアラニンの測定。")</f>
        <v>生物標本中のフェニルアラニンの測定。</v>
      </c>
      <c r="K3715" s="1" t="str">
        <f>IFERROR(__xludf.DUMMYFUNCTION("GOOGLETRANSLATE(G3715,""EN"",""JA"")"),"フェニルアラニン測定")</f>
        <v>フェニルアラニン測定</v>
      </c>
    </row>
    <row r="3716" ht="13.5" customHeight="1">
      <c r="A3716" s="1" t="s">
        <v>11</v>
      </c>
      <c r="B3716" s="1" t="s">
        <v>18619</v>
      </c>
      <c r="C3716" s="1" t="s">
        <v>18620</v>
      </c>
      <c r="D3716" s="1" t="s">
        <v>18621</v>
      </c>
      <c r="E3716" s="1" t="s">
        <v>18622</v>
      </c>
      <c r="F3716" s="1" t="s">
        <v>18623</v>
      </c>
      <c r="G3716" s="1" t="s">
        <v>18624</v>
      </c>
      <c r="H3716" s="1" t="str">
        <f>IFERROR(__xludf.DUMMYFUNCTION("GOOGLETRANSLATE(D3716,""EN"",""JA"")"),"フェノチアジン")</f>
        <v>フェノチアジン</v>
      </c>
      <c r="I3716" s="1" t="str">
        <f>IFERROR(__xludf.DUMMYFUNCTION("GOOGLETRANSLATE(E3716,""EN"",""JA"")"),"ジベンゾチアジン; フェノチアジン")</f>
        <v>ジベンゾチアジン; フェノチアジン</v>
      </c>
      <c r="J3716" s="1" t="str">
        <f>IFERROR(__xludf.DUMMYFUNCTION("GOOGLETRANSLATE(F3716,""EN"",""JA"")"),"生物標本中に存在するフェノチアジンの測定。")</f>
        <v>生物標本中に存在するフェノチアジンの測定。</v>
      </c>
      <c r="K3716" s="1" t="str">
        <f>IFERROR(__xludf.DUMMYFUNCTION("GOOGLETRANSLATE(G3716,""EN"",""JA"")"),"フェノチアジン測定")</f>
        <v>フェノチアジン測定</v>
      </c>
    </row>
    <row r="3717" ht="13.5" customHeight="1">
      <c r="A3717" s="1" t="s">
        <v>11</v>
      </c>
      <c r="B3717" s="1" t="s">
        <v>18625</v>
      </c>
      <c r="C3717" s="1" t="s">
        <v>18626</v>
      </c>
      <c r="D3717" s="1" t="s">
        <v>18627</v>
      </c>
      <c r="E3717" s="1" t="s">
        <v>18627</v>
      </c>
      <c r="F3717" s="1" t="s">
        <v>18628</v>
      </c>
      <c r="G3717" s="1" t="s">
        <v>18629</v>
      </c>
      <c r="H3717" s="1" t="str">
        <f>IFERROR(__xludf.DUMMYFUNCTION("GOOGLETRANSLATE(D3717,""EN"",""JA"")"),"フェニトイン")</f>
        <v>フェニトイン</v>
      </c>
      <c r="I3717" s="1" t="str">
        <f>IFERROR(__xludf.DUMMYFUNCTION("GOOGLETRANSLATE(E3717,""EN"",""JA"")"),"フェニトイン")</f>
        <v>フェニトイン</v>
      </c>
      <c r="J3717" s="1" t="str">
        <f>IFERROR(__xludf.DUMMYFUNCTION("GOOGLETRANSLATE(F3717,""EN"",""JA"")"),"生物標本中のフェニトインの測定。")</f>
        <v>生物標本中のフェニトインの測定。</v>
      </c>
      <c r="K3717" s="1" t="str">
        <f>IFERROR(__xludf.DUMMYFUNCTION("GOOGLETRANSLATE(G3717,""EN"",""JA"")"),"フェニトイン測定")</f>
        <v>フェニトイン測定</v>
      </c>
    </row>
    <row r="3718" ht="13.5" customHeight="1">
      <c r="A3718" s="1" t="s">
        <v>11</v>
      </c>
      <c r="B3718" s="1" t="s">
        <v>18630</v>
      </c>
      <c r="C3718" s="1" t="s">
        <v>18631</v>
      </c>
      <c r="D3718" s="1" t="s">
        <v>18632</v>
      </c>
      <c r="E3718" s="1" t="s">
        <v>18632</v>
      </c>
      <c r="F3718" s="1" t="s">
        <v>18633</v>
      </c>
      <c r="G3718" s="1" t="s">
        <v>18634</v>
      </c>
      <c r="H3718" s="1" t="str">
        <f>IFERROR(__xludf.DUMMYFUNCTION("GOOGLETRANSLATE(D3718,""EN"",""JA"")"),"フェニルアラニン/チロシン")</f>
        <v>フェニルアラニン/チロシン</v>
      </c>
      <c r="I3718" s="1" t="str">
        <f>IFERROR(__xludf.DUMMYFUNCTION("GOOGLETRANSLATE(E3718,""EN"",""JA"")"),"フェニルアラニン/チロシン")</f>
        <v>フェニルアラニン/チロシン</v>
      </c>
      <c r="J3718" s="1" t="str">
        <f>IFERROR(__xludf.DUMMYFUNCTION("GOOGLETRANSLATE(F3718,""EN"",""JA"")"),"生物標本中のフェニルアラニンとチロシンの相対的な測定値（比率）。")</f>
        <v>生物標本中のフェニルアラニンとチロシンの相対的な測定値（比率）。</v>
      </c>
      <c r="K3718" s="1" t="str">
        <f>IFERROR(__xludf.DUMMYFUNCTION("GOOGLETRANSLATE(G3718,""EN"",""JA"")"),"フェニルアラニンとチロシンの比率測定")</f>
        <v>フェニルアラニンとチロシンの比率測定</v>
      </c>
    </row>
    <row r="3719" ht="13.5" customHeight="1">
      <c r="A3719" s="1" t="s">
        <v>11</v>
      </c>
      <c r="B3719" s="1" t="s">
        <v>18635</v>
      </c>
      <c r="C3719" s="1" t="s">
        <v>18636</v>
      </c>
      <c r="D3719" s="1" t="s">
        <v>18637</v>
      </c>
      <c r="E3719" s="1" t="s">
        <v>18637</v>
      </c>
      <c r="F3719" s="1" t="s">
        <v>18638</v>
      </c>
      <c r="G3719" s="1" t="s">
        <v>18639</v>
      </c>
      <c r="H3719" s="1" t="str">
        <f>IFERROR(__xludf.DUMMYFUNCTION("GOOGLETRANSLATE(D3719,""EN"",""JA"")"),"フェノバルビタール")</f>
        <v>フェノバルビタール</v>
      </c>
      <c r="I3719" s="1" t="str">
        <f>IFERROR(__xludf.DUMMYFUNCTION("GOOGLETRANSLATE(E3719,""EN"",""JA"")"),"フェノバルビタール")</f>
        <v>フェノバルビタール</v>
      </c>
      <c r="J3719" s="1" t="str">
        <f>IFERROR(__xludf.DUMMYFUNCTION("GOOGLETRANSLATE(F3719,""EN"",""JA"")"),"生物学的標本中に存在するフェノバルビタールの測定。")</f>
        <v>生物学的標本中に存在するフェノバルビタールの測定。</v>
      </c>
      <c r="K3719" s="1" t="str">
        <f>IFERROR(__xludf.DUMMYFUNCTION("GOOGLETRANSLATE(G3719,""EN"",""JA"")"),"フェノバルビタール測定")</f>
        <v>フェノバルビタール測定</v>
      </c>
    </row>
    <row r="3720" ht="13.5" customHeight="1">
      <c r="A3720" s="1" t="s">
        <v>11</v>
      </c>
      <c r="B3720" s="1" t="s">
        <v>18640</v>
      </c>
      <c r="C3720" s="1" t="s">
        <v>18641</v>
      </c>
      <c r="D3720" s="1" t="s">
        <v>18642</v>
      </c>
      <c r="E3720" s="1" t="s">
        <v>18642</v>
      </c>
      <c r="F3720" s="1" t="s">
        <v>18643</v>
      </c>
      <c r="G3720" s="1" t="s">
        <v>18644</v>
      </c>
      <c r="H3720" s="1" t="str">
        <f>IFERROR(__xludf.DUMMYFUNCTION("GOOGLETRANSLATE(D3720,""EN"",""JA"")"),"フェンジメトラジン")</f>
        <v>フェンジメトラジン</v>
      </c>
      <c r="I3720" s="1" t="str">
        <f>IFERROR(__xludf.DUMMYFUNCTION("GOOGLETRANSLATE(E3720,""EN"",""JA"")"),"フェンジメトラジン")</f>
        <v>フェンジメトラジン</v>
      </c>
      <c r="J3720" s="1" t="str">
        <f>IFERROR(__xludf.DUMMYFUNCTION("GOOGLETRANSLATE(F3720,""EN"",""JA"")"),"生物標本中のフェンディメトラジンの測定。")</f>
        <v>生物標本中のフェンディメトラジンの測定。</v>
      </c>
      <c r="K3720" s="1" t="str">
        <f>IFERROR(__xludf.DUMMYFUNCTION("GOOGLETRANSLATE(G3720,""EN"",""JA"")"),"フェンジメトラジン測定")</f>
        <v>フェンジメトラジン測定</v>
      </c>
    </row>
    <row r="3721" ht="13.5" customHeight="1">
      <c r="A3721" s="1" t="s">
        <v>11</v>
      </c>
      <c r="B3721" s="1" t="s">
        <v>18645</v>
      </c>
      <c r="C3721" s="1" t="s">
        <v>18646</v>
      </c>
      <c r="D3721" s="1" t="s">
        <v>18647</v>
      </c>
      <c r="E3721" s="1" t="s">
        <v>18648</v>
      </c>
      <c r="F3721" s="1" t="s">
        <v>18649</v>
      </c>
      <c r="G3721" s="1" t="s">
        <v>18650</v>
      </c>
      <c r="H3721" s="1" t="str">
        <f>IFERROR(__xludf.DUMMYFUNCTION("GOOGLETRANSLATE(D3721,""EN"",""JA"")"),"フェニルケトン")</f>
        <v>フェニルケトン</v>
      </c>
      <c r="I3721" s="1" t="str">
        <f>IFERROR(__xludf.DUMMYFUNCTION("GOOGLETRANSLATE(E3721,""EN"",""JA"")"),"フェニルケトン; フェニルケトン")</f>
        <v>フェニルケトン; フェニルケトン</v>
      </c>
      <c r="J3721" s="1" t="str">
        <f>IFERROR(__xludf.DUMMYFUNCTION("GOOGLETRANSLATE(F3721,""EN"",""JA"")"),"生物標本中のフェニルケトンの総量の測定")</f>
        <v>生物標本中のフェニルケトンの総量の測定</v>
      </c>
      <c r="K3721" s="1" t="str">
        <f>IFERROR(__xludf.DUMMYFUNCTION("GOOGLETRANSLATE(G3721,""EN"",""JA"")"),"フェニルケトン測定")</f>
        <v>フェニルケトン測定</v>
      </c>
    </row>
    <row r="3722" ht="13.5" customHeight="1">
      <c r="A3722" s="1" t="s">
        <v>11</v>
      </c>
      <c r="B3722" s="1" t="s">
        <v>18651</v>
      </c>
      <c r="C3722" s="1" t="s">
        <v>18652</v>
      </c>
      <c r="D3722" s="1" t="s">
        <v>18653</v>
      </c>
      <c r="E3722" s="1" t="s">
        <v>18653</v>
      </c>
      <c r="F3722" s="1" t="s">
        <v>18654</v>
      </c>
      <c r="G3722" s="1" t="s">
        <v>18655</v>
      </c>
      <c r="H3722" s="1" t="str">
        <f>IFERROR(__xludf.DUMMYFUNCTION("GOOGLETRANSLATE(D3722,""EN"",""JA"")"),"フェンメトラジン")</f>
        <v>フェンメトラジン</v>
      </c>
      <c r="I3722" s="1" t="str">
        <f>IFERROR(__xludf.DUMMYFUNCTION("GOOGLETRANSLATE(E3722,""EN"",""JA"")"),"フェンメトラジン")</f>
        <v>フェンメトラジン</v>
      </c>
      <c r="J3722" s="1" t="str">
        <f>IFERROR(__xludf.DUMMYFUNCTION("GOOGLETRANSLATE(F3722,""EN"",""JA"")"),"生物標本中のフェンメトラジンの測定。")</f>
        <v>生物標本中のフェンメトラジンの測定。</v>
      </c>
      <c r="K3722" s="1" t="str">
        <f>IFERROR(__xludf.DUMMYFUNCTION("GOOGLETRANSLATE(G3722,""EN"",""JA"")"),"フェンメトラジン測定")</f>
        <v>フェンメトラジン測定</v>
      </c>
    </row>
    <row r="3723" ht="13.5" customHeight="1">
      <c r="A3723" s="1" t="s">
        <v>11</v>
      </c>
      <c r="B3723" s="1" t="s">
        <v>18656</v>
      </c>
      <c r="C3723" s="1" t="s">
        <v>18657</v>
      </c>
      <c r="D3723" s="1" t="s">
        <v>18658</v>
      </c>
      <c r="E3723" s="1" t="s">
        <v>18659</v>
      </c>
      <c r="F3723" s="1" t="s">
        <v>18660</v>
      </c>
      <c r="G3723" s="1" t="s">
        <v>18661</v>
      </c>
      <c r="H3723" s="1" t="str">
        <f>IFERROR(__xludf.DUMMYFUNCTION("GOOGLETRANSLATE(D3723,""EN"",""JA"")"),"フェニルピルビン酸")</f>
        <v>フェニルピルビン酸</v>
      </c>
      <c r="I3723" s="1" t="str">
        <f>IFERROR(__xludf.DUMMYFUNCTION("GOOGLETRANSLATE(E3723,""EN"",""JA"")"),"フェニルピルビン酸; フェニルピルビン酸; PPA; PPY; PPYR")</f>
        <v>フェニルピルビン酸; フェニルピルビン酸; PPA; PPY; PPYR</v>
      </c>
      <c r="J3723" s="1" t="str">
        <f>IFERROR(__xludf.DUMMYFUNCTION("GOOGLETRANSLATE(F3723,""EN"",""JA"")"),"生物標本中のフェニルピルビン酸の測定。")</f>
        <v>生物標本中のフェニルピルビン酸の測定。</v>
      </c>
      <c r="K3723" s="1" t="str">
        <f>IFERROR(__xludf.DUMMYFUNCTION("GOOGLETRANSLATE(G3723,""EN"",""JA"")"),"フェニルピルビン酸測定")</f>
        <v>フェニルピルビン酸測定</v>
      </c>
    </row>
    <row r="3724" ht="13.5" customHeight="1">
      <c r="A3724" s="1" t="s">
        <v>11</v>
      </c>
      <c r="B3724" s="1" t="s">
        <v>18662</v>
      </c>
      <c r="C3724" s="1" t="s">
        <v>18663</v>
      </c>
      <c r="D3724" s="1" t="s">
        <v>18664</v>
      </c>
      <c r="E3724" s="1" t="s">
        <v>18664</v>
      </c>
      <c r="F3724" s="1" t="s">
        <v>18665</v>
      </c>
      <c r="G3724" s="1" t="s">
        <v>18666</v>
      </c>
      <c r="H3724" s="1" t="str">
        <f>IFERROR(__xludf.DUMMYFUNCTION("GOOGLETRANSLATE(D3724,""EN"",""JA"")"),"フェナゾシン")</f>
        <v>フェナゾシン</v>
      </c>
      <c r="I3724" s="1" t="str">
        <f>IFERROR(__xludf.DUMMYFUNCTION("GOOGLETRANSLATE(E3724,""EN"",""JA"")"),"フェナゾシン")</f>
        <v>フェナゾシン</v>
      </c>
      <c r="J3724" s="1" t="str">
        <f>IFERROR(__xludf.DUMMYFUNCTION("GOOGLETRANSLATE(F3724,""EN"",""JA"")"),"生物標本中のフェナゾシンの測定。")</f>
        <v>生物標本中のフェナゾシンの測定。</v>
      </c>
      <c r="K3724" s="1" t="str">
        <f>IFERROR(__xludf.DUMMYFUNCTION("GOOGLETRANSLATE(G3724,""EN"",""JA"")"),"フェナゾシン測定")</f>
        <v>フェナゾシン測定</v>
      </c>
    </row>
    <row r="3725" ht="13.5" customHeight="1">
      <c r="A3725" s="1" t="s">
        <v>11</v>
      </c>
      <c r="B3725" s="1" t="s">
        <v>18667</v>
      </c>
      <c r="C3725" s="1" t="s">
        <v>18668</v>
      </c>
      <c r="D3725" s="1" t="s">
        <v>18669</v>
      </c>
      <c r="E3725" s="1" t="s">
        <v>18670</v>
      </c>
      <c r="F3725" s="1" t="s">
        <v>18671</v>
      </c>
      <c r="G3725" s="1" t="s">
        <v>18672</v>
      </c>
      <c r="H3725" s="1" t="str">
        <f>IFERROR(__xludf.DUMMYFUNCTION("GOOGLETRANSLATE(D3725,""EN"",""JA"")"),"リン酸")</f>
        <v>リン酸</v>
      </c>
      <c r="I3725" s="1" t="str">
        <f>IFERROR(__xludf.DUMMYFUNCTION("GOOGLETRANSLATE(E3725,""EN"",""JA"")"),"無機リン酸塩; リン酸塩; リン")</f>
        <v>無機リン酸塩; リン酸塩; リン</v>
      </c>
      <c r="J3725" s="1" t="str">
        <f>IFERROR(__xludf.DUMMYFUNCTION("GOOGLETRANSLATE(F3725,""EN"",""JA"")"),"生物標本中のリン酸の測定。")</f>
        <v>生物標本中のリン酸の測定。</v>
      </c>
      <c r="K3725" s="1" t="str">
        <f>IFERROR(__xludf.DUMMYFUNCTION("GOOGLETRANSLATE(G3725,""EN"",""JA"")"),"リン酸測定")</f>
        <v>リン酸測定</v>
      </c>
    </row>
    <row r="3726" ht="13.5" customHeight="1">
      <c r="A3726" s="1" t="s">
        <v>11</v>
      </c>
      <c r="B3726" s="1" t="s">
        <v>18673</v>
      </c>
      <c r="C3726" s="1" t="s">
        <v>18674</v>
      </c>
      <c r="D3726" s="1" t="s">
        <v>18675</v>
      </c>
      <c r="E3726" s="1" t="s">
        <v>18675</v>
      </c>
      <c r="F3726" s="1" t="s">
        <v>18676</v>
      </c>
      <c r="G3726" s="1" t="s">
        <v>18677</v>
      </c>
      <c r="H3726" s="1" t="str">
        <f>IFERROR(__xludf.DUMMYFUNCTION("GOOGLETRANSLATE(D3726,""EN"",""JA"")"),"リン酸クリアランス")</f>
        <v>リン酸クリアランス</v>
      </c>
      <c r="I3726" s="1" t="str">
        <f>IFERROR(__xludf.DUMMYFUNCTION("GOOGLETRANSLATE(E3726,""EN"",""JA"")"),"リン酸クリアランス")</f>
        <v>リン酸クリアランス</v>
      </c>
      <c r="J3726" s="1" t="str">
        <f>IFERROR(__xludf.DUMMYFUNCTION("GOOGLETRANSLATE(F3726,""EN"",""JA"")"),"指定された時間単位（例：1 分）に尿として排泄され、リン酸が除去される血清または血漿の量の測定値。")</f>
        <v>指定された時間単位（例：1 分）に尿として排泄され、リン酸が除去される血清または血漿の量の測定値。</v>
      </c>
      <c r="K3726" s="1" t="str">
        <f>IFERROR(__xludf.DUMMYFUNCTION("GOOGLETRANSLATE(G3726,""EN"",""JA"")"),"リン酸クリアランス測定")</f>
        <v>リン酸クリアランス測定</v>
      </c>
    </row>
    <row r="3727" ht="13.5" customHeight="1">
      <c r="A3727" s="1" t="s">
        <v>11</v>
      </c>
      <c r="B3727" s="1" t="s">
        <v>18678</v>
      </c>
      <c r="C3727" s="1" t="s">
        <v>18679</v>
      </c>
      <c r="D3727" s="1" t="s">
        <v>18680</v>
      </c>
      <c r="E3727" s="1" t="s">
        <v>18680</v>
      </c>
      <c r="F3727" s="1" t="s">
        <v>18681</v>
      </c>
      <c r="G3727" s="1" t="s">
        <v>18682</v>
      </c>
      <c r="H3727" s="1" t="str">
        <f>IFERROR(__xludf.DUMMYFUNCTION("GOOGLETRANSLATE(D3727,""EN"",""JA"")"),"リン酸/クレアチニン")</f>
        <v>リン酸/クレアチニン</v>
      </c>
      <c r="I3727" s="1" t="str">
        <f>IFERROR(__xludf.DUMMYFUNCTION("GOOGLETRANSLATE(E3727,""EN"",""JA"")"),"リン酸/クレアチニン")</f>
        <v>リン酸/クレアチニン</v>
      </c>
      <c r="J3727" s="1" t="str">
        <f>IFERROR(__xludf.DUMMYFUNCTION("GOOGLETRANSLATE(F3727,""EN"",""JA"")"),"生物標本中のリン酸とクレアチニンの相対的な測定値（比率またはパーセンテージ）。")</f>
        <v>生物標本中のリン酸とクレアチニンの相対的な測定値（比率またはパーセンテージ）。</v>
      </c>
      <c r="K3727" s="1" t="str">
        <f>IFERROR(__xludf.DUMMYFUNCTION("GOOGLETRANSLATE(G3727,""EN"",""JA"")"),"リン酸とクレアチニンの比の測定")</f>
        <v>リン酸とクレアチニンの比の測定</v>
      </c>
    </row>
    <row r="3728" ht="13.5" customHeight="1">
      <c r="A3728" s="1" t="s">
        <v>11</v>
      </c>
      <c r="B3728" s="1" t="s">
        <v>18683</v>
      </c>
      <c r="C3728" s="1" t="s">
        <v>18684</v>
      </c>
      <c r="D3728" s="1" t="s">
        <v>18685</v>
      </c>
      <c r="E3728" s="1" t="s">
        <v>18685</v>
      </c>
      <c r="F3728" s="1" t="s">
        <v>18686</v>
      </c>
      <c r="G3728" s="1" t="s">
        <v>18685</v>
      </c>
      <c r="H3728" s="1" t="str">
        <f>IFERROR(__xludf.DUMMYFUNCTION("GOOGLETRANSLATE(D3728,""EN"",""JA"")"),"リン排泄率")</f>
        <v>リン排泄率</v>
      </c>
      <c r="I3728" s="1" t="str">
        <f>IFERROR(__xludf.DUMMYFUNCTION("GOOGLETRANSLATE(E3728,""EN"",""JA"")"),"リン排泄率")</f>
        <v>リン排泄率</v>
      </c>
      <c r="J3728" s="1" t="str">
        <f>IFERROR(__xludf.DUMMYFUNCTION("GOOGLETRANSLATE(F3728,""EN"",""JA"")"),"定義された時間（例：1 時間）にわたって生物標本に排出されるリンの量を測定します。")</f>
        <v>定義された時間（例：1 時間）にわたって生物標本に排出されるリンの量を測定します。</v>
      </c>
      <c r="K3728" s="1" t="str">
        <f>IFERROR(__xludf.DUMMYFUNCTION("GOOGLETRANSLATE(G3728,""EN"",""JA"")"),"リン排泄率")</f>
        <v>リン排泄率</v>
      </c>
    </row>
    <row r="3729" ht="13.5" customHeight="1">
      <c r="A3729" s="1" t="s">
        <v>11</v>
      </c>
      <c r="B3729" s="1" t="s">
        <v>18687</v>
      </c>
      <c r="C3729" s="1" t="s">
        <v>18688</v>
      </c>
      <c r="D3729" s="1" t="s">
        <v>18689</v>
      </c>
      <c r="E3729" s="1" t="s">
        <v>18689</v>
      </c>
      <c r="F3729" s="1" t="s">
        <v>18690</v>
      </c>
      <c r="G3729" s="1" t="s">
        <v>18691</v>
      </c>
      <c r="H3729" s="1" t="str">
        <f>IFERROR(__xludf.DUMMYFUNCTION("GOOGLETRANSLATE(D3729,""EN"",""JA"")"),"リン脂質")</f>
        <v>リン脂質</v>
      </c>
      <c r="I3729" s="1" t="str">
        <f>IFERROR(__xludf.DUMMYFUNCTION("GOOGLETRANSLATE(E3729,""EN"",""JA"")"),"リン脂質")</f>
        <v>リン脂質</v>
      </c>
      <c r="J3729" s="1" t="str">
        <f>IFERROR(__xludf.DUMMYFUNCTION("GOOGLETRANSLATE(F3729,""EN"",""JA"")"),"生物標本中のリン脂質の測定。")</f>
        <v>生物標本中のリン脂質の測定。</v>
      </c>
      <c r="K3729" s="1" t="str">
        <f>IFERROR(__xludf.DUMMYFUNCTION("GOOGLETRANSLATE(G3729,""EN"",""JA"")"),"リン脂質測定")</f>
        <v>リン脂質測定</v>
      </c>
    </row>
    <row r="3730" ht="13.5" customHeight="1">
      <c r="A3730" s="1" t="s">
        <v>67</v>
      </c>
      <c r="B3730" s="1" t="s">
        <v>18692</v>
      </c>
      <c r="C3730" s="1" t="s">
        <v>18693</v>
      </c>
      <c r="D3730" s="1" t="s">
        <v>18694</v>
      </c>
      <c r="E3730" s="1" t="s">
        <v>18695</v>
      </c>
      <c r="F3730" s="1" t="s">
        <v>18696</v>
      </c>
      <c r="G3730" s="1" t="s">
        <v>18697</v>
      </c>
      <c r="H3730" s="1" t="str">
        <f>IFERROR(__xludf.DUMMYFUNCTION("GOOGLETRANSLATE(D3730,""EN"",""JA"")"),"マラリア原虫ヒスチジンリッチタンパク質2")</f>
        <v>マラリア原虫ヒスチジンリッチタンパク質2</v>
      </c>
      <c r="I3730" s="1" t="str">
        <f>IFERROR(__xludf.DUMMYFUNCTION("GOOGLETRANSLATE(E3730,""EN"",""JA"")"),"マラリア原虫ヒスチジンリッチタンパク質2; マラリア原虫ヒスチジンリッチタンパク質II")</f>
        <v>マラリア原虫ヒスチジンリッチタンパク質2; マラリア原虫ヒスチジンリッチタンパク質II</v>
      </c>
      <c r="J3730" s="1" t="str">
        <f>IFERROR(__xludf.DUMMYFUNCTION("GOOGLETRANSLATE(F3730,""EN"",""JA"")"),"生物標本中の Plasmodium histidine rich protein 2 の測定。")</f>
        <v>生物標本中の Plasmodium histidine rich protein 2 の測定。</v>
      </c>
      <c r="K3730" s="1" t="str">
        <f>IFERROR(__xludf.DUMMYFUNCTION("GOOGLETRANSLATE(G3730,""EN"",""JA"")"),"マラリア原虫ヒスチジンリッチタンパク質2の測定")</f>
        <v>マラリア原虫ヒスチジンリッチタンパク質2の測定</v>
      </c>
    </row>
    <row r="3731" ht="13.5" customHeight="1">
      <c r="A3731" s="1" t="s">
        <v>11</v>
      </c>
      <c r="B3731" s="1" t="s">
        <v>18698</v>
      </c>
      <c r="C3731" s="1" t="s">
        <v>18699</v>
      </c>
      <c r="D3731" s="1" t="s">
        <v>18700</v>
      </c>
      <c r="E3731" s="1" t="s">
        <v>18701</v>
      </c>
      <c r="F3731" s="1" t="s">
        <v>18702</v>
      </c>
      <c r="G3731" s="1" t="s">
        <v>18703</v>
      </c>
      <c r="H3731" s="1" t="str">
        <f>IFERROR(__xludf.DUMMYFUNCTION("GOOGLETRANSLATE(D3731,""EN"",""JA"")"),"フェンテルミン")</f>
        <v>フェンテルミン</v>
      </c>
      <c r="I3731" s="1" t="str">
        <f>IFERROR(__xludf.DUMMYFUNCTION("GOOGLETRANSLATE(E3731,""EN"",""JA"")"),"フェンテルミン; フェニル-tert-ブチルアミン")</f>
        <v>フェンテルミン; フェニル-tert-ブチルアミン</v>
      </c>
      <c r="J3731" s="1" t="str">
        <f>IFERROR(__xludf.DUMMYFUNCTION("GOOGLETRANSLATE(F3731,""EN"",""JA"")"),"生物標本中のフェンテルミンの測定。")</f>
        <v>生物標本中のフェンテルミンの測定。</v>
      </c>
      <c r="K3731" s="1" t="str">
        <f>IFERROR(__xludf.DUMMYFUNCTION("GOOGLETRANSLATE(G3731,""EN"",""JA"")"),"フェンテルミン測定")</f>
        <v>フェンテルミン測定</v>
      </c>
    </row>
    <row r="3732" ht="13.5" customHeight="1">
      <c r="A3732" s="1" t="s">
        <v>601</v>
      </c>
      <c r="B3732" s="1" t="s">
        <v>18704</v>
      </c>
      <c r="C3732" s="1" t="s">
        <v>18705</v>
      </c>
      <c r="D3732" s="1" t="s">
        <v>18706</v>
      </c>
      <c r="E3732" s="1" t="s">
        <v>18706</v>
      </c>
      <c r="F3732" s="1" t="s">
        <v>18707</v>
      </c>
      <c r="G3732" s="1" t="s">
        <v>18706</v>
      </c>
      <c r="H3732" s="1" t="str">
        <f>IFERROR(__xludf.DUMMYFUNCTION("GOOGLETRANSLATE(D3732,""EN"",""JA"")"),"身体活動ライフスタイル")</f>
        <v>身体活動ライフスタイル</v>
      </c>
      <c r="I3732" s="1" t="str">
        <f>IFERROR(__xludf.DUMMYFUNCTION("GOOGLETRANSLATE(E3732,""EN"",""JA"")"),"身体活動ライフスタイル")</f>
        <v>身体活動ライフスタイル</v>
      </c>
      <c r="J3732" s="1" t="str">
        <f>IFERROR(__xludf.DUMMYFUNCTION("GOOGLETRANSLATE(F3732,""EN"",""JA"")"),"身体活動に関する対象者のライフスタイルの説明。")</f>
        <v>身体活動に関する対象者のライフスタイルの説明。</v>
      </c>
      <c r="K3732" s="1" t="str">
        <f>IFERROR(__xludf.DUMMYFUNCTION("GOOGLETRANSLATE(G3732,""EN"",""JA"")"),"身体活動ライフスタイル")</f>
        <v>身体活動ライフスタイル</v>
      </c>
    </row>
    <row r="3733" ht="13.5" customHeight="1">
      <c r="A3733" s="1" t="s">
        <v>176</v>
      </c>
      <c r="B3733" s="1" t="s">
        <v>18708</v>
      </c>
      <c r="C3733" s="1" t="s">
        <v>18709</v>
      </c>
      <c r="D3733" s="1" t="s">
        <v>18710</v>
      </c>
      <c r="E3733" s="1" t="s">
        <v>18711</v>
      </c>
      <c r="F3733" s="1" t="s">
        <v>18712</v>
      </c>
      <c r="G3733" s="1" t="s">
        <v>18713</v>
      </c>
      <c r="H3733" s="1" t="str">
        <f>IFERROR(__xludf.DUMMYFUNCTION("GOOGLETRANSLATE(D3733,""EN"",""JA"")"),"身体的な協調性")</f>
        <v>身体的な協調性</v>
      </c>
      <c r="I3733" s="1" t="str">
        <f>IFERROR(__xludf.DUMMYFUNCTION("GOOGLETRANSLATE(E3733,""EN"",""JA"")"),"身体協調性; 協調性; 身体的協調性")</f>
        <v>身体協調性; 協調性; 身体的協調性</v>
      </c>
      <c r="J3733" s="1" t="str">
        <f>IFERROR(__xludf.DUMMYFUNCTION("GOOGLETRANSLATE(F3733,""EN"",""JA"")"),"意図した動作を達成するために複数の身体部位を協調的に動かす能力を評価する評価。")</f>
        <v>意図した動作を達成するために複数の身体部位を協調的に動かす能力を評価する評価。</v>
      </c>
      <c r="K3733" s="1" t="str">
        <f>IFERROR(__xludf.DUMMYFUNCTION("GOOGLETRANSLATE(G3733,""EN"",""JA"")"),"身体協調性評価")</f>
        <v>身体協調性評価</v>
      </c>
    </row>
    <row r="3734" ht="13.5" customHeight="1">
      <c r="A3734" s="1" t="s">
        <v>11</v>
      </c>
      <c r="B3734" s="1" t="s">
        <v>18714</v>
      </c>
      <c r="C3734" s="1" t="s">
        <v>18715</v>
      </c>
      <c r="D3734" s="1" t="s">
        <v>18716</v>
      </c>
      <c r="E3734" s="1" t="s">
        <v>18716</v>
      </c>
      <c r="F3734" s="1" t="s">
        <v>18717</v>
      </c>
      <c r="G3734" s="1" t="s">
        <v>18718</v>
      </c>
      <c r="H3734" s="1" t="str">
        <f>IFERROR(__xludf.DUMMYFUNCTION("GOOGLETRANSLATE(D3734,""EN"",""JA"")"),"プロコラーゲンI型カルボキシ末端ペプチド")</f>
        <v>プロコラーゲンI型カルボキシ末端ペプチド</v>
      </c>
      <c r="I3734" s="1" t="str">
        <f>IFERROR(__xludf.DUMMYFUNCTION("GOOGLETRANSLATE(E3734,""EN"",""JA"")"),"プロコラーゲンI型カルボキシ末端ペプチド")</f>
        <v>プロコラーゲンI型カルボキシ末端ペプチド</v>
      </c>
      <c r="J3734" s="1" t="str">
        <f>IFERROR(__xludf.DUMMYFUNCTION("GOOGLETRANSLATE(F3734,""EN"",""JA"")"),"生物標本中のプロコラーゲン 1 カルボキシ末端ペプチドの測定。")</f>
        <v>生物標本中のプロコラーゲン 1 カルボキシ末端ペプチドの測定。</v>
      </c>
      <c r="K3734" s="1" t="str">
        <f>IFERROR(__xludf.DUMMYFUNCTION("GOOGLETRANSLATE(G3734,""EN"",""JA"")"),"プロコラーゲンI型カルボキシ末端ペプチド測定")</f>
        <v>プロコラーゲンI型カルボキシ末端ペプチド測定</v>
      </c>
    </row>
    <row r="3735" ht="13.5" customHeight="1">
      <c r="A3735" s="1" t="s">
        <v>580</v>
      </c>
      <c r="B3735" s="1" t="s">
        <v>18719</v>
      </c>
      <c r="C3735" s="1" t="s">
        <v>18720</v>
      </c>
      <c r="D3735" s="1" t="s">
        <v>18721</v>
      </c>
      <c r="E3735" s="1" t="s">
        <v>18721</v>
      </c>
      <c r="F3735" s="1" t="s">
        <v>18722</v>
      </c>
      <c r="G3735" s="1" t="s">
        <v>18723</v>
      </c>
      <c r="H3735" s="1" t="str">
        <f>IFERROR(__xludf.DUMMYFUNCTION("GOOGLETRANSLATE(D3735,""EN"",""JA"")"),"最大吸気流量")</f>
        <v>最大吸気流量</v>
      </c>
      <c r="I3735" s="1" t="str">
        <f>IFERROR(__xludf.DUMMYFUNCTION("GOOGLETRANSLATE(E3735,""EN"",""JA"")"),"最大吸気流量")</f>
        <v>最大吸気流量</v>
      </c>
      <c r="J3735" s="1" t="str">
        <f>IFERROR(__xludf.DUMMYFUNCTION("GOOGLETRANSLATE(F3735,""EN"",""JA"")"),"吸入の最大速度。")</f>
        <v>吸入の最大速度。</v>
      </c>
      <c r="K3735" s="1" t="str">
        <f>IFERROR(__xludf.DUMMYFUNCTION("GOOGLETRANSLATE(G3735,""EN"",""JA"")"),"最大吸気流量")</f>
        <v>最大吸気流量</v>
      </c>
    </row>
    <row r="3736" ht="13.5" customHeight="1">
      <c r="A3736" s="1" t="s">
        <v>11</v>
      </c>
      <c r="B3736" s="1" t="s">
        <v>18724</v>
      </c>
      <c r="C3736" s="1" t="s">
        <v>18725</v>
      </c>
      <c r="D3736" s="1" t="s">
        <v>18726</v>
      </c>
      <c r="E3736" s="1" t="s">
        <v>18726</v>
      </c>
      <c r="F3736" s="1" t="s">
        <v>18727</v>
      </c>
      <c r="G3736" s="1" t="s">
        <v>18728</v>
      </c>
      <c r="H3736" s="1" t="str">
        <f>IFERROR(__xludf.DUMMYFUNCTION("GOOGLETRANSLATE(D3736,""EN"",""JA"")"),"ピモジド")</f>
        <v>ピモジド</v>
      </c>
      <c r="I3736" s="1" t="str">
        <f>IFERROR(__xludf.DUMMYFUNCTION("GOOGLETRANSLATE(E3736,""EN"",""JA"")"),"ピモジド")</f>
        <v>ピモジド</v>
      </c>
      <c r="J3736" s="1" t="str">
        <f>IFERROR(__xludf.DUMMYFUNCTION("GOOGLETRANSLATE(F3736,""EN"",""JA"")"),"生物標本中のピモジドの測定。")</f>
        <v>生物標本中のピモジドの測定。</v>
      </c>
      <c r="K3736" s="1" t="str">
        <f>IFERROR(__xludf.DUMMYFUNCTION("GOOGLETRANSLATE(G3736,""EN"",""JA"")"),"ピモジド測定")</f>
        <v>ピモジド測定</v>
      </c>
    </row>
    <row r="3737" ht="13.5" customHeight="1">
      <c r="A3737" s="1" t="s">
        <v>1034</v>
      </c>
      <c r="B3737" s="1" t="s">
        <v>18729</v>
      </c>
      <c r="C3737" s="1" t="s">
        <v>18730</v>
      </c>
      <c r="D3737" s="1" t="s">
        <v>18731</v>
      </c>
      <c r="E3737" s="1" t="s">
        <v>18731</v>
      </c>
      <c r="F3737" s="1" t="s">
        <v>18732</v>
      </c>
      <c r="G3737" s="1" t="s">
        <v>18731</v>
      </c>
      <c r="H3737" s="1" t="str">
        <f>IFERROR(__xludf.DUMMYFUNCTION("GOOGLETRANSLATE(D3737,""EN"",""JA"")"),"ピンチ強度")</f>
        <v>ピンチ強度</v>
      </c>
      <c r="I3737" s="1" t="str">
        <f>IFERROR(__xludf.DUMMYFUNCTION("GOOGLETRANSLATE(E3737,""EN"",""JA"")"),"ピンチ強度")</f>
        <v>ピンチ強度</v>
      </c>
      <c r="J3737" s="1" t="str">
        <f>IFERROR(__xludf.DUMMYFUNCTION("GOOGLETRANSLATE(F3737,""EN"",""JA"")"),"親指と、同じ手の 1 本または複数本の指を使って物体を握ったり圧縮したりできる力を測定する、手の筋力の評価方法。")</f>
        <v>親指と、同じ手の 1 本または複数本の指を使って物体を握ったり圧縮したりできる力を測定する、手の筋力の評価方法。</v>
      </c>
      <c r="K3737" s="1" t="str">
        <f>IFERROR(__xludf.DUMMYFUNCTION("GOOGLETRANSLATE(G3737,""EN"",""JA"")"),"ピンチ強度")</f>
        <v>ピンチ強度</v>
      </c>
    </row>
    <row r="3738" ht="13.5" customHeight="1">
      <c r="A3738" s="1" t="s">
        <v>397</v>
      </c>
      <c r="B3738" s="1" t="s">
        <v>18733</v>
      </c>
      <c r="C3738" s="1" t="s">
        <v>18734</v>
      </c>
      <c r="D3738" s="1" t="s">
        <v>18735</v>
      </c>
      <c r="E3738" s="1" t="s">
        <v>18735</v>
      </c>
      <c r="F3738" s="1" t="s">
        <v>18736</v>
      </c>
      <c r="G3738" s="1" t="s">
        <v>18735</v>
      </c>
      <c r="H3738" s="1" t="str">
        <f>IFERROR(__xludf.DUMMYFUNCTION("GOOGLETRANSLATE(D3738,""EN"",""JA"")"),"小児検査計画指標")</f>
        <v>小児検査計画指標</v>
      </c>
      <c r="I3738" s="1" t="str">
        <f>IFERROR(__xludf.DUMMYFUNCTION("GOOGLETRANSLATE(E3738,""EN"",""JA"")"),"小児検査計画指標")</f>
        <v>小児検査計画指標</v>
      </c>
      <c r="J3738" s="1" t="str">
        <f>IFERROR(__xludf.DUMMYFUNCTION("GOOGLETRANSLATE(F3738,""EN"",""JA"")"),"試験が小児研究計画 (PIP) の一部であるかどうかを示します。")</f>
        <v>試験が小児研究計画 (PIP) の一部であるかどうかを示します。</v>
      </c>
      <c r="K3738" s="1" t="str">
        <f>IFERROR(__xludf.DUMMYFUNCTION("GOOGLETRANSLATE(G3738,""EN"",""JA"")"),"小児検査計画指標")</f>
        <v>小児検査計画指標</v>
      </c>
    </row>
    <row r="3739" ht="13.5" customHeight="1">
      <c r="A3739" s="1" t="s">
        <v>11</v>
      </c>
      <c r="B3739" s="1" t="s">
        <v>18737</v>
      </c>
      <c r="C3739" s="1" t="s">
        <v>18738</v>
      </c>
      <c r="D3739" s="1" t="s">
        <v>18739</v>
      </c>
      <c r="E3739" s="1" t="s">
        <v>18739</v>
      </c>
      <c r="F3739" s="1" t="s">
        <v>18740</v>
      </c>
      <c r="G3739" s="1" t="s">
        <v>18741</v>
      </c>
      <c r="H3739" s="1" t="str">
        <f>IFERROR(__xludf.DUMMYFUNCTION("GOOGLETRANSLATE(D3739,""EN"",""JA"")"),"ピプラドロール")</f>
        <v>ピプラドロール</v>
      </c>
      <c r="I3739" s="1" t="str">
        <f>IFERROR(__xludf.DUMMYFUNCTION("GOOGLETRANSLATE(E3739,""EN"",""JA"")"),"ピプラドロール")</f>
        <v>ピプラドロール</v>
      </c>
      <c r="J3739" s="1" t="str">
        <f>IFERROR(__xludf.DUMMYFUNCTION("GOOGLETRANSLATE(F3739,""EN"",""JA"")"),"生物標本中のピプラドロールの測定。")</f>
        <v>生物標本中のピプラドロールの測定。</v>
      </c>
      <c r="K3739" s="1" t="str">
        <f>IFERROR(__xludf.DUMMYFUNCTION("GOOGLETRANSLATE(G3739,""EN"",""JA"")"),"ピプラドロール測定")</f>
        <v>ピプラドロール測定</v>
      </c>
    </row>
    <row r="3740" ht="13.5" customHeight="1">
      <c r="A3740" s="1" t="s">
        <v>11</v>
      </c>
      <c r="B3740" s="1" t="s">
        <v>18742</v>
      </c>
      <c r="C3740" s="1" t="s">
        <v>18743</v>
      </c>
      <c r="D3740" s="1" t="s">
        <v>18744</v>
      </c>
      <c r="E3740" s="1" t="s">
        <v>18745</v>
      </c>
      <c r="F3740" s="1" t="s">
        <v>18746</v>
      </c>
      <c r="G3740" s="1" t="s">
        <v>18747</v>
      </c>
      <c r="H3740" s="1" t="str">
        <f>IFERROR(__xludf.DUMMYFUNCTION("GOOGLETRANSLATE(D3740,""EN"",""JA"")"),"ビタミンK欠乏によるタンパク質誘導-II")</f>
        <v>ビタミンK欠乏によるタンパク質誘導-II</v>
      </c>
      <c r="I3740" s="1" t="str">
        <f>IFERROR(__xludf.DUMMYFUNCTION("GOOGLETRANSLATE(E3740,""EN"",""JA"")"),"DCP; デス-ガンマカルボキシプロトロンビン; PIVKA-II; ビタミンK欠乏によるタンパク質誘導-II; ビタミンK欠乏/拮抗薬によるタンパク質誘導-II")</f>
        <v>DCP; デス-ガンマカルボキシプロトロンビン; PIVKA-II; ビタミンK欠乏によるタンパク質誘導-II; ビタミンK欠乏/拮抗薬によるタンパク質誘導-II</v>
      </c>
      <c r="J3740" s="1" t="str">
        <f>IFERROR(__xludf.DUMMYFUNCTION("GOOGLETRANSLATE(F3740,""EN"",""JA"")"),"生物標本中のビタミンK欠乏IIによって誘導されるタンパク質の測定。")</f>
        <v>生物標本中のビタミンK欠乏IIによって誘導されるタンパク質の測定。</v>
      </c>
      <c r="K3740" s="1" t="str">
        <f>IFERROR(__xludf.DUMMYFUNCTION("GOOGLETRANSLATE(G3740,""EN"",""JA"")"),"ビタミンK欠乏によるタンパク質誘導-II測定")</f>
        <v>ビタミンK欠乏によるタンパク質誘導-II測定</v>
      </c>
    </row>
    <row r="3741" ht="13.5" customHeight="1">
      <c r="A3741" s="1" t="s">
        <v>67</v>
      </c>
      <c r="B3741" s="1" t="s">
        <v>18748</v>
      </c>
      <c r="C3741" s="1" t="s">
        <v>18749</v>
      </c>
      <c r="D3741" s="1" t="s">
        <v>18750</v>
      </c>
      <c r="E3741" s="1" t="s">
        <v>18750</v>
      </c>
      <c r="F3741" s="1" t="s">
        <v>18751</v>
      </c>
      <c r="G3741" s="1" t="s">
        <v>18752</v>
      </c>
      <c r="H3741" s="1" t="str">
        <f>IFERROR(__xludf.DUMMYFUNCTION("GOOGLETRANSLATE(D3741,""EN"",""JA"")"),"ニューモシスチス・イロベチ")</f>
        <v>ニューモシスチス・イロベチ</v>
      </c>
      <c r="I3741" s="1" t="str">
        <f>IFERROR(__xludf.DUMMYFUNCTION("GOOGLETRANSLATE(E3741,""EN"",""JA"")"),"ニューモシスチス・イロベチ")</f>
        <v>ニューモシスチス・イロベチ</v>
      </c>
      <c r="J3741" s="1" t="str">
        <f>IFERROR(__xludf.DUMMYFUNCTION("GOOGLETRANSLATE(F3741,""EN"",""JA"")"),"生物標本中のニューモシスチス・イロベチの測定。")</f>
        <v>生物標本中のニューモシスチス・イロベチの測定。</v>
      </c>
      <c r="K3741" s="1" t="str">
        <f>IFERROR(__xludf.DUMMYFUNCTION("GOOGLETRANSLATE(G3741,""EN"",""JA"")"),"ニューモシスチス・イロベチ測定")</f>
        <v>ニューモシスチス・イロベチ測定</v>
      </c>
    </row>
    <row r="3742" ht="13.5" customHeight="1">
      <c r="A3742" s="1" t="s">
        <v>67</v>
      </c>
      <c r="B3742" s="1" t="s">
        <v>18753</v>
      </c>
      <c r="C3742" s="1" t="s">
        <v>18754</v>
      </c>
      <c r="D3742" s="1" t="s">
        <v>18755</v>
      </c>
      <c r="E3742" s="1" t="s">
        <v>18755</v>
      </c>
      <c r="F3742" s="1" t="s">
        <v>18756</v>
      </c>
      <c r="G3742" s="1" t="s">
        <v>18757</v>
      </c>
      <c r="H3742" s="1" t="str">
        <f>IFERROR(__xludf.DUMMYFUNCTION("GOOGLETRANSLATE(D3742,""EN"",""JA"")"),"ニューモシスチス・イロベチ抗原")</f>
        <v>ニューモシスチス・イロベチ抗原</v>
      </c>
      <c r="I3742" s="1" t="str">
        <f>IFERROR(__xludf.DUMMYFUNCTION("GOOGLETRANSLATE(E3742,""EN"",""JA"")"),"ニューモシスチス・イロベチ抗原")</f>
        <v>ニューモシスチス・イロベチ抗原</v>
      </c>
      <c r="J3742" s="1" t="str">
        <f>IFERROR(__xludf.DUMMYFUNCTION("GOOGLETRANSLATE(F3742,""EN"",""JA"")"),"生物標本中のニューモシスチス・イロベチ抗原の測定。")</f>
        <v>生物標本中のニューモシスチス・イロベチ抗原の測定。</v>
      </c>
      <c r="K3742" s="1" t="str">
        <f>IFERROR(__xludf.DUMMYFUNCTION("GOOGLETRANSLATE(G3742,""EN"",""JA"")"),"ニューモシスチス・イロベチ抗原測定")</f>
        <v>ニューモシスチス・イロベチ抗原測定</v>
      </c>
    </row>
    <row r="3743" ht="13.5" customHeight="1">
      <c r="A3743" s="1" t="s">
        <v>67</v>
      </c>
      <c r="B3743" s="1" t="s">
        <v>18758</v>
      </c>
      <c r="C3743" s="1" t="s">
        <v>18759</v>
      </c>
      <c r="D3743" s="1" t="s">
        <v>18760</v>
      </c>
      <c r="E3743" s="1" t="s">
        <v>18760</v>
      </c>
      <c r="F3743" s="1" t="s">
        <v>18761</v>
      </c>
      <c r="G3743" s="1" t="s">
        <v>18762</v>
      </c>
      <c r="H3743" s="1" t="str">
        <f>IFERROR(__xludf.DUMMYFUNCTION("GOOGLETRANSLATE(D3743,""EN"",""JA"")"),"ニューモシスチス・イロベチDNA")</f>
        <v>ニューモシスチス・イロベチDNA</v>
      </c>
      <c r="I3743" s="1" t="str">
        <f>IFERROR(__xludf.DUMMYFUNCTION("GOOGLETRANSLATE(E3743,""EN"",""JA"")"),"ニューモシスチス・イロベチDNA")</f>
        <v>ニューモシスチス・イロベチDNA</v>
      </c>
      <c r="J3743" s="1" t="str">
        <f>IFERROR(__xludf.DUMMYFUNCTION("GOOGLETRANSLATE(F3743,""EN"",""JA"")"),"生物標本中のニューモシスチス・イロベチ DNA の測定。")</f>
        <v>生物標本中のニューモシスチス・イロベチ DNA の測定。</v>
      </c>
      <c r="K3743" s="1" t="str">
        <f>IFERROR(__xludf.DUMMYFUNCTION("GOOGLETRANSLATE(G3743,""EN"",""JA"")"),"ニューモシスチス・イロベチDNA測定")</f>
        <v>ニューモシスチス・イロベチDNA測定</v>
      </c>
    </row>
    <row r="3744" ht="13.5" customHeight="1">
      <c r="A3744" s="1" t="s">
        <v>90</v>
      </c>
      <c r="B3744" s="1" t="s">
        <v>18763</v>
      </c>
      <c r="C3744" s="1" t="s">
        <v>18764</v>
      </c>
      <c r="D3744" s="1" t="s">
        <v>18765</v>
      </c>
      <c r="E3744" s="1" t="s">
        <v>18765</v>
      </c>
      <c r="F3744" s="1" t="s">
        <v>18766</v>
      </c>
      <c r="G3744" s="1" t="s">
        <v>18765</v>
      </c>
      <c r="H3744" s="1" t="str">
        <f>IFERROR(__xludf.DUMMYFUNCTION("GOOGLETRANSLATE(D3744,""EN"",""JA"")"),"ピークA速度")</f>
        <v>ピークA速度</v>
      </c>
      <c r="I3744" s="1" t="str">
        <f>IFERROR(__xludf.DUMMYFUNCTION("GOOGLETRANSLATE(E3744,""EN"",""JA"")"),"ピークA速度")</f>
        <v>ピークA速度</v>
      </c>
      <c r="J3744" s="1" t="str">
        <f>IFERROR(__xludf.DUMMYFUNCTION("GOOGLETRANSLATE(F3744,""EN"",""JA"")"),"心室拡張後期（心室の能動充満）における心臓弁を通過する血流の最大速度。")</f>
        <v>心室拡張後期（心室の能動充満）における心臓弁を通過する血流の最大速度。</v>
      </c>
      <c r="K3744" s="1" t="str">
        <f>IFERROR(__xludf.DUMMYFUNCTION("GOOGLETRANSLATE(G3744,""EN"",""JA"")"),"ピークA速度")</f>
        <v>ピークA速度</v>
      </c>
    </row>
    <row r="3745" ht="13.5" customHeight="1">
      <c r="A3745" s="1" t="s">
        <v>90</v>
      </c>
      <c r="B3745" s="1" t="s">
        <v>18767</v>
      </c>
      <c r="C3745" s="1" t="s">
        <v>18768</v>
      </c>
      <c r="D3745" s="1" t="s">
        <v>18769</v>
      </c>
      <c r="E3745" s="1" t="s">
        <v>18769</v>
      </c>
      <c r="F3745" s="1" t="s">
        <v>18770</v>
      </c>
      <c r="G3745" s="1" t="s">
        <v>18769</v>
      </c>
      <c r="H3745" s="1" t="str">
        <f>IFERROR(__xludf.DUMMYFUNCTION("GOOGLETRANSLATE(D3745,""EN"",""JA"")"),"ピークE速度")</f>
        <v>ピークE速度</v>
      </c>
      <c r="I3745" s="1" t="str">
        <f>IFERROR(__xludf.DUMMYFUNCTION("GOOGLETRANSLATE(E3745,""EN"",""JA"")"),"ピークE速度")</f>
        <v>ピークE速度</v>
      </c>
      <c r="J3745" s="1" t="str">
        <f>IFERROR(__xludf.DUMMYFUNCTION("GOOGLETRANSLATE(F3745,""EN"",""JA"")"),"心室拡張期初期（心室の受動的な充満）における心臓弁を通過する血流の最大速度。")</f>
        <v>心室拡張期初期（心室の受動的な充満）における心臓弁を通過する血流の最大速度。</v>
      </c>
      <c r="K3745" s="1" t="str">
        <f>IFERROR(__xludf.DUMMYFUNCTION("GOOGLETRANSLATE(G3745,""EN"",""JA"")"),"ピークE速度")</f>
        <v>ピークE速度</v>
      </c>
    </row>
    <row r="3746" ht="13.5" customHeight="1">
      <c r="A3746" s="1" t="s">
        <v>11</v>
      </c>
      <c r="B3746" s="1" t="s">
        <v>18771</v>
      </c>
      <c r="C3746" s="1" t="s">
        <v>18772</v>
      </c>
      <c r="D3746" s="1" t="s">
        <v>18773</v>
      </c>
      <c r="E3746" s="1" t="s">
        <v>18773</v>
      </c>
      <c r="F3746" s="1" t="s">
        <v>18774</v>
      </c>
      <c r="G3746" s="1" t="s">
        <v>18775</v>
      </c>
      <c r="H3746" s="1" t="str">
        <f>IFERROR(__xludf.DUMMYFUNCTION("GOOGLETRANSLATE(D3746,""EN"",""JA"")"),"ピルビン酸キナーゼ筋アイソザイム")</f>
        <v>ピルビン酸キナーゼ筋アイソザイム</v>
      </c>
      <c r="I3746" s="1" t="str">
        <f>IFERROR(__xludf.DUMMYFUNCTION("GOOGLETRANSLATE(E3746,""EN"",""JA"")"),"ピルビン酸キナーゼ筋アイソザイム")</f>
        <v>ピルビン酸キナーゼ筋アイソザイム</v>
      </c>
      <c r="J3746" s="1" t="str">
        <f>IFERROR(__xludf.DUMMYFUNCTION("GOOGLETRANSLATE(F3746,""EN"",""JA"")"),"生物標本中のピルビン酸キナーゼ筋アイソザイム（M1 および M2）の総量の測定。")</f>
        <v>生物標本中のピルビン酸キナーゼ筋アイソザイム（M1 および M2）の総量の測定。</v>
      </c>
      <c r="K3746" s="1" t="str">
        <f>IFERROR(__xludf.DUMMYFUNCTION("GOOGLETRANSLATE(G3746,""EN"",""JA"")"),"ピルビン酸キナーゼ筋アイソザイム測定")</f>
        <v>ピルビン酸キナーゼ筋アイソザイム測定</v>
      </c>
    </row>
    <row r="3747" ht="13.5" customHeight="1">
      <c r="A3747" s="1" t="s">
        <v>11</v>
      </c>
      <c r="B3747" s="1" t="s">
        <v>18776</v>
      </c>
      <c r="C3747" s="1" t="s">
        <v>18777</v>
      </c>
      <c r="D3747" s="1" t="s">
        <v>18778</v>
      </c>
      <c r="E3747" s="1" t="s">
        <v>18778</v>
      </c>
      <c r="F3747" s="1" t="s">
        <v>18779</v>
      </c>
      <c r="G3747" s="1" t="s">
        <v>18780</v>
      </c>
      <c r="H3747" s="1" t="str">
        <f>IFERROR(__xludf.DUMMYFUNCTION("GOOGLETRANSLATE(D3747,""EN"",""JA"")"),"ピルビン酸キナーゼアイソザイムM1")</f>
        <v>ピルビン酸キナーゼアイソザイムM1</v>
      </c>
      <c r="I3747" s="1" t="str">
        <f>IFERROR(__xludf.DUMMYFUNCTION("GOOGLETRANSLATE(E3747,""EN"",""JA"")"),"ピルビン酸キナーゼアイソザイムM1")</f>
        <v>ピルビン酸キナーゼアイソザイムM1</v>
      </c>
      <c r="J3747" s="1" t="str">
        <f>IFERROR(__xludf.DUMMYFUNCTION("GOOGLETRANSLATE(F3747,""EN"",""JA"")"),"生物標本中のピルビン酸キナーゼアイソザイム M1 の測定。")</f>
        <v>生物標本中のピルビン酸キナーゼアイソザイム M1 の測定。</v>
      </c>
      <c r="K3747" s="1" t="str">
        <f>IFERROR(__xludf.DUMMYFUNCTION("GOOGLETRANSLATE(G3747,""EN"",""JA"")"),"ピルビン酸キナーゼアイソザイムM1測定")</f>
        <v>ピルビン酸キナーゼアイソザイムM1測定</v>
      </c>
    </row>
    <row r="3748" ht="13.5" customHeight="1">
      <c r="A3748" s="1" t="s">
        <v>11</v>
      </c>
      <c r="B3748" s="1" t="s">
        <v>18781</v>
      </c>
      <c r="C3748" s="1" t="s">
        <v>18782</v>
      </c>
      <c r="D3748" s="1" t="s">
        <v>18783</v>
      </c>
      <c r="E3748" s="1" t="s">
        <v>18783</v>
      </c>
      <c r="F3748" s="1" t="s">
        <v>18784</v>
      </c>
      <c r="G3748" s="1" t="s">
        <v>18785</v>
      </c>
      <c r="H3748" s="1" t="str">
        <f>IFERROR(__xludf.DUMMYFUNCTION("GOOGLETRANSLATE(D3748,""EN"",""JA"")"),"ピルビン酸キナーゼアイソザイムM2")</f>
        <v>ピルビン酸キナーゼアイソザイムM2</v>
      </c>
      <c r="I3748" s="1" t="str">
        <f>IFERROR(__xludf.DUMMYFUNCTION("GOOGLETRANSLATE(E3748,""EN"",""JA"")"),"ピルビン酸キナーゼアイソザイムM2")</f>
        <v>ピルビン酸キナーゼアイソザイムM2</v>
      </c>
      <c r="J3748" s="1" t="str">
        <f>IFERROR(__xludf.DUMMYFUNCTION("GOOGLETRANSLATE(F3748,""EN"",""JA"")"),"生物標本中のピルビン酸キナーゼアイソザイム M2 の測定。")</f>
        <v>生物標本中のピルビン酸キナーゼアイソザイム M2 の測定。</v>
      </c>
      <c r="K3748" s="1" t="str">
        <f>IFERROR(__xludf.DUMMYFUNCTION("GOOGLETRANSLATE(G3748,""EN"",""JA"")"),"ピルビン酸キナーゼアイソザイムM2測定")</f>
        <v>ピルビン酸キナーゼアイソザイムM2測定</v>
      </c>
    </row>
    <row r="3749" ht="13.5" customHeight="1">
      <c r="A3749" s="1" t="s">
        <v>67</v>
      </c>
      <c r="B3749" s="1" t="s">
        <v>18786</v>
      </c>
      <c r="C3749" s="1" t="s">
        <v>18787</v>
      </c>
      <c r="D3749" s="1" t="s">
        <v>18788</v>
      </c>
      <c r="E3749" s="1" t="s">
        <v>18788</v>
      </c>
      <c r="F3749" s="1" t="s">
        <v>18789</v>
      </c>
      <c r="G3749" s="1" t="s">
        <v>18790</v>
      </c>
      <c r="H3749" s="1" t="str">
        <f>IFERROR(__xludf.DUMMYFUNCTION("GOOGLETRANSLATE(D3749,""EN"",""JA"")"),"Plasmodium knowlesi、無性生殖")</f>
        <v>Plasmodium knowlesi、無性生殖</v>
      </c>
      <c r="I3749" s="1" t="str">
        <f>IFERROR(__xludf.DUMMYFUNCTION("GOOGLETRANSLATE(E3749,""EN"",""JA"")"),"Plasmodium knowlesi、無性生殖")</f>
        <v>Plasmodium knowlesi、無性生殖</v>
      </c>
      <c r="J3749" s="1" t="str">
        <f>IFERROR(__xludf.DUMMYFUNCTION("GOOGLETRANSLATE(F3749,""EN"",""JA"")"),"生物標本における無性複製段階の Plasmodium knowlesi の測定。")</f>
        <v>生物標本における無性複製段階の Plasmodium knowlesi の測定。</v>
      </c>
      <c r="K3749" s="1" t="str">
        <f>IFERROR(__xludf.DUMMYFUNCTION("GOOGLETRANSLATE(G3749,""EN"",""JA"")"),"無性生殖マラリア原虫測定")</f>
        <v>無性生殖マラリア原虫測定</v>
      </c>
    </row>
    <row r="3750" ht="13.5" customHeight="1">
      <c r="A3750" s="1" t="s">
        <v>67</v>
      </c>
      <c r="B3750" s="1" t="s">
        <v>18791</v>
      </c>
      <c r="C3750" s="1" t="s">
        <v>18792</v>
      </c>
      <c r="D3750" s="1" t="s">
        <v>18793</v>
      </c>
      <c r="E3750" s="1" t="s">
        <v>18793</v>
      </c>
      <c r="F3750" s="1" t="s">
        <v>18794</v>
      </c>
      <c r="G3750" s="1" t="s">
        <v>18795</v>
      </c>
      <c r="H3750" s="1" t="str">
        <f>IFERROR(__xludf.DUMMYFUNCTION("GOOGLETRANSLATE(D3750,""EN"",""JA"")"),"Plasmodium knowlesi、性的")</f>
        <v>Plasmodium knowlesi、性的</v>
      </c>
      <c r="I3750" s="1" t="str">
        <f>IFERROR(__xludf.DUMMYFUNCTION("GOOGLETRANSLATE(E3750,""EN"",""JA"")"),"Plasmodium knowlesi、性的")</f>
        <v>Plasmodium knowlesi、性的</v>
      </c>
      <c r="J3750" s="1" t="str">
        <f>IFERROR(__xludf.DUMMYFUNCTION("GOOGLETRANSLATE(F3750,""EN"",""JA"")"),"生物標本における有性生殖段階の Plasmodium knowlesi の測定。")</f>
        <v>生物標本における有性生殖段階の Plasmodium knowlesi の測定。</v>
      </c>
      <c r="K3750" s="1" t="str">
        <f>IFERROR(__xludf.DUMMYFUNCTION("GOOGLETRANSLATE(G3750,""EN"",""JA"")"),"性感染症マラリア原虫測定")</f>
        <v>性感染症マラリア原虫測定</v>
      </c>
    </row>
    <row r="3751" ht="13.5" customHeight="1">
      <c r="A3751" s="1" t="s">
        <v>11</v>
      </c>
      <c r="B3751" s="1" t="s">
        <v>18796</v>
      </c>
      <c r="C3751" s="1" t="s">
        <v>18797</v>
      </c>
      <c r="D3751" s="1" t="s">
        <v>18798</v>
      </c>
      <c r="E3751" s="1" t="s">
        <v>18798</v>
      </c>
      <c r="F3751" s="1" t="s">
        <v>18799</v>
      </c>
      <c r="G3751" s="1" t="s">
        <v>18800</v>
      </c>
      <c r="H3751" s="1" t="str">
        <f>IFERROR(__xludf.DUMMYFUNCTION("GOOGLETRANSLATE(D3751,""EN"",""JA"")"),"ホスホリパーゼA2")</f>
        <v>ホスホリパーゼA2</v>
      </c>
      <c r="I3751" s="1" t="str">
        <f>IFERROR(__xludf.DUMMYFUNCTION("GOOGLETRANSLATE(E3751,""EN"",""JA"")"),"ホスホリパーゼA2")</f>
        <v>ホスホリパーゼA2</v>
      </c>
      <c r="J3751" s="1" t="str">
        <f>IFERROR(__xludf.DUMMYFUNCTION("GOOGLETRANSLATE(F3751,""EN"",""JA"")"),"生物標本中の総ホスホリパーゼ A2 の測定。")</f>
        <v>生物標本中の総ホスホリパーゼ A2 の測定。</v>
      </c>
      <c r="K3751" s="1" t="str">
        <f>IFERROR(__xludf.DUMMYFUNCTION("GOOGLETRANSLATE(G3751,""EN"",""JA"")"),"ホスホリパーゼA2測定")</f>
        <v>ホスホリパーゼA2測定</v>
      </c>
    </row>
    <row r="3752" ht="13.5" customHeight="1">
      <c r="A3752" s="1" t="s">
        <v>11</v>
      </c>
      <c r="B3752" s="1" t="s">
        <v>18801</v>
      </c>
      <c r="C3752" s="1" t="s">
        <v>18802</v>
      </c>
      <c r="D3752" s="1" t="s">
        <v>18803</v>
      </c>
      <c r="E3752" s="1" t="s">
        <v>18803</v>
      </c>
      <c r="F3752" s="1" t="s">
        <v>18804</v>
      </c>
      <c r="G3752" s="1" t="s">
        <v>18805</v>
      </c>
      <c r="H3752" s="1" t="str">
        <f>IFERROR(__xludf.DUMMYFUNCTION("GOOGLETRANSLATE(D3752,""EN"",""JA"")"),"血小板凝集曲線の種類")</f>
        <v>血小板凝集曲線の種類</v>
      </c>
      <c r="I3752" s="1" t="str">
        <f>IFERROR(__xludf.DUMMYFUNCTION("GOOGLETRANSLATE(E3752,""EN"",""JA"")"),"血小板凝集曲線の種類")</f>
        <v>血小板凝集曲線の種類</v>
      </c>
      <c r="J3752" s="1" t="str">
        <f>IFERROR(__xludf.DUMMYFUNCTION("GOOGLETRANSLATE(F3752,""EN"",""JA"")"),"血小板凝集の結果として形成される曲線パターンの分類。")</f>
        <v>血小板凝集の結果として形成される曲線パターンの分類。</v>
      </c>
      <c r="K3752" s="1" t="str">
        <f>IFERROR(__xludf.DUMMYFUNCTION("GOOGLETRANSLATE(G3752,""EN"",""JA"")"),"血小板凝集曲線の種類")</f>
        <v>血小板凝集曲線の種類</v>
      </c>
    </row>
    <row r="3753" ht="13.5" customHeight="1">
      <c r="A3753" s="1" t="s">
        <v>11</v>
      </c>
      <c r="B3753" s="1" t="s">
        <v>18806</v>
      </c>
      <c r="C3753" s="1" t="s">
        <v>18807</v>
      </c>
      <c r="D3753" s="1" t="s">
        <v>18808</v>
      </c>
      <c r="E3753" s="1" t="s">
        <v>18808</v>
      </c>
      <c r="F3753" s="1" t="s">
        <v>18809</v>
      </c>
      <c r="G3753" s="1" t="s">
        <v>18810</v>
      </c>
      <c r="H3753" s="1" t="str">
        <f>IFERROR(__xludf.DUMMYFUNCTION("GOOGLETRANSLATE(D3753,""EN"",""JA"")"),"血小板凝集平均振幅")</f>
        <v>血小板凝集平均振幅</v>
      </c>
      <c r="I3753" s="1" t="str">
        <f>IFERROR(__xludf.DUMMYFUNCTION("GOOGLETRANSLATE(E3753,""EN"",""JA"")"),"血小板凝集平均振幅")</f>
        <v>血小板凝集平均振幅</v>
      </c>
      <c r="J3753" s="1" t="str">
        <f>IFERROR(__xludf.DUMMYFUNCTION("GOOGLETRANSLATE(F3753,""EN"",""JA"")"),"生物標本中の血小板凝集の大きさの測定値の平均。")</f>
        <v>生物標本中の血小板凝集の大きさの測定値の平均。</v>
      </c>
      <c r="K3753" s="1" t="str">
        <f>IFERROR(__xludf.DUMMYFUNCTION("GOOGLETRANSLATE(G3753,""EN"",""JA"")"),"血小板凝集測定法の平均振幅")</f>
        <v>血小板凝集測定法の平均振幅</v>
      </c>
    </row>
    <row r="3754" ht="13.5" customHeight="1">
      <c r="A3754" s="1" t="s">
        <v>11</v>
      </c>
      <c r="B3754" s="1" t="s">
        <v>18811</v>
      </c>
      <c r="C3754" s="1" t="s">
        <v>18812</v>
      </c>
      <c r="D3754" s="1" t="s">
        <v>18813</v>
      </c>
      <c r="E3754" s="1" t="s">
        <v>18813</v>
      </c>
      <c r="F3754" s="1" t="s">
        <v>18814</v>
      </c>
      <c r="G3754" s="1" t="s">
        <v>18815</v>
      </c>
      <c r="H3754" s="1" t="str">
        <f>IFERROR(__xludf.DUMMYFUNCTION("GOOGLETRANSLATE(D3754,""EN"",""JA"")"),"血小板凝集平均曲線タイプ")</f>
        <v>血小板凝集平均曲線タイプ</v>
      </c>
      <c r="I3754" s="1" t="str">
        <f>IFERROR(__xludf.DUMMYFUNCTION("GOOGLETRANSLATE(E3754,""EN"",""JA"")"),"血小板凝集平均曲線タイプ")</f>
        <v>血小板凝集平均曲線タイプ</v>
      </c>
      <c r="J3754" s="1" t="str">
        <f>IFERROR(__xludf.DUMMYFUNCTION("GOOGLETRANSLATE(F3754,""EN"",""JA"")"),"血小板凝集曲線測定の平均結果として形成される曲線パターンの分類。")</f>
        <v>血小板凝集曲線測定の平均結果として形成される曲線パターンの分類。</v>
      </c>
      <c r="K3754" s="1" t="str">
        <f>IFERROR(__xludf.DUMMYFUNCTION("GOOGLETRANSLATE(G3754,""EN"",""JA"")"),"血小板凝集測定平均曲線型")</f>
        <v>血小板凝集測定平均曲線型</v>
      </c>
    </row>
    <row r="3755" ht="13.5" customHeight="1">
      <c r="A3755" s="1" t="s">
        <v>397</v>
      </c>
      <c r="B3755" s="1" t="s">
        <v>18816</v>
      </c>
      <c r="C3755" s="1" t="s">
        <v>18817</v>
      </c>
      <c r="D3755" s="1" t="s">
        <v>18818</v>
      </c>
      <c r="E3755" s="1" t="s">
        <v>18819</v>
      </c>
      <c r="F3755" s="1" t="s">
        <v>18820</v>
      </c>
      <c r="G3755" s="1" t="s">
        <v>18821</v>
      </c>
      <c r="H3755" s="1" t="str">
        <f>IFERROR(__xludf.DUMMYFUNCTION("GOOGLETRANSLATE(D3755,""EN"",""JA"")"),"予定被験者数")</f>
        <v>予定被験者数</v>
      </c>
      <c r="I3755" s="1" t="str">
        <f>IFERROR(__xludf.DUMMYFUNCTION("GOOGLETRANSLATE(E3755,""EN"",""JA"")"),"予想される登録数; 計画された登録数; 計画された被験者数; 目標登録数")</f>
        <v>予想される登録数; 計画された登録数; 計画された被験者数; 目標登録数</v>
      </c>
      <c r="J3755" s="1" t="str">
        <f>IFERROR(__xludf.DUMMYFUNCTION("GOOGLETRANSLATE(F3755,""EN"",""JA"")"),"事前に指定されたサンプル サイズ (任意のコホートまたは研究全体) に達するために研究に登録される予定の被験者の数。")</f>
        <v>事前に指定されたサンプル サイズ (任意のコホートまたは研究全体) に達するために研究に登録される予定の被験者の数。</v>
      </c>
      <c r="K3755" s="1" t="str">
        <f>IFERROR(__xludf.DUMMYFUNCTION("GOOGLETRANSLATE(G3755,""EN"",""JA"")"),"予定被験者数")</f>
        <v>予定被験者数</v>
      </c>
    </row>
    <row r="3756" ht="13.5" customHeight="1">
      <c r="A3756" s="1" t="s">
        <v>11</v>
      </c>
      <c r="B3756" s="1" t="s">
        <v>18822</v>
      </c>
      <c r="C3756" s="1" t="s">
        <v>18823</v>
      </c>
      <c r="D3756" s="1" t="s">
        <v>18824</v>
      </c>
      <c r="E3756" s="1" t="s">
        <v>18824</v>
      </c>
      <c r="F3756" s="1" t="s">
        <v>18825</v>
      </c>
      <c r="G3756" s="1" t="s">
        <v>18826</v>
      </c>
      <c r="H3756" s="1" t="str">
        <f>IFERROR(__xludf.DUMMYFUNCTION("GOOGLETRANSLATE(D3756,""EN"",""JA"")"),"血小板")</f>
        <v>血小板</v>
      </c>
      <c r="I3756" s="1" t="str">
        <f>IFERROR(__xludf.DUMMYFUNCTION("GOOGLETRANSLATE(E3756,""EN"",""JA"")"),"血小板")</f>
        <v>血小板</v>
      </c>
      <c r="J3756" s="1" t="str">
        <f>IFERROR(__xludf.DUMMYFUNCTION("GOOGLETRANSLATE(F3756,""EN"",""JA"")"),"生物学的標本中の血小板（無核血栓細胞）の測定。")</f>
        <v>生物学的標本中の血小板（無核血栓細胞）の測定。</v>
      </c>
      <c r="K3756" s="1" t="str">
        <f>IFERROR(__xludf.DUMMYFUNCTION("GOOGLETRANSLATE(G3756,""EN"",""JA"")"),"血小板数")</f>
        <v>血小板数</v>
      </c>
    </row>
    <row r="3757" ht="13.5" customHeight="1">
      <c r="A3757" s="1" t="s">
        <v>11</v>
      </c>
      <c r="B3757" s="1" t="s">
        <v>18827</v>
      </c>
      <c r="C3757" s="1" t="s">
        <v>18828</v>
      </c>
      <c r="D3757" s="1" t="s">
        <v>18829</v>
      </c>
      <c r="E3757" s="1" t="s">
        <v>18830</v>
      </c>
      <c r="F3757" s="1" t="s">
        <v>18831</v>
      </c>
      <c r="G3757" s="1" t="s">
        <v>18832</v>
      </c>
      <c r="H3757" s="1" t="str">
        <f>IFERROR(__xludf.DUMMYFUNCTION("GOOGLETRANSLATE(D3757,""EN"",""JA"")"),"血小板凝集")</f>
        <v>血小板凝集</v>
      </c>
      <c r="I3757" s="1" t="str">
        <f>IFERROR(__xludf.DUMMYFUNCTION("GOOGLETRANSLATE(E3757,""EN"",""JA"")"),"血小板凝集; 血小板機能")</f>
        <v>血小板凝集; 血小板機能</v>
      </c>
      <c r="J3757" s="1" t="str">
        <f>IFERROR(__xludf.DUMMYFUNCTION("GOOGLETRANSLATE(F3757,""EN"",""JA"")"),"生物学的サンプル中の接着分子を介して血小板が互いに結合している状態を測定します。")</f>
        <v>生物学的サンプル中の接着分子を介して血小板が互いに結合している状態を測定します。</v>
      </c>
      <c r="K3757" s="1" t="str">
        <f>IFERROR(__xludf.DUMMYFUNCTION("GOOGLETRANSLATE(G3757,""EN"",""JA"")"),"血小板凝集測定")</f>
        <v>血小板凝集測定</v>
      </c>
    </row>
    <row r="3758" ht="13.5" customHeight="1">
      <c r="A3758" s="1" t="s">
        <v>11</v>
      </c>
      <c r="B3758" s="1" t="s">
        <v>18833</v>
      </c>
      <c r="C3758" s="1" t="s">
        <v>18834</v>
      </c>
      <c r="D3758" s="1" t="s">
        <v>18835</v>
      </c>
      <c r="E3758" s="1" t="s">
        <v>18835</v>
      </c>
      <c r="F3758" s="1" t="s">
        <v>18836</v>
      </c>
      <c r="G3758" s="1" t="s">
        <v>18837</v>
      </c>
      <c r="H3758" s="1" t="str">
        <f>IFERROR(__xludf.DUMMYFUNCTION("GOOGLETRANSLATE(D3758,""EN"",""JA"")"),"無顆粒血小板")</f>
        <v>無顆粒血小板</v>
      </c>
      <c r="I3758" s="1" t="str">
        <f>IFERROR(__xludf.DUMMYFUNCTION("GOOGLETRANSLATE(E3758,""EN"",""JA"")"),"無顆粒血小板")</f>
        <v>無顆粒血小板</v>
      </c>
      <c r="J3758" s="1" t="str">
        <f>IFERROR(__xludf.DUMMYFUNCTION("GOOGLETRANSLATE(F3758,""EN"",""JA"")"),"生物標本中の無顆粒血小板の測定。")</f>
        <v>生物標本中の無顆粒血小板の測定。</v>
      </c>
      <c r="K3758" s="1" t="str">
        <f>IFERROR(__xludf.DUMMYFUNCTION("GOOGLETRANSLATE(G3758,""EN"",""JA"")"),"無顆粒血小板数")</f>
        <v>無顆粒血小板数</v>
      </c>
    </row>
    <row r="3759" ht="13.5" customHeight="1">
      <c r="A3759" s="1" t="s">
        <v>11</v>
      </c>
      <c r="B3759" s="1" t="s">
        <v>18838</v>
      </c>
      <c r="C3759" s="1" t="s">
        <v>18839</v>
      </c>
      <c r="D3759" s="1" t="s">
        <v>18840</v>
      </c>
      <c r="E3759" s="1" t="s">
        <v>18840</v>
      </c>
      <c r="F3759" s="1" t="s">
        <v>18841</v>
      </c>
      <c r="G3759" s="1" t="s">
        <v>18842</v>
      </c>
      <c r="H3759" s="1" t="str">
        <f>IFERROR(__xludf.DUMMYFUNCTION("GOOGLETRANSLATE(D3759,""EN"",""JA"")"),"奇妙な血小板")</f>
        <v>奇妙な血小板</v>
      </c>
      <c r="I3759" s="1" t="str">
        <f>IFERROR(__xludf.DUMMYFUNCTION("GOOGLETRANSLATE(E3759,""EN"",""JA"")"),"奇妙な血小板")</f>
        <v>奇妙な血小板</v>
      </c>
      <c r="J3759" s="1" t="str">
        <f>IFERROR(__xludf.DUMMYFUNCTION("GOOGLETRANSLATE(F3759,""EN"",""JA"")"),"生物標本内の奇妙な血小板（異常な形態と形状を持つ大きなもの）の測定。")</f>
        <v>生物標本内の奇妙な血小板（異常な形態と形状を持つ大きなもの）の測定。</v>
      </c>
      <c r="K3759" s="1" t="str">
        <f>IFERROR(__xludf.DUMMYFUNCTION("GOOGLETRANSLATE(G3759,""EN"",""JA"")"),"異常な血小板数")</f>
        <v>異常な血小板数</v>
      </c>
    </row>
    <row r="3760" ht="13.5" customHeight="1">
      <c r="A3760" s="1" t="s">
        <v>11</v>
      </c>
      <c r="B3760" s="1" t="s">
        <v>18843</v>
      </c>
      <c r="C3760" s="1" t="s">
        <v>18844</v>
      </c>
      <c r="D3760" s="1" t="s">
        <v>18845</v>
      </c>
      <c r="E3760" s="1" t="s">
        <v>18846</v>
      </c>
      <c r="F3760" s="1" t="s">
        <v>18847</v>
      </c>
      <c r="G3760" s="1" t="s">
        <v>18848</v>
      </c>
      <c r="H3760" s="1" t="str">
        <f>IFERROR(__xludf.DUMMYFUNCTION("GOOGLETRANSLATE(D3760,""EN"",""JA"")"),"血小板凝集体")</f>
        <v>血小板凝集体</v>
      </c>
      <c r="I3760" s="1" t="str">
        <f>IFERROR(__xludf.DUMMYFUNCTION("GOOGLETRANSLATE(E3760,""EN"",""JA"")"),"血小板凝集体; PLT凝集体")</f>
        <v>血小板凝集体; PLT凝集体</v>
      </c>
      <c r="J3760" s="1" t="str">
        <f>IFERROR(__xludf.DUMMYFUNCTION("GOOGLETRANSLATE(F3760,""EN"",""JA"")"),"生物標本中の血小板凝集体の測定。")</f>
        <v>生物標本中の血小板凝集体の測定。</v>
      </c>
      <c r="K3760" s="1" t="str">
        <f>IFERROR(__xludf.DUMMYFUNCTION("GOOGLETRANSLATE(G3760,""EN"",""JA"")"),"血小板凝集体数")</f>
        <v>血小板凝集体数</v>
      </c>
    </row>
    <row r="3761" ht="13.5" customHeight="1">
      <c r="A3761" s="1" t="s">
        <v>11</v>
      </c>
      <c r="B3761" s="1" t="s">
        <v>18849</v>
      </c>
      <c r="C3761" s="1" t="s">
        <v>18850</v>
      </c>
      <c r="D3761" s="1" t="s">
        <v>18851</v>
      </c>
      <c r="E3761" s="1" t="s">
        <v>18851</v>
      </c>
      <c r="F3761" s="1" t="s">
        <v>18852</v>
      </c>
      <c r="G3761" s="1" t="s">
        <v>18853</v>
      </c>
      <c r="H3761" s="1" t="str">
        <f>IFERROR(__xludf.DUMMYFUNCTION("GOOGLETRANSLATE(D3761,""EN"",""JA"")"),"血小板、推定")</f>
        <v>血小板、推定</v>
      </c>
      <c r="I3761" s="1" t="str">
        <f>IFERROR(__xludf.DUMMYFUNCTION("GOOGLETRANSLATE(E3761,""EN"",""JA"")"),"血小板、推定")</f>
        <v>血小板、推定</v>
      </c>
      <c r="J3761" s="1" t="str">
        <f>IFERROR(__xludf.DUMMYFUNCTION("GOOGLETRANSLATE(F3761,""EN"",""JA"")"),"生物学的標本中の血小板（無核血栓細胞）の推定測定値。")</f>
        <v>生物学的標本中の血小板（無核血栓細胞）の推定測定値。</v>
      </c>
      <c r="K3761" s="1" t="str">
        <f>IFERROR(__xludf.DUMMYFUNCTION("GOOGLETRANSLATE(G3761,""EN"",""JA"")"),"推定血小板数測定")</f>
        <v>推定血小板数測定</v>
      </c>
    </row>
    <row r="3762" ht="13.5" customHeight="1">
      <c r="A3762" s="1" t="s">
        <v>11</v>
      </c>
      <c r="B3762" s="1" t="s">
        <v>18854</v>
      </c>
      <c r="C3762" s="1" t="s">
        <v>18855</v>
      </c>
      <c r="D3762" s="1" t="s">
        <v>18856</v>
      </c>
      <c r="E3762" s="1" t="s">
        <v>18856</v>
      </c>
      <c r="F3762" s="1" t="s">
        <v>18857</v>
      </c>
      <c r="G3762" s="1" t="s">
        <v>18858</v>
      </c>
      <c r="H3762" s="1" t="str">
        <f>IFERROR(__xludf.DUMMYFUNCTION("GOOGLETRANSLATE(D3762,""EN"",""JA"")"),"巨大血小板")</f>
        <v>巨大血小板</v>
      </c>
      <c r="I3762" s="1" t="str">
        <f>IFERROR(__xludf.DUMMYFUNCTION("GOOGLETRANSLATE(E3762,""EN"",""JA"")"),"巨大血小板")</f>
        <v>巨大血小板</v>
      </c>
      <c r="J3762" s="1" t="str">
        <f>IFERROR(__xludf.DUMMYFUNCTION("GOOGLETRANSLATE(F3762,""EN"",""JA"")"),"生物標本中の巨大血小板（直径 7 ミクロン以上）の測定。")</f>
        <v>生物標本中の巨大血小板（直径 7 ミクロン以上）の測定。</v>
      </c>
      <c r="K3762" s="1" t="str">
        <f>IFERROR(__xludf.DUMMYFUNCTION("GOOGLETRANSLATE(G3762,""EN"",""JA"")"),"巨大血小板数")</f>
        <v>巨大血小板数</v>
      </c>
    </row>
    <row r="3763" ht="13.5" customHeight="1">
      <c r="A3763" s="1" t="s">
        <v>11</v>
      </c>
      <c r="B3763" s="1" t="s">
        <v>18859</v>
      </c>
      <c r="C3763" s="1" t="s">
        <v>18860</v>
      </c>
      <c r="D3763" s="1" t="s">
        <v>18861</v>
      </c>
      <c r="E3763" s="1" t="s">
        <v>18862</v>
      </c>
      <c r="F3763" s="1" t="s">
        <v>18863</v>
      </c>
      <c r="G3763" s="1" t="s">
        <v>18864</v>
      </c>
      <c r="H3763" s="1" t="str">
        <f>IFERROR(__xludf.DUMMYFUNCTION("GOOGLETRANSLATE(D3763,""EN"",""JA"")"),"血小板ヘマトクリット")</f>
        <v>血小板ヘマトクリット</v>
      </c>
      <c r="I3763" s="1" t="str">
        <f>IFERROR(__xludf.DUMMYFUNCTION("GOOGLETRANSLATE(E3763,""EN"",""JA"")"),"血小板ヘマトクリット; 血小板クリット")</f>
        <v>血小板ヘマトクリット; 血小板クリット</v>
      </c>
      <c r="J3763" s="1" t="str">
        <f>IFERROR(__xludf.DUMMYFUNCTION("GOOGLETRANSLATE(F3763,""EN"",""JA"")"),"血小板によって取り込まれた血液量の割合の相対的な測定値（比率またはパーセンテージ）。")</f>
        <v>血小板によって取り込まれた血液量の割合の相対的な測定値（比率またはパーセンテージ）。</v>
      </c>
      <c r="K3763" s="1" t="str">
        <f>IFERROR(__xludf.DUMMYFUNCTION("GOOGLETRANSLATE(G3763,""EN"",""JA"")"),"血小板ヘマトクリット測定")</f>
        <v>血小板ヘマトクリット測定</v>
      </c>
    </row>
    <row r="3764" ht="13.5" customHeight="1">
      <c r="A3764" s="1" t="s">
        <v>11</v>
      </c>
      <c r="B3764" s="1" t="s">
        <v>18865</v>
      </c>
      <c r="C3764" s="1" t="s">
        <v>18866</v>
      </c>
      <c r="D3764" s="1" t="s">
        <v>18867</v>
      </c>
      <c r="E3764" s="1" t="s">
        <v>18868</v>
      </c>
      <c r="F3764" s="1" t="s">
        <v>18869</v>
      </c>
      <c r="G3764" s="1" t="s">
        <v>18870</v>
      </c>
      <c r="H3764" s="1" t="str">
        <f>IFERROR(__xludf.DUMMYFUNCTION("GOOGLETRANSLATE(D3764,""EN"",""JA"")"),"未熟な血小板")</f>
        <v>未熟な血小板</v>
      </c>
      <c r="I3764" s="1" t="str">
        <f>IFERROR(__xludf.DUMMYFUNCTION("GOOGLETRANSLATE(E3764,""EN"",""JA"")"),"未熟血小板; 網状血小板")</f>
        <v>未熟血小板; 網状血小板</v>
      </c>
      <c r="J3764" s="1" t="str">
        <f>IFERROR(__xludf.DUMMYFUNCTION("GOOGLETRANSLATE(F3764,""EN"",""JA"")"),"生物標本中の未熟血小板の測定。")</f>
        <v>生物標本中の未熟血小板の測定。</v>
      </c>
      <c r="K3764" s="1" t="str">
        <f>IFERROR(__xludf.DUMMYFUNCTION("GOOGLETRANSLATE(G3764,""EN"",""JA"")"),"未熟血小板数")</f>
        <v>未熟血小板数</v>
      </c>
    </row>
    <row r="3765" ht="13.5" customHeight="1">
      <c r="A3765" s="1" t="s">
        <v>11</v>
      </c>
      <c r="B3765" s="1" t="s">
        <v>18871</v>
      </c>
      <c r="C3765" s="1" t="s">
        <v>18872</v>
      </c>
      <c r="D3765" s="1" t="s">
        <v>18873</v>
      </c>
      <c r="E3765" s="1" t="s">
        <v>18873</v>
      </c>
      <c r="F3765" s="1" t="s">
        <v>18874</v>
      </c>
      <c r="G3765" s="1" t="s">
        <v>18875</v>
      </c>
      <c r="H3765" s="1" t="str">
        <f>IFERROR(__xludf.DUMMYFUNCTION("GOOGLETRANSLATE(D3765,""EN"",""JA"")"),"大血小板")</f>
        <v>大血小板</v>
      </c>
      <c r="I3765" s="1" t="str">
        <f>IFERROR(__xludf.DUMMYFUNCTION("GOOGLETRANSLATE(E3765,""EN"",""JA"")"),"大血小板")</f>
        <v>大血小板</v>
      </c>
      <c r="J3765" s="1" t="str">
        <f>IFERROR(__xludf.DUMMYFUNCTION("GOOGLETRANSLATE(F3765,""EN"",""JA"")"),"生物標本中の大きな血小板（直径 4 ミクロンから 7 ミクロン）の測定。")</f>
        <v>生物標本中の大きな血小板（直径 4 ミクロンから 7 ミクロン）の測定。</v>
      </c>
      <c r="K3765" s="1" t="str">
        <f>IFERROR(__xludf.DUMMYFUNCTION("GOOGLETRANSLATE(G3765,""EN"",""JA"")"),"血小板数が多い")</f>
        <v>血小板数が多い</v>
      </c>
    </row>
    <row r="3766" ht="13.5" customHeight="1">
      <c r="A3766" s="1" t="s">
        <v>1342</v>
      </c>
      <c r="B3766" s="1" t="s">
        <v>18876</v>
      </c>
      <c r="C3766" s="1" t="s">
        <v>18877</v>
      </c>
      <c r="D3766" s="1" t="s">
        <v>18878</v>
      </c>
      <c r="E3766" s="1" t="s">
        <v>18878</v>
      </c>
      <c r="F3766" s="1" t="s">
        <v>18879</v>
      </c>
      <c r="G3766" s="1" t="s">
        <v>18880</v>
      </c>
      <c r="H3766" s="1" t="str">
        <f>IFERROR(__xludf.DUMMYFUNCTION("GOOGLETRANSLATE(D3766,""EN"",""JA"")"),"血小板反応")</f>
        <v>血小板反応</v>
      </c>
      <c r="I3766" s="1" t="str">
        <f>IFERROR(__xludf.DUMMYFUNCTION("GOOGLETRANSLATE(E3766,""EN"",""JA"")"),"血小板反応")</f>
        <v>血小板反応</v>
      </c>
      <c r="J3766" s="1" t="str">
        <f>IFERROR(__xludf.DUMMYFUNCTION("GOOGLETRANSLATE(F3766,""EN"",""JA"")"),"血小板数に基づいた治療に対する疾患反応の評価。")</f>
        <v>血小板数に基づいた治療に対する疾患反応の評価。</v>
      </c>
      <c r="K3766" s="1" t="str">
        <f>IFERROR(__xludf.DUMMYFUNCTION("GOOGLETRANSLATE(G3766,""EN"",""JA"")"),"血小板反応")</f>
        <v>血小板反応</v>
      </c>
    </row>
    <row r="3767" ht="13.5" customHeight="1">
      <c r="A3767" s="1" t="s">
        <v>11</v>
      </c>
      <c r="B3767" s="1" t="s">
        <v>18881</v>
      </c>
      <c r="C3767" s="1" t="s">
        <v>18882</v>
      </c>
      <c r="D3767" s="1" t="s">
        <v>18883</v>
      </c>
      <c r="E3767" s="1" t="s">
        <v>18883</v>
      </c>
      <c r="F3767" s="1" t="s">
        <v>18884</v>
      </c>
      <c r="G3767" s="1" t="s">
        <v>18885</v>
      </c>
      <c r="H3767" s="1" t="str">
        <f>IFERROR(__xludf.DUMMYFUNCTION("GOOGLETRANSLATE(D3767,""EN"",""JA"")"),"血小板衛星主義")</f>
        <v>血小板衛星主義</v>
      </c>
      <c r="I3767" s="1" t="str">
        <f>IFERROR(__xludf.DUMMYFUNCTION("GOOGLETRANSLATE(E3767,""EN"",""JA"")"),"血小板衛星主義")</f>
        <v>血小板衛星主義</v>
      </c>
      <c r="J3767" s="1" t="str">
        <f>IFERROR(__xludf.DUMMYFUNCTION("GOOGLETRANSLATE(F3767,""EN"",""JA"")"),"生物学的標本における血小板衛星形成（細胞の周囲に血小板がロゼット状に形成されること）の検査または評価。")</f>
        <v>生物学的標本における血小板衛星形成（細胞の周囲に血小板がロゼット状に形成されること）の検査または評価。</v>
      </c>
      <c r="K3767" s="1" t="str">
        <f>IFERROR(__xludf.DUMMYFUNCTION("GOOGLETRANSLATE(G3767,""EN"",""JA"")"),"血小板衛星評価")</f>
        <v>血小板衛星評価</v>
      </c>
    </row>
    <row r="3768" ht="13.5" customHeight="1">
      <c r="A3768" s="1" t="s">
        <v>11</v>
      </c>
      <c r="B3768" s="1" t="s">
        <v>18886</v>
      </c>
      <c r="C3768" s="1" t="s">
        <v>18887</v>
      </c>
      <c r="D3768" s="1" t="s">
        <v>18888</v>
      </c>
      <c r="E3768" s="1" t="s">
        <v>18889</v>
      </c>
      <c r="F3768" s="1" t="s">
        <v>18890</v>
      </c>
      <c r="G3768" s="1" t="s">
        <v>18891</v>
      </c>
      <c r="H3768" s="1" t="str">
        <f>IFERROR(__xludf.DUMMYFUNCTION("GOOGLETRANSLATE(D3768,""EN"",""JA"")"),"プラスミノーゲン活性化因子ウロキナーゼ受容体")</f>
        <v>プラスミノーゲン活性化因子ウロキナーゼ受容体</v>
      </c>
      <c r="I3768" s="1" t="str">
        <f>IFERROR(__xludf.DUMMYFUNCTION("GOOGLETRANSLATE(E3768,""EN"",""JA"")"),"単球活性化抗原 Mo3; プラスミノーゲン活性化因子ウロキナーゼ受容体; プラスミノーゲン活性化因子、ウロキナーゼ受容体; 可溶性 CD87; UPAR; ウロキナーゼプラスミノーゲン活性化因子受容体")</f>
        <v>単球活性化抗原 Mo3; プラスミノーゲン活性化因子ウロキナーゼ受容体; プラスミノーゲン活性化因子、ウロキナーゼ受容体; 可溶性 CD87; UPAR; ウロキナーゼプラスミノーゲン活性化因子受容体</v>
      </c>
      <c r="J3768" s="1" t="str">
        <f>IFERROR(__xludf.DUMMYFUNCTION("GOOGLETRANSLATE(F3768,""EN"",""JA"")"),"検体中のプラスミノーゲン活性化因子ウロキナーゼ受容体の測定。")</f>
        <v>検体中のプラスミノーゲン活性化因子ウロキナーゼ受容体の測定。</v>
      </c>
      <c r="K3768" s="1" t="str">
        <f>IFERROR(__xludf.DUMMYFUNCTION("GOOGLETRANSLATE(G3768,""EN"",""JA"")"),"プラスミノーゲン活性化因子ウロキナーゼ受容体測定")</f>
        <v>プラスミノーゲン活性化因子ウロキナーゼ受容体測定</v>
      </c>
    </row>
    <row r="3769" ht="13.5" customHeight="1">
      <c r="A3769" s="1" t="s">
        <v>11</v>
      </c>
      <c r="B3769" s="1" t="s">
        <v>18892</v>
      </c>
      <c r="C3769" s="1" t="s">
        <v>18893</v>
      </c>
      <c r="D3769" s="1" t="s">
        <v>18894</v>
      </c>
      <c r="E3769" s="1" t="s">
        <v>18895</v>
      </c>
      <c r="F3769" s="1" t="s">
        <v>18896</v>
      </c>
      <c r="G3769" s="1" t="s">
        <v>18897</v>
      </c>
      <c r="H3769" s="1" t="str">
        <f>IFERROR(__xludf.DUMMYFUNCTION("GOOGLETRANSLATE(D3769,""EN"",""JA"")"),"胎盤成長因子")</f>
        <v>胎盤成長因子</v>
      </c>
      <c r="I3769" s="1" t="str">
        <f>IFERROR(__xludf.DUMMYFUNCTION("GOOGLETRANSLATE(E3769,""EN"",""JA"")"),"PGF; PIGF; 胎盤成長因子; PLGF")</f>
        <v>PGF; PIGF; 胎盤成長因子; PLGF</v>
      </c>
      <c r="J3769" s="1" t="str">
        <f>IFERROR(__xludf.DUMMYFUNCTION("GOOGLETRANSLATE(F3769,""EN"",""JA"")"),"生物標本中の胎盤成長因子の測定。")</f>
        <v>生物標本中の胎盤成長因子の測定。</v>
      </c>
      <c r="K3769" s="1" t="str">
        <f>IFERROR(__xludf.DUMMYFUNCTION("GOOGLETRANSLATE(G3769,""EN"",""JA"")"),"胎盤成長因子測定")</f>
        <v>胎盤成長因子測定</v>
      </c>
    </row>
    <row r="3770" ht="13.5" customHeight="1">
      <c r="A3770" s="1" t="s">
        <v>11</v>
      </c>
      <c r="B3770" s="1" t="s">
        <v>18898</v>
      </c>
      <c r="C3770" s="1" t="s">
        <v>18899</v>
      </c>
      <c r="D3770" s="1" t="s">
        <v>18900</v>
      </c>
      <c r="E3770" s="1" t="s">
        <v>18900</v>
      </c>
      <c r="F3770" s="1" t="s">
        <v>18901</v>
      </c>
      <c r="G3770" s="1" t="s">
        <v>18902</v>
      </c>
      <c r="H3770" s="1" t="str">
        <f>IFERROR(__xludf.DUMMYFUNCTION("GOOGLETRANSLATE(D3770,""EN"",""JA"")"),"プラスミノーゲン")</f>
        <v>プラスミノーゲン</v>
      </c>
      <c r="I3770" s="1" t="str">
        <f>IFERROR(__xludf.DUMMYFUNCTION("GOOGLETRANSLATE(E3770,""EN"",""JA"")"),"プラスミノーゲン")</f>
        <v>プラスミノーゲン</v>
      </c>
      <c r="J3770" s="1" t="str">
        <f>IFERROR(__xludf.DUMMYFUNCTION("GOOGLETRANSLATE(F3770,""EN"",""JA"")"),"生物学的標本中のプラスミノーゲン（抗原）の測定。")</f>
        <v>生物学的標本中のプラスミノーゲン（抗原）の測定。</v>
      </c>
      <c r="K3770" s="1" t="str">
        <f>IFERROR(__xludf.DUMMYFUNCTION("GOOGLETRANSLATE(G3770,""EN"",""JA"")"),"プラスミノーゲン測定")</f>
        <v>プラスミノーゲン測定</v>
      </c>
    </row>
    <row r="3771" ht="13.5" customHeight="1">
      <c r="A3771" s="1" t="s">
        <v>67</v>
      </c>
      <c r="B3771" s="1" t="s">
        <v>18903</v>
      </c>
      <c r="C3771" s="1" t="s">
        <v>18904</v>
      </c>
      <c r="D3771" s="1" t="s">
        <v>18905</v>
      </c>
      <c r="E3771" s="1" t="s">
        <v>18905</v>
      </c>
      <c r="F3771" s="1" t="s">
        <v>18906</v>
      </c>
      <c r="G3771" s="1" t="s">
        <v>18907</v>
      </c>
      <c r="H3771" s="1" t="str">
        <f>IFERROR(__xludf.DUMMYFUNCTION("GOOGLETRANSLATE(D3771,""EN"",""JA"")"),"マラリア原虫乳酸脱水素酵素")</f>
        <v>マラリア原虫乳酸脱水素酵素</v>
      </c>
      <c r="I3771" s="1" t="str">
        <f>IFERROR(__xludf.DUMMYFUNCTION("GOOGLETRANSLATE(E3771,""EN"",""JA"")"),"マラリア原虫乳酸脱水素酵素")</f>
        <v>マラリア原虫乳酸脱水素酵素</v>
      </c>
      <c r="J3771" s="1" t="str">
        <f>IFERROR(__xludf.DUMMYFUNCTION("GOOGLETRANSLATE(F3771,""EN"",""JA"")"),"生物標本中のマラリア原虫乳酸脱水素酵素の測定。")</f>
        <v>生物標本中のマラリア原虫乳酸脱水素酵素の測定。</v>
      </c>
      <c r="K3771" s="1" t="str">
        <f>IFERROR(__xludf.DUMMYFUNCTION("GOOGLETRANSLATE(G3771,""EN"",""JA"")"),"マラリア原虫乳酸脱水素酵素測定")</f>
        <v>マラリア原虫乳酸脱水素酵素測定</v>
      </c>
    </row>
    <row r="3772" ht="13.5" customHeight="1">
      <c r="A3772" s="1" t="s">
        <v>176</v>
      </c>
      <c r="B3772" s="1" t="s">
        <v>18908</v>
      </c>
      <c r="C3772" s="1" t="s">
        <v>18909</v>
      </c>
      <c r="D3772" s="1" t="s">
        <v>18910</v>
      </c>
      <c r="E3772" s="1" t="s">
        <v>18910</v>
      </c>
      <c r="F3772" s="1" t="s">
        <v>18911</v>
      </c>
      <c r="G3772" s="1" t="s">
        <v>18912</v>
      </c>
      <c r="H3772" s="1" t="str">
        <f>IFERROR(__xludf.DUMMYFUNCTION("GOOGLETRANSLATE(D3772,""EN"",""JA"")"),"掌側把握反射")</f>
        <v>掌側把握反射</v>
      </c>
      <c r="I3772" s="1" t="str">
        <f>IFERROR(__xludf.DUMMYFUNCTION("GOOGLETRANSLATE(E3772,""EN"",""JA"")"),"掌側把握反射")</f>
        <v>掌側把握反射</v>
      </c>
      <c r="J3772" s="1" t="str">
        <f>IFERROR(__xludf.DUMMYFUNCTION("GOOGLETRANSLATE(F3772,""EN"",""JA"")"),"新生児が手のひらに触れられたときに指を掴もうとする、無意識の原始的反応。この反射は生後6ヶ月まで持続します。")</f>
        <v>新生児が手のひらに触れられたときに指を掴もうとする、無意識の原始的反応。この反射は生後6ヶ月まで持続します。</v>
      </c>
      <c r="K3772" s="1" t="str">
        <f>IFERROR(__xludf.DUMMYFUNCTION("GOOGLETRANSLATE(G3772,""EN"",""JA"")"),"把握反射")</f>
        <v>把握反射</v>
      </c>
    </row>
    <row r="3773" ht="13.5" customHeight="1">
      <c r="A3773" s="1" t="s">
        <v>580</v>
      </c>
      <c r="B3773" s="1" t="s">
        <v>18913</v>
      </c>
      <c r="C3773" s="1" t="s">
        <v>18914</v>
      </c>
      <c r="D3773" s="1" t="s">
        <v>18915</v>
      </c>
      <c r="E3773" s="1" t="s">
        <v>18915</v>
      </c>
      <c r="F3773" s="1" t="s">
        <v>18916</v>
      </c>
      <c r="G3773" s="1" t="s">
        <v>18915</v>
      </c>
      <c r="H3773" s="1" t="str">
        <f>IFERROR(__xludf.DUMMYFUNCTION("GOOGLETRANSLATE(D3773,""EN"",""JA"")"),"肺反応性")</f>
        <v>肺反応性</v>
      </c>
      <c r="I3773" s="1" t="str">
        <f>IFERROR(__xludf.DUMMYFUNCTION("GOOGLETRANSLATE(E3773,""EN"",""JA"")"),"肺反応性")</f>
        <v>肺反応性</v>
      </c>
      <c r="J3773" s="1" t="str">
        <f>IFERROR(__xludf.DUMMYFUNCTION("GOOGLETRANSLATE(F3773,""EN"",""JA"")"),"受動的な呼気に必要なエネルギーを蓄える肺の能力の測定値。")</f>
        <v>受動的な呼気に必要なエネルギーを蓄える肺の能力の測定値。</v>
      </c>
      <c r="K3773" s="1" t="str">
        <f>IFERROR(__xludf.DUMMYFUNCTION("GOOGLETRANSLATE(G3773,""EN"",""JA"")"),"肺反応性")</f>
        <v>肺反応性</v>
      </c>
    </row>
    <row r="3774" ht="13.5" customHeight="1">
      <c r="A3774" s="1" t="s">
        <v>397</v>
      </c>
      <c r="B3774" s="1" t="s">
        <v>18917</v>
      </c>
      <c r="C3774" s="1" t="s">
        <v>18918</v>
      </c>
      <c r="D3774" s="1" t="s">
        <v>18919</v>
      </c>
      <c r="E3774" s="1" t="s">
        <v>18919</v>
      </c>
      <c r="F3774" s="1" t="s">
        <v>18920</v>
      </c>
      <c r="G3774" s="1" t="s">
        <v>18919</v>
      </c>
      <c r="H3774" s="1" t="str">
        <f>IFERROR(__xludf.DUMMYFUNCTION("GOOGLETRANSLATE(D3774,""EN"",""JA"")"),"予定試験期間")</f>
        <v>予定試験期間</v>
      </c>
      <c r="I3774" s="1" t="str">
        <f>IFERROR(__xludf.DUMMYFUNCTION("GOOGLETRANSLATE(E3774,""EN"",""JA"")"),"予定試験期間")</f>
        <v>予定試験期間</v>
      </c>
      <c r="J3774" s="1" t="str">
        <f>IFERROR(__xludf.DUMMYFUNCTION("GOOGLETRANSLATE(F3774,""EN"",""JA"")"),"臨床試験が実施されると予想されるおおよその期間。")</f>
        <v>臨床試験が実施されると予想されるおおよその期間。</v>
      </c>
      <c r="K3774" s="1" t="str">
        <f>IFERROR(__xludf.DUMMYFUNCTION("GOOGLETRANSLATE(G3774,""EN"",""JA"")"),"予定試験期間")</f>
        <v>予定試験期間</v>
      </c>
    </row>
    <row r="3775" ht="13.5" customHeight="1">
      <c r="A3775" s="1" t="s">
        <v>11</v>
      </c>
      <c r="B3775" s="1" t="s">
        <v>18921</v>
      </c>
      <c r="C3775" s="1" t="s">
        <v>18922</v>
      </c>
      <c r="D3775" s="1" t="s">
        <v>18923</v>
      </c>
      <c r="E3775" s="1" t="s">
        <v>18924</v>
      </c>
      <c r="F3775" s="1" t="s">
        <v>18925</v>
      </c>
      <c r="G3775" s="1" t="s">
        <v>18926</v>
      </c>
      <c r="H3775" s="1" t="str">
        <f>IFERROR(__xludf.DUMMYFUNCTION("GOOGLETRANSLATE(D3775,""EN"",""JA"")"),"ピリドキサールリン酸")</f>
        <v>ピリドキサールリン酸</v>
      </c>
      <c r="I3775" s="1" t="str">
        <f>IFERROR(__xludf.DUMMYFUNCTION("GOOGLETRANSLATE(E3775,""EN"",""JA"")"),"活性ビタミンB6; ピリドキサールリン酸")</f>
        <v>活性ビタミンB6; ピリドキサールリン酸</v>
      </c>
      <c r="J3775" s="1" t="str">
        <f>IFERROR(__xludf.DUMMYFUNCTION("GOOGLETRANSLATE(F3775,""EN"",""JA"")"),"生物標本中のピリドキサールリン酸の測定。")</f>
        <v>生物標本中のピリドキサールリン酸の測定。</v>
      </c>
      <c r="K3775" s="1" t="str">
        <f>IFERROR(__xludf.DUMMYFUNCTION("GOOGLETRANSLATE(G3775,""EN"",""JA"")"),"ピリドキサールリン酸測定")</f>
        <v>ピリドキサールリン酸測定</v>
      </c>
    </row>
    <row r="3776" ht="13.5" customHeight="1">
      <c r="A3776" s="1" t="s">
        <v>11</v>
      </c>
      <c r="B3776" s="1" t="s">
        <v>18927</v>
      </c>
      <c r="C3776" s="1" t="s">
        <v>18928</v>
      </c>
      <c r="D3776" s="1" t="s">
        <v>18929</v>
      </c>
      <c r="E3776" s="1" t="s">
        <v>18929</v>
      </c>
      <c r="F3776" s="1" t="s">
        <v>18930</v>
      </c>
      <c r="G3776" s="1" t="s">
        <v>18931</v>
      </c>
      <c r="H3776" s="1" t="str">
        <f>IFERROR(__xludf.DUMMYFUNCTION("GOOGLETRANSLATE(D3776,""EN"",""JA"")"),"リン脂質スクランブラーゼ1")</f>
        <v>リン脂質スクランブラーゼ1</v>
      </c>
      <c r="I3776" s="1" t="str">
        <f>IFERROR(__xludf.DUMMYFUNCTION("GOOGLETRANSLATE(E3776,""EN"",""JA"")"),"リン脂質スクランブラーゼ1")</f>
        <v>リン脂質スクランブラーゼ1</v>
      </c>
      <c r="J3776" s="1" t="str">
        <f>IFERROR(__xludf.DUMMYFUNCTION("GOOGLETRANSLATE(F3776,""EN"",""JA"")"),"生物標本中のリン脂質スクランブラーゼ 1 の測定。")</f>
        <v>生物標本中のリン脂質スクランブラーゼ 1 の測定。</v>
      </c>
      <c r="K3776" s="1" t="str">
        <f>IFERROR(__xludf.DUMMYFUNCTION("GOOGLETRANSLATE(G3776,""EN"",""JA"")"),"リン脂質スクランブラーゼ1の測定")</f>
        <v>リン脂質スクランブラーゼ1の測定</v>
      </c>
    </row>
    <row r="3777" ht="13.5" customHeight="1">
      <c r="A3777" s="1" t="s">
        <v>11</v>
      </c>
      <c r="B3777" s="1" t="s">
        <v>18932</v>
      </c>
      <c r="C3777" s="1" t="s">
        <v>18933</v>
      </c>
      <c r="D3777" s="1" t="s">
        <v>18934</v>
      </c>
      <c r="E3777" s="1" t="s">
        <v>18934</v>
      </c>
      <c r="F3777" s="1" t="s">
        <v>18935</v>
      </c>
      <c r="G3777" s="1" t="s">
        <v>18936</v>
      </c>
      <c r="H3777" s="1" t="str">
        <f>IFERROR(__xludf.DUMMYFUNCTION("GOOGLETRANSLATE(D3777,""EN"",""JA"")"),"未熟形質細胞／総細胞")</f>
        <v>未熟形質細胞／総細胞</v>
      </c>
      <c r="I3777" s="1" t="str">
        <f>IFERROR(__xludf.DUMMYFUNCTION("GOOGLETRANSLATE(E3777,""EN"",""JA"")"),"未熟形質細胞／総細胞")</f>
        <v>未熟形質細胞／総細胞</v>
      </c>
      <c r="J3777" s="1" t="str">
        <f>IFERROR(__xludf.DUMMYFUNCTION("GOOGLETRANSLATE(F3777,""EN"",""JA"")"),"生物標本中の全細胞に対する未熟な形質細胞（プラズマ細胞）の相対的な測定値（比率またはパーセンテージ）。")</f>
        <v>生物標本中の全細胞に対する未熟な形質細胞（プラズマ細胞）の相対的な測定値（比率またはパーセンテージ）。</v>
      </c>
      <c r="K3777" s="1" t="str">
        <f>IFERROR(__xludf.DUMMYFUNCTION("GOOGLETRANSLATE(G3777,""EN"",""JA"")"),"未熟形質細胞と全細胞との比率測定")</f>
        <v>未熟形質細胞と全細胞との比率測定</v>
      </c>
    </row>
    <row r="3778" ht="13.5" customHeight="1">
      <c r="A3778" s="1" t="s">
        <v>11</v>
      </c>
      <c r="B3778" s="1" t="s">
        <v>18937</v>
      </c>
      <c r="C3778" s="1" t="s">
        <v>18938</v>
      </c>
      <c r="D3778" s="1" t="s">
        <v>18939</v>
      </c>
      <c r="E3778" s="1" t="s">
        <v>18939</v>
      </c>
      <c r="F3778" s="1" t="s">
        <v>18940</v>
      </c>
      <c r="G3778" s="1" t="s">
        <v>18941</v>
      </c>
      <c r="H3778" s="1" t="str">
        <f>IFERROR(__xludf.DUMMYFUNCTION("GOOGLETRANSLATE(D3778,""EN"",""JA"")"),"未熟な形質細胞")</f>
        <v>未熟な形質細胞</v>
      </c>
      <c r="I3778" s="1" t="str">
        <f>IFERROR(__xludf.DUMMYFUNCTION("GOOGLETRANSLATE(E3778,""EN"",""JA"")"),"未熟な形質細胞")</f>
        <v>未熟な形質細胞</v>
      </c>
      <c r="J3778" s="1" t="str">
        <f>IFERROR(__xludf.DUMMYFUNCTION("GOOGLETRANSLATE(F3778,""EN"",""JA"")"),"生物標本中の未熟な形質細胞の測定。")</f>
        <v>生物標本中の未熟な形質細胞の測定。</v>
      </c>
      <c r="K3778" s="1" t="str">
        <f>IFERROR(__xludf.DUMMYFUNCTION("GOOGLETRANSLATE(G3778,""EN"",""JA"")"),"未熟形質細胞数")</f>
        <v>未熟形質細胞数</v>
      </c>
    </row>
    <row r="3779" ht="13.5" customHeight="1">
      <c r="A3779" s="1" t="s">
        <v>11</v>
      </c>
      <c r="B3779" s="1" t="s">
        <v>18942</v>
      </c>
      <c r="C3779" s="1" t="s">
        <v>18943</v>
      </c>
      <c r="D3779" s="1" t="s">
        <v>18944</v>
      </c>
      <c r="E3779" s="1" t="s">
        <v>18944</v>
      </c>
      <c r="F3779" s="1" t="s">
        <v>18945</v>
      </c>
      <c r="G3779" s="1" t="s">
        <v>18946</v>
      </c>
      <c r="H3779" s="1" t="str">
        <f>IFERROR(__xludf.DUMMYFUNCTION("GOOGLETRANSLATE(D3779,""EN"",""JA"")"),"未熟な形質細胞/リンパ球")</f>
        <v>未熟な形質細胞/リンパ球</v>
      </c>
      <c r="I3779" s="1" t="str">
        <f>IFERROR(__xludf.DUMMYFUNCTION("GOOGLETRANSLATE(E3779,""EN"",""JA"")"),"未熟な形質細胞/リンパ球")</f>
        <v>未熟な形質細胞/リンパ球</v>
      </c>
      <c r="J3779" s="1" t="str">
        <f>IFERROR(__xludf.DUMMYFUNCTION("GOOGLETRANSLATE(F3779,""EN"",""JA"")"),"生物標本中の未熟形質細胞と総リンパ球の相対的な測定値（比率またはパーセンテージ）。")</f>
        <v>生物標本中の未熟形質細胞と総リンパ球の相対的な測定値（比率またはパーセンテージ）。</v>
      </c>
      <c r="K3779" s="1" t="str">
        <f>IFERROR(__xludf.DUMMYFUNCTION("GOOGLETRANSLATE(G3779,""EN"",""JA"")"),"未熟形質細胞とリンパ球の比率測定")</f>
        <v>未熟形質細胞とリンパ球の比率測定</v>
      </c>
    </row>
    <row r="3780" ht="13.5" customHeight="1">
      <c r="A3780" s="1" t="s">
        <v>11</v>
      </c>
      <c r="B3780" s="1" t="s">
        <v>18947</v>
      </c>
      <c r="C3780" s="1" t="s">
        <v>18948</v>
      </c>
      <c r="D3780" s="1" t="s">
        <v>18949</v>
      </c>
      <c r="E3780" s="1" t="s">
        <v>18950</v>
      </c>
      <c r="F3780" s="1" t="s">
        <v>18951</v>
      </c>
      <c r="G3780" s="1" t="s">
        <v>18952</v>
      </c>
      <c r="H3780" s="1" t="str">
        <f>IFERROR(__xludf.DUMMYFUNCTION("GOOGLETRANSLATE(D3780,""EN"",""JA"")"),"成熟した形質細胞")</f>
        <v>成熟した形質細胞</v>
      </c>
      <c r="I3780" s="1" t="str">
        <f>IFERROR(__xludf.DUMMYFUNCTION("GOOGLETRANSLATE(E3780,""EN"",""JA"")"),"成熟した形質細胞; 形質細胞; 形質細胞")</f>
        <v>成熟した形質細胞; 形質細胞; 形質細胞</v>
      </c>
      <c r="J3780" s="1" t="str">
        <f>IFERROR(__xludf.DUMMYFUNCTION("GOOGLETRANSLATE(F3780,""EN"",""JA"")"),"生物標本中の成熟した形質細胞（プラズマ細胞）の測定。")</f>
        <v>生物標本中の成熟した形質細胞（プラズマ細胞）の測定。</v>
      </c>
      <c r="K3780" s="1" t="str">
        <f>IFERROR(__xludf.DUMMYFUNCTION("GOOGLETRANSLATE(G3780,""EN"",""JA"")"),"成熟形質細胞数")</f>
        <v>成熟形質細胞数</v>
      </c>
    </row>
    <row r="3781" ht="13.5" customHeight="1">
      <c r="A3781" s="1" t="s">
        <v>134</v>
      </c>
      <c r="B3781" s="1" t="s">
        <v>18953</v>
      </c>
      <c r="C3781" s="1" t="s">
        <v>18954</v>
      </c>
      <c r="D3781" s="1" t="s">
        <v>18955</v>
      </c>
      <c r="E3781" s="1" t="s">
        <v>18955</v>
      </c>
      <c r="F3781" s="1" t="s">
        <v>18956</v>
      </c>
      <c r="G3781" s="1" t="s">
        <v>18957</v>
      </c>
      <c r="H3781" s="1" t="str">
        <f>IFERROR(__xludf.DUMMYFUNCTION("GOOGLETRANSLATE(D3781,""EN"",""JA"")"),"成熟形質細胞/総細胞")</f>
        <v>成熟形質細胞/総細胞</v>
      </c>
      <c r="I3781" s="1" t="str">
        <f>IFERROR(__xludf.DUMMYFUNCTION("GOOGLETRANSLATE(E3781,""EN"",""JA"")"),"成熟形質細胞/総細胞")</f>
        <v>成熟形質細胞/総細胞</v>
      </c>
      <c r="J3781" s="1" t="str">
        <f>IFERROR(__xludf.DUMMYFUNCTION("GOOGLETRANSLATE(F3781,""EN"",""JA"")"),"生物学的標本（骨髄標本など）内の成熟した形質細胞（プラズマ細胞）と総細胞数の相対的な測定値（比率またはパーセンテージ）。")</f>
        <v>生物学的標本（骨髄標本など）内の成熟した形質細胞（プラズマ細胞）と総細胞数の相対的な測定値（比率またはパーセンテージ）。</v>
      </c>
      <c r="K3781" s="1" t="str">
        <f>IFERROR(__xludf.DUMMYFUNCTION("GOOGLETRANSLATE(G3781,""EN"",""JA"")"),"成熟形質細胞と全細胞比の測定")</f>
        <v>成熟形質細胞と全細胞比の測定</v>
      </c>
    </row>
    <row r="3782" ht="13.5" customHeight="1">
      <c r="A3782" s="1" t="s">
        <v>11</v>
      </c>
      <c r="B3782" s="1" t="s">
        <v>18953</v>
      </c>
      <c r="C3782" s="1" t="s">
        <v>18954</v>
      </c>
      <c r="D3782" s="1" t="s">
        <v>18955</v>
      </c>
      <c r="E3782" s="1" t="s">
        <v>18955</v>
      </c>
      <c r="F3782" s="1" t="s">
        <v>18956</v>
      </c>
      <c r="G3782" s="1" t="s">
        <v>18957</v>
      </c>
      <c r="H3782" s="1" t="str">
        <f>IFERROR(__xludf.DUMMYFUNCTION("GOOGLETRANSLATE(D3782,""EN"",""JA"")"),"成熟形質細胞/総細胞")</f>
        <v>成熟形質細胞/総細胞</v>
      </c>
      <c r="I3782" s="1" t="str">
        <f>IFERROR(__xludf.DUMMYFUNCTION("GOOGLETRANSLATE(E3782,""EN"",""JA"")"),"成熟形質細胞/総細胞")</f>
        <v>成熟形質細胞/総細胞</v>
      </c>
      <c r="J3782" s="1" t="str">
        <f>IFERROR(__xludf.DUMMYFUNCTION("GOOGLETRANSLATE(F3782,""EN"",""JA"")"),"生物学的標本（骨髄標本など）内の成熟した形質細胞（プラズマ細胞）と総細胞数の相対的な測定値（比率またはパーセンテージ）。")</f>
        <v>生物学的標本（骨髄標本など）内の成熟した形質細胞（プラズマ細胞）と総細胞数の相対的な測定値（比率またはパーセンテージ）。</v>
      </c>
      <c r="K3782" s="1" t="str">
        <f>IFERROR(__xludf.DUMMYFUNCTION("GOOGLETRANSLATE(G3782,""EN"",""JA"")"),"成熟形質細胞と全細胞比の測定")</f>
        <v>成熟形質細胞と全細胞比の測定</v>
      </c>
    </row>
    <row r="3783" ht="13.5" customHeight="1">
      <c r="A3783" s="1" t="s">
        <v>11</v>
      </c>
      <c r="B3783" s="1" t="s">
        <v>18958</v>
      </c>
      <c r="C3783" s="1" t="s">
        <v>18959</v>
      </c>
      <c r="D3783" s="1" t="s">
        <v>18960</v>
      </c>
      <c r="E3783" s="1" t="s">
        <v>18960</v>
      </c>
      <c r="F3783" s="1" t="s">
        <v>18961</v>
      </c>
      <c r="G3783" s="1" t="s">
        <v>18962</v>
      </c>
      <c r="H3783" s="1" t="str">
        <f>IFERROR(__xludf.DUMMYFUNCTION("GOOGLETRANSLATE(D3783,""EN"",""JA"")"),"成熟した形質細胞/リンパ球")</f>
        <v>成熟した形質細胞/リンパ球</v>
      </c>
      <c r="I3783" s="1" t="str">
        <f>IFERROR(__xludf.DUMMYFUNCTION("GOOGLETRANSLATE(E3783,""EN"",""JA"")"),"成熟した形質細胞/リンパ球")</f>
        <v>成熟した形質細胞/リンパ球</v>
      </c>
      <c r="J3783" s="1" t="str">
        <f>IFERROR(__xludf.DUMMYFUNCTION("GOOGLETRANSLATE(F3783,""EN"",""JA"")"),"生物学的標本中のすべてのリンパ球に対する成熟した形質細胞（プラズマ細胞）の相対的な測定値（比率またはパーセンテージ）。")</f>
        <v>生物学的標本中のすべてのリンパ球に対する成熟した形質細胞（プラズマ細胞）の相対的な測定値（比率またはパーセンテージ）。</v>
      </c>
      <c r="K3783" s="1" t="str">
        <f>IFERROR(__xludf.DUMMYFUNCTION("GOOGLETRANSLATE(G3783,""EN"",""JA"")"),"成熟形質細胞とリンパ球の比率測定")</f>
        <v>成熟形質細胞とリンパ球の比率測定</v>
      </c>
    </row>
    <row r="3784" ht="13.5" customHeight="1">
      <c r="A3784" s="1" t="s">
        <v>67</v>
      </c>
      <c r="B3784" s="1" t="s">
        <v>18963</v>
      </c>
      <c r="C3784" s="1" t="s">
        <v>18964</v>
      </c>
      <c r="D3784" s="1" t="s">
        <v>18965</v>
      </c>
      <c r="E3784" s="1" t="s">
        <v>18966</v>
      </c>
      <c r="F3784" s="1" t="s">
        <v>18967</v>
      </c>
      <c r="G3784" s="1" t="s">
        <v>18968</v>
      </c>
      <c r="H3784" s="1" t="str">
        <f>IFERROR(__xludf.DUMMYFUNCTION("GOOGLETRANSLATE(D3784,""EN"",""JA"")"),"マラリア原虫")</f>
        <v>マラリア原虫</v>
      </c>
      <c r="I3784" s="1" t="str">
        <f>IFERROR(__xludf.DUMMYFUNCTION("GOOGLETRANSLATE(E3784,""EN"",""JA"")"),"マラリア; マラリア原虫")</f>
        <v>マラリア; マラリア原虫</v>
      </c>
      <c r="J3784" s="1" t="str">
        <f>IFERROR(__xludf.DUMMYFUNCTION("GOOGLETRANSLATE(F3784,""EN"",""JA"")"),"生物標本を検査して、マラリア原虫属に属する原生動物の存在を検出します。")</f>
        <v>生物標本を検査して、マラリア原虫属に属する原生動物の存在を検出します。</v>
      </c>
      <c r="K3784" s="1" t="str">
        <f>IFERROR(__xludf.DUMMYFUNCTION("GOOGLETRANSLATE(G3784,""EN"",""JA"")"),"マラリア原虫測定")</f>
        <v>マラリア原虫測定</v>
      </c>
    </row>
    <row r="3785" ht="13.5" customHeight="1">
      <c r="A3785" s="1" t="s">
        <v>67</v>
      </c>
      <c r="B3785" s="1" t="s">
        <v>18969</v>
      </c>
      <c r="C3785" s="1" t="s">
        <v>18970</v>
      </c>
      <c r="D3785" s="1" t="s">
        <v>18971</v>
      </c>
      <c r="E3785" s="1" t="s">
        <v>18971</v>
      </c>
      <c r="F3785" s="1" t="s">
        <v>18972</v>
      </c>
      <c r="G3785" s="1" t="s">
        <v>18973</v>
      </c>
      <c r="H3785" s="1" t="str">
        <f>IFERROR(__xludf.DUMMYFUNCTION("GOOGLETRANSLATE(D3785,""EN"",""JA"")"),"マラリア原虫（無性生殖）")</f>
        <v>マラリア原虫（無性生殖）</v>
      </c>
      <c r="I3785" s="1" t="str">
        <f>IFERROR(__xludf.DUMMYFUNCTION("GOOGLETRANSLATE(E3785,""EN"",""JA"")"),"マラリア原虫（無性生殖）")</f>
        <v>マラリア原虫（無性生殖）</v>
      </c>
      <c r="J3785" s="1" t="str">
        <f>IFERROR(__xludf.DUMMYFUNCTION("GOOGLETRANSLATE(F3785,""EN"",""JA"")"),"生物標本における無性複製段階にある Plasmodium 属原生動物の測定。")</f>
        <v>生物標本における無性複製段階にある Plasmodium 属原生動物の測定。</v>
      </c>
      <c r="K3785" s="1" t="str">
        <f>IFERROR(__xludf.DUMMYFUNCTION("GOOGLETRANSLATE(G3785,""EN"",""JA"")"),"無性生殖マラリア原虫の測定")</f>
        <v>無性生殖マラリア原虫の測定</v>
      </c>
    </row>
    <row r="3786" ht="13.5" customHeight="1">
      <c r="A3786" s="1" t="s">
        <v>67</v>
      </c>
      <c r="B3786" s="1" t="s">
        <v>18974</v>
      </c>
      <c r="C3786" s="1" t="s">
        <v>18975</v>
      </c>
      <c r="D3786" s="1" t="s">
        <v>18976</v>
      </c>
      <c r="E3786" s="1" t="s">
        <v>18976</v>
      </c>
      <c r="F3786" s="1" t="s">
        <v>18977</v>
      </c>
      <c r="G3786" s="1" t="s">
        <v>18978</v>
      </c>
      <c r="H3786" s="1" t="str">
        <f>IFERROR(__xludf.DUMMYFUNCTION("GOOGLETRANSLATE(D3786,""EN"",""JA"")"),"マラリア原虫、性的")</f>
        <v>マラリア原虫、性的</v>
      </c>
      <c r="I3786" s="1" t="str">
        <f>IFERROR(__xludf.DUMMYFUNCTION("GOOGLETRANSLATE(E3786,""EN"",""JA"")"),"マラリア原虫、性的")</f>
        <v>マラリア原虫、性的</v>
      </c>
      <c r="J3786" s="1" t="str">
        <f>IFERROR(__xludf.DUMMYFUNCTION("GOOGLETRANSLATE(F3786,""EN"",""JA"")"),"生物標本における有性生殖段階にある Plasmodium 属原生動物の測定。")</f>
        <v>生物標本における有性生殖段階にある Plasmodium 属原生動物の測定。</v>
      </c>
      <c r="K3786" s="1" t="str">
        <f>IFERROR(__xludf.DUMMYFUNCTION("GOOGLETRANSLATE(G3786,""EN"",""JA"")"),"性感染症マラリア原虫測定")</f>
        <v>性感染症マラリア原虫測定</v>
      </c>
    </row>
    <row r="3787" ht="13.5" customHeight="1">
      <c r="A3787" s="1" t="s">
        <v>11</v>
      </c>
      <c r="B3787" s="1" t="s">
        <v>18979</v>
      </c>
      <c r="C3787" s="1" t="s">
        <v>18980</v>
      </c>
      <c r="D3787" s="1" t="s">
        <v>18981</v>
      </c>
      <c r="E3787" s="1" t="s">
        <v>18982</v>
      </c>
      <c r="F3787" s="1" t="s">
        <v>18983</v>
      </c>
      <c r="G3787" s="1" t="s">
        <v>18984</v>
      </c>
      <c r="H3787" s="1" t="str">
        <f>IFERROR(__xludf.DUMMYFUNCTION("GOOGLETRANSLATE(D3787,""EN"",""JA"")"),"腫瘍性形質細胞")</f>
        <v>腫瘍性形質細胞</v>
      </c>
      <c r="I3787" s="1" t="str">
        <f>IFERROR(__xludf.DUMMYFUNCTION("GOOGLETRANSLATE(E3787,""EN"",""JA"")"),"モノクローナル形質細胞；単型形質細胞；腫瘍性形質細胞")</f>
        <v>モノクローナル形質細胞；単型形質細胞；腫瘍性形質細胞</v>
      </c>
      <c r="J3787" s="1" t="str">
        <f>IFERROR(__xludf.DUMMYFUNCTION("GOOGLETRANSLATE(F3787,""EN"",""JA"")"),"生物標本中の腫瘍性形質細胞の測定。")</f>
        <v>生物標本中の腫瘍性形質細胞の測定。</v>
      </c>
      <c r="K3787" s="1" t="str">
        <f>IFERROR(__xludf.DUMMYFUNCTION("GOOGLETRANSLATE(G3787,""EN"",""JA"")"),"腫瘍性形質細胞数")</f>
        <v>腫瘍性形質細胞数</v>
      </c>
    </row>
    <row r="3788" ht="13.5" customHeight="1">
      <c r="A3788" s="1" t="s">
        <v>11</v>
      </c>
      <c r="B3788" s="1" t="s">
        <v>18985</v>
      </c>
      <c r="C3788" s="1" t="s">
        <v>18986</v>
      </c>
      <c r="D3788" s="1" t="s">
        <v>18987</v>
      </c>
      <c r="E3788" s="1" t="s">
        <v>18988</v>
      </c>
      <c r="F3788" s="1" t="s">
        <v>18989</v>
      </c>
      <c r="G3788" s="1" t="s">
        <v>18990</v>
      </c>
      <c r="H3788" s="1" t="str">
        <f>IFERROR(__xludf.DUMMYFUNCTION("GOOGLETRANSLATE(D3788,""EN"",""JA"")"),"前駆形質細胞")</f>
        <v>前駆形質細胞</v>
      </c>
      <c r="I3788" s="1" t="str">
        <f>IFERROR(__xludf.DUMMYFUNCTION("GOOGLETRANSLATE(E3788,""EN"",""JA"")"),"プラズマブラスト; 前駆形質細胞")</f>
        <v>プラズマブラスト; 前駆形質細胞</v>
      </c>
      <c r="J3788" s="1" t="str">
        <f>IFERROR(__xludf.DUMMYFUNCTION("GOOGLETRANSLATE(F3788,""EN"",""JA"")"),"生物標本中の前駆（芽球段階）形質細胞（抗原刺激によってB細胞から派生した抗体分泌細胞）の測定。")</f>
        <v>生物標本中の前駆（芽球段階）形質細胞（抗原刺激によってB細胞から派生した抗体分泌細胞）の測定。</v>
      </c>
      <c r="K3788" s="1" t="str">
        <f>IFERROR(__xludf.DUMMYFUNCTION("GOOGLETRANSLATE(G3788,""EN"",""JA"")"),"前駆形質細胞数")</f>
        <v>前駆形質細胞数</v>
      </c>
    </row>
    <row r="3789" ht="13.5" customHeight="1">
      <c r="A3789" s="1" t="s">
        <v>11</v>
      </c>
      <c r="B3789" s="1" t="s">
        <v>18991</v>
      </c>
      <c r="C3789" s="1" t="s">
        <v>18992</v>
      </c>
      <c r="D3789" s="1" t="s">
        <v>18993</v>
      </c>
      <c r="E3789" s="1" t="s">
        <v>18993</v>
      </c>
      <c r="F3789" s="1" t="s">
        <v>18994</v>
      </c>
      <c r="G3789" s="1" t="s">
        <v>18995</v>
      </c>
      <c r="H3789" s="1" t="str">
        <f>IFERROR(__xludf.DUMMYFUNCTION("GOOGLETRANSLATE(D3789,""EN"",""JA"")"),"前駆形質細胞/リンパ球")</f>
        <v>前駆形質細胞/リンパ球</v>
      </c>
      <c r="I3789" s="1" t="str">
        <f>IFERROR(__xludf.DUMMYFUNCTION("GOOGLETRANSLATE(E3789,""EN"",""JA"")"),"前駆形質細胞/リンパ球")</f>
        <v>前駆形質細胞/リンパ球</v>
      </c>
      <c r="J3789" s="1" t="str">
        <f>IFERROR(__xludf.DUMMYFUNCTION("GOOGLETRANSLATE(F3789,""EN"",""JA"")"),"生物標本中のすべてのリンパ球に対する前駆（芽球段階）形質細胞（抗原刺激によって B 細胞から生成された抗体分泌細胞）の相対的な測定値（比率またはパーセンテージ）。")</f>
        <v>生物標本中のすべてのリンパ球に対する前駆（芽球段階）形質細胞（抗原刺激によって B 細胞から生成された抗体分泌細胞）の相対的な測定値（比率またはパーセンテージ）。</v>
      </c>
      <c r="K3789" s="1" t="str">
        <f>IFERROR(__xludf.DUMMYFUNCTION("GOOGLETRANSLATE(G3789,""EN"",""JA"")"),"前駆形質細胞とリンパ球の比率測定")</f>
        <v>前駆形質細胞とリンパ球の比率測定</v>
      </c>
    </row>
    <row r="3790" ht="13.5" customHeight="1">
      <c r="A3790" s="1" t="s">
        <v>11</v>
      </c>
      <c r="B3790" s="1" t="s">
        <v>18996</v>
      </c>
      <c r="C3790" s="1" t="s">
        <v>18997</v>
      </c>
      <c r="D3790" s="1" t="s">
        <v>18998</v>
      </c>
      <c r="E3790" s="1" t="s">
        <v>18998</v>
      </c>
      <c r="F3790" s="1" t="s">
        <v>18999</v>
      </c>
      <c r="G3790" s="1" t="s">
        <v>19000</v>
      </c>
      <c r="H3790" s="1" t="str">
        <f>IFERROR(__xludf.DUMMYFUNCTION("GOOGLETRANSLATE(D3790,""EN"",""JA"")"),"総形質細胞数")</f>
        <v>総形質細胞数</v>
      </c>
      <c r="I3790" s="1" t="str">
        <f>IFERROR(__xludf.DUMMYFUNCTION("GOOGLETRANSLATE(E3790,""EN"",""JA"")"),"総形質細胞数")</f>
        <v>総形質細胞数</v>
      </c>
      <c r="J3790" s="1" t="str">
        <f>IFERROR(__xludf.DUMMYFUNCTION("GOOGLETRANSLATE(F3790,""EN"",""JA"")"),"生物標本中の総形質細胞数の測定。")</f>
        <v>生物標本中の総形質細胞数の測定。</v>
      </c>
      <c r="K3790" s="1" t="str">
        <f>IFERROR(__xludf.DUMMYFUNCTION("GOOGLETRANSLATE(G3790,""EN"",""JA"")"),"形質細胞数")</f>
        <v>形質細胞数</v>
      </c>
    </row>
    <row r="3791" ht="13.5" customHeight="1">
      <c r="A3791" s="1" t="s">
        <v>134</v>
      </c>
      <c r="B3791" s="1" t="s">
        <v>19001</v>
      </c>
      <c r="C3791" s="1" t="s">
        <v>19002</v>
      </c>
      <c r="D3791" s="1" t="s">
        <v>19003</v>
      </c>
      <c r="E3791" s="1" t="s">
        <v>19004</v>
      </c>
      <c r="F3791" s="1" t="s">
        <v>19005</v>
      </c>
      <c r="G3791" s="1" t="s">
        <v>19006</v>
      </c>
      <c r="H3791" s="1" t="str">
        <f>IFERROR(__xludf.DUMMYFUNCTION("GOOGLETRANSLATE(D3791,""EN"",""JA"")"),"総形質細胞数/総細胞数")</f>
        <v>総形質細胞数/総細胞数</v>
      </c>
      <c r="I3791" s="1" t="str">
        <f>IFERROR(__xludf.DUMMYFUNCTION("GOOGLETRANSLATE(E3791,""EN"",""JA"")"),"形質細胞/総細胞; 総形質細胞/総細胞")</f>
        <v>形質細胞/総細胞; 総形質細胞/総細胞</v>
      </c>
      <c r="J3791" s="1" t="str">
        <f>IFERROR(__xludf.DUMMYFUNCTION("GOOGLETRANSLATE(F3791,""EN"",""JA"")"),"生物標本内の総細胞数に対する総形質細胞の相対的な測定値（比率またはパーセンテージ）。")</f>
        <v>生物標本内の総細胞数に対する総形質細胞の相対的な測定値（比率またはパーセンテージ）。</v>
      </c>
      <c r="K3791" s="1" t="str">
        <f>IFERROR(__xludf.DUMMYFUNCTION("GOOGLETRANSLATE(G3791,""EN"",""JA"")"),"形質細胞対総細胞比測定")</f>
        <v>形質細胞対総細胞比測定</v>
      </c>
    </row>
    <row r="3792" ht="13.5" customHeight="1">
      <c r="A3792" s="1" t="s">
        <v>11</v>
      </c>
      <c r="B3792" s="1" t="s">
        <v>19001</v>
      </c>
      <c r="C3792" s="1" t="s">
        <v>19002</v>
      </c>
      <c r="D3792" s="1" t="s">
        <v>19003</v>
      </c>
      <c r="E3792" s="1" t="s">
        <v>19004</v>
      </c>
      <c r="F3792" s="1" t="s">
        <v>19005</v>
      </c>
      <c r="G3792" s="1" t="s">
        <v>19006</v>
      </c>
      <c r="H3792" s="1" t="str">
        <f>IFERROR(__xludf.DUMMYFUNCTION("GOOGLETRANSLATE(D3792,""EN"",""JA"")"),"総形質細胞数/総細胞数")</f>
        <v>総形質細胞数/総細胞数</v>
      </c>
      <c r="I3792" s="1" t="str">
        <f>IFERROR(__xludf.DUMMYFUNCTION("GOOGLETRANSLATE(E3792,""EN"",""JA"")"),"形質細胞/総細胞; 総形質細胞/総細胞")</f>
        <v>形質細胞/総細胞; 総形質細胞/総細胞</v>
      </c>
      <c r="J3792" s="1" t="str">
        <f>IFERROR(__xludf.DUMMYFUNCTION("GOOGLETRANSLATE(F3792,""EN"",""JA"")"),"生物標本内の総細胞数に対する総形質細胞の相対的な測定値（比率またはパーセンテージ）。")</f>
        <v>生物標本内の総細胞数に対する総形質細胞の相対的な測定値（比率またはパーセンテージ）。</v>
      </c>
      <c r="K3792" s="1" t="str">
        <f>IFERROR(__xludf.DUMMYFUNCTION("GOOGLETRANSLATE(G3792,""EN"",""JA"")"),"形質細胞対総細胞比測定")</f>
        <v>形質細胞対総細胞比測定</v>
      </c>
    </row>
    <row r="3793" ht="13.5" customHeight="1">
      <c r="A3793" s="1" t="s">
        <v>11</v>
      </c>
      <c r="B3793" s="1" t="s">
        <v>19007</v>
      </c>
      <c r="C3793" s="1" t="s">
        <v>19008</v>
      </c>
      <c r="D3793" s="1" t="s">
        <v>19009</v>
      </c>
      <c r="E3793" s="1" t="s">
        <v>19010</v>
      </c>
      <c r="F3793" s="1" t="s">
        <v>19011</v>
      </c>
      <c r="G3793" s="1" t="s">
        <v>19012</v>
      </c>
      <c r="H3793" s="1" t="str">
        <f>IFERROR(__xludf.DUMMYFUNCTION("GOOGLETRANSLATE(D3793,""EN"",""JA"")"),"総形質細胞/白血球")</f>
        <v>総形質細胞/白血球</v>
      </c>
      <c r="I3793" s="1" t="str">
        <f>IFERROR(__xludf.DUMMYFUNCTION("GOOGLETRANSLATE(E3793,""EN"",""JA"")"),"形質細胞/白血球; 総形質細胞/白血球")</f>
        <v>形質細胞/白血球; 総形質細胞/白血球</v>
      </c>
      <c r="J3793" s="1" t="str">
        <f>IFERROR(__xludf.DUMMYFUNCTION("GOOGLETRANSLATE(F3793,""EN"",""JA"")"),"生物標本中の白血球に対する総形質細胞の相対的な測定値（比率またはパーセンテージ）。")</f>
        <v>生物標本中の白血球に対する総形質細胞の相対的な測定値（比率またはパーセンテージ）。</v>
      </c>
      <c r="K3793" s="1" t="str">
        <f>IFERROR(__xludf.DUMMYFUNCTION("GOOGLETRANSLATE(G3793,""EN"",""JA"")"),"形質細胞と白血球の比率測定")</f>
        <v>形質細胞と白血球の比率測定</v>
      </c>
    </row>
    <row r="3794" ht="13.5" customHeight="1">
      <c r="A3794" s="1" t="s">
        <v>11</v>
      </c>
      <c r="B3794" s="1" t="s">
        <v>19013</v>
      </c>
      <c r="C3794" s="1" t="s">
        <v>19014</v>
      </c>
      <c r="D3794" s="1" t="s">
        <v>19015</v>
      </c>
      <c r="E3794" s="1" t="s">
        <v>19015</v>
      </c>
      <c r="F3794" s="1" t="s">
        <v>19016</v>
      </c>
      <c r="G3794" s="1" t="s">
        <v>19017</v>
      </c>
      <c r="H3794" s="1" t="str">
        <f>IFERROR(__xludf.DUMMYFUNCTION("GOOGLETRANSLATE(D3794,""EN"",""JA"")"),"総形質細胞/リンパ球")</f>
        <v>総形質細胞/リンパ球</v>
      </c>
      <c r="I3794" s="1" t="str">
        <f>IFERROR(__xludf.DUMMYFUNCTION("GOOGLETRANSLATE(E3794,""EN"",""JA"")"),"総形質細胞/リンパ球")</f>
        <v>総形質細胞/リンパ球</v>
      </c>
      <c r="J3794" s="1" t="str">
        <f>IFERROR(__xludf.DUMMYFUNCTION("GOOGLETRANSLATE(F3794,""EN"",""JA"")"),"生物標本中のリンパ球に対する総形質細胞の相対的な測定値（比率またはパーセンテージ）。")</f>
        <v>生物標本中のリンパ球に対する総形質細胞の相対的な測定値（比率またはパーセンテージ）。</v>
      </c>
      <c r="K3794" s="1" t="str">
        <f>IFERROR(__xludf.DUMMYFUNCTION("GOOGLETRANSLATE(G3794,""EN"",""JA"")"),"形質細胞とリンパ球の比率の測定")</f>
        <v>形質細胞とリンパ球の比率の測定</v>
      </c>
    </row>
    <row r="3795" ht="13.5" customHeight="1">
      <c r="A3795" s="1" t="s">
        <v>11</v>
      </c>
      <c r="B3795" s="1" t="s">
        <v>19018</v>
      </c>
      <c r="C3795" s="1" t="s">
        <v>19019</v>
      </c>
      <c r="D3795" s="1" t="s">
        <v>19020</v>
      </c>
      <c r="E3795" s="1" t="s">
        <v>19020</v>
      </c>
      <c r="F3795" s="1" t="s">
        <v>19021</v>
      </c>
      <c r="G3795" s="1" t="s">
        <v>19022</v>
      </c>
      <c r="H3795" s="1" t="str">
        <f>IFERROR(__xludf.DUMMYFUNCTION("GOOGLETRANSLATE(D3795,""EN"",""JA"")"),"血小板凝集振幅")</f>
        <v>血小板凝集振幅</v>
      </c>
      <c r="I3795" s="1" t="str">
        <f>IFERROR(__xludf.DUMMYFUNCTION("GOOGLETRANSLATE(E3795,""EN"",""JA"")"),"血小板凝集振幅")</f>
        <v>血小板凝集振幅</v>
      </c>
      <c r="J3795" s="1" t="str">
        <f>IFERROR(__xludf.DUMMYFUNCTION("GOOGLETRANSLATE(F3795,""EN"",""JA"")"),"生物標本中の血小板凝集の程度の測定値。")</f>
        <v>生物標本中の血小板凝集の程度の測定値。</v>
      </c>
      <c r="K3795" s="1" t="str">
        <f>IFERROR(__xludf.DUMMYFUNCTION("GOOGLETRANSLATE(G3795,""EN"",""JA"")"),"血小板凝集振幅測定")</f>
        <v>血小板凝集振幅測定</v>
      </c>
    </row>
    <row r="3796" ht="13.5" customHeight="1">
      <c r="A3796" s="1" t="s">
        <v>176</v>
      </c>
      <c r="B3796" s="1" t="s">
        <v>19023</v>
      </c>
      <c r="C3796" s="1" t="s">
        <v>19024</v>
      </c>
      <c r="D3796" s="1" t="s">
        <v>19025</v>
      </c>
      <c r="E3796" s="1" t="s">
        <v>19025</v>
      </c>
      <c r="F3796" s="1" t="s">
        <v>19026</v>
      </c>
      <c r="G3796" s="1" t="s">
        <v>19025</v>
      </c>
      <c r="H3796" s="1" t="str">
        <f>IFERROR(__xludf.DUMMYFUNCTION("GOOGLETRANSLATE(D3796,""EN"",""JA"")"),"足底把握反射")</f>
        <v>足底把握反射</v>
      </c>
      <c r="I3796" s="1" t="str">
        <f>IFERROR(__xludf.DUMMYFUNCTION("GOOGLETRANSLATE(E3796,""EN"",""JA"")"),"足底把握反射")</f>
        <v>足底把握反射</v>
      </c>
      <c r="J3796" s="1" t="str">
        <f>IFERROR(__xludf.DUMMYFUNCTION("GOOGLETRANSLATE(F3796,""EN"",""JA"")"),"新生児の不随意な原始的反応であり、足の裏を撫でられたときに足指が曲がるという特徴があります。")</f>
        <v>新生児の不随意な原始的反応であり、足の裏を撫でられたときに足指が曲がるという特徴があります。</v>
      </c>
      <c r="K3796" s="1" t="str">
        <f>IFERROR(__xludf.DUMMYFUNCTION("GOOGLETRANSLATE(G3796,""EN"",""JA"")"),"足底把握反射")</f>
        <v>足底把握反射</v>
      </c>
    </row>
    <row r="3797" ht="13.5" customHeight="1">
      <c r="A3797" s="1" t="s">
        <v>11</v>
      </c>
      <c r="B3797" s="1" t="s">
        <v>19027</v>
      </c>
      <c r="C3797" s="1" t="s">
        <v>19028</v>
      </c>
      <c r="D3797" s="1" t="s">
        <v>19029</v>
      </c>
      <c r="E3797" s="1" t="s">
        <v>19030</v>
      </c>
      <c r="F3797" s="1" t="s">
        <v>19031</v>
      </c>
      <c r="G3797" s="1" t="s">
        <v>19032</v>
      </c>
      <c r="H3797" s="1" t="str">
        <f>IFERROR(__xludf.DUMMYFUNCTION("GOOGLETRANSLATE(D3797,""EN"",""JA"")"),"未熟血小板/総血小板")</f>
        <v>未熟血小板/総血小板</v>
      </c>
      <c r="I3797" s="1" t="str">
        <f>IFERROR(__xludf.DUMMYFUNCTION("GOOGLETRANSLATE(E3797,""EN"",""JA"")"),"未熟血小板分画；未熟血小板／総血小板；IPF；網状血小板／総血小板")</f>
        <v>未熟血小板分画；未熟血小板／総血小板；IPF；網状血小板／総血小板</v>
      </c>
      <c r="J3797" s="1" t="str">
        <f>IFERROR(__xludf.DUMMYFUNCTION("GOOGLETRANSLATE(F3797,""EN"",""JA"")"),"生物標本中の総血小板に対する未熟血小板の相対的な測定値（比率またはパーセンテージ）。")</f>
        <v>生物標本中の総血小板に対する未熟血小板の相対的な測定値（比率またはパーセンテージ）。</v>
      </c>
      <c r="K3797" s="1" t="str">
        <f>IFERROR(__xludf.DUMMYFUNCTION("GOOGLETRANSLATE(G3797,""EN"",""JA"")"),"未熟血小板対総血小板比測定")</f>
        <v>未熟血小板対総血小板比測定</v>
      </c>
    </row>
    <row r="3798" ht="13.5" customHeight="1">
      <c r="A3798" s="1" t="s">
        <v>11</v>
      </c>
      <c r="B3798" s="1" t="s">
        <v>19033</v>
      </c>
      <c r="C3798" s="1" t="s">
        <v>19034</v>
      </c>
      <c r="D3798" s="1" t="s">
        <v>19035</v>
      </c>
      <c r="E3798" s="1" t="s">
        <v>19036</v>
      </c>
      <c r="F3798" s="1" t="s">
        <v>19037</v>
      </c>
      <c r="G3798" s="1" t="s">
        <v>19038</v>
      </c>
      <c r="H3798" s="1" t="str">
        <f>IFERROR(__xludf.DUMMYFUNCTION("GOOGLETRANSLATE(D3798,""EN"",""JA"")"),"大血小板/総血小板")</f>
        <v>大血小板/総血小板</v>
      </c>
      <c r="I3798" s="1" t="str">
        <f>IFERROR(__xludf.DUMMYFUNCTION("GOOGLETRANSLATE(E3798,""EN"",""JA"")"),"大血小板/総血小板; 血小板大細胞比; PLCR")</f>
        <v>大血小板/総血小板; 血小板大細胞比; PLCR</v>
      </c>
      <c r="J3798" s="1" t="str">
        <f>IFERROR(__xludf.DUMMYFUNCTION("GOOGLETRANSLATE(F3798,""EN"",""JA"")"),"生物標本中の総血小板数に対する大血小板数の相対的な測定値（比率またはパーセンテージ）。")</f>
        <v>生物標本中の総血小板数に対する大血小板数の相対的な測定値（比率またはパーセンテージ）。</v>
      </c>
      <c r="K3798" s="1" t="str">
        <f>IFERROR(__xludf.DUMMYFUNCTION("GOOGLETRANSLATE(G3798,""EN"",""JA"")"),"大血小板対総血小板比測定")</f>
        <v>大血小板対総血小板比測定</v>
      </c>
    </row>
    <row r="3799" ht="13.5" customHeight="1">
      <c r="A3799" s="1" t="s">
        <v>11</v>
      </c>
      <c r="B3799" s="1" t="s">
        <v>19039</v>
      </c>
      <c r="C3799" s="1" t="s">
        <v>19040</v>
      </c>
      <c r="D3799" s="1" t="s">
        <v>19041</v>
      </c>
      <c r="E3799" s="1" t="s">
        <v>19041</v>
      </c>
      <c r="F3799" s="1" t="s">
        <v>19042</v>
      </c>
      <c r="G3799" s="1" t="s">
        <v>19043</v>
      </c>
      <c r="H3799" s="1" t="str">
        <f>IFERROR(__xludf.DUMMYFUNCTION("GOOGLETRANSLATE(D3799,""EN"",""JA"")"),"血小板の形態")</f>
        <v>血小板の形態</v>
      </c>
      <c r="I3799" s="1" t="str">
        <f>IFERROR(__xludf.DUMMYFUNCTION("GOOGLETRANSLATE(E3799,""EN"",""JA"")"),"血小板の形態")</f>
        <v>血小板の形態</v>
      </c>
      <c r="J3799" s="1" t="str">
        <f>IFERROR(__xludf.DUMMYFUNCTION("GOOGLETRANSLATE(F3799,""EN"",""JA"")"),"血小板の形状と構造の検査または評価。")</f>
        <v>血小板の形状と構造の検査または評価。</v>
      </c>
      <c r="K3799" s="1" t="str">
        <f>IFERROR(__xludf.DUMMYFUNCTION("GOOGLETRANSLATE(G3799,""EN"",""JA"")"),"血小板形態測定")</f>
        <v>血小板形態測定</v>
      </c>
    </row>
    <row r="3800" ht="13.5" customHeight="1">
      <c r="A3800" s="1" t="s">
        <v>11</v>
      </c>
      <c r="B3800" s="1" t="s">
        <v>19044</v>
      </c>
      <c r="C3800" s="1" t="s">
        <v>19045</v>
      </c>
      <c r="D3800" s="1" t="s">
        <v>19046</v>
      </c>
      <c r="E3800" s="1" t="s">
        <v>19046</v>
      </c>
      <c r="F3800" s="1" t="s">
        <v>19047</v>
      </c>
      <c r="G3800" s="1" t="s">
        <v>19046</v>
      </c>
      <c r="H3800" s="1" t="str">
        <f>IFERROR(__xludf.DUMMYFUNCTION("GOOGLETRANSLATE(D3800,""EN"",""JA"")"),"血小板質量分布幅")</f>
        <v>血小板質量分布幅</v>
      </c>
      <c r="I3800" s="1" t="str">
        <f>IFERROR(__xludf.DUMMYFUNCTION("GOOGLETRANSLATE(E3800,""EN"",""JA"")"),"血小板質量分布幅")</f>
        <v>血小板質量分布幅</v>
      </c>
      <c r="J3800" s="1" t="str">
        <f>IFERROR(__xludf.DUMMYFUNCTION("GOOGLETRANSLATE(F3800,""EN"",""JA"")"),"生物標本内の血小板乾燥質量分布の 2 つの標準偏差によって定義される変動を表す測定値。")</f>
        <v>生物標本内の血小板乾燥質量分布の 2 つの標準偏差によって定義される変動を表す測定値。</v>
      </c>
      <c r="K3800" s="1" t="str">
        <f>IFERROR(__xludf.DUMMYFUNCTION("GOOGLETRANSLATE(G3800,""EN"",""JA"")"),"血小板質量分布幅")</f>
        <v>血小板質量分布幅</v>
      </c>
    </row>
    <row r="3801" ht="13.5" customHeight="1">
      <c r="A3801" s="1" t="s">
        <v>67</v>
      </c>
      <c r="B3801" s="1" t="s">
        <v>19048</v>
      </c>
      <c r="C3801" s="1" t="s">
        <v>19049</v>
      </c>
      <c r="D3801" s="1" t="s">
        <v>19050</v>
      </c>
      <c r="E3801" s="1" t="s">
        <v>19050</v>
      </c>
      <c r="F3801" s="1" t="s">
        <v>19051</v>
      </c>
      <c r="G3801" s="1" t="s">
        <v>19052</v>
      </c>
      <c r="H3801" s="1" t="str">
        <f>IFERROR(__xludf.DUMMYFUNCTION("GOOGLETRANSLATE(D3801,""EN"",""JA"")"),"シュードモナス・メンドシナ")</f>
        <v>シュードモナス・メンドシナ</v>
      </c>
      <c r="I3801" s="1" t="str">
        <f>IFERROR(__xludf.DUMMYFUNCTION("GOOGLETRANSLATE(E3801,""EN"",""JA"")"),"シュードモナス・メンドシナ")</f>
        <v>シュードモナス・メンドシナ</v>
      </c>
      <c r="J3801" s="1" t="str">
        <f>IFERROR(__xludf.DUMMYFUNCTION("GOOGLETRANSLATE(F3801,""EN"",""JA"")"),"生物標本中の Pseudomonas mendocina の測定。")</f>
        <v>生物標本中の Pseudomonas mendocina の測定。</v>
      </c>
      <c r="K3801" s="1" t="str">
        <f>IFERROR(__xludf.DUMMYFUNCTION("GOOGLETRANSLATE(G3801,""EN"",""JA"")"),"シュードモナス・メンドシーナの測定")</f>
        <v>シュードモナス・メンドシーナの測定</v>
      </c>
    </row>
    <row r="3802" ht="13.5" customHeight="1">
      <c r="A3802" s="1" t="s">
        <v>134</v>
      </c>
      <c r="B3802" s="1" t="s">
        <v>19053</v>
      </c>
      <c r="C3802" s="1" t="s">
        <v>19054</v>
      </c>
      <c r="D3802" s="1" t="s">
        <v>19055</v>
      </c>
      <c r="E3802" s="1" t="s">
        <v>19056</v>
      </c>
      <c r="F3802" s="1" t="s">
        <v>19057</v>
      </c>
      <c r="G3802" s="1" t="s">
        <v>19058</v>
      </c>
      <c r="H3802" s="1" t="str">
        <f>IFERROR(__xludf.DUMMYFUNCTION("GOOGLETRANSLATE(D3802,""EN"",""JA"")"),"プレメラノソームタンパク質")</f>
        <v>プレメラノソームタンパク質</v>
      </c>
      <c r="I3802" s="1" t="str">
        <f>IFERROR(__xludf.DUMMYFUNCTION("GOOGLETRANSLATE(E3802,""EN"",""JA"")"),"HMB-45; HMB45; メラノサイトタンパク質 PMEL; メラノソームマトリックスタンパク質17; PMEL17; プレメラノソームタンパク質")</f>
        <v>HMB-45; HMB45; メラノサイトタンパク質 PMEL; メラノソームマトリックスタンパク質17; PMEL17; プレメラノソームタンパク質</v>
      </c>
      <c r="J3802" s="1" t="str">
        <f>IFERROR(__xludf.DUMMYFUNCTION("GOOGLETRANSLATE(F3802,""EN"",""JA"")"),"生物標本中のプレマラノソームタンパク質の測定。")</f>
        <v>生物標本中のプレマラノソームタンパク質の測定。</v>
      </c>
      <c r="K3802" s="1" t="str">
        <f>IFERROR(__xludf.DUMMYFUNCTION("GOOGLETRANSLATE(G3802,""EN"",""JA"")"),"メラノサイトタンパク質PMEL測定")</f>
        <v>メラノサイトタンパク質PMEL測定</v>
      </c>
    </row>
    <row r="3803" ht="13.5" customHeight="1">
      <c r="A3803" s="1" t="s">
        <v>67</v>
      </c>
      <c r="B3803" s="1" t="s">
        <v>19059</v>
      </c>
      <c r="C3803" s="1" t="s">
        <v>19060</v>
      </c>
      <c r="D3803" s="1" t="s">
        <v>19061</v>
      </c>
      <c r="E3803" s="1" t="s">
        <v>19061</v>
      </c>
      <c r="F3803" s="1" t="s">
        <v>19062</v>
      </c>
      <c r="G3803" s="1" t="s">
        <v>19063</v>
      </c>
      <c r="H3803" s="1" t="str">
        <f>IFERROR(__xludf.DUMMYFUNCTION("GOOGLETRANSLATE(D3803,""EN"",""JA"")"),"プロテウス・ミラビリス")</f>
        <v>プロテウス・ミラビリス</v>
      </c>
      <c r="I3803" s="1" t="str">
        <f>IFERROR(__xludf.DUMMYFUNCTION("GOOGLETRANSLATE(E3803,""EN"",""JA"")"),"プロテウス・ミラビリス")</f>
        <v>プロテウス・ミラビリス</v>
      </c>
      <c r="J3803" s="1" t="str">
        <f>IFERROR(__xludf.DUMMYFUNCTION("GOOGLETRANSLATE(F3803,""EN"",""JA"")"),"生物標本中の Proteus mirabilis の測定。")</f>
        <v>生物標本中の Proteus mirabilis の測定。</v>
      </c>
      <c r="K3803" s="1" t="str">
        <f>IFERROR(__xludf.DUMMYFUNCTION("GOOGLETRANSLATE(G3803,""EN"",""JA"")"),"プロテウス・ミラビリス測定")</f>
        <v>プロテウス・ミラビリス測定</v>
      </c>
    </row>
    <row r="3804" ht="13.5" customHeight="1">
      <c r="A3804" s="1" t="s">
        <v>134</v>
      </c>
      <c r="B3804" s="1" t="s">
        <v>19064</v>
      </c>
      <c r="C3804" s="1" t="s">
        <v>19065</v>
      </c>
      <c r="D3804" s="1" t="s">
        <v>19066</v>
      </c>
      <c r="E3804" s="1" t="s">
        <v>19067</v>
      </c>
      <c r="F3804" s="1" t="s">
        <v>19068</v>
      </c>
      <c r="G3804" s="1" t="s">
        <v>19069</v>
      </c>
      <c r="H3804" s="1" t="str">
        <f>IFERROR(__xludf.DUMMYFUNCTION("GOOGLETRANSLATE(D3804,""EN"",""JA"")"),"前癌細胞")</f>
        <v>前癌細胞</v>
      </c>
      <c r="I3804" s="1" t="str">
        <f>IFERROR(__xludf.DUMMYFUNCTION("GOOGLETRANSLATE(E3804,""EN"",""JA"")"),"前癌細胞; 前癌病変")</f>
        <v>前癌細胞; 前癌病変</v>
      </c>
      <c r="J3804" s="1" t="str">
        <f>IFERROR(__xludf.DUMMYFUNCTION("GOOGLETRANSLATE(F3804,""EN"",""JA"")"),"生物標本中の前癌細胞の評価。")</f>
        <v>生物標本中の前癌細胞の評価。</v>
      </c>
      <c r="K3804" s="1" t="str">
        <f>IFERROR(__xludf.DUMMYFUNCTION("GOOGLETRANSLATE(G3804,""EN"",""JA"")"),"前癌細胞数")</f>
        <v>前癌細胞数</v>
      </c>
    </row>
    <row r="3805" ht="13.5" customHeight="1">
      <c r="A3805" s="1" t="s">
        <v>134</v>
      </c>
      <c r="B3805" s="1" t="s">
        <v>19070</v>
      </c>
      <c r="C3805" s="1" t="s">
        <v>19071</v>
      </c>
      <c r="D3805" s="1" t="s">
        <v>19072</v>
      </c>
      <c r="E3805" s="1" t="s">
        <v>19072</v>
      </c>
      <c r="F3805" s="1" t="s">
        <v>19073</v>
      </c>
      <c r="G3805" s="1" t="s">
        <v>19074</v>
      </c>
      <c r="H3805" s="1" t="str">
        <f>IFERROR(__xludf.DUMMYFUNCTION("GOOGLETRANSLATE(D3805,""EN"",""JA"")"),"前癌細胞の形態")</f>
        <v>前癌細胞の形態</v>
      </c>
      <c r="I3805" s="1" t="str">
        <f>IFERROR(__xludf.DUMMYFUNCTION("GOOGLETRANSLATE(E3805,""EN"",""JA"")"),"前癌細胞の形態")</f>
        <v>前癌細胞の形態</v>
      </c>
      <c r="J3805" s="1" t="str">
        <f>IFERROR(__xludf.DUMMYFUNCTION("GOOGLETRANSLATE(F3805,""EN"",""JA"")"),"前癌細胞の形状と構造の検査または評価。")</f>
        <v>前癌細胞の形状と構造の検査または評価。</v>
      </c>
      <c r="K3805" s="1" t="str">
        <f>IFERROR(__xludf.DUMMYFUNCTION("GOOGLETRANSLATE(G3805,""EN"",""JA"")"),"前癌細胞の形態評価")</f>
        <v>前癌細胞の形態評価</v>
      </c>
    </row>
    <row r="3806" ht="13.5" customHeight="1">
      <c r="A3806" s="1" t="s">
        <v>134</v>
      </c>
      <c r="B3806" s="1" t="s">
        <v>19075</v>
      </c>
      <c r="C3806" s="1" t="s">
        <v>19076</v>
      </c>
      <c r="D3806" s="1" t="s">
        <v>19077</v>
      </c>
      <c r="E3806" s="1" t="s">
        <v>19077</v>
      </c>
      <c r="F3806" s="1" t="s">
        <v>19078</v>
      </c>
      <c r="G3806" s="1" t="s">
        <v>19079</v>
      </c>
      <c r="H3806" s="1" t="str">
        <f>IFERROR(__xludf.DUMMYFUNCTION("GOOGLETRANSLATE(D3806,""EN"",""JA"")"),"上皮中の多形核細胞")</f>
        <v>上皮中の多形核細胞</v>
      </c>
      <c r="I3806" s="1" t="str">
        <f>IFERROR(__xludf.DUMMYFUNCTION("GOOGLETRANSLATE(E3806,""EN"",""JA"")"),"上皮中の多形核細胞")</f>
        <v>上皮中の多形核細胞</v>
      </c>
      <c r="J3806" s="1" t="str">
        <f>IFERROR(__xludf.DUMMYFUNCTION("GOOGLETRANSLATE(F3806,""EN"",""JA"")"),"生物標本における上皮内の多形核細胞の評価。")</f>
        <v>生物標本における上皮内の多形核細胞の評価。</v>
      </c>
      <c r="K3806" s="1" t="str">
        <f>IFERROR(__xludf.DUMMYFUNCTION("GOOGLETRANSLATE(G3806,""EN"",""JA"")"),"上皮細胞における多形核細胞の評価")</f>
        <v>上皮細胞における多形核細胞の評価</v>
      </c>
    </row>
    <row r="3807" ht="13.5" customHeight="1">
      <c r="A3807" s="1" t="s">
        <v>134</v>
      </c>
      <c r="B3807" s="1" t="s">
        <v>19080</v>
      </c>
      <c r="C3807" s="1" t="s">
        <v>19081</v>
      </c>
      <c r="D3807" s="1" t="s">
        <v>19082</v>
      </c>
      <c r="E3807" s="1" t="s">
        <v>19083</v>
      </c>
      <c r="F3807" s="1" t="s">
        <v>19084</v>
      </c>
      <c r="G3807" s="1" t="s">
        <v>19085</v>
      </c>
      <c r="H3807" s="1" t="str">
        <f>IFERROR(__xludf.DUMMYFUNCTION("GOOGLETRANSLATE(D3807,""EN"",""JA"")"),"粘膜固有層への多核白血球細胞の浸潤")</f>
        <v>粘膜固有層への多核白血球細胞の浸潤</v>
      </c>
      <c r="I3807" s="1" t="str">
        <f>IFERROR(__xludf.DUMMYFUNCTION("GOOGLETRANSLATE(E3807,""EN"",""JA"")"),"粘膜固有層への多形核白血球細胞の浸潤；粘膜固有層への多形核細胞の浸潤")</f>
        <v>粘膜固有層への多形核白血球細胞の浸潤；粘膜固有層への多形核細胞の浸潤</v>
      </c>
      <c r="J3807" s="1" t="str">
        <f>IFERROR(__xludf.DUMMYFUNCTION("GOOGLETRANSLATE(F3807,""EN"",""JA"")"),"生物標本の粘膜固有層における多形核細胞の浸潤の評価。")</f>
        <v>生物標本の粘膜固有層における多形核細胞の浸潤の評価。</v>
      </c>
      <c r="K3807" s="1" t="str">
        <f>IFERROR(__xludf.DUMMYFUNCTION("GOOGLETRANSLATE(G3807,""EN"",""JA"")"),"粘膜固有層への多形核細胞の浸潤の評価")</f>
        <v>粘膜固有層への多形核細胞の浸潤の評価</v>
      </c>
    </row>
    <row r="3808" ht="13.5" customHeight="1">
      <c r="A3808" s="1" t="s">
        <v>134</v>
      </c>
      <c r="B3808" s="1" t="s">
        <v>19086</v>
      </c>
      <c r="C3808" s="1" t="s">
        <v>19087</v>
      </c>
      <c r="D3808" s="1" t="s">
        <v>19088</v>
      </c>
      <c r="E3808" s="1" t="s">
        <v>19088</v>
      </c>
      <c r="F3808" s="1" t="s">
        <v>19089</v>
      </c>
      <c r="G3808" s="1" t="s">
        <v>19090</v>
      </c>
      <c r="H3808" s="1" t="str">
        <f>IFERROR(__xludf.DUMMYFUNCTION("GOOGLETRANSLATE(D3808,""EN"",""JA"")"),"PMS1ホモログ1")</f>
        <v>PMS1ホモログ1</v>
      </c>
      <c r="I3808" s="1" t="str">
        <f>IFERROR(__xludf.DUMMYFUNCTION("GOOGLETRANSLATE(E3808,""EN"",""JA"")"),"PMS1ホモログ1")</f>
        <v>PMS1ホモログ1</v>
      </c>
      <c r="J3808" s="1" t="str">
        <f>IFERROR(__xludf.DUMMYFUNCTION("GOOGLETRANSLATE(F3808,""EN"",""JA"")"),"生物学的標本中の PMS1 ミスマッチ修復タンパク質の測定。")</f>
        <v>生物学的標本中の PMS1 ミスマッチ修復タンパク質の測定。</v>
      </c>
      <c r="K3808" s="1" t="str">
        <f>IFERROR(__xludf.DUMMYFUNCTION("GOOGLETRANSLATE(G3808,""EN"",""JA"")"),"PMS1ホモログ1の測定")</f>
        <v>PMS1ホモログ1の測定</v>
      </c>
    </row>
    <row r="3809" ht="13.5" customHeight="1">
      <c r="A3809" s="1" t="s">
        <v>134</v>
      </c>
      <c r="B3809" s="1" t="s">
        <v>19091</v>
      </c>
      <c r="C3809" s="1" t="s">
        <v>19092</v>
      </c>
      <c r="D3809" s="1" t="s">
        <v>19093</v>
      </c>
      <c r="E3809" s="1" t="s">
        <v>19093</v>
      </c>
      <c r="F3809" s="1" t="s">
        <v>19094</v>
      </c>
      <c r="G3809" s="1" t="s">
        <v>19095</v>
      </c>
      <c r="H3809" s="1" t="str">
        <f>IFERROR(__xludf.DUMMYFUNCTION("GOOGLETRANSLATE(D3809,""EN"",""JA"")"),"PMS1ホモログ2")</f>
        <v>PMS1ホモログ2</v>
      </c>
      <c r="I3809" s="1" t="str">
        <f>IFERROR(__xludf.DUMMYFUNCTION("GOOGLETRANSLATE(E3809,""EN"",""JA"")"),"PMS1ホモログ2")</f>
        <v>PMS1ホモログ2</v>
      </c>
      <c r="J3809" s="1" t="str">
        <f>IFERROR(__xludf.DUMMYFUNCTION("GOOGLETRANSLATE(F3809,""EN"",""JA"")"),"生物学的標本中の PMS2 ミスマッチ修復タンパク質の測定。")</f>
        <v>生物学的標本中の PMS2 ミスマッチ修復タンパク質の測定。</v>
      </c>
      <c r="K3809" s="1" t="str">
        <f>IFERROR(__xludf.DUMMYFUNCTION("GOOGLETRANSLATE(G3809,""EN"",""JA"")"),"PMS1ホモログ2の測定")</f>
        <v>PMS1ホモログ2の測定</v>
      </c>
    </row>
    <row r="3810" ht="13.5" customHeight="1">
      <c r="A3810" s="1" t="s">
        <v>134</v>
      </c>
      <c r="B3810" s="1" t="s">
        <v>19096</v>
      </c>
      <c r="C3810" s="1" t="s">
        <v>19097</v>
      </c>
      <c r="D3810" s="1" t="s">
        <v>19098</v>
      </c>
      <c r="E3810" s="1" t="s">
        <v>19098</v>
      </c>
      <c r="F3810" s="1" t="s">
        <v>19099</v>
      </c>
      <c r="G3810" s="1" t="s">
        <v>19100</v>
      </c>
      <c r="H3810" s="1" t="str">
        <f>IFERROR(__xludf.DUMMYFUNCTION("GOOGLETRANSLATE(D3810,""EN"",""JA"")"),"増殖性骨髄細胞／総細胞")</f>
        <v>増殖性骨髄細胞／総細胞</v>
      </c>
      <c r="I3810" s="1" t="str">
        <f>IFERROR(__xludf.DUMMYFUNCTION("GOOGLETRANSLATE(E3810,""EN"",""JA"")"),"増殖性骨髄細胞／総細胞")</f>
        <v>増殖性骨髄細胞／総細胞</v>
      </c>
      <c r="J3810" s="1" t="str">
        <f>IFERROR(__xludf.DUMMYFUNCTION("GOOGLETRANSLATE(F3810,""EN"",""JA"")"),"生物標本中の増殖中の骨髄細胞と総細胞の相対的な測定値（比率またはパーセンテージ）。")</f>
        <v>生物標本中の増殖中の骨髄細胞と総細胞の相対的な測定値（比率またはパーセンテージ）。</v>
      </c>
      <c r="K3810" s="1" t="str">
        <f>IFERROR(__xludf.DUMMYFUNCTION("GOOGLETRANSLATE(G3810,""EN"",""JA"")"),"増殖性骨髄細胞と総細胞比の測定")</f>
        <v>増殖性骨髄細胞と総細胞比の測定</v>
      </c>
    </row>
    <row r="3811" ht="13.5" customHeight="1">
      <c r="A3811" s="1" t="s">
        <v>11</v>
      </c>
      <c r="B3811" s="1" t="s">
        <v>19096</v>
      </c>
      <c r="C3811" s="1" t="s">
        <v>19097</v>
      </c>
      <c r="D3811" s="1" t="s">
        <v>19098</v>
      </c>
      <c r="E3811" s="1" t="s">
        <v>19098</v>
      </c>
      <c r="F3811" s="1" t="s">
        <v>19099</v>
      </c>
      <c r="G3811" s="1" t="s">
        <v>19100</v>
      </c>
      <c r="H3811" s="1" t="str">
        <f>IFERROR(__xludf.DUMMYFUNCTION("GOOGLETRANSLATE(D3811,""EN"",""JA"")"),"増殖性骨髄細胞／総細胞")</f>
        <v>増殖性骨髄細胞／総細胞</v>
      </c>
      <c r="I3811" s="1" t="str">
        <f>IFERROR(__xludf.DUMMYFUNCTION("GOOGLETRANSLATE(E3811,""EN"",""JA"")"),"増殖性骨髄細胞／総細胞")</f>
        <v>増殖性骨髄細胞／総細胞</v>
      </c>
      <c r="J3811" s="1" t="str">
        <f>IFERROR(__xludf.DUMMYFUNCTION("GOOGLETRANSLATE(F3811,""EN"",""JA"")"),"生物標本中の増殖中の骨髄細胞と総細胞の相対的な測定値（比率またはパーセンテージ）。")</f>
        <v>生物標本中の増殖中の骨髄細胞と総細胞の相対的な測定値（比率またはパーセンテージ）。</v>
      </c>
      <c r="K3811" s="1" t="str">
        <f>IFERROR(__xludf.DUMMYFUNCTION("GOOGLETRANSLATE(G3811,""EN"",""JA"")"),"増殖性骨髄細胞と総細胞比の測定")</f>
        <v>増殖性骨髄細胞と総細胞比の測定</v>
      </c>
    </row>
    <row r="3812" ht="13.5" customHeight="1">
      <c r="A3812" s="1" t="s">
        <v>11</v>
      </c>
      <c r="B3812" s="1" t="s">
        <v>19101</v>
      </c>
      <c r="C3812" s="1" t="s">
        <v>19102</v>
      </c>
      <c r="D3812" s="1" t="s">
        <v>19103</v>
      </c>
      <c r="E3812" s="1" t="s">
        <v>19103</v>
      </c>
      <c r="F3812" s="1" t="s">
        <v>19104</v>
      </c>
      <c r="G3812" s="1" t="s">
        <v>19105</v>
      </c>
      <c r="H3812" s="1" t="str">
        <f>IFERROR(__xludf.DUMMYFUNCTION("GOOGLETRANSLATE(D3812,""EN"",""JA"")"),"膵ポリペプチド")</f>
        <v>膵ポリペプチド</v>
      </c>
      <c r="I3812" s="1" t="str">
        <f>IFERROR(__xludf.DUMMYFUNCTION("GOOGLETRANSLATE(E3812,""EN"",""JA"")"),"膵ポリペプチド")</f>
        <v>膵ポリペプチド</v>
      </c>
      <c r="J3812" s="1" t="str">
        <f>IFERROR(__xludf.DUMMYFUNCTION("GOOGLETRANSLATE(F3812,""EN"",""JA"")"),"生物標本中の膵ポリペプチドの測定。")</f>
        <v>生物標本中の膵ポリペプチドの測定。</v>
      </c>
      <c r="K3812" s="1" t="str">
        <f>IFERROR(__xludf.DUMMYFUNCTION("GOOGLETRANSLATE(G3812,""EN"",""JA"")"),"膵ポリペプチド測定")</f>
        <v>膵ポリペプチド測定</v>
      </c>
    </row>
    <row r="3813" ht="13.5" customHeight="1">
      <c r="A3813" s="1" t="s">
        <v>580</v>
      </c>
      <c r="B3813" s="1" t="s">
        <v>19106</v>
      </c>
      <c r="C3813" s="1" t="s">
        <v>19107</v>
      </c>
      <c r="D3813" s="1" t="s">
        <v>19108</v>
      </c>
      <c r="E3813" s="1" t="s">
        <v>19108</v>
      </c>
      <c r="F3813" s="1" t="s">
        <v>19109</v>
      </c>
      <c r="G3813" s="1" t="s">
        <v>19108</v>
      </c>
      <c r="H3813" s="1" t="str">
        <f>IFERROR(__xludf.DUMMYFUNCTION("GOOGLETRANSLATE(D3813,""EN"",""JA"")"),"肺炎指標")</f>
        <v>肺炎指標</v>
      </c>
      <c r="I3813" s="1" t="str">
        <f>IFERROR(__xludf.DUMMYFUNCTION("GOOGLETRANSLATE(E3813,""EN"",""JA"")"),"肺炎指標")</f>
        <v>肺炎指標</v>
      </c>
      <c r="J3813" s="1" t="str">
        <f>IFERROR(__xludf.DUMMYFUNCTION("GOOGLETRANSLATE(F3813,""EN"",""JA"")"),"肺炎が発生したかどうかを示します。")</f>
        <v>肺炎が発生したかどうかを示します。</v>
      </c>
      <c r="K3813" s="1" t="str">
        <f>IFERROR(__xludf.DUMMYFUNCTION("GOOGLETRANSLATE(G3813,""EN"",""JA"")"),"肺炎指標")</f>
        <v>肺炎指標</v>
      </c>
    </row>
    <row r="3814" ht="13.5" customHeight="1">
      <c r="A3814" s="1" t="s">
        <v>580</v>
      </c>
      <c r="B3814" s="1" t="s">
        <v>19110</v>
      </c>
      <c r="C3814" s="1" t="s">
        <v>19111</v>
      </c>
      <c r="D3814" s="1" t="s">
        <v>19112</v>
      </c>
      <c r="E3814" s="1" t="s">
        <v>19112</v>
      </c>
      <c r="F3814" s="1" t="s">
        <v>19113</v>
      </c>
      <c r="G3814" s="1" t="s">
        <v>19112</v>
      </c>
      <c r="H3814" s="1" t="str">
        <f>IFERROR(__xludf.DUMMYFUNCTION("GOOGLETRANSLATE(D3814,""EN"",""JA"")"),"最大鼻吸気流量")</f>
        <v>最大鼻吸気流量</v>
      </c>
      <c r="I3814" s="1" t="str">
        <f>IFERROR(__xludf.DUMMYFUNCTION("GOOGLETRANSLATE(E3814,""EN"",""JA"")"),"最大鼻吸気流量")</f>
        <v>最大鼻吸気流量</v>
      </c>
      <c r="J3814" s="1" t="str">
        <f>IFERROR(__xludf.DUMMYFUNCTION("GOOGLETRANSLATE(F3814,""EN"",""JA"")"),"最大呼気時に開始される鼻からの最大強制吸気中に達成される最大流量。(NCI)")</f>
        <v>最大呼気時に開始される鼻からの最大強制吸気中に達成される最大流量。(NCI)</v>
      </c>
      <c r="K3814" s="1" t="str">
        <f>IFERROR(__xludf.DUMMYFUNCTION("GOOGLETRANSLATE(G3814,""EN"",""JA"")"),"最大鼻吸気流量")</f>
        <v>最大鼻吸気流量</v>
      </c>
    </row>
    <row r="3815" ht="13.5" customHeight="1">
      <c r="A3815" s="1" t="s">
        <v>134</v>
      </c>
      <c r="B3815" s="1" t="s">
        <v>19114</v>
      </c>
      <c r="C3815" s="1" t="s">
        <v>19115</v>
      </c>
      <c r="D3815" s="1" t="s">
        <v>19116</v>
      </c>
      <c r="E3815" s="1" t="s">
        <v>19116</v>
      </c>
      <c r="F3815" s="1" t="s">
        <v>19117</v>
      </c>
      <c r="G3815" s="1" t="s">
        <v>19118</v>
      </c>
      <c r="H3815" s="1" t="str">
        <f>IFERROR(__xludf.DUMMYFUNCTION("GOOGLETRANSLATE(D3815,""EN"",""JA"")"),"神経周囲浸潤")</f>
        <v>神経周囲浸潤</v>
      </c>
      <c r="I3815" s="1" t="str">
        <f>IFERROR(__xludf.DUMMYFUNCTION("GOOGLETRANSLATE(E3815,""EN"",""JA"")"),"神経周囲浸潤")</f>
        <v>神経周囲浸潤</v>
      </c>
      <c r="J3815" s="1" t="str">
        <f>IFERROR(__xludf.DUMMYFUNCTION("GOOGLETRANSLATE(F3815,""EN"",""JA"")"),"生物標本における神経周囲侵襲の評価。")</f>
        <v>生物標本における神経周囲侵襲の評価。</v>
      </c>
      <c r="K3815" s="1" t="str">
        <f>IFERROR(__xludf.DUMMYFUNCTION("GOOGLETRANSLATE(G3815,""EN"",""JA"")"),"神経周囲浸潤評価")</f>
        <v>神経周囲浸潤評価</v>
      </c>
    </row>
    <row r="3816" ht="13.5" customHeight="1">
      <c r="A3816" s="1" t="s">
        <v>11</v>
      </c>
      <c r="B3816" s="1" t="s">
        <v>19119</v>
      </c>
      <c r="C3816" s="1" t="s">
        <v>19120</v>
      </c>
      <c r="D3816" s="1" t="s">
        <v>19121</v>
      </c>
      <c r="E3816" s="1" t="s">
        <v>19121</v>
      </c>
      <c r="F3816" s="1" t="s">
        <v>19122</v>
      </c>
      <c r="G3816" s="1" t="s">
        <v>19123</v>
      </c>
      <c r="H3816" s="1" t="str">
        <f>IFERROR(__xludf.DUMMYFUNCTION("GOOGLETRANSLATE(D3816,""EN"",""JA"")"),"ペントバルビタール")</f>
        <v>ペントバルビタール</v>
      </c>
      <c r="I3816" s="1" t="str">
        <f>IFERROR(__xludf.DUMMYFUNCTION("GOOGLETRANSLATE(E3816,""EN"",""JA"")"),"ペントバルビタール")</f>
        <v>ペントバルビタール</v>
      </c>
      <c r="J3816" s="1" t="str">
        <f>IFERROR(__xludf.DUMMYFUNCTION("GOOGLETRANSLATE(F3816,""EN"",""JA"")"),"生物標本中に存在するペントバルビタール濃度の測定。")</f>
        <v>生物標本中に存在するペントバルビタール濃度の測定。</v>
      </c>
      <c r="K3816" s="1" t="str">
        <f>IFERROR(__xludf.DUMMYFUNCTION("GOOGLETRANSLATE(G3816,""EN"",""JA"")"),"ペントバルビタール測定")</f>
        <v>ペントバルビタール測定</v>
      </c>
    </row>
    <row r="3817" ht="13.5" customHeight="1">
      <c r="A3817" s="1" t="s">
        <v>134</v>
      </c>
      <c r="B3817" s="1" t="s">
        <v>19124</v>
      </c>
      <c r="C3817" s="1" t="s">
        <v>19125</v>
      </c>
      <c r="D3817" s="1" t="s">
        <v>19126</v>
      </c>
      <c r="E3817" s="1" t="s">
        <v>19126</v>
      </c>
      <c r="F3817" s="1" t="s">
        <v>19127</v>
      </c>
      <c r="G3817" s="1" t="s">
        <v>19128</v>
      </c>
      <c r="H3817" s="1" t="str">
        <f>IFERROR(__xludf.DUMMYFUNCTION("GOOGLETRANSLATE(D3817,""EN"",""JA"")"),"パネート細胞化生")</f>
        <v>パネート細胞化生</v>
      </c>
      <c r="I3817" s="1" t="str">
        <f>IFERROR(__xludf.DUMMYFUNCTION("GOOGLETRANSLATE(E3817,""EN"",""JA"")"),"パネート細胞化生")</f>
        <v>パネート細胞化生</v>
      </c>
      <c r="J3817" s="1" t="str">
        <f>IFERROR(__xludf.DUMMYFUNCTION("GOOGLETRANSLATE(F3817,""EN"",""JA"")"),"生物標本におけるパネート細胞化生の評価。")</f>
        <v>生物標本におけるパネート細胞化生の評価。</v>
      </c>
      <c r="K3817" s="1" t="str">
        <f>IFERROR(__xludf.DUMMYFUNCTION("GOOGLETRANSLATE(G3817,""EN"",""JA"")"),"パネート細胞異形成評価")</f>
        <v>パネート細胞異形成評価</v>
      </c>
    </row>
    <row r="3818" ht="13.5" customHeight="1">
      <c r="A3818" s="1" t="s">
        <v>11</v>
      </c>
      <c r="B3818" s="1" t="s">
        <v>19129</v>
      </c>
      <c r="C3818" s="1" t="s">
        <v>19130</v>
      </c>
      <c r="D3818" s="1" t="s">
        <v>19131</v>
      </c>
      <c r="E3818" s="1" t="s">
        <v>19131</v>
      </c>
      <c r="F3818" s="1" t="s">
        <v>19132</v>
      </c>
      <c r="G3818" s="1" t="s">
        <v>19133</v>
      </c>
      <c r="H3818" s="1" t="str">
        <f>IFERROR(__xludf.DUMMYFUNCTION("GOOGLETRANSLATE(D3818,""EN"",""JA"")"),"ペンタゾシン")</f>
        <v>ペンタゾシン</v>
      </c>
      <c r="I3818" s="1" t="str">
        <f>IFERROR(__xludf.DUMMYFUNCTION("GOOGLETRANSLATE(E3818,""EN"",""JA"")"),"ペンタゾシン")</f>
        <v>ペンタゾシン</v>
      </c>
      <c r="J3818" s="1" t="str">
        <f>IFERROR(__xludf.DUMMYFUNCTION("GOOGLETRANSLATE(F3818,""EN"",""JA"")"),"生物標本中のペンタゾシンの測定。")</f>
        <v>生物標本中のペンタゾシンの測定。</v>
      </c>
      <c r="K3818" s="1" t="str">
        <f>IFERROR(__xludf.DUMMYFUNCTION("GOOGLETRANSLATE(G3818,""EN"",""JA"")"),"ペンタゾシン測定")</f>
        <v>ペンタゾシン測定</v>
      </c>
    </row>
    <row r="3819" ht="13.5" customHeight="1">
      <c r="A3819" s="1" t="s">
        <v>11</v>
      </c>
      <c r="B3819" s="1" t="s">
        <v>19134</v>
      </c>
      <c r="C3819" s="1" t="s">
        <v>19135</v>
      </c>
      <c r="D3819" s="1" t="s">
        <v>19136</v>
      </c>
      <c r="E3819" s="1" t="s">
        <v>19137</v>
      </c>
      <c r="F3819" s="1" t="s">
        <v>19138</v>
      </c>
      <c r="G3819" s="1" t="s">
        <v>19139</v>
      </c>
      <c r="H3819" s="1" t="str">
        <f>IFERROR(__xludf.DUMMYFUNCTION("GOOGLETRANSLATE(D3819,""EN"",""JA"")"),"分圧酸素")</f>
        <v>分圧酸素</v>
      </c>
      <c r="I3819" s="1" t="str">
        <f>IFERROR(__xludf.DUMMYFUNCTION("GOOGLETRANSLATE(E3819,""EN"",""JA"")"),"PaO2; 酸素分圧; Po2; pO2")</f>
        <v>PaO2; 酸素分圧; Po2; pO2</v>
      </c>
      <c r="J3819" s="1" t="str">
        <f>IFERROR(__xludf.DUMMYFUNCTION("GOOGLETRANSLATE(F3819,""EN"",""JA"")"),"生物標本内の酸素圧力の測定。")</f>
        <v>生物標本内の酸素圧力の測定。</v>
      </c>
      <c r="K3819" s="1" t="str">
        <f>IFERROR(__xludf.DUMMYFUNCTION("GOOGLETRANSLATE(G3819,""EN"",""JA"")"),"酸素分圧測定")</f>
        <v>酸素分圧測定</v>
      </c>
    </row>
    <row r="3820" ht="13.5" customHeight="1">
      <c r="A3820" s="1" t="s">
        <v>11</v>
      </c>
      <c r="B3820" s="1" t="s">
        <v>19140</v>
      </c>
      <c r="C3820" s="1" t="s">
        <v>19141</v>
      </c>
      <c r="D3820" s="1" t="s">
        <v>19142</v>
      </c>
      <c r="E3820" s="1" t="s">
        <v>19142</v>
      </c>
      <c r="F3820" s="1" t="s">
        <v>19143</v>
      </c>
      <c r="G3820" s="1" t="s">
        <v>19144</v>
      </c>
      <c r="H3820" s="1" t="str">
        <f>IFERROR(__xludf.DUMMYFUNCTION("GOOGLETRANSLATE(D3820,""EN"",""JA"")"),"温度に対する酸素分圧調整")</f>
        <v>温度に対する酸素分圧調整</v>
      </c>
      <c r="I3820" s="1" t="str">
        <f>IFERROR(__xludf.DUMMYFUNCTION("GOOGLETRANSLATE(E3820,""EN"",""JA"")"),"温度に対する酸素分圧調整")</f>
        <v>温度に対する酸素分圧調整</v>
      </c>
      <c r="J3820" s="1" t="str">
        <f>IFERROR(__xludf.DUMMYFUNCTION("GOOGLETRANSLATE(F3820,""EN"",""JA"")"),"生物標本内の体温に合わせて調整された酸素の圧力の測定値。")</f>
        <v>生物標本内の体温に合わせて調整された酸素の圧力の測定値。</v>
      </c>
      <c r="K3820" s="1" t="str">
        <f>IFERROR(__xludf.DUMMYFUNCTION("GOOGLETRANSLATE(G3820,""EN"",""JA"")"),"体温測定用に調整された酸素分圧")</f>
        <v>体温測定用に調整された酸素分圧</v>
      </c>
    </row>
    <row r="3821" ht="13.5" customHeight="1">
      <c r="A3821" s="1" t="s">
        <v>580</v>
      </c>
      <c r="B3821" s="1" t="s">
        <v>19145</v>
      </c>
      <c r="C3821" s="1" t="s">
        <v>19146</v>
      </c>
      <c r="D3821" s="1" t="s">
        <v>19147</v>
      </c>
      <c r="E3821" s="1" t="s">
        <v>19148</v>
      </c>
      <c r="F3821" s="1" t="s">
        <v>19149</v>
      </c>
      <c r="G3821" s="1" t="s">
        <v>19150</v>
      </c>
      <c r="H3821" s="1" t="str">
        <f>IFERROR(__xludf.DUMMYFUNCTION("GOOGLETRANSLATE(D3821,""EN"",""JA"")"),"PP動脈血酸素濃度/吸入酸素濃度")</f>
        <v>PP動脈血酸素濃度/吸入酸素濃度</v>
      </c>
      <c r="I3821" s="1" t="str">
        <f>IFERROR(__xludf.DUMMYFUNCTION("GOOGLETRANSLATE(E3821,""EN"",""JA"")"),"PAO2/FIO2; PP動脈血酸素濃度/吸入酸素濃度")</f>
        <v>PAO2/FIO2; PP動脈血酸素濃度/吸入酸素濃度</v>
      </c>
      <c r="J3821" s="1" t="str">
        <f>IFERROR(__xludf.DUMMYFUNCTION("GOOGLETRANSLATE(F3821,""EN"",""JA"")"),"動脈血中に溶解した酸素の単位面積あたりの力（圧力）と吸入したガス混合物の酸素の割合の相対的な測定値（比率またはパーセンテージ）。")</f>
        <v>動脈血中に溶解した酸素の単位面積あたりの力（圧力）と吸入したガス混合物の酸素の割合の相対的な測定値（比率またはパーセンテージ）。</v>
      </c>
      <c r="K3821" s="1" t="str">
        <f>IFERROR(__xludf.DUMMYFUNCTION("GOOGLETRANSLATE(G3821,""EN"",""JA"")"),"動脈血酸素分圧と吸入酸素分圧の比測定")</f>
        <v>動脈血酸素分圧と吸入酸素分圧の比測定</v>
      </c>
    </row>
    <row r="3822" ht="13.5" customHeight="1">
      <c r="A3822" s="1" t="s">
        <v>11</v>
      </c>
      <c r="B3822" s="1" t="s">
        <v>19145</v>
      </c>
      <c r="C3822" s="1" t="s">
        <v>19146</v>
      </c>
      <c r="D3822" s="1" t="s">
        <v>19147</v>
      </c>
      <c r="E3822" s="1" t="s">
        <v>19148</v>
      </c>
      <c r="F3822" s="1" t="s">
        <v>19149</v>
      </c>
      <c r="G3822" s="1" t="s">
        <v>19150</v>
      </c>
      <c r="H3822" s="1" t="str">
        <f>IFERROR(__xludf.DUMMYFUNCTION("GOOGLETRANSLATE(D3822,""EN"",""JA"")"),"PP動脈血酸素濃度/吸入酸素濃度")</f>
        <v>PP動脈血酸素濃度/吸入酸素濃度</v>
      </c>
      <c r="I3822" s="1" t="str">
        <f>IFERROR(__xludf.DUMMYFUNCTION("GOOGLETRANSLATE(E3822,""EN"",""JA"")"),"PAO2/FIO2; PP動脈血酸素濃度/吸入酸素濃度")</f>
        <v>PAO2/FIO2; PP動脈血酸素濃度/吸入酸素濃度</v>
      </c>
      <c r="J3822" s="1" t="str">
        <f>IFERROR(__xludf.DUMMYFUNCTION("GOOGLETRANSLATE(F3822,""EN"",""JA"")"),"動脈血中に溶解した酸素の単位面積あたりの力（圧力）と吸入したガス混合物の酸素の割合の相対的な測定値（比率またはパーセンテージ）。")</f>
        <v>動脈血中に溶解した酸素の単位面積あたりの力（圧力）と吸入したガス混合物の酸素の割合の相対的な測定値（比率またはパーセンテージ）。</v>
      </c>
      <c r="K3822" s="1" t="str">
        <f>IFERROR(__xludf.DUMMYFUNCTION("GOOGLETRANSLATE(G3822,""EN"",""JA"")"),"動脈血酸素分圧と吸入酸素分圧の比測定")</f>
        <v>動脈血酸素分圧と吸入酸素分圧の比測定</v>
      </c>
    </row>
    <row r="3823" ht="13.5" customHeight="1">
      <c r="A3823" s="1" t="s">
        <v>11</v>
      </c>
      <c r="B3823" s="1" t="s">
        <v>19151</v>
      </c>
      <c r="C3823" s="1" t="s">
        <v>19152</v>
      </c>
      <c r="D3823" s="1" t="s">
        <v>19153</v>
      </c>
      <c r="E3823" s="1" t="s">
        <v>19153</v>
      </c>
      <c r="F3823" s="1" t="s">
        <v>19154</v>
      </c>
      <c r="G3823" s="1" t="s">
        <v>19155</v>
      </c>
      <c r="H3823" s="1" t="str">
        <f>IFERROR(__xludf.DUMMYFUNCTION("GOOGLETRANSLATE(D3823,""EN"",""JA"")"),"多形赤血球")</f>
        <v>多形赤血球</v>
      </c>
      <c r="I3823" s="1" t="str">
        <f>IFERROR(__xludf.DUMMYFUNCTION("GOOGLETRANSLATE(E3823,""EN"",""JA"")"),"多形赤血球")</f>
        <v>多形赤血球</v>
      </c>
      <c r="J3823" s="1" t="str">
        <f>IFERROR(__xludf.DUMMYFUNCTION("GOOGLETRANSLATE(F3823,""EN"",""JA"")"),"全血標本中の奇妙な形の赤血球の測定。")</f>
        <v>全血標本中の奇妙な形の赤血球の測定。</v>
      </c>
      <c r="K3823" s="1" t="str">
        <f>IFERROR(__xludf.DUMMYFUNCTION("GOOGLETRANSLATE(G3823,""EN"",""JA"")"),"多形赤血球測定")</f>
        <v>多形赤血球測定</v>
      </c>
    </row>
    <row r="3824" ht="13.5" customHeight="1">
      <c r="A3824" s="1" t="s">
        <v>11</v>
      </c>
      <c r="B3824" s="1" t="s">
        <v>19156</v>
      </c>
      <c r="C3824" s="1" t="s">
        <v>19157</v>
      </c>
      <c r="D3824" s="1" t="s">
        <v>19158</v>
      </c>
      <c r="E3824" s="1" t="s">
        <v>19158</v>
      </c>
      <c r="F3824" s="1" t="s">
        <v>19159</v>
      </c>
      <c r="G3824" s="1" t="s">
        <v>19160</v>
      </c>
      <c r="H3824" s="1" t="str">
        <f>IFERROR(__xludf.DUMMYFUNCTION("GOOGLETRANSLATE(D3824,""EN"",""JA"")"),"多形赤血球")</f>
        <v>多形赤血球</v>
      </c>
      <c r="I3824" s="1" t="str">
        <f>IFERROR(__xludf.DUMMYFUNCTION("GOOGLETRANSLATE(E3824,""EN"",""JA"")"),"多形赤血球")</f>
        <v>多形赤血球</v>
      </c>
      <c r="J3824" s="1" t="str">
        <f>IFERROR(__xludf.DUMMYFUNCTION("GOOGLETRANSLATE(F3824,""EN"",""JA"")"),"生物標本中のすべての赤血球に対する、奇形赤血球または不規則な形状の赤血球の相対的な測定値 (比率またはパーセンテージ)。")</f>
        <v>生物標本中のすべての赤血球に対する、奇形赤血球または不規則な形状の赤血球の相対的な測定値 (比率またはパーセンテージ)。</v>
      </c>
      <c r="K3824" s="1" t="str">
        <f>IFERROR(__xludf.DUMMYFUNCTION("GOOGLETRANSLATE(G3824,""EN"",""JA"")"),"変形赤血球比測定")</f>
        <v>変形赤血球比測定</v>
      </c>
    </row>
    <row r="3825" ht="13.5" customHeight="1">
      <c r="A3825" s="1" t="s">
        <v>11</v>
      </c>
      <c r="B3825" s="1" t="s">
        <v>19161</v>
      </c>
      <c r="C3825" s="1" t="s">
        <v>19162</v>
      </c>
      <c r="D3825" s="1" t="s">
        <v>19163</v>
      </c>
      <c r="E3825" s="1" t="s">
        <v>19163</v>
      </c>
      <c r="F3825" s="1" t="s">
        <v>19164</v>
      </c>
      <c r="G3825" s="1" t="s">
        <v>19163</v>
      </c>
      <c r="H3825" s="1" t="str">
        <f>IFERROR(__xludf.DUMMYFUNCTION("GOOGLETRANSLATE(D3825,""EN"",""JA"")"),"多色性")</f>
        <v>多色性</v>
      </c>
      <c r="I3825" s="1" t="str">
        <f>IFERROR(__xludf.DUMMYFUNCTION("GOOGLETRANSLATE(E3825,""EN"",""JA"")"),"多色性")</f>
        <v>多色性</v>
      </c>
      <c r="J3825" s="1" t="str">
        <f>IFERROR(__xludf.DUMMYFUNCTION("GOOGLETRANSLATE(F3825,""EN"",""JA"")"),"新しく生成された赤血球の青色染色特性の測定。")</f>
        <v>新しく生成された赤血球の青色染色特性の測定。</v>
      </c>
      <c r="K3825" s="1" t="str">
        <f>IFERROR(__xludf.DUMMYFUNCTION("GOOGLETRANSLATE(G3825,""EN"",""JA"")"),"多色性")</f>
        <v>多色性</v>
      </c>
    </row>
    <row r="3826" ht="13.5" customHeight="1">
      <c r="A3826" s="1" t="s">
        <v>11</v>
      </c>
      <c r="B3826" s="1" t="s">
        <v>19165</v>
      </c>
      <c r="C3826" s="1" t="s">
        <v>19166</v>
      </c>
      <c r="D3826" s="1" t="s">
        <v>19167</v>
      </c>
      <c r="E3826" s="1" t="s">
        <v>19167</v>
      </c>
      <c r="F3826" s="1" t="s">
        <v>19168</v>
      </c>
      <c r="G3826" s="1" t="s">
        <v>19169</v>
      </c>
      <c r="H3826" s="1" t="str">
        <f>IFERROR(__xludf.DUMMYFUNCTION("GOOGLETRANSLATE(D3826,""EN"",""JA"")"),"多染性赤芽球")</f>
        <v>多染性赤芽球</v>
      </c>
      <c r="I3826" s="1" t="str">
        <f>IFERROR(__xludf.DUMMYFUNCTION("GOOGLETRANSLATE(E3826,""EN"",""JA"")"),"多染性赤芽球")</f>
        <v>多染性赤芽球</v>
      </c>
      <c r="J3826" s="1" t="str">
        <f>IFERROR(__xludf.DUMMYFUNCTION("GOOGLETRANSLATE(F3826,""EN"",""JA"")"),"ヒト以外の生物から採取した生物標本における多染性赤芽球の測定。")</f>
        <v>ヒト以外の生物から採取した生物標本における多染性赤芽球の測定。</v>
      </c>
      <c r="K3826" s="1" t="str">
        <f>IFERROR(__xludf.DUMMYFUNCTION("GOOGLETRANSLATE(G3826,""EN"",""JA"")"),"多染性赤芽球数")</f>
        <v>多染性赤芽球数</v>
      </c>
    </row>
    <row r="3827" ht="13.5" customHeight="1">
      <c r="A3827" s="1" t="s">
        <v>11</v>
      </c>
      <c r="B3827" s="1" t="s">
        <v>19170</v>
      </c>
      <c r="C3827" s="1" t="s">
        <v>19171</v>
      </c>
      <c r="D3827" s="1" t="s">
        <v>19172</v>
      </c>
      <c r="E3827" s="1" t="s">
        <v>19172</v>
      </c>
      <c r="F3827" s="1" t="s">
        <v>19173</v>
      </c>
      <c r="G3827" s="1" t="s">
        <v>19174</v>
      </c>
      <c r="H3827" s="1" t="str">
        <f>IFERROR(__xludf.DUMMYFUNCTION("GOOGLETRANSLATE(D3827,""EN"",""JA"")"),"多染性好性正芽球")</f>
        <v>多染性好性正芽球</v>
      </c>
      <c r="I3827" s="1" t="str">
        <f>IFERROR(__xludf.DUMMYFUNCTION("GOOGLETRANSLATE(E3827,""EN"",""JA"")"),"多染性好性正芽球")</f>
        <v>多染性好性正芽球</v>
      </c>
      <c r="J3827" s="1" t="str">
        <f>IFERROR(__xludf.DUMMYFUNCTION("GOOGLETRANSLATE(F3827,""EN"",""JA"")"),"非ヒト生物から採取した生物標本における多染性正芽球の測定。")</f>
        <v>非ヒト生物から採取した生物標本における多染性正芽球の測定。</v>
      </c>
      <c r="K3827" s="1" t="str">
        <f>IFERROR(__xludf.DUMMYFUNCTION("GOOGLETRANSLATE(G3827,""EN"",""JA"")"),"多染性好性正芽球数")</f>
        <v>多染性好性正芽球数</v>
      </c>
    </row>
    <row r="3828" ht="13.5" customHeight="1">
      <c r="A3828" s="1" t="s">
        <v>11</v>
      </c>
      <c r="B3828" s="1" t="s">
        <v>19175</v>
      </c>
      <c r="C3828" s="1" t="s">
        <v>19176</v>
      </c>
      <c r="D3828" s="1" t="s">
        <v>19177</v>
      </c>
      <c r="E3828" s="1" t="s">
        <v>19178</v>
      </c>
      <c r="F3828" s="1" t="s">
        <v>19179</v>
      </c>
      <c r="G3828" s="1" t="s">
        <v>19180</v>
      </c>
      <c r="H3828" s="1" t="str">
        <f>IFERROR(__xludf.DUMMYFUNCTION("GOOGLETRANSLATE(D3828,""EN"",""JA"")"),"パラオキソナーゼ1")</f>
        <v>パラオキソナーゼ1</v>
      </c>
      <c r="I3828" s="1" t="str">
        <f>IFERROR(__xludf.DUMMYFUNCTION("GOOGLETRANSLATE(E3828,""EN"",""JA"")"),"芳香族エステラーゼ 1; アリールエステラーゼ 1; アリールエステラーゼ B 型; エステラーゼ A; パラオキソナーゼ 1; パラオキソナーゼ B 型; パラオキソナーゼ 1; PON 1")</f>
        <v>芳香族エステラーゼ 1; アリールエステラーゼ 1; アリールエステラーゼ B 型; エステラーゼ A; パラオキソナーゼ 1; パラオキソナーゼ B 型; パラオキソナーゼ 1; PON 1</v>
      </c>
      <c r="J3828" s="1" t="str">
        <f>IFERROR(__xludf.DUMMYFUNCTION("GOOGLETRANSLATE(F3828,""EN"",""JA"")"),"生物標本中のパラオキソナーゼ 1 の測定。")</f>
        <v>生物標本中のパラオキソナーゼ 1 の測定。</v>
      </c>
      <c r="K3828" s="1" t="str">
        <f>IFERROR(__xludf.DUMMYFUNCTION("GOOGLETRANSLATE(G3828,""EN"",""JA"")"),"パラオキソナーゼ1測定")</f>
        <v>パラオキソナーゼ1測定</v>
      </c>
    </row>
    <row r="3829" ht="13.5" customHeight="1">
      <c r="A3829" s="1" t="s">
        <v>11</v>
      </c>
      <c r="B3829" s="1" t="s">
        <v>19181</v>
      </c>
      <c r="C3829" s="1" t="s">
        <v>19182</v>
      </c>
      <c r="D3829" s="1" t="s">
        <v>19183</v>
      </c>
      <c r="E3829" s="1" t="s">
        <v>19183</v>
      </c>
      <c r="F3829" s="1" t="s">
        <v>19184</v>
      </c>
      <c r="G3829" s="1" t="s">
        <v>19185</v>
      </c>
      <c r="H3829" s="1" t="str">
        <f>IFERROR(__xludf.DUMMYFUNCTION("GOOGLETRANSLATE(D3829,""EN"",""JA"")"),"ポルフィリン")</f>
        <v>ポルフィリン</v>
      </c>
      <c r="I3829" s="1" t="str">
        <f>IFERROR(__xludf.DUMMYFUNCTION("GOOGLETRANSLATE(E3829,""EN"",""JA"")"),"ポルフィリン")</f>
        <v>ポルフィリン</v>
      </c>
      <c r="J3829" s="1" t="str">
        <f>IFERROR(__xludf.DUMMYFUNCTION("GOOGLETRANSLATE(F3829,""EN"",""JA"")"),"生物標本中の総ポルフィリン量の測定。")</f>
        <v>生物標本中の総ポルフィリン量の測定。</v>
      </c>
      <c r="K3829" s="1" t="str">
        <f>IFERROR(__xludf.DUMMYFUNCTION("GOOGLETRANSLATE(G3829,""EN"",""JA"")"),"ポルフィリン測定")</f>
        <v>ポルフィリン測定</v>
      </c>
    </row>
    <row r="3830" ht="13.5" customHeight="1">
      <c r="A3830" s="1" t="s">
        <v>134</v>
      </c>
      <c r="B3830" s="1" t="s">
        <v>19186</v>
      </c>
      <c r="C3830" s="1" t="s">
        <v>19187</v>
      </c>
      <c r="D3830" s="1" t="s">
        <v>19188</v>
      </c>
      <c r="E3830" s="1" t="s">
        <v>19188</v>
      </c>
      <c r="F3830" s="1" t="s">
        <v>19189</v>
      </c>
      <c r="G3830" s="1" t="s">
        <v>19190</v>
      </c>
      <c r="H3830" s="1" t="str">
        <f>IFERROR(__xludf.DUMMYFUNCTION("GOOGLETRANSLATE(D3830,""EN"",""JA"")"),"門脈炎症")</f>
        <v>門脈炎症</v>
      </c>
      <c r="I3830" s="1" t="str">
        <f>IFERROR(__xludf.DUMMYFUNCTION("GOOGLETRANSLATE(E3830,""EN"",""JA"")"),"門脈炎症")</f>
        <v>門脈炎症</v>
      </c>
      <c r="J3830" s="1" t="str">
        <f>IFERROR(__xludf.DUMMYFUNCTION("GOOGLETRANSLATE(F3830,""EN"",""JA"")"),"生物標本における門脈炎症の評価。")</f>
        <v>生物標本における門脈炎症の評価。</v>
      </c>
      <c r="K3830" s="1" t="str">
        <f>IFERROR(__xludf.DUMMYFUNCTION("GOOGLETRANSLATE(G3830,""EN"",""JA"")"),"門脈炎症評価")</f>
        <v>門脈炎症評価</v>
      </c>
    </row>
    <row r="3831" ht="13.5" customHeight="1">
      <c r="A3831" s="1" t="s">
        <v>11</v>
      </c>
      <c r="B3831" s="1" t="s">
        <v>19191</v>
      </c>
      <c r="C3831" s="1" t="s">
        <v>19192</v>
      </c>
      <c r="D3831" s="1" t="s">
        <v>19193</v>
      </c>
      <c r="E3831" s="1" t="s">
        <v>19194</v>
      </c>
      <c r="F3831" s="1" t="s">
        <v>19195</v>
      </c>
      <c r="G3831" s="1" t="s">
        <v>19196</v>
      </c>
      <c r="H3831" s="1" t="str">
        <f>IFERROR(__xludf.DUMMYFUNCTION("GOOGLETRANSLATE(D3831,""EN"",""JA"")"),"フェニルプロパノールアミン")</f>
        <v>フェニルプロパノールアミン</v>
      </c>
      <c r="I3831" s="1" t="str">
        <f>IFERROR(__xludf.DUMMYFUNCTION("GOOGLETRANSLATE(E3831,""EN"",""JA"")"),"ベータ-ヒドロキシアンフェタミン、ノルエフェドリン、フェニルプロパノールアミン")</f>
        <v>ベータ-ヒドロキシアンフェタミン、ノルエフェドリン、フェニルプロパノールアミン</v>
      </c>
      <c r="J3831" s="1" t="str">
        <f>IFERROR(__xludf.DUMMYFUNCTION("GOOGLETRANSLATE(F3831,""EN"",""JA"")"),"生物標本中のフェニルプロパノールアミンの測定。")</f>
        <v>生物標本中のフェニルプロパノールアミンの測定。</v>
      </c>
      <c r="K3831" s="1" t="str">
        <f>IFERROR(__xludf.DUMMYFUNCTION("GOOGLETRANSLATE(G3831,""EN"",""JA"")"),"フェニルプロパノールアミン測定")</f>
        <v>フェニルプロパノールアミン測定</v>
      </c>
    </row>
    <row r="3832" ht="13.5" customHeight="1">
      <c r="A3832" s="1" t="s">
        <v>1168</v>
      </c>
      <c r="B3832" s="1" t="s">
        <v>19197</v>
      </c>
      <c r="C3832" s="1" t="s">
        <v>19198</v>
      </c>
      <c r="D3832" s="1" t="s">
        <v>19199</v>
      </c>
      <c r="E3832" s="1" t="s">
        <v>19199</v>
      </c>
      <c r="F3832" s="1" t="s">
        <v>19200</v>
      </c>
      <c r="G3832" s="1" t="s">
        <v>19201</v>
      </c>
      <c r="H3832" s="1" t="str">
        <f>IFERROR(__xludf.DUMMYFUNCTION("GOOGLETRANSLATE(D3832,""EN"",""JA"")"),"PP間隔、集計")</f>
        <v>PP間隔、集計</v>
      </c>
      <c r="I3832" s="1" t="str">
        <f>IFERROR(__xludf.DUMMYFUNCTION("GOOGLETRANSLATE(E3832,""EN"",""JA"")"),"PP間隔、集計")</f>
        <v>PP間隔、集計</v>
      </c>
      <c r="J3832" s="1" t="str">
        <f>IFERROR(__xludf.DUMMYFUNCTION("GOOGLETRANSLATE(F3832,""EN"",""JA"")"),"1回の心電図における複数の心拍からのPP間隔の測定に基づく集計PP値。集計方法は様々ですが、通常は平均値などの中心傾向を示す指標が用いられます。")</f>
        <v>1回の心電図における複数の心拍からのPP間隔の測定に基づく集計PP値。集計方法は様々ですが、通常は平均値などの中心傾向を示す指標が用いられます。</v>
      </c>
      <c r="K3832" s="1" t="str">
        <f>IFERROR(__xludf.DUMMYFUNCTION("GOOGLETRANSLATE(G3832,""EN"",""JA"")"),"集計PP間隔")</f>
        <v>集計PP間隔</v>
      </c>
    </row>
    <row r="3833" ht="13.5" customHeight="1">
      <c r="A3833" s="1" t="s">
        <v>233</v>
      </c>
      <c r="B3833" s="1" t="s">
        <v>19202</v>
      </c>
      <c r="C3833" s="1" t="s">
        <v>19203</v>
      </c>
      <c r="D3833" s="1" t="s">
        <v>19204</v>
      </c>
      <c r="E3833" s="1" t="s">
        <v>19205</v>
      </c>
      <c r="F3833" s="1" t="s">
        <v>19206</v>
      </c>
      <c r="G3833" s="1" t="s">
        <v>19204</v>
      </c>
      <c r="H3833" s="1" t="str">
        <f>IFERROR(__xludf.DUMMYFUNCTION("GOOGLETRANSLATE(D3833,""EN"",""JA"")"),"垂直直径の積")</f>
        <v>垂直直径の積</v>
      </c>
      <c r="I3833" s="1" t="str">
        <f>IFERROR(__xludf.DUMMYFUNCTION("GOOGLETRANSLATE(E3833,""EN"",""JA"")"),"PPD; 垂直直径の積")</f>
        <v>PPD; 垂直直径の積</v>
      </c>
      <c r="J3833" s="1" t="str">
        <f>IFERROR(__xludf.DUMMYFUNCTION("GOOGLETRANSLATE(F3833,""EN"",""JA"")"),"最長直径とその最長垂直直径を掛けた値。")</f>
        <v>最長直径とその最長垂直直径を掛けた値。</v>
      </c>
      <c r="K3833" s="1" t="str">
        <f>IFERROR(__xludf.DUMMYFUNCTION("GOOGLETRANSLATE(G3833,""EN"",""JA"")"),"垂直直径の積")</f>
        <v>垂直直径の積</v>
      </c>
    </row>
    <row r="3834" ht="13.5" customHeight="1">
      <c r="A3834" s="1" t="s">
        <v>67</v>
      </c>
      <c r="B3834" s="1" t="s">
        <v>19207</v>
      </c>
      <c r="C3834" s="1" t="s">
        <v>19208</v>
      </c>
      <c r="D3834" s="1" t="s">
        <v>19209</v>
      </c>
      <c r="E3834" s="1" t="s">
        <v>19209</v>
      </c>
      <c r="F3834" s="1" t="s">
        <v>19210</v>
      </c>
      <c r="G3834" s="1" t="s">
        <v>19211</v>
      </c>
      <c r="H3834" s="1" t="str">
        <f>IFERROR(__xludf.DUMMYFUNCTION("GOOGLETRANSLATE(D3834,""EN"",""JA"")"),"プロテウス・ペンネリ")</f>
        <v>プロテウス・ペンネリ</v>
      </c>
      <c r="I3834" s="1" t="str">
        <f>IFERROR(__xludf.DUMMYFUNCTION("GOOGLETRANSLATE(E3834,""EN"",""JA"")"),"プロテウス・ペンネリ")</f>
        <v>プロテウス・ペンネリ</v>
      </c>
      <c r="J3834" s="1" t="str">
        <f>IFERROR(__xludf.DUMMYFUNCTION("GOOGLETRANSLATE(F3834,""EN"",""JA"")"),"生物標本中の Proteus penneri の測定。")</f>
        <v>生物標本中の Proteus penneri の測定。</v>
      </c>
      <c r="K3834" s="1" t="str">
        <f>IFERROR(__xludf.DUMMYFUNCTION("GOOGLETRANSLATE(G3834,""EN"",""JA"")"),"プロテウス・ペンネリ測定")</f>
        <v>プロテウス・ペンネリ測定</v>
      </c>
    </row>
    <row r="3835" ht="13.5" customHeight="1">
      <c r="A3835" s="1" t="s">
        <v>11</v>
      </c>
      <c r="B3835" s="1" t="s">
        <v>19212</v>
      </c>
      <c r="C3835" s="1" t="s">
        <v>19213</v>
      </c>
      <c r="D3835" s="1" t="s">
        <v>19214</v>
      </c>
      <c r="E3835" s="1" t="s">
        <v>19214</v>
      </c>
      <c r="F3835" s="1" t="s">
        <v>19215</v>
      </c>
      <c r="G3835" s="1" t="s">
        <v>19216</v>
      </c>
      <c r="H3835" s="1" t="str">
        <f>IFERROR(__xludf.DUMMYFUNCTION("GOOGLETRANSLATE(D3835,""EN"",""JA"")"),"無機ピロリン酸")</f>
        <v>無機ピロリン酸</v>
      </c>
      <c r="I3835" s="1" t="str">
        <f>IFERROR(__xludf.DUMMYFUNCTION("GOOGLETRANSLATE(E3835,""EN"",""JA"")"),"無機ピロリン酸")</f>
        <v>無機ピロリン酸</v>
      </c>
      <c r="J3835" s="1" t="str">
        <f>IFERROR(__xludf.DUMMYFUNCTION("GOOGLETRANSLATE(F3835,""EN"",""JA"")"),"生物標本中の無機ピロリン酸の測定。")</f>
        <v>生物標本中の無機ピロリン酸の測定。</v>
      </c>
      <c r="K3835" s="1" t="str">
        <f>IFERROR(__xludf.DUMMYFUNCTION("GOOGLETRANSLATE(G3835,""EN"",""JA"")"),"無機ピロリン酸測定")</f>
        <v>無機ピロリン酸測定</v>
      </c>
    </row>
    <row r="3836" ht="13.5" customHeight="1">
      <c r="A3836" s="1" t="s">
        <v>11</v>
      </c>
      <c r="B3836" s="1" t="s">
        <v>19217</v>
      </c>
      <c r="C3836" s="1" t="s">
        <v>19218</v>
      </c>
      <c r="D3836" s="1" t="s">
        <v>19219</v>
      </c>
      <c r="E3836" s="1" t="s">
        <v>19220</v>
      </c>
      <c r="F3836" s="1" t="s">
        <v>19221</v>
      </c>
      <c r="G3836" s="1" t="s">
        <v>19222</v>
      </c>
      <c r="H3836" s="1" t="str">
        <f>IFERROR(__xludf.DUMMYFUNCTION("GOOGLETRANSLATE(D3836,""EN"",""JA"")"),"ペプチジルプロリルイソメラーゼA")</f>
        <v>ペプチジルプロリルイソメラーゼA</v>
      </c>
      <c r="I3836" s="1" t="str">
        <f>IFERROR(__xludf.DUMMYFUNCTION("GOOGLETRANSLATE(E3836,""EN"",""JA"")"),"シクロフィリンA; CYPA; ペプチジルプロリルイソメラーゼA; ロタマーゼA")</f>
        <v>シクロフィリンA; CYPA; ペプチジルプロリルイソメラーゼA; ロタマーゼA</v>
      </c>
      <c r="J3836" s="1" t="str">
        <f>IFERROR(__xludf.DUMMYFUNCTION("GOOGLETRANSLATE(F3836,""EN"",""JA"")"),"生物標本中のペプチジルプロリルイソメラーゼ A の測定。")</f>
        <v>生物標本中のペプチジルプロリルイソメラーゼ A の測定。</v>
      </c>
      <c r="K3836" s="1" t="str">
        <f>IFERROR(__xludf.DUMMYFUNCTION("GOOGLETRANSLATE(G3836,""EN"",""JA"")"),"ペプチジルプロリルイソメラーゼA測定")</f>
        <v>ペプチジルプロリルイソメラーゼA測定</v>
      </c>
    </row>
    <row r="3837" ht="13.5" customHeight="1">
      <c r="A3837" s="1" t="s">
        <v>601</v>
      </c>
      <c r="B3837" s="1" t="s">
        <v>19223</v>
      </c>
      <c r="C3837" s="1" t="s">
        <v>19224</v>
      </c>
      <c r="D3837" s="1" t="s">
        <v>19225</v>
      </c>
      <c r="E3837" s="1" t="s">
        <v>19225</v>
      </c>
      <c r="F3837" s="1" t="s">
        <v>19226</v>
      </c>
      <c r="G3837" s="1" t="s">
        <v>19225</v>
      </c>
      <c r="H3837" s="1" t="str">
        <f>IFERROR(__xludf.DUMMYFUNCTION("GOOGLETRANSLATE(D3837,""EN"",""JA"")"),"世帯人数")</f>
        <v>世帯人数</v>
      </c>
      <c r="I3837" s="1" t="str">
        <f>IFERROR(__xludf.DUMMYFUNCTION("GOOGLETRANSLATE(E3837,""EN"",""JA"")"),"世帯人数")</f>
        <v>世帯人数</v>
      </c>
      <c r="J3837" s="1" t="str">
        <f>IFERROR(__xludf.DUMMYFUNCTION("GOOGLETRANSLATE(F3837,""EN"",""JA"")"),"世帯に住んでいる人の合計人数。")</f>
        <v>世帯に住んでいる人の合計人数。</v>
      </c>
      <c r="K3837" s="1" t="str">
        <f>IFERROR(__xludf.DUMMYFUNCTION("GOOGLETRANSLATE(G3837,""EN"",""JA"")"),"世帯人数")</f>
        <v>世帯人数</v>
      </c>
    </row>
    <row r="3838" ht="13.5" customHeight="1">
      <c r="A3838" s="1" t="s">
        <v>90</v>
      </c>
      <c r="B3838" s="1" t="s">
        <v>19227</v>
      </c>
      <c r="C3838" s="1" t="s">
        <v>19228</v>
      </c>
      <c r="D3838" s="1" t="s">
        <v>19229</v>
      </c>
      <c r="E3838" s="1" t="s">
        <v>19229</v>
      </c>
      <c r="F3838" s="1" t="s">
        <v>19230</v>
      </c>
      <c r="G3838" s="1" t="s">
        <v>19229</v>
      </c>
      <c r="H3838" s="1" t="str">
        <f>IFERROR(__xludf.DUMMYFUNCTION("GOOGLETRANSLATE(D3838,""EN"",""JA"")"),"ピーク圧力上昇率")</f>
        <v>ピーク圧力上昇率</v>
      </c>
      <c r="I3838" s="1" t="str">
        <f>IFERROR(__xludf.DUMMYFUNCTION("GOOGLETRANSLATE(E3838,""EN"",""JA"")"),"ピーク圧力上昇率")</f>
        <v>ピーク圧力上昇率</v>
      </c>
      <c r="J3838" s="1" t="str">
        <f>IFERROR(__xludf.DUMMYFUNCTION("GOOGLETRANSLATE(F3838,""EN"",""JA"")"),"ピーク圧力の最大増加率。")</f>
        <v>ピーク圧力の最大増加率。</v>
      </c>
      <c r="K3838" s="1" t="str">
        <f>IFERROR(__xludf.DUMMYFUNCTION("GOOGLETRANSLATE(G3838,""EN"",""JA"")"),"ピーク圧力上昇率")</f>
        <v>ピーク圧力上昇率</v>
      </c>
    </row>
    <row r="3839" ht="13.5" customHeight="1">
      <c r="A3839" s="1" t="s">
        <v>160</v>
      </c>
      <c r="B3839" s="1" t="s">
        <v>19231</v>
      </c>
      <c r="C3839" s="1" t="s">
        <v>19232</v>
      </c>
      <c r="D3839" s="1" t="s">
        <v>19233</v>
      </c>
      <c r="E3839" s="1" t="s">
        <v>19233</v>
      </c>
      <c r="F3839" s="1" t="s">
        <v>19234</v>
      </c>
      <c r="G3839" s="1" t="s">
        <v>19233</v>
      </c>
      <c r="H3839" s="1" t="str">
        <f>IFERROR(__xludf.DUMMYFUNCTION("GOOGLETRANSLATE(D3839,""EN"",""JA"")"),"産後指標")</f>
        <v>産後指標</v>
      </c>
      <c r="I3839" s="1" t="str">
        <f>IFERROR(__xludf.DUMMYFUNCTION("GOOGLETRANSLATE(E3839,""EN"",""JA"")"),"産後指標")</f>
        <v>産後指標</v>
      </c>
      <c r="J3839" s="1" t="str">
        <f>IFERROR(__xludf.DUMMYFUNCTION("GOOGLETRANSLATE(F3839,""EN"",""JA"")"),"対象者が妊娠・出産後の回復段階にあるかどうかを示します。")</f>
        <v>対象者が妊娠・出産後の回復段階にあるかどうかを示します。</v>
      </c>
      <c r="K3839" s="1" t="str">
        <f>IFERROR(__xludf.DUMMYFUNCTION("GOOGLETRANSLATE(G3839,""EN"",""JA"")"),"産後指標")</f>
        <v>産後指標</v>
      </c>
    </row>
    <row r="3840" ht="13.5" customHeight="1">
      <c r="A3840" s="1" t="s">
        <v>1168</v>
      </c>
      <c r="B3840" s="1" t="s">
        <v>19235</v>
      </c>
      <c r="C3840" s="1" t="s">
        <v>19236</v>
      </c>
      <c r="D3840" s="1" t="s">
        <v>19237</v>
      </c>
      <c r="E3840" s="1" t="s">
        <v>19237</v>
      </c>
      <c r="F3840" s="1" t="s">
        <v>19238</v>
      </c>
      <c r="G3840" s="1" t="s">
        <v>19239</v>
      </c>
      <c r="H3840" s="1" t="str">
        <f>IFERROR(__xludf.DUMMYFUNCTION("GOOGLETRANSLATE(D3840,""EN"",""JA"")"),"PP間隔、単一測定")</f>
        <v>PP間隔、単一測定</v>
      </c>
      <c r="I3840" s="1" t="str">
        <f>IFERROR(__xludf.DUMMYFUNCTION("GOOGLETRANSLATE(E3840,""EN"",""JA"")"),"PP間隔、単一測定")</f>
        <v>PP間隔、単一測定</v>
      </c>
      <c r="J3840" s="1" t="str">
        <f>IFERROR(__xludf.DUMMYFUNCTION("GOOGLETRANSLATE(F3840,""EN"",""JA"")"),"連続する 2 つの P 波の開始間隔を心電図で測定します。")</f>
        <v>連続する 2 つの P 波の開始間隔を心電図で測定します。</v>
      </c>
      <c r="K3840" s="1" t="str">
        <f>IFERROR(__xludf.DUMMYFUNCTION("GOOGLETRANSLATE(G3840,""EN"",""JA"")"),"単一測定PP間隔")</f>
        <v>単一測定PP間隔</v>
      </c>
    </row>
    <row r="3841" ht="13.5" customHeight="1">
      <c r="A3841" s="1" t="s">
        <v>11</v>
      </c>
      <c r="B3841" s="1" t="s">
        <v>19240</v>
      </c>
      <c r="C3841" s="1" t="s">
        <v>19241</v>
      </c>
      <c r="D3841" s="1" t="s">
        <v>19242</v>
      </c>
      <c r="E3841" s="1" t="s">
        <v>19242</v>
      </c>
      <c r="F3841" s="1" t="s">
        <v>19243</v>
      </c>
      <c r="G3841" s="1" t="s">
        <v>19244</v>
      </c>
      <c r="H3841" s="1" t="str">
        <f>IFERROR(__xludf.DUMMYFUNCTION("GOOGLETRANSLATE(D3841,""EN"",""JA"")"),"ホスファチジルコリン/アルブミン")</f>
        <v>ホスファチジルコリン/アルブミン</v>
      </c>
      <c r="I3841" s="1" t="str">
        <f>IFERROR(__xludf.DUMMYFUNCTION("GOOGLETRANSLATE(E3841,""EN"",""JA"")"),"ホスファチジルコリン/アルブミン")</f>
        <v>ホスファチジルコリン/アルブミン</v>
      </c>
      <c r="J3841" s="1" t="str">
        <f>IFERROR(__xludf.DUMMYFUNCTION("GOOGLETRANSLATE(F3841,""EN"",""JA"")"),"生物標本中のアルブミンに対するホスファチジルコリンの相対的な測定値（比率またはパーセンテージ）。")</f>
        <v>生物標本中のアルブミンに対するホスファチジルコリンの相対的な測定値（比率またはパーセンテージ）。</v>
      </c>
      <c r="K3841" s="1" t="str">
        <f>IFERROR(__xludf.DUMMYFUNCTION("GOOGLETRANSLATE(G3841,""EN"",""JA"")"),"ホスファチジルコリンとアルブミンの比率測定")</f>
        <v>ホスファチジルコリンとアルブミンの比率測定</v>
      </c>
    </row>
    <row r="3842" ht="13.5" customHeight="1">
      <c r="A3842" s="1" t="s">
        <v>11</v>
      </c>
      <c r="B3842" s="1" t="s">
        <v>19245</v>
      </c>
      <c r="C3842" s="1" t="s">
        <v>19246</v>
      </c>
      <c r="D3842" s="1" t="s">
        <v>19247</v>
      </c>
      <c r="E3842" s="1" t="s">
        <v>19248</v>
      </c>
      <c r="F3842" s="1" t="s">
        <v>19249</v>
      </c>
      <c r="G3842" s="1" t="s">
        <v>19250</v>
      </c>
      <c r="H3842" s="1" t="str">
        <f>IFERROR(__xludf.DUMMYFUNCTION("GOOGLETRANSLATE(D3842,""EN"",""JA"")"),"ホスファチジルエタノール")</f>
        <v>ホスファチジルエタノール</v>
      </c>
      <c r="I3842" s="1" t="str">
        <f>IFERROR(__xludf.DUMMYFUNCTION("GOOGLETRANSLATE(E3842,""EN"",""JA"")"),"PEth; ホスファチジルエタノール")</f>
        <v>PEth; ホスファチジルエタノール</v>
      </c>
      <c r="J3842" s="1" t="str">
        <f>IFERROR(__xludf.DUMMYFUNCTION("GOOGLETRANSLATE(F3842,""EN"",""JA"")"),"生物標本中の総ホスファチジルエタノールの測定。")</f>
        <v>生物標本中の総ホスファチジルエタノールの測定。</v>
      </c>
      <c r="K3842" s="1" t="str">
        <f>IFERROR(__xludf.DUMMYFUNCTION("GOOGLETRANSLATE(G3842,""EN"",""JA"")"),"ホスファチジルエタノール測定")</f>
        <v>ホスファチジルエタノール測定</v>
      </c>
    </row>
    <row r="3843" ht="13.5" customHeight="1">
      <c r="A3843" s="1" t="s">
        <v>67</v>
      </c>
      <c r="B3843" s="1" t="s">
        <v>19251</v>
      </c>
      <c r="C3843" s="1" t="s">
        <v>19252</v>
      </c>
      <c r="D3843" s="1" t="s">
        <v>19253</v>
      </c>
      <c r="E3843" s="1" t="s">
        <v>19253</v>
      </c>
      <c r="F3843" s="1" t="s">
        <v>19254</v>
      </c>
      <c r="G3843" s="1" t="s">
        <v>19255</v>
      </c>
      <c r="H3843" s="1" t="str">
        <f>IFERROR(__xludf.DUMMYFUNCTION("GOOGLETRANSLATE(D3843,""EN"",""JA"")"),"シュードモナス・プチダ")</f>
        <v>シュードモナス・プチダ</v>
      </c>
      <c r="I3843" s="1" t="str">
        <f>IFERROR(__xludf.DUMMYFUNCTION("GOOGLETRANSLATE(E3843,""EN"",""JA"")"),"シュードモナス・プチダ")</f>
        <v>シュードモナス・プチダ</v>
      </c>
      <c r="J3843" s="1" t="str">
        <f>IFERROR(__xludf.DUMMYFUNCTION("GOOGLETRANSLATE(F3843,""EN"",""JA"")"),"生物標本中の Pseudomonas putida の測定。")</f>
        <v>生物標本中の Pseudomonas putida の測定。</v>
      </c>
      <c r="K3843" s="1" t="str">
        <f>IFERROR(__xludf.DUMMYFUNCTION("GOOGLETRANSLATE(G3843,""EN"",""JA"")"),"シュードモナス・プチダ測定")</f>
        <v>シュードモナス・プチダ測定</v>
      </c>
    </row>
    <row r="3844" ht="13.5" customHeight="1">
      <c r="A3844" s="1" t="s">
        <v>201</v>
      </c>
      <c r="B3844" s="1" t="s">
        <v>19256</v>
      </c>
      <c r="C3844" s="1" t="s">
        <v>19257</v>
      </c>
      <c r="D3844" s="1" t="s">
        <v>19258</v>
      </c>
      <c r="E3844" s="1" t="s">
        <v>19259</v>
      </c>
      <c r="F3844" s="1" t="s">
        <v>19260</v>
      </c>
      <c r="G3844" s="1" t="s">
        <v>19261</v>
      </c>
      <c r="H3844" s="1" t="str">
        <f>IFERROR(__xludf.DUMMYFUNCTION("GOOGLETRANSLATE(D3844,""EN"",""JA"")"),"パネル反応性抗体")</f>
        <v>パネル反応性抗体</v>
      </c>
      <c r="I3844" s="1" t="str">
        <f>IFERROR(__xludf.DUMMYFUNCTION("GOOGLETRANSLATE(E3844,""EN"",""JA"")"),"パネル反応性抗体; 反応性抗体の割合; PRAスコア")</f>
        <v>パネル反応性抗体; 反応性抗体の割合; PRAスコア</v>
      </c>
      <c r="J3844" s="1" t="str">
        <f>IFERROR(__xludf.DUMMYFUNCTION("GOOGLETRANSLATE(F3844,""EN"",""JA"")"),"パネル反応性抗体の測定は、レシピエントの免疫細胞とドナーのヒト白血球抗原を混合して反応性を評価することによって達成され、抗HLAクラスIおよびクラスII抗体の特異性が測定されます。")</f>
        <v>パネル反応性抗体の測定は、レシピエントの免疫細胞とドナーのヒト白血球抗原を混合して反応性を評価することによって達成され、抗HLAクラスIおよびクラスII抗体の特異性が測定されます。</v>
      </c>
      <c r="K3844" s="1" t="str">
        <f>IFERROR(__xludf.DUMMYFUNCTION("GOOGLETRANSLATE(G3844,""EN"",""JA"")"),"パネル反応性抗体検査")</f>
        <v>パネル反応性抗体検査</v>
      </c>
    </row>
    <row r="3845" ht="13.5" customHeight="1">
      <c r="A3845" s="1" t="s">
        <v>201</v>
      </c>
      <c r="B3845" s="1" t="s">
        <v>19262</v>
      </c>
      <c r="C3845" s="1" t="s">
        <v>19263</v>
      </c>
      <c r="D3845" s="1" t="s">
        <v>19264</v>
      </c>
      <c r="E3845" s="1" t="s">
        <v>19264</v>
      </c>
      <c r="F3845" s="1" t="s">
        <v>19265</v>
      </c>
      <c r="G3845" s="1" t="s">
        <v>19266</v>
      </c>
      <c r="H3845" s="1" t="str">
        <f>IFERROR(__xludf.DUMMYFUNCTION("GOOGLETRANSLATE(D3845,""EN"",""JA"")"),"計算されたパネル反応性抗体")</f>
        <v>計算されたパネル反応性抗体</v>
      </c>
      <c r="I3845" s="1" t="str">
        <f>IFERROR(__xludf.DUMMYFUNCTION("GOOGLETRANSLATE(E3845,""EN"",""JA"")"),"計算されたパネル反応性抗体")</f>
        <v>計算されたパネル反応性抗体</v>
      </c>
      <c r="J3845" s="1" t="str">
        <f>IFERROR(__xludf.DUMMYFUNCTION("GOOGLETRANSLATE(F3845,""EN"",""JA"")"),"臓器移植患者が感作された不適格HLA抗原の数/種類に基づいて算出されたパネル反応性抗体の測定値であり、アルゴリズムによってレシピエントの感作レベルを推定する。C")</f>
        <v>臓器移植患者が感作された不適格HLA抗原の数/種類に基づいて算出されたパネル反応性抗体の測定値であり、アルゴリズムによってレシピエントの感作レベルを推定する。C</v>
      </c>
      <c r="K3845" s="1" t="str">
        <f>IFERROR(__xludf.DUMMYFUNCTION("GOOGLETRANSLATE(G3845,""EN"",""JA"")"),"計算されたパネル反応性抗体測定")</f>
        <v>計算されたパネル反応性抗体測定</v>
      </c>
    </row>
    <row r="3846" ht="13.5" customHeight="1">
      <c r="A3846" s="1" t="s">
        <v>1168</v>
      </c>
      <c r="B3846" s="1" t="s">
        <v>19267</v>
      </c>
      <c r="C3846" s="1" t="s">
        <v>19268</v>
      </c>
      <c r="D3846" s="1" t="s">
        <v>19269</v>
      </c>
      <c r="E3846" s="1" t="s">
        <v>19270</v>
      </c>
      <c r="F3846" s="1" t="s">
        <v>19271</v>
      </c>
      <c r="G3846" s="1" t="s">
        <v>19272</v>
      </c>
      <c r="H3846" s="1" t="str">
        <f>IFERROR(__xludf.DUMMYFUNCTION("GOOGLETRANSLATE(D3846,""EN"",""JA"")"),"PR間隔、集計")</f>
        <v>PR間隔、集計</v>
      </c>
      <c r="I3846" s="1" t="str">
        <f>IFERROR(__xludf.DUMMYFUNCTION("GOOGLETRANSLATE(E3846,""EN"",""JA"")"),"PQ間隔、総計; PQAG; PR間隔、総計")</f>
        <v>PQ間隔、総計; PQAG; PR間隔、総計</v>
      </c>
      <c r="J3846" s="1" t="str">
        <f>IFERROR(__xludf.DUMMYFUNCTION("GOOGLETRANSLATE(F3846,""EN"",""JA"")"),"1回の心電図における複数の心拍からのPR間隔の測定に基づく集計PR値。集計方法は様々ですが、通常は平均値などの中心傾向を示す指標が用いられます。")</f>
        <v>1回の心電図における複数の心拍からのPR間隔の測定に基づく集計PR値。集計方法は様々ですが、通常は平均値などの中心傾向を示す指標が用いられます。</v>
      </c>
      <c r="K3846" s="1" t="str">
        <f>IFERROR(__xludf.DUMMYFUNCTION("GOOGLETRANSLATE(G3846,""EN"",""JA"")"),"総PR間隔")</f>
        <v>総PR間隔</v>
      </c>
    </row>
    <row r="3847" ht="13.5" customHeight="1">
      <c r="A3847" s="1" t="s">
        <v>842</v>
      </c>
      <c r="B3847" s="1" t="s">
        <v>19273</v>
      </c>
      <c r="C3847" s="1" t="s">
        <v>19274</v>
      </c>
      <c r="D3847" s="1" t="s">
        <v>19275</v>
      </c>
      <c r="E3847" s="1" t="s">
        <v>19275</v>
      </c>
      <c r="F3847" s="1" t="s">
        <v>19276</v>
      </c>
      <c r="G3847" s="1" t="s">
        <v>19275</v>
      </c>
      <c r="H3847" s="1" t="str">
        <f>IFERROR(__xludf.DUMMYFUNCTION("GOOGLETRANSLATE(D3847,""EN"",""JA"")"),"主な死因")</f>
        <v>主な死因</v>
      </c>
      <c r="I3847" s="1" t="str">
        <f>IFERROR(__xludf.DUMMYFUNCTION("GOOGLETRANSLATE(E3847,""EN"",""JA"")"),"主な死因")</f>
        <v>主な死因</v>
      </c>
      <c r="J3847" s="1" t="str">
        <f>IFERROR(__xludf.DUMMYFUNCTION("GOOGLETRANSLATE(F3847,""EN"",""JA"")"),"最終的に死に至った主要な重大な出来事。")</f>
        <v>最終的に死に至った主要な重大な出来事。</v>
      </c>
      <c r="K3847" s="1" t="str">
        <f>IFERROR(__xludf.DUMMYFUNCTION("GOOGLETRANSLATE(G3847,""EN"",""JA"")"),"主な死因")</f>
        <v>主な死因</v>
      </c>
    </row>
    <row r="3848" ht="13.5" customHeight="1">
      <c r="A3848" s="1" t="s">
        <v>11</v>
      </c>
      <c r="B3848" s="1" t="s">
        <v>19277</v>
      </c>
      <c r="C3848" s="1" t="s">
        <v>19278</v>
      </c>
      <c r="D3848" s="1" t="s">
        <v>19279</v>
      </c>
      <c r="E3848" s="1" t="s">
        <v>19279</v>
      </c>
      <c r="F3848" s="1" t="s">
        <v>19280</v>
      </c>
      <c r="G3848" s="1" t="s">
        <v>19281</v>
      </c>
      <c r="H3848" s="1" t="str">
        <f>IFERROR(__xludf.DUMMYFUNCTION("GOOGLETRANSLATE(D3848,""EN"",""JA"")"),"前立腺循環腫瘍細胞")</f>
        <v>前立腺循環腫瘍細胞</v>
      </c>
      <c r="I3848" s="1" t="str">
        <f>IFERROR(__xludf.DUMMYFUNCTION("GOOGLETRANSLATE(E3848,""EN"",""JA"")"),"前立腺循環腫瘍細胞")</f>
        <v>前立腺循環腫瘍細胞</v>
      </c>
      <c r="J3848" s="1" t="str">
        <f>IFERROR(__xludf.DUMMYFUNCTION("GOOGLETRANSLATE(F3848,""EN"",""JA"")"),"生物学的標本内の前立腺循環腫瘍細胞の測定。")</f>
        <v>生物学的標本内の前立腺循環腫瘍細胞の測定。</v>
      </c>
      <c r="K3848" s="1" t="str">
        <f>IFERROR(__xludf.DUMMYFUNCTION("GOOGLETRANSLATE(G3848,""EN"",""JA"")"),"循環前立腺腫瘍細胞数")</f>
        <v>循環前立腺腫瘍細胞数</v>
      </c>
    </row>
    <row r="3849" ht="13.5" customHeight="1">
      <c r="A3849" s="1" t="s">
        <v>160</v>
      </c>
      <c r="B3849" s="1" t="s">
        <v>19282</v>
      </c>
      <c r="C3849" s="1" t="s">
        <v>19283</v>
      </c>
      <c r="D3849" s="1" t="s">
        <v>19284</v>
      </c>
      <c r="E3849" s="1" t="s">
        <v>19285</v>
      </c>
      <c r="F3849" s="1" t="s">
        <v>19286</v>
      </c>
      <c r="G3849" s="1" t="s">
        <v>19287</v>
      </c>
      <c r="H3849" s="1" t="str">
        <f>IFERROR(__xludf.DUMMYFUNCTION("GOOGLETRANSLATE(D3849,""EN"",""JA"")"),"受胎産物検査済みInd")</f>
        <v>受胎産物検査済みInd</v>
      </c>
      <c r="I3849" s="1" t="str">
        <f>IFERROR(__xludf.DUMMYFUNCTION("GOOGLETRANSLATE(E3849,""EN"",""JA"")"),"受胎産物検査済みInd; 受胎産物検査済み指標")</f>
        <v>受胎産物検査済みInd; 受胎産物検査済み指標</v>
      </c>
      <c r="J3849" s="1" t="str">
        <f>IFERROR(__xludf.DUMMYFUNCTION("GOOGLETRANSLATE(F3849,""EN"",""JA"")"),"受胎産物が検査されたかどうかの表示。")</f>
        <v>受胎産物が検査されたかどうかの表示。</v>
      </c>
      <c r="K3849" s="1" t="str">
        <f>IFERROR(__xludf.DUMMYFUNCTION("GOOGLETRANSLATE(G3849,""EN"",""JA"")"),"受胎産物検査指標")</f>
        <v>受胎産物検査指標</v>
      </c>
    </row>
    <row r="3850" ht="13.5" customHeight="1">
      <c r="A3850" s="1" t="s">
        <v>67</v>
      </c>
      <c r="B3850" s="1" t="s">
        <v>19288</v>
      </c>
      <c r="C3850" s="1" t="s">
        <v>19289</v>
      </c>
      <c r="D3850" s="1" t="s">
        <v>19290</v>
      </c>
      <c r="E3850" s="1" t="s">
        <v>19290</v>
      </c>
      <c r="F3850" s="1" t="s">
        <v>19291</v>
      </c>
      <c r="G3850" s="1" t="s">
        <v>19292</v>
      </c>
      <c r="H3850" s="1" t="str">
        <f>IFERROR(__xludf.DUMMYFUNCTION("GOOGLETRANSLATE(D3850,""EN"",""JA"")"),"プロビデンシア・レットゲリ")</f>
        <v>プロビデンシア・レットゲリ</v>
      </c>
      <c r="I3850" s="1" t="str">
        <f>IFERROR(__xludf.DUMMYFUNCTION("GOOGLETRANSLATE(E3850,""EN"",""JA"")"),"プロビデンシア・レットゲリ")</f>
        <v>プロビデンシア・レットゲリ</v>
      </c>
      <c r="J3850" s="1" t="str">
        <f>IFERROR(__xludf.DUMMYFUNCTION("GOOGLETRANSLATE(F3850,""EN"",""JA"")"),"生物標本中の Providencia rettgeri の測定。")</f>
        <v>生物標本中の Providencia rettgeri の測定。</v>
      </c>
      <c r="K3850" s="1" t="str">
        <f>IFERROR(__xludf.DUMMYFUNCTION("GOOGLETRANSLATE(G3850,""EN"",""JA"")"),"プロビデンシア・レットゲリの測定")</f>
        <v>プロビデンシア・レットゲリの測定</v>
      </c>
    </row>
    <row r="3851" ht="13.5" customHeight="1">
      <c r="A3851" s="1" t="s">
        <v>11</v>
      </c>
      <c r="B3851" s="1" t="s">
        <v>19293</v>
      </c>
      <c r="C3851" s="1" t="s">
        <v>19294</v>
      </c>
      <c r="D3851" s="1" t="s">
        <v>19295</v>
      </c>
      <c r="E3851" s="1" t="s">
        <v>19296</v>
      </c>
      <c r="F3851" s="1" t="s">
        <v>19297</v>
      </c>
      <c r="G3851" s="1" t="s">
        <v>19298</v>
      </c>
      <c r="H3851" s="1" t="str">
        <f>IFERROR(__xludf.DUMMYFUNCTION("GOOGLETRANSLATE(D3851,""EN"",""JA"")"),"プレアルブミン")</f>
        <v>プレアルブミン</v>
      </c>
      <c r="I3851" s="1" t="str">
        <f>IFERROR(__xludf.DUMMYFUNCTION("GOOGLETRANSLATE(E3851,""EN"",""JA"")"),"プレアルブミン; チロキシン結合プレアルブミン; トランスサイレチン")</f>
        <v>プレアルブミン; チロキシン結合プレアルブミン; トランスサイレチン</v>
      </c>
      <c r="J3851" s="1" t="str">
        <f>IFERROR(__xludf.DUMMYFUNCTION("GOOGLETRANSLATE(F3851,""EN"",""JA"")"),"生物標本中のプレアルブミンの測定。")</f>
        <v>生物標本中のプレアルブミンの測定。</v>
      </c>
      <c r="K3851" s="1" t="str">
        <f>IFERROR(__xludf.DUMMYFUNCTION("GOOGLETRANSLATE(G3851,""EN"",""JA"")"),"プレアルブミン測定")</f>
        <v>プレアルブミン測定</v>
      </c>
    </row>
    <row r="3852" ht="13.5" customHeight="1">
      <c r="A3852" s="1" t="s">
        <v>11</v>
      </c>
      <c r="B3852" s="1" t="s">
        <v>19299</v>
      </c>
      <c r="C3852" s="1" t="s">
        <v>19300</v>
      </c>
      <c r="D3852" s="1" t="s">
        <v>19301</v>
      </c>
      <c r="E3852" s="1" t="s">
        <v>19301</v>
      </c>
      <c r="F3852" s="1" t="s">
        <v>19302</v>
      </c>
      <c r="G3852" s="1" t="s">
        <v>19303</v>
      </c>
      <c r="H3852" s="1" t="str">
        <f>IFERROR(__xludf.DUMMYFUNCTION("GOOGLETRANSLATE(D3852,""EN"",""JA"")"),"プレガバリン")</f>
        <v>プレガバリン</v>
      </c>
      <c r="I3852" s="1" t="str">
        <f>IFERROR(__xludf.DUMMYFUNCTION("GOOGLETRANSLATE(E3852,""EN"",""JA"")"),"プレガバリン")</f>
        <v>プレガバリン</v>
      </c>
      <c r="J3852" s="1" t="str">
        <f>IFERROR(__xludf.DUMMYFUNCTION("GOOGLETRANSLATE(F3852,""EN"",""JA"")"),"生物標本中のプレガバリンの測定。")</f>
        <v>生物標本中のプレガバリンの測定。</v>
      </c>
      <c r="K3852" s="1" t="str">
        <f>IFERROR(__xludf.DUMMYFUNCTION("GOOGLETRANSLATE(G3852,""EN"",""JA"")"),"プレガバリン測定")</f>
        <v>プレガバリン測定</v>
      </c>
    </row>
    <row r="3853" ht="13.5" customHeight="1">
      <c r="A3853" s="1" t="s">
        <v>160</v>
      </c>
      <c r="B3853" s="1" t="s">
        <v>19304</v>
      </c>
      <c r="C3853" s="1" t="s">
        <v>19305</v>
      </c>
      <c r="D3853" s="1" t="s">
        <v>19306</v>
      </c>
      <c r="E3853" s="1" t="s">
        <v>19306</v>
      </c>
      <c r="F3853" s="1" t="s">
        <v>19307</v>
      </c>
      <c r="G3853" s="1" t="s">
        <v>19308</v>
      </c>
      <c r="H3853" s="1" t="str">
        <f>IFERROR(__xludf.DUMMYFUNCTION("GOOGLETRANSLATE(D3853,""EN"",""JA"")"),"妊娠指標")</f>
        <v>妊娠指標</v>
      </c>
      <c r="I3853" s="1" t="str">
        <f>IFERROR(__xludf.DUMMYFUNCTION("GOOGLETRANSLATE(E3853,""EN"",""JA"")"),"妊娠指標")</f>
        <v>妊娠指標</v>
      </c>
      <c r="J3853" s="1" t="str">
        <f>IFERROR(__xludf.DUMMYFUNCTION("GOOGLETRANSLATE(F3853,""EN"",""JA"")"),"質問時に対象者また​​は関係者が妊娠しているかどうかを示します。")</f>
        <v>質問時に対象者また​​は関係者が妊娠しているかどうかを示します。</v>
      </c>
      <c r="K3853" s="1" t="str">
        <f>IFERROR(__xludf.DUMMYFUNCTION("GOOGLETRANSLATE(G3853,""EN"",""JA"")"),"妊娠指標")</f>
        <v>妊娠指標</v>
      </c>
    </row>
    <row r="3854" ht="13.5" customHeight="1">
      <c r="A3854" s="1" t="s">
        <v>160</v>
      </c>
      <c r="B3854" s="1" t="s">
        <v>19309</v>
      </c>
      <c r="C3854" s="1" t="s">
        <v>19310</v>
      </c>
      <c r="D3854" s="1" t="s">
        <v>19311</v>
      </c>
      <c r="E3854" s="1" t="s">
        <v>19311</v>
      </c>
      <c r="F3854" s="1" t="s">
        <v>19312</v>
      </c>
      <c r="G3854" s="1" t="s">
        <v>19311</v>
      </c>
      <c r="H3854" s="1" t="str">
        <f>IFERROR(__xludf.DUMMYFUNCTION("GOOGLETRANSLATE(D3854,""EN"",""JA"")"),"妊娠回数")</f>
        <v>妊娠回数</v>
      </c>
      <c r="I3854" s="1" t="str">
        <f>IFERROR(__xludf.DUMMYFUNCTION("GOOGLETRANSLATE(E3854,""EN"",""JA"")"),"妊娠回数")</f>
        <v>妊娠回数</v>
      </c>
      <c r="J3854" s="1" t="str">
        <f>IFERROR(__xludf.DUMMYFUNCTION("GOOGLETRANSLATE(F3854,""EN"",""JA"")"),"女性が経験する妊娠回数の合計の測定値。")</f>
        <v>女性が経験する妊娠回数の合計の測定値。</v>
      </c>
      <c r="K3854" s="1" t="str">
        <f>IFERROR(__xludf.DUMMYFUNCTION("GOOGLETRANSLATE(G3854,""EN"",""JA"")"),"妊娠回数")</f>
        <v>妊娠回数</v>
      </c>
    </row>
    <row r="3855" ht="13.5" customHeight="1">
      <c r="A3855" s="1" t="s">
        <v>160</v>
      </c>
      <c r="B3855" s="1" t="s">
        <v>19313</v>
      </c>
      <c r="C3855" s="1" t="s">
        <v>19314</v>
      </c>
      <c r="D3855" s="1" t="s">
        <v>19315</v>
      </c>
      <c r="E3855" s="1" t="s">
        <v>19315</v>
      </c>
      <c r="F3855" s="1" t="s">
        <v>19316</v>
      </c>
      <c r="G3855" s="1" t="s">
        <v>19315</v>
      </c>
      <c r="H3855" s="1" t="str">
        <f>IFERROR(__xludf.DUMMYFUNCTION("GOOGLETRANSLATE(D3855,""EN"",""JA"")"),"研究期間中に妊娠")</f>
        <v>研究期間中に妊娠</v>
      </c>
      <c r="I3855" s="1" t="str">
        <f>IFERROR(__xludf.DUMMYFUNCTION("GOOGLETRANSLATE(E3855,""EN"",""JA"")"),"研究期間中に妊娠")</f>
        <v>研究期間中に妊娠</v>
      </c>
      <c r="J3855" s="1" t="str">
        <f>IFERROR(__xludf.DUMMYFUNCTION("GOOGLETRANSLATE(F3855,""EN"",""JA"")"),"研究期間中に女性が妊娠しているかどうかを示す指標。(NCI)")</f>
        <v>研究期間中に女性が妊娠しているかどうかを示す指標。(NCI)</v>
      </c>
      <c r="K3855" s="1" t="str">
        <f>IFERROR(__xludf.DUMMYFUNCTION("GOOGLETRANSLATE(G3855,""EN"",""JA"")"),"研究期間中に妊娠")</f>
        <v>研究期間中に妊娠</v>
      </c>
    </row>
    <row r="3856" ht="13.5" customHeight="1">
      <c r="A3856" s="1" t="s">
        <v>601</v>
      </c>
      <c r="B3856" s="1" t="s">
        <v>19317</v>
      </c>
      <c r="C3856" s="1" t="s">
        <v>19318</v>
      </c>
      <c r="D3856" s="1" t="s">
        <v>19319</v>
      </c>
      <c r="E3856" s="1" t="s">
        <v>19319</v>
      </c>
      <c r="F3856" s="1" t="s">
        <v>19320</v>
      </c>
      <c r="G3856" s="1" t="s">
        <v>19319</v>
      </c>
      <c r="H3856" s="1" t="str">
        <f>IFERROR(__xludf.DUMMYFUNCTION("GOOGLETRANSLATE(D3856,""EN"",""JA"")"),"早産の指標")</f>
        <v>早産の指標</v>
      </c>
      <c r="I3856" s="1" t="str">
        <f>IFERROR(__xludf.DUMMYFUNCTION("GOOGLETRANSLATE(E3856,""EN"",""JA"")"),"早産の指標")</f>
        <v>早産の指標</v>
      </c>
      <c r="J3856" s="1" t="str">
        <f>IFERROR(__xludf.DUMMYFUNCTION("GOOGLETRANSLATE(F3856,""EN"",""JA"")"),"対象者が妊娠37週0日より前に出生したかどうかを示します。")</f>
        <v>対象者が妊娠37週0日より前に出生したかどうかを示します。</v>
      </c>
      <c r="K3856" s="1" t="str">
        <f>IFERROR(__xludf.DUMMYFUNCTION("GOOGLETRANSLATE(G3856,""EN"",""JA"")"),"早産の指標")</f>
        <v>早産の指標</v>
      </c>
    </row>
    <row r="3857" ht="13.5" customHeight="1">
      <c r="A3857" s="1" t="s">
        <v>160</v>
      </c>
      <c r="B3857" s="1" t="s">
        <v>19321</v>
      </c>
      <c r="C3857" s="1" t="s">
        <v>19322</v>
      </c>
      <c r="D3857" s="1" t="s">
        <v>19323</v>
      </c>
      <c r="E3857" s="1" t="s">
        <v>19323</v>
      </c>
      <c r="F3857" s="1" t="s">
        <v>19324</v>
      </c>
      <c r="G3857" s="1" t="s">
        <v>19323</v>
      </c>
      <c r="H3857" s="1" t="str">
        <f>IFERROR(__xludf.DUMMYFUNCTION("GOOGLETRANSLATE(D3857,""EN"",""JA"")"),"早産の数")</f>
        <v>早産の数</v>
      </c>
      <c r="I3857" s="1" t="str">
        <f>IFERROR(__xludf.DUMMYFUNCTION("GOOGLETRANSLATE(E3857,""EN"",""JA"")"),"早産の数")</f>
        <v>早産の数</v>
      </c>
      <c r="J3857" s="1" t="str">
        <f>IFERROR(__xludf.DUMMYFUNCTION("GOOGLETRANSLATE(F3857,""EN"",""JA"")"),"新生児の妊娠期間が 37 週 0 日未満である出生イベント (生存および死亡の両方) の合計数を測定した値。")</f>
        <v>新生児の妊娠期間が 37 週 0 日未満である出生イベント (生存および死亡の両方) の合計数を測定した値。</v>
      </c>
      <c r="K3857" s="1" t="str">
        <f>IFERROR(__xludf.DUMMYFUNCTION("GOOGLETRANSLATE(G3857,""EN"",""JA"")"),"早産の数")</f>
        <v>早産の数</v>
      </c>
    </row>
    <row r="3858" ht="13.5" customHeight="1">
      <c r="A3858" s="1" t="s">
        <v>7030</v>
      </c>
      <c r="B3858" s="1" t="s">
        <v>19325</v>
      </c>
      <c r="C3858" s="1" t="s">
        <v>19326</v>
      </c>
      <c r="D3858" s="1" t="s">
        <v>19327</v>
      </c>
      <c r="E3858" s="1" t="s">
        <v>19327</v>
      </c>
      <c r="F3858" s="1" t="s">
        <v>19328</v>
      </c>
      <c r="G3858" s="1" t="s">
        <v>19327</v>
      </c>
      <c r="H3858" s="1" t="str">
        <f>IFERROR(__xludf.DUMMYFUNCTION("GOOGLETRANSLATE(D3858,""EN"",""JA"")"),"準備量")</f>
        <v>準備量</v>
      </c>
      <c r="I3858" s="1" t="str">
        <f>IFERROR(__xludf.DUMMYFUNCTION("GOOGLETRANSLATE(E3858,""EN"",""JA"")"),"準備量")</f>
        <v>準備量</v>
      </c>
      <c r="J3858" s="1" t="str">
        <f>IFERROR(__xludf.DUMMYFUNCTION("GOOGLETRANSLATE(F3858,""EN"",""JA"")"),"使用できる状態になった製品の数量。")</f>
        <v>使用できる状態になった製品の数量。</v>
      </c>
      <c r="K3858" s="1" t="str">
        <f>IFERROR(__xludf.DUMMYFUNCTION("GOOGLETRANSLATE(G3858,""EN"",""JA"")"),"準備量")</f>
        <v>準備量</v>
      </c>
    </row>
    <row r="3859" ht="13.5" customHeight="1">
      <c r="A3859" s="1" t="s">
        <v>90</v>
      </c>
      <c r="B3859" s="1" t="s">
        <v>19329</v>
      </c>
      <c r="C3859" s="1" t="s">
        <v>19330</v>
      </c>
      <c r="D3859" s="1" t="s">
        <v>19331</v>
      </c>
      <c r="E3859" s="1" t="s">
        <v>19331</v>
      </c>
      <c r="F3859" s="1" t="s">
        <v>19332</v>
      </c>
      <c r="G3859" s="1" t="s">
        <v>19331</v>
      </c>
      <c r="H3859" s="1" t="str">
        <f>IFERROR(__xludf.DUMMYFUNCTION("GOOGLETRANSLATE(D3859,""EN"",""JA"")"),"プレッシャーハーフタイム")</f>
        <v>プレッシャーハーフタイム</v>
      </c>
      <c r="I3859" s="1" t="str">
        <f>IFERROR(__xludf.DUMMYFUNCTION("GOOGLETRANSLATE(E3859,""EN"",""JA"")"),"プレッシャーハーフタイム")</f>
        <v>プレッシャーハーフタイム</v>
      </c>
      <c r="J3859" s="1" t="str">
        <f>IFERROR(__xludf.DUMMYFUNCTION("GOOGLETRANSLATE(F3859,""EN"",""JA"")"),"ピークの弁圧勾配が値の半分まで減少するのに必要な時間。")</f>
        <v>ピークの弁圧勾配が値の半分まで減少するのに必要な時間。</v>
      </c>
      <c r="K3859" s="1" t="str">
        <f>IFERROR(__xludf.DUMMYFUNCTION("GOOGLETRANSLATE(G3859,""EN"",""JA"")"),"プレッシャーハーフタイム")</f>
        <v>プレッシャーハーフタイム</v>
      </c>
    </row>
    <row r="3860" ht="13.5" customHeight="1">
      <c r="A3860" s="1" t="s">
        <v>11</v>
      </c>
      <c r="B3860" s="1" t="s">
        <v>19333</v>
      </c>
      <c r="C3860" s="1" t="s">
        <v>19334</v>
      </c>
      <c r="D3860" s="1" t="s">
        <v>19335</v>
      </c>
      <c r="E3860" s="1" t="s">
        <v>19336</v>
      </c>
      <c r="F3860" s="1" t="s">
        <v>19337</v>
      </c>
      <c r="G3860" s="1" t="s">
        <v>19338</v>
      </c>
      <c r="H3860" s="1" t="str">
        <f>IFERROR(__xludf.DUMMYFUNCTION("GOOGLETRANSLATE(D3860,""EN"",""JA"")"),"パーフォリン-1")</f>
        <v>パーフォリン-1</v>
      </c>
      <c r="I3860" s="1" t="str">
        <f>IFERROR(__xludf.DUMMYFUNCTION("GOOGLETRANSLATE(E3860,""EN"",""JA"")"),"細胞溶解素; HPLH2; リンパ球孔形成タンパク質; パーフォリン-1")</f>
        <v>細胞溶解素; HPLH2; リンパ球孔形成タンパク質; パーフォリン-1</v>
      </c>
      <c r="J3860" s="1" t="str">
        <f>IFERROR(__xludf.DUMMYFUNCTION("GOOGLETRANSLATE(F3860,""EN"",""JA"")"),"生物標本中のパーフォリン-1の測定。")</f>
        <v>生物標本中のパーフォリン-1の測定。</v>
      </c>
      <c r="K3860" s="1" t="str">
        <f>IFERROR(__xludf.DUMMYFUNCTION("GOOGLETRANSLATE(G3860,""EN"",""JA"")"),"パーフォリン1測定")</f>
        <v>パーフォリン1測定</v>
      </c>
    </row>
    <row r="3861" ht="13.5" customHeight="1">
      <c r="A3861" s="1" t="s">
        <v>160</v>
      </c>
      <c r="B3861" s="1" t="s">
        <v>19339</v>
      </c>
      <c r="C3861" s="1" t="s">
        <v>19340</v>
      </c>
      <c r="D3861" s="1" t="s">
        <v>19341</v>
      </c>
      <c r="E3861" s="1" t="s">
        <v>19341</v>
      </c>
      <c r="F3861" s="1" t="s">
        <v>19342</v>
      </c>
      <c r="G3861" s="1" t="s">
        <v>19343</v>
      </c>
      <c r="H3861" s="1" t="str">
        <f>IFERROR(__xludf.DUMMYFUNCTION("GOOGLETRANSLATE(D3861,""EN"",""JA"")"),"妊娠終了日")</f>
        <v>妊娠終了日</v>
      </c>
      <c r="I3861" s="1" t="str">
        <f>IFERROR(__xludf.DUMMYFUNCTION("GOOGLETRANSLATE(E3861,""EN"",""JA"")"),"妊娠終了日")</f>
        <v>妊娠終了日</v>
      </c>
      <c r="J3861" s="1" t="str">
        <f>IFERROR(__xludf.DUMMYFUNCTION("GOOGLETRANSLATE(F3861,""EN"",""JA"")"),"妊娠が終了した日付。")</f>
        <v>妊娠が終了した日付。</v>
      </c>
      <c r="K3861" s="1" t="str">
        <f>IFERROR(__xludf.DUMMYFUNCTION("GOOGLETRANSLATE(G3861,""EN"",""JA"")"),"妊娠終了日")</f>
        <v>妊娠終了日</v>
      </c>
    </row>
    <row r="3862" ht="13.5" customHeight="1">
      <c r="A3862" s="1" t="s">
        <v>90</v>
      </c>
      <c r="B3862" s="1" t="s">
        <v>19344</v>
      </c>
      <c r="C3862" s="1" t="s">
        <v>19345</v>
      </c>
      <c r="D3862" s="1" t="s">
        <v>19346</v>
      </c>
      <c r="E3862" s="1" t="s">
        <v>19347</v>
      </c>
      <c r="F3862" s="1" t="s">
        <v>19348</v>
      </c>
      <c r="G3862" s="1" t="s">
        <v>19349</v>
      </c>
      <c r="H3862" s="1" t="str">
        <f>IFERROR(__xludf.DUMMYFUNCTION("GOOGLETRANSLATE(D3862,""EN"",""JA"")"),"肺動脈逆流ジェット幅RVOT直径右")</f>
        <v>肺動脈逆流ジェット幅RVOT直径右</v>
      </c>
      <c r="I3862" s="1" t="str">
        <f>IFERROR(__xludf.DUMMYFUNCTION("GOOGLETRANSLATE(E3862,""EN"",""JA"")"),"肺動脈逆流ジェット幅 RVOT径 Rt; 肺動脈逆流ジェット幅と右室流出路径の比")</f>
        <v>肺動脈逆流ジェット幅 RVOT径 Rt; 肺動脈逆流ジェット幅と右室流出路径の比</v>
      </c>
      <c r="J3862" s="1" t="str">
        <f>IFERROR(__xludf.DUMMYFUNCTION("GOOGLETRANSLATE(F3862,""EN"",""JA"")"),"肺動脈逆流ジェット幅と右室流出路 (RVOT) 径の相対測定値 (比率)。")</f>
        <v>肺動脈逆流ジェット幅と右室流出路 (RVOT) 径の相対測定値 (比率)。</v>
      </c>
      <c r="K3862" s="1" t="str">
        <f>IFERROR(__xludf.DUMMYFUNCTION("GOOGLETRANSLATE(G3862,""EN"",""JA"")"),"肺動脈逆流ジェット幅と右室流出路径の比")</f>
        <v>肺動脈逆流ジェット幅と右室流出路径の比</v>
      </c>
    </row>
    <row r="3863" ht="13.5" customHeight="1">
      <c r="A3863" s="1" t="s">
        <v>11</v>
      </c>
      <c r="B3863" s="1" t="s">
        <v>19350</v>
      </c>
      <c r="C3863" s="1" t="s">
        <v>19351</v>
      </c>
      <c r="D3863" s="1" t="s">
        <v>19352</v>
      </c>
      <c r="E3863" s="1" t="s">
        <v>19352</v>
      </c>
      <c r="F3863" s="1" t="s">
        <v>19353</v>
      </c>
      <c r="G3863" s="1" t="s">
        <v>19354</v>
      </c>
      <c r="H3863" s="1" t="str">
        <f>IFERROR(__xludf.DUMMYFUNCTION("GOOGLETRANSLATE(D3863,""EN"",""JA"")"),"プレグネノロン")</f>
        <v>プレグネノロン</v>
      </c>
      <c r="I3863" s="1" t="str">
        <f>IFERROR(__xludf.DUMMYFUNCTION("GOOGLETRANSLATE(E3863,""EN"",""JA"")"),"プレグネノロン")</f>
        <v>プレグネノロン</v>
      </c>
      <c r="J3863" s="1" t="str">
        <f>IFERROR(__xludf.DUMMYFUNCTION("GOOGLETRANSLATE(F3863,""EN"",""JA"")"),"生物標本中のプレグネノロンの測定。")</f>
        <v>生物標本中のプレグネノロンの測定。</v>
      </c>
      <c r="K3863" s="1" t="str">
        <f>IFERROR(__xludf.DUMMYFUNCTION("GOOGLETRANSLATE(G3863,""EN"",""JA"")"),"プレグネノロン測定")</f>
        <v>プレグネノロン測定</v>
      </c>
    </row>
    <row r="3864" ht="13.5" customHeight="1">
      <c r="A3864" s="1" t="s">
        <v>11</v>
      </c>
      <c r="B3864" s="1" t="s">
        <v>19355</v>
      </c>
      <c r="C3864" s="1" t="s">
        <v>19356</v>
      </c>
      <c r="D3864" s="1" t="s">
        <v>19357</v>
      </c>
      <c r="E3864" s="1" t="s">
        <v>19357</v>
      </c>
      <c r="F3864" s="1" t="s">
        <v>19358</v>
      </c>
      <c r="G3864" s="1" t="s">
        <v>19359</v>
      </c>
      <c r="H3864" s="1" t="str">
        <f>IFERROR(__xludf.DUMMYFUNCTION("GOOGLETRANSLATE(D3864,""EN"",""JA"")"),"プレグナンジオール")</f>
        <v>プレグナンジオール</v>
      </c>
      <c r="I3864" s="1" t="str">
        <f>IFERROR(__xludf.DUMMYFUNCTION("GOOGLETRANSLATE(E3864,""EN"",""JA"")"),"プレグナンジオール")</f>
        <v>プレグナンジオール</v>
      </c>
      <c r="J3864" s="1" t="str">
        <f>IFERROR(__xludf.DUMMYFUNCTION("GOOGLETRANSLATE(F3864,""EN"",""JA"")"),"生物標本中のプレグナンジオールの測定。")</f>
        <v>生物標本中のプレグナンジオールの測定。</v>
      </c>
      <c r="K3864" s="1" t="str">
        <f>IFERROR(__xludf.DUMMYFUNCTION("GOOGLETRANSLATE(G3864,""EN"",""JA"")"),"プレグナンジオール測定")</f>
        <v>プレグナンジオール測定</v>
      </c>
    </row>
    <row r="3865" ht="13.5" customHeight="1">
      <c r="A3865" s="1" t="s">
        <v>160</v>
      </c>
      <c r="B3865" s="1" t="s">
        <v>19360</v>
      </c>
      <c r="C3865" s="1" t="s">
        <v>19361</v>
      </c>
      <c r="D3865" s="1" t="s">
        <v>19362</v>
      </c>
      <c r="E3865" s="1" t="s">
        <v>19362</v>
      </c>
      <c r="F3865" s="1" t="s">
        <v>19363</v>
      </c>
      <c r="G3865" s="1" t="s">
        <v>19362</v>
      </c>
      <c r="H3865" s="1" t="str">
        <f>IFERROR(__xludf.DUMMYFUNCTION("GOOGLETRANSLATE(D3865,""EN"",""JA"")"),"妊娠の結果")</f>
        <v>妊娠の結果</v>
      </c>
      <c r="I3865" s="1" t="str">
        <f>IFERROR(__xludf.DUMMYFUNCTION("GOOGLETRANSLATE(E3865,""EN"",""JA"")"),"妊娠の結果")</f>
        <v>妊娠の結果</v>
      </c>
      <c r="J3865" s="1" t="str">
        <f>IFERROR(__xludf.DUMMYFUNCTION("GOOGLETRANSLATE(F3865,""EN"",""JA"")"),"妊娠の最終結果。")</f>
        <v>妊娠の最終結果。</v>
      </c>
      <c r="K3865" s="1" t="str">
        <f>IFERROR(__xludf.DUMMYFUNCTION("GOOGLETRANSLATE(G3865,""EN"",""JA"")"),"妊娠の結果")</f>
        <v>妊娠の結果</v>
      </c>
    </row>
    <row r="3866" ht="13.5" customHeight="1">
      <c r="A3866" s="1" t="s">
        <v>601</v>
      </c>
      <c r="B3866" s="1" t="s">
        <v>19364</v>
      </c>
      <c r="C3866" s="1" t="s">
        <v>19365</v>
      </c>
      <c r="D3866" s="1" t="s">
        <v>19366</v>
      </c>
      <c r="E3866" s="1" t="s">
        <v>19366</v>
      </c>
      <c r="F3866" s="1" t="s">
        <v>19367</v>
      </c>
      <c r="G3866" s="1" t="s">
        <v>19366</v>
      </c>
      <c r="H3866" s="1" t="str">
        <f>IFERROR(__xludf.DUMMYFUNCTION("GOOGLETRANSLATE(D3866,""EN"",""JA"")"),"病気の連絡先の優先順位")</f>
        <v>病気の連絡先の優先順位</v>
      </c>
      <c r="I3866" s="1" t="str">
        <f>IFERROR(__xludf.DUMMYFUNCTION("GOOGLETRANSLATE(E3866,""EN"",""JA"")"),"病気の連絡先の優先順位")</f>
        <v>病気の連絡先の優先順位</v>
      </c>
      <c r="J3866" s="1" t="str">
        <f>IFERROR(__xludf.DUMMYFUNCTION("GOOGLETRANSLATE(F3866,""EN"",""JA"")"),"特定の病気に罹る可能性がある個人と罹る可能性がない個人の分類。")</f>
        <v>特定の病気に罹る可能性がある個人と罹る可能性がない個人の分類。</v>
      </c>
      <c r="K3866" s="1" t="str">
        <f>IFERROR(__xludf.DUMMYFUNCTION("GOOGLETRANSLATE(G3866,""EN"",""JA"")"),"病気の連絡先の優先順位")</f>
        <v>病気の連絡先の優先順位</v>
      </c>
    </row>
    <row r="3867" ht="13.5" customHeight="1">
      <c r="A3867" s="1" t="s">
        <v>11</v>
      </c>
      <c r="B3867" s="1" t="s">
        <v>19368</v>
      </c>
      <c r="C3867" s="1" t="s">
        <v>19369</v>
      </c>
      <c r="D3867" s="1" t="s">
        <v>19370</v>
      </c>
      <c r="E3867" s="1" t="s">
        <v>19370</v>
      </c>
      <c r="F3867" s="1" t="s">
        <v>19371</v>
      </c>
      <c r="G3867" s="1" t="s">
        <v>19372</v>
      </c>
      <c r="H3867" s="1" t="str">
        <f>IFERROR(__xludf.DUMMYFUNCTION("GOOGLETRANSLATE(D3867,""EN"",""JA"")"),"プロインスリン/インスリン比")</f>
        <v>プロインスリン/インスリン比</v>
      </c>
      <c r="I3867" s="1" t="str">
        <f>IFERROR(__xludf.DUMMYFUNCTION("GOOGLETRANSLATE(E3867,""EN"",""JA"")"),"プロインスリン/インスリン比")</f>
        <v>プロインスリン/インスリン比</v>
      </c>
      <c r="J3867" s="1" t="str">
        <f>IFERROR(__xludf.DUMMYFUNCTION("GOOGLETRANSLATE(F3867,""EN"",""JA"")"),"生物学的標本中のインスリンに対するプロインスリンの相対的な測定値（比率またはパーセンテージ）。")</f>
        <v>生物学的標本中のインスリンに対するプロインスリンの相対的な測定値（比率またはパーセンテージ）。</v>
      </c>
      <c r="K3867" s="1" t="str">
        <f>IFERROR(__xludf.DUMMYFUNCTION("GOOGLETRANSLATE(G3867,""EN"",""JA"")"),"プロインスリン対インスリン比測定")</f>
        <v>プロインスリン対インスリン比測定</v>
      </c>
    </row>
    <row r="3868" ht="13.5" customHeight="1">
      <c r="A3868" s="1" t="s">
        <v>11</v>
      </c>
      <c r="B3868" s="1" t="s">
        <v>19373</v>
      </c>
      <c r="C3868" s="1" t="s">
        <v>19374</v>
      </c>
      <c r="D3868" s="1" t="s">
        <v>19375</v>
      </c>
      <c r="E3868" s="1" t="s">
        <v>19375</v>
      </c>
      <c r="F3868" s="1" t="s">
        <v>19376</v>
      </c>
      <c r="G3868" s="1" t="s">
        <v>19377</v>
      </c>
      <c r="H3868" s="1" t="str">
        <f>IFERROR(__xludf.DUMMYFUNCTION("GOOGLETRANSLATE(D3868,""EN"",""JA"")"),"前リンパ球/白血球")</f>
        <v>前リンパ球/白血球</v>
      </c>
      <c r="I3868" s="1" t="str">
        <f>IFERROR(__xludf.DUMMYFUNCTION("GOOGLETRANSLATE(E3868,""EN"",""JA"")"),"前リンパ球/白血球")</f>
        <v>前リンパ球/白血球</v>
      </c>
      <c r="J3868" s="1" t="str">
        <f>IFERROR(__xludf.DUMMYFUNCTION("GOOGLETRANSLATE(F3868,""EN"",""JA"")"),"生物標本中の前リンパ球と白血球の相対的な測定値（比率またはパーセンテージ）。")</f>
        <v>生物標本中の前リンパ球と白血球の相対的な測定値（比率またはパーセンテージ）。</v>
      </c>
      <c r="K3868" s="1" t="str">
        <f>IFERROR(__xludf.DUMMYFUNCTION("GOOGLETRANSLATE(G3868,""EN"",""JA"")"),"前リンパ球と白血球の比率")</f>
        <v>前リンパ球と白血球の比率</v>
      </c>
    </row>
    <row r="3869" ht="13.5" customHeight="1">
      <c r="A3869" s="1" t="s">
        <v>1168</v>
      </c>
      <c r="B3869" s="1" t="s">
        <v>19378</v>
      </c>
      <c r="C3869" s="1" t="s">
        <v>19379</v>
      </c>
      <c r="D3869" s="1" t="s">
        <v>19380</v>
      </c>
      <c r="E3869" s="1" t="s">
        <v>19380</v>
      </c>
      <c r="F3869" s="1" t="s">
        <v>19381</v>
      </c>
      <c r="G3869" s="1" t="s">
        <v>19382</v>
      </c>
      <c r="H3869" s="1" t="str">
        <f>IFERROR(__xludf.DUMMYFUNCTION("GOOGLETRANSLATE(D3869,""EN"",""JA"")"),"概要（最大）PR期間")</f>
        <v>概要（最大）PR期間</v>
      </c>
      <c r="I3869" s="1" t="str">
        <f>IFERROR(__xludf.DUMMYFUNCTION("GOOGLETRANSLATE(E3869,""EN"",""JA"")"),"概要（最大）PR期間")</f>
        <v>概要（最大）PR期間</v>
      </c>
      <c r="J3869" s="1" t="str">
        <f>IFERROR(__xludf.DUMMYFUNCTION("GOOGLETRANSLATE(F3869,""EN"",""JA"")"),"PR間隔の測定値から得られるPR間隔の最大持続時間（時間）。PR間隔は、P波の開始（心房の脱分極の開始を表す）からR波の開始までの時間として定義されます。")</f>
        <v>PR間隔の測定値から得られるPR間隔の最大持続時間（時間）。PR間隔は、P波の開始（心房の脱分極の開始を表す）からR波の開始までの時間として定義されます。</v>
      </c>
      <c r="K3869" s="1" t="str">
        <f>IFERROR(__xludf.DUMMYFUNCTION("GOOGLETRANSLATE(G3869,""EN"",""JA"")"),"最大PR期間")</f>
        <v>最大PR期間</v>
      </c>
    </row>
    <row r="3870" ht="13.5" customHeight="1">
      <c r="A3870" s="1" t="s">
        <v>1168</v>
      </c>
      <c r="B3870" s="1" t="s">
        <v>19383</v>
      </c>
      <c r="C3870" s="1" t="s">
        <v>19384</v>
      </c>
      <c r="D3870" s="1" t="s">
        <v>19385</v>
      </c>
      <c r="E3870" s="1" t="s">
        <v>19385</v>
      </c>
      <c r="F3870" s="1" t="s">
        <v>19386</v>
      </c>
      <c r="G3870" s="1" t="s">
        <v>19387</v>
      </c>
      <c r="H3870" s="1" t="str">
        <f>IFERROR(__xludf.DUMMYFUNCTION("GOOGLETRANSLATE(D3870,""EN"",""JA"")"),"概要（分）PR期間")</f>
        <v>概要（分）PR期間</v>
      </c>
      <c r="I3870" s="1" t="str">
        <f>IFERROR(__xludf.DUMMYFUNCTION("GOOGLETRANSLATE(E3870,""EN"",""JA"")"),"概要（分）PR期間")</f>
        <v>概要（分）PR期間</v>
      </c>
      <c r="J3870" s="1" t="str">
        <f>IFERROR(__xludf.DUMMYFUNCTION("GOOGLETRANSLATE(F3870,""EN"",""JA"")"),"PR間隔の最小持続時間（時間）。これは、PR間隔の一連の測定から得られる。PR間隔は、P波の開始（心房の脱分極の開始を表す）からR波の開始までの時間として定義される。")</f>
        <v>PR間隔の最小持続時間（時間）。これは、PR間隔の一連の測定から得られる。PR間隔は、P波の開始（心房の脱分極の開始を表す）からR波の開始までの時間として定義される。</v>
      </c>
      <c r="K3870" s="1" t="str">
        <f>IFERROR(__xludf.DUMMYFUNCTION("GOOGLETRANSLATE(G3870,""EN"",""JA"")"),"最小PR期間")</f>
        <v>最小PR期間</v>
      </c>
    </row>
    <row r="3871" ht="13.5" customHeight="1">
      <c r="A3871" s="1" t="s">
        <v>11</v>
      </c>
      <c r="B3871" s="1" t="s">
        <v>19388</v>
      </c>
      <c r="C3871" s="1" t="s">
        <v>19389</v>
      </c>
      <c r="D3871" s="1" t="s">
        <v>19390</v>
      </c>
      <c r="E3871" s="1" t="s">
        <v>19390</v>
      </c>
      <c r="F3871" s="1" t="s">
        <v>19391</v>
      </c>
      <c r="G3871" s="1" t="s">
        <v>19392</v>
      </c>
      <c r="H3871" s="1" t="str">
        <f>IFERROR(__xludf.DUMMYFUNCTION("GOOGLETRANSLATE(D3871,""EN"",""JA"")"),"ペランパネル")</f>
        <v>ペランパネル</v>
      </c>
      <c r="I3871" s="1" t="str">
        <f>IFERROR(__xludf.DUMMYFUNCTION("GOOGLETRANSLATE(E3871,""EN"",""JA"")"),"ペランパネル")</f>
        <v>ペランパネル</v>
      </c>
      <c r="J3871" s="1" t="str">
        <f>IFERROR(__xludf.DUMMYFUNCTION("GOOGLETRANSLATE(F3871,""EN"",""JA"")"),"生物標本中のペランパネルの測定。")</f>
        <v>生物標本中のペランパネルの測定。</v>
      </c>
      <c r="K3871" s="1" t="str">
        <f>IFERROR(__xludf.DUMMYFUNCTION("GOOGLETRANSLATE(G3871,""EN"",""JA"")"),"ペランパネル測定")</f>
        <v>ペランパネル測定</v>
      </c>
    </row>
    <row r="3872" ht="13.5" customHeight="1">
      <c r="A3872" s="1" t="s">
        <v>11</v>
      </c>
      <c r="B3872" s="1" t="s">
        <v>19393</v>
      </c>
      <c r="C3872" s="1" t="s">
        <v>19394</v>
      </c>
      <c r="D3872" s="1" t="s">
        <v>19395</v>
      </c>
      <c r="E3872" s="1" t="s">
        <v>19395</v>
      </c>
      <c r="F3872" s="1" t="s">
        <v>19396</v>
      </c>
      <c r="G3872" s="1" t="s">
        <v>19397</v>
      </c>
      <c r="H3872" s="1" t="str">
        <f>IFERROR(__xludf.DUMMYFUNCTION("GOOGLETRANSLATE(D3872,""EN"",""JA"")"),"プロリン")</f>
        <v>プロリン</v>
      </c>
      <c r="I3872" s="1" t="str">
        <f>IFERROR(__xludf.DUMMYFUNCTION("GOOGLETRANSLATE(E3872,""EN"",""JA"")"),"プロリン")</f>
        <v>プロリン</v>
      </c>
      <c r="J3872" s="1" t="str">
        <f>IFERROR(__xludf.DUMMYFUNCTION("GOOGLETRANSLATE(F3872,""EN"",""JA"")"),"生物標本中のプロリンの測定。")</f>
        <v>生物標本中のプロリンの測定。</v>
      </c>
      <c r="K3872" s="1" t="str">
        <f>IFERROR(__xludf.DUMMYFUNCTION("GOOGLETRANSLATE(G3872,""EN"",""JA"")"),"プロリン測定")</f>
        <v>プロリン測定</v>
      </c>
    </row>
    <row r="3873" ht="13.5" customHeight="1">
      <c r="A3873" s="1" t="s">
        <v>11</v>
      </c>
      <c r="B3873" s="1" t="s">
        <v>19398</v>
      </c>
      <c r="C3873" s="1" t="s">
        <v>19399</v>
      </c>
      <c r="D3873" s="1" t="s">
        <v>19400</v>
      </c>
      <c r="E3873" s="1" t="s">
        <v>19401</v>
      </c>
      <c r="F3873" s="1" t="s">
        <v>19402</v>
      </c>
      <c r="G3873" s="1" t="s">
        <v>19403</v>
      </c>
      <c r="H3873" s="1" t="str">
        <f>IFERROR(__xludf.DUMMYFUNCTION("GOOGLETRANSLATE(D3873,""EN"",""JA"")"),"プロリンアミノペプチダーゼ")</f>
        <v>プロリンアミノペプチダーゼ</v>
      </c>
      <c r="I3873" s="1" t="str">
        <f>IFERROR(__xludf.DUMMYFUNCTION("GOOGLETRANSLATE(E3873,""EN"",""JA"")"),"細胞質アミノペプチダーゼV; プロリンアミノペプチダーゼ; プロリンイミノペプチダーゼ; プロリルアミノペプチダーゼ")</f>
        <v>細胞質アミノペプチダーゼV; プロリンアミノペプチダーゼ; プロリンイミノペプチダーゼ; プロリルアミノペプチダーゼ</v>
      </c>
      <c r="J3873" s="1" t="str">
        <f>IFERROR(__xludf.DUMMYFUNCTION("GOOGLETRANSLATE(F3873,""EN"",""JA"")"),"生物標本中のプロリンアミノペプチダーゼの測定。")</f>
        <v>生物標本中のプロリンアミノペプチダーゼの測定。</v>
      </c>
      <c r="K3873" s="1" t="str">
        <f>IFERROR(__xludf.DUMMYFUNCTION("GOOGLETRANSLATE(G3873,""EN"",""JA"")"),"プロリンアミノペプチダーゼ測定")</f>
        <v>プロリンアミノペプチダーゼ測定</v>
      </c>
    </row>
    <row r="3874" ht="13.5" customHeight="1">
      <c r="A3874" s="1" t="s">
        <v>11</v>
      </c>
      <c r="B3874" s="1" t="s">
        <v>19404</v>
      </c>
      <c r="C3874" s="1" t="s">
        <v>19405</v>
      </c>
      <c r="D3874" s="1" t="s">
        <v>19406</v>
      </c>
      <c r="E3874" s="1" t="s">
        <v>19407</v>
      </c>
      <c r="F3874" s="1" t="s">
        <v>19408</v>
      </c>
      <c r="G3874" s="1" t="s">
        <v>19409</v>
      </c>
      <c r="H3874" s="1" t="str">
        <f>IFERROR(__xludf.DUMMYFUNCTION("GOOGLETRANSLATE(D3874,""EN"",""JA"")"),"プロC10")</f>
        <v>プロC10</v>
      </c>
      <c r="I3874" s="1" t="str">
        <f>IFERROR(__xludf.DUMMYFUNCTION("GOOGLETRANSLATE(E3874,""EN"",""JA"")"),"X型コラーゲンのNC1ドメイン断片; Pro-C10")</f>
        <v>X型コラーゲンのNC1ドメイン断片; Pro-C10</v>
      </c>
      <c r="J3874" s="1" t="str">
        <f>IFERROR(__xludf.DUMMYFUNCTION("GOOGLETRANSLATE(F3874,""EN"",""JA"")"),"生物標本中の Pro-C10 (X 型コラーゲンの NC1 ドメインの断片) の測定。")</f>
        <v>生物標本中の Pro-C10 (X 型コラーゲンの NC1 ドメインの断片) の測定。</v>
      </c>
      <c r="K3874" s="1" t="str">
        <f>IFERROR(__xludf.DUMMYFUNCTION("GOOGLETRANSLATE(G3874,""EN"",""JA"")"),"Pro-C10測定")</f>
        <v>Pro-C10測定</v>
      </c>
    </row>
    <row r="3875" ht="13.5" customHeight="1">
      <c r="A3875" s="1" t="s">
        <v>11</v>
      </c>
      <c r="B3875" s="1" t="s">
        <v>19410</v>
      </c>
      <c r="C3875" s="1" t="s">
        <v>19411</v>
      </c>
      <c r="D3875" s="1" t="s">
        <v>19412</v>
      </c>
      <c r="E3875" s="1" t="s">
        <v>19413</v>
      </c>
      <c r="F3875" s="1" t="s">
        <v>19414</v>
      </c>
      <c r="G3875" s="1" t="s">
        <v>19415</v>
      </c>
      <c r="H3875" s="1" t="str">
        <f>IFERROR(__xludf.DUMMYFUNCTION("GOOGLETRANSLATE(D3875,""EN"",""JA"")"),"プロC16")</f>
        <v>プロC16</v>
      </c>
      <c r="I3875" s="1" t="str">
        <f>IFERROR(__xludf.DUMMYFUNCTION("GOOGLETRANSLATE(E3875,""EN"",""JA"")"),"XVI型コラーゲンのC末端プロペプチド; Pro-C16")</f>
        <v>XVI型コラーゲンのC末端プロペプチド; Pro-C16</v>
      </c>
      <c r="J3875" s="1" t="str">
        <f>IFERROR(__xludf.DUMMYFUNCTION("GOOGLETRANSLATE(F3875,""EN"",""JA"")"),"生物標本中の Pro-C16 (XVI 型コラーゲンの C 末端フラグメント) の測定。")</f>
        <v>生物標本中の Pro-C16 (XVI 型コラーゲンの C 末端フラグメント) の測定。</v>
      </c>
      <c r="K3875" s="1" t="str">
        <f>IFERROR(__xludf.DUMMYFUNCTION("GOOGLETRANSLATE(G3875,""EN"",""JA"")"),"プロC16測定")</f>
        <v>プロC16測定</v>
      </c>
    </row>
    <row r="3876" ht="13.5" customHeight="1">
      <c r="A3876" s="1" t="s">
        <v>11</v>
      </c>
      <c r="B3876" s="1" t="s">
        <v>19416</v>
      </c>
      <c r="C3876" s="1" t="s">
        <v>19417</v>
      </c>
      <c r="D3876" s="1" t="s">
        <v>19418</v>
      </c>
      <c r="E3876" s="1" t="s">
        <v>19419</v>
      </c>
      <c r="F3876" s="1" t="s">
        <v>19420</v>
      </c>
      <c r="G3876" s="1" t="s">
        <v>19421</v>
      </c>
      <c r="H3876" s="1" t="str">
        <f>IFERROR(__xludf.DUMMYFUNCTION("GOOGLETRANSLATE(D3876,""EN"",""JA"")"),"プロC2")</f>
        <v>プロC2</v>
      </c>
      <c r="I3876" s="1" t="str">
        <f>IFERROR(__xludf.DUMMYFUNCTION("GOOGLETRANSLATE(E3876,""EN"",""JA"")"),"PIIBNP;プロC2;プロコラーゲン IIB N 末端プロペプチド")</f>
        <v>PIIBNP;プロC2;プロコラーゲン IIB N 末端プロペプチド</v>
      </c>
      <c r="J3876" s="1" t="str">
        <f>IFERROR(__xludf.DUMMYFUNCTION("GOOGLETRANSLATE(F3876,""EN"",""JA"")"),"生物標本中の Pro-C2 (IIB 型プロコラーゲンの N 末端フラグメント) の測定。")</f>
        <v>生物標本中の Pro-C2 (IIB 型プロコラーゲンの N 末端フラグメント) の測定。</v>
      </c>
      <c r="K3876" s="1" t="str">
        <f>IFERROR(__xludf.DUMMYFUNCTION("GOOGLETRANSLATE(G3876,""EN"",""JA"")"),"プロC2測定")</f>
        <v>プロC2測定</v>
      </c>
    </row>
    <row r="3877" ht="13.5" customHeight="1">
      <c r="A3877" s="1" t="s">
        <v>11</v>
      </c>
      <c r="B3877" s="1" t="s">
        <v>19422</v>
      </c>
      <c r="C3877" s="1" t="s">
        <v>19423</v>
      </c>
      <c r="D3877" s="1" t="s">
        <v>19424</v>
      </c>
      <c r="E3877" s="1" t="s">
        <v>19425</v>
      </c>
      <c r="F3877" s="1" t="s">
        <v>19426</v>
      </c>
      <c r="G3877" s="1" t="s">
        <v>19427</v>
      </c>
      <c r="H3877" s="1" t="str">
        <f>IFERROR(__xludf.DUMMYFUNCTION("GOOGLETRANSLATE(D3877,""EN"",""JA"")"),"プロC28")</f>
        <v>プロC28</v>
      </c>
      <c r="I3877" s="1" t="str">
        <f>IFERROR(__xludf.DUMMYFUNCTION("GOOGLETRANSLATE(E3877,""EN"",""JA"")"),"XXVIII型コラーゲンのC末端プロペプチド; Pro-C28")</f>
        <v>XXVIII型コラーゲンのC末端プロペプチド; Pro-C28</v>
      </c>
      <c r="J3877" s="1" t="str">
        <f>IFERROR(__xludf.DUMMYFUNCTION("GOOGLETRANSLATE(F3877,""EN"",""JA"")"),"生物標本中の Pro-C28 (XXVIII 型コラーゲンの C 末端フラグメント) の測定。")</f>
        <v>生物標本中の Pro-C28 (XXVIII 型コラーゲンの C 末端フラグメント) の測定。</v>
      </c>
      <c r="K3877" s="1" t="str">
        <f>IFERROR(__xludf.DUMMYFUNCTION("GOOGLETRANSLATE(G3877,""EN"",""JA"")"),"プロC28測定")</f>
        <v>プロC28測定</v>
      </c>
    </row>
    <row r="3878" ht="13.5" customHeight="1">
      <c r="A3878" s="1" t="s">
        <v>11</v>
      </c>
      <c r="B3878" s="1" t="s">
        <v>19428</v>
      </c>
      <c r="C3878" s="1" t="s">
        <v>19429</v>
      </c>
      <c r="D3878" s="1" t="s">
        <v>19430</v>
      </c>
      <c r="E3878" s="1" t="s">
        <v>19431</v>
      </c>
      <c r="F3878" s="1" t="s">
        <v>19432</v>
      </c>
      <c r="G3878" s="1" t="s">
        <v>19433</v>
      </c>
      <c r="H3878" s="1" t="str">
        <f>IFERROR(__xludf.DUMMYFUNCTION("GOOGLETRANSLATE(D3878,""EN"",""JA"")"),"プロC3")</f>
        <v>プロC3</v>
      </c>
      <c r="I3878" s="1" t="str">
        <f>IFERROR(__xludf.DUMMYFUNCTION("GOOGLETRANSLATE(E3878,""EN"",""JA"")"),"ADAMTS-2分解N末端III型コラーゲンプロペプチド；ADAMTS-2分解プロコラーゲン3N末端プロペプチド；Pro-C3")</f>
        <v>ADAMTS-2分解N末端III型コラーゲンプロペプチド；ADAMTS-2分解プロコラーゲン3N末端プロペプチド；Pro-C3</v>
      </c>
      <c r="J3878" s="1" t="str">
        <f>IFERROR(__xludf.DUMMYFUNCTION("GOOGLETRANSLATE(F3878,""EN"",""JA"")"),"生物標本中の Pro-C3 (ADAMTS-2 によって切断された III 型コラーゲンの N 末端プロペプチド) の測定。")</f>
        <v>生物標本中の Pro-C3 (ADAMTS-2 によって切断された III 型コラーゲンの N 末端プロペプチド) の測定。</v>
      </c>
      <c r="K3878" s="1" t="str">
        <f>IFERROR(__xludf.DUMMYFUNCTION("GOOGLETRANSLATE(G3878,""EN"",""JA"")"),"プロC3測定")</f>
        <v>プロC3測定</v>
      </c>
    </row>
    <row r="3879" ht="13.5" customHeight="1">
      <c r="A3879" s="1" t="s">
        <v>11</v>
      </c>
      <c r="B3879" s="1" t="s">
        <v>19434</v>
      </c>
      <c r="C3879" s="1" t="s">
        <v>19435</v>
      </c>
      <c r="D3879" s="1" t="s">
        <v>19436</v>
      </c>
      <c r="E3879" s="1" t="s">
        <v>19437</v>
      </c>
      <c r="F3879" s="1" t="s">
        <v>19438</v>
      </c>
      <c r="G3879" s="1" t="s">
        <v>19439</v>
      </c>
      <c r="H3879" s="1" t="str">
        <f>IFERROR(__xludf.DUMMYFUNCTION("GOOGLETRANSLATE(D3879,""EN"",""JA"")"),"プロC4")</f>
        <v>プロC4</v>
      </c>
      <c r="I3879" s="1" t="str">
        <f>IFERROR(__xludf.DUMMYFUNCTION("GOOGLETRANSLATE(E3879,""EN"",""JA"")"),"IV型コラーゲンの7Sドメインフラグメントプロペプチド; P4NP7S; Pro-C4; IV型コラーゲン7Sドメイン")</f>
        <v>IV型コラーゲンの7Sドメインフラグメントプロペプチド; P4NP7S; Pro-C4; IV型コラーゲン7Sドメイン</v>
      </c>
      <c r="J3879" s="1" t="str">
        <f>IFERROR(__xludf.DUMMYFUNCTION("GOOGLETRANSLATE(F3879,""EN"",""JA"")"),"生物標本中の Pro-C4 (IV 型コラーゲンの内部 7S ドメインの断片) の測定。")</f>
        <v>生物標本中の Pro-C4 (IV 型コラーゲンの内部 7S ドメインの断片) の測定。</v>
      </c>
      <c r="K3879" s="1" t="str">
        <f>IFERROR(__xludf.DUMMYFUNCTION("GOOGLETRANSLATE(G3879,""EN"",""JA"")"),"プロC4測定")</f>
        <v>プロC4測定</v>
      </c>
    </row>
    <row r="3880" ht="13.5" customHeight="1">
      <c r="A3880" s="1" t="s">
        <v>11</v>
      </c>
      <c r="B3880" s="1" t="s">
        <v>19440</v>
      </c>
      <c r="C3880" s="1" t="s">
        <v>19441</v>
      </c>
      <c r="D3880" s="1" t="s">
        <v>19442</v>
      </c>
      <c r="E3880" s="1" t="s">
        <v>19443</v>
      </c>
      <c r="F3880" s="1" t="s">
        <v>19444</v>
      </c>
      <c r="G3880" s="1" t="s">
        <v>19445</v>
      </c>
      <c r="H3880" s="1" t="str">
        <f>IFERROR(__xludf.DUMMYFUNCTION("GOOGLETRANSLATE(D3880,""EN"",""JA"")"),"プロC5")</f>
        <v>プロC5</v>
      </c>
      <c r="I3880" s="1" t="str">
        <f>IFERROR(__xludf.DUMMYFUNCTION("GOOGLETRANSLATE(E3880,""EN"",""JA"")"),"V型コラーゲンのC末端プロペプチド; Pro-C5")</f>
        <v>V型コラーゲンのC末端プロペプチド; Pro-C5</v>
      </c>
      <c r="J3880" s="1" t="str">
        <f>IFERROR(__xludf.DUMMYFUNCTION("GOOGLETRANSLATE(F3880,""EN"",""JA"")"),"生物標本中の Pro-C5 (V 型コラーゲンの C 末端プロペプチド) の測定。")</f>
        <v>生物標本中の Pro-C5 (V 型コラーゲンの C 末端プロペプチド) の測定。</v>
      </c>
      <c r="K3880" s="1" t="str">
        <f>IFERROR(__xludf.DUMMYFUNCTION("GOOGLETRANSLATE(G3880,""EN"",""JA"")"),"Pro-C5測定")</f>
        <v>Pro-C5測定</v>
      </c>
    </row>
    <row r="3881" ht="13.5" customHeight="1">
      <c r="A3881" s="1" t="s">
        <v>11</v>
      </c>
      <c r="B3881" s="1" t="s">
        <v>19446</v>
      </c>
      <c r="C3881" s="1" t="s">
        <v>19447</v>
      </c>
      <c r="D3881" s="1" t="s">
        <v>19448</v>
      </c>
      <c r="E3881" s="1" t="s">
        <v>19449</v>
      </c>
      <c r="F3881" s="1" t="s">
        <v>19450</v>
      </c>
      <c r="G3881" s="1" t="s">
        <v>19451</v>
      </c>
      <c r="H3881" s="1" t="str">
        <f>IFERROR(__xludf.DUMMYFUNCTION("GOOGLETRANSLATE(D3881,""EN"",""JA"")"),"プロC6")</f>
        <v>プロC6</v>
      </c>
      <c r="I3881" s="1" t="str">
        <f>IFERROR(__xludf.DUMMYFUNCTION("GOOGLETRANSLATE(E3881,""EN"",""JA"")"),"アルファ3 VI型コラーゲン鎖のC末端プロペプチド; 6a3型コラーゲンのC末端プロペプチド; VIa3型コラーゲンのC末端プロペプチド; エンドトロフィン; プロC6")</f>
        <v>アルファ3 VI型コラーゲン鎖のC末端プロペプチド; 6a3型コラーゲンのC末端プロペプチド; VIa3型コラーゲンのC末端プロペプチド; エンドトロフィン; プロC6</v>
      </c>
      <c r="J3881" s="1" t="str">
        <f>IFERROR(__xludf.DUMMYFUNCTION("GOOGLETRANSLATE(F3881,""EN"",""JA"")"),"生物標本中の VIa3 型コラーゲンの C 末端プロペプチド (プロ C6) の測定。")</f>
        <v>生物標本中の VIa3 型コラーゲンの C 末端プロペプチド (プロ C6) の測定。</v>
      </c>
      <c r="K3881" s="1" t="str">
        <f>IFERROR(__xludf.DUMMYFUNCTION("GOOGLETRANSLATE(G3881,""EN"",""JA"")"),"プロC6測定")</f>
        <v>プロC6測定</v>
      </c>
    </row>
    <row r="3882" ht="13.5" customHeight="1">
      <c r="A3882" s="1" t="s">
        <v>11</v>
      </c>
      <c r="B3882" s="1" t="s">
        <v>19452</v>
      </c>
      <c r="C3882" s="1" t="s">
        <v>19453</v>
      </c>
      <c r="D3882" s="1" t="s">
        <v>19454</v>
      </c>
      <c r="E3882" s="1" t="s">
        <v>19454</v>
      </c>
      <c r="F3882" s="1" t="s">
        <v>19455</v>
      </c>
      <c r="G3882" s="1" t="s">
        <v>19456</v>
      </c>
      <c r="H3882" s="1" t="str">
        <f>IFERROR(__xludf.DUMMYFUNCTION("GOOGLETRANSLATE(D3882,""EN"",""JA"")"),"アルファプロジン")</f>
        <v>アルファプロジン</v>
      </c>
      <c r="I3882" s="1" t="str">
        <f>IFERROR(__xludf.DUMMYFUNCTION("GOOGLETRANSLATE(E3882,""EN"",""JA"")"),"アルファプロジン")</f>
        <v>アルファプロジン</v>
      </c>
      <c r="J3882" s="1" t="str">
        <f>IFERROR(__xludf.DUMMYFUNCTION("GOOGLETRANSLATE(F3882,""EN"",""JA"")"),"生物標本中のアルファプロジンの測定。")</f>
        <v>生物標本中のアルファプロジンの測定。</v>
      </c>
      <c r="K3882" s="1" t="str">
        <f>IFERROR(__xludf.DUMMYFUNCTION("GOOGLETRANSLATE(G3882,""EN"",""JA"")"),"アルファプロジン測定")</f>
        <v>アルファプロジン測定</v>
      </c>
    </row>
    <row r="3883" ht="13.5" customHeight="1">
      <c r="A3883" s="1" t="s">
        <v>11</v>
      </c>
      <c r="B3883" s="1" t="s">
        <v>19457</v>
      </c>
      <c r="C3883" s="1" t="s">
        <v>19458</v>
      </c>
      <c r="D3883" s="1" t="s">
        <v>19459</v>
      </c>
      <c r="E3883" s="1" t="s">
        <v>19459</v>
      </c>
      <c r="F3883" s="1" t="s">
        <v>19460</v>
      </c>
      <c r="G3883" s="1" t="s">
        <v>19461</v>
      </c>
      <c r="H3883" s="1" t="str">
        <f>IFERROR(__xludf.DUMMYFUNCTION("GOOGLETRANSLATE(D3883,""EN"",""JA"")"),"プロゲステロン")</f>
        <v>プロゲステロン</v>
      </c>
      <c r="I3883" s="1" t="str">
        <f>IFERROR(__xludf.DUMMYFUNCTION("GOOGLETRANSLATE(E3883,""EN"",""JA"")"),"プロゲステロン")</f>
        <v>プロゲステロン</v>
      </c>
      <c r="J3883" s="1" t="str">
        <f>IFERROR(__xludf.DUMMYFUNCTION("GOOGLETRANSLATE(F3883,""EN"",""JA"")"),"生物学的標本中のプロゲステロンホルモンの測定。")</f>
        <v>生物学的標本中のプロゲステロンホルモンの測定。</v>
      </c>
      <c r="K3883" s="1" t="str">
        <f>IFERROR(__xludf.DUMMYFUNCTION("GOOGLETRANSLATE(G3883,""EN"",""JA"")"),"プロゲステロン測定")</f>
        <v>プロゲステロン測定</v>
      </c>
    </row>
    <row r="3884" ht="13.5" customHeight="1">
      <c r="A3884" s="1" t="s">
        <v>134</v>
      </c>
      <c r="B3884" s="1" t="s">
        <v>19462</v>
      </c>
      <c r="C3884" s="1" t="s">
        <v>19463</v>
      </c>
      <c r="D3884" s="1" t="s">
        <v>19464</v>
      </c>
      <c r="E3884" s="1" t="s">
        <v>19465</v>
      </c>
      <c r="F3884" s="1" t="s">
        <v>19466</v>
      </c>
      <c r="G3884" s="1" t="s">
        <v>19467</v>
      </c>
      <c r="H3884" s="1" t="str">
        <f>IFERROR(__xludf.DUMMYFUNCTION("GOOGLETRANSLATE(D3884,""EN"",""JA"")"),"プロゲステロン受容体")</f>
        <v>プロゲステロン受容体</v>
      </c>
      <c r="I3884" s="1" t="str">
        <f>IFERROR(__xludf.DUMMYFUNCTION("GOOGLETRANSLATE(E3884,""EN"",""JA"")"),"NR3C3; PGR; PgR; PR; プロゲステロン受容体")</f>
        <v>NR3C3; PGR; PgR; PR; プロゲステロン受容体</v>
      </c>
      <c r="J3884" s="1" t="str">
        <f>IFERROR(__xludf.DUMMYFUNCTION("GOOGLETRANSLATE(F3884,""EN"",""JA"")"),"生物標本中のプロゲステロン受容体タンパク質の測定。")</f>
        <v>生物標本中のプロゲステロン受容体タンパク質の測定。</v>
      </c>
      <c r="K3884" s="1" t="str">
        <f>IFERROR(__xludf.DUMMYFUNCTION("GOOGLETRANSLATE(G3884,""EN"",""JA"")"),"プロゲステロン受容体測定")</f>
        <v>プロゲステロン受容体測定</v>
      </c>
    </row>
    <row r="3885" ht="13.5" customHeight="1">
      <c r="A3885" s="1" t="s">
        <v>11</v>
      </c>
      <c r="B3885" s="1" t="s">
        <v>19462</v>
      </c>
      <c r="C3885" s="1" t="s">
        <v>19463</v>
      </c>
      <c r="D3885" s="1" t="s">
        <v>19464</v>
      </c>
      <c r="E3885" s="1" t="s">
        <v>19465</v>
      </c>
      <c r="F3885" s="1" t="s">
        <v>19466</v>
      </c>
      <c r="G3885" s="1" t="s">
        <v>19467</v>
      </c>
      <c r="H3885" s="1" t="str">
        <f>IFERROR(__xludf.DUMMYFUNCTION("GOOGLETRANSLATE(D3885,""EN"",""JA"")"),"プロゲステロン受容体")</f>
        <v>プロゲステロン受容体</v>
      </c>
      <c r="I3885" s="1" t="str">
        <f>IFERROR(__xludf.DUMMYFUNCTION("GOOGLETRANSLATE(E3885,""EN"",""JA"")"),"NR3C3; PGR; PgR; PR; プロゲステロン受容体")</f>
        <v>NR3C3; PGR; PgR; PR; プロゲステロン受容体</v>
      </c>
      <c r="J3885" s="1" t="str">
        <f>IFERROR(__xludf.DUMMYFUNCTION("GOOGLETRANSLATE(F3885,""EN"",""JA"")"),"生物標本中のプロゲステロン受容体タンパク質の測定。")</f>
        <v>生物標本中のプロゲステロン受容体タンパク質の測定。</v>
      </c>
      <c r="K3885" s="1" t="str">
        <f>IFERROR(__xludf.DUMMYFUNCTION("GOOGLETRANSLATE(G3885,""EN"",""JA"")"),"プロゲステロン受容体測定")</f>
        <v>プロゲステロン受容体測定</v>
      </c>
    </row>
    <row r="3886" ht="13.5" customHeight="1">
      <c r="A3886" s="1" t="s">
        <v>11</v>
      </c>
      <c r="B3886" s="1" t="s">
        <v>19468</v>
      </c>
      <c r="C3886" s="1" t="s">
        <v>19469</v>
      </c>
      <c r="D3886" s="1" t="s">
        <v>19470</v>
      </c>
      <c r="E3886" s="1" t="s">
        <v>19471</v>
      </c>
      <c r="F3886" s="1" t="s">
        <v>19472</v>
      </c>
      <c r="G3886" s="1" t="s">
        <v>19473</v>
      </c>
      <c r="H3886" s="1" t="str">
        <f>IFERROR(__xludf.DUMMYFUNCTION("GOOGLETRANSLATE(D3886,""EN"",""JA"")"),"プロガストリン放出ペプチド")</f>
        <v>プロガストリン放出ペプチド</v>
      </c>
      <c r="I3886" s="1" t="str">
        <f>IFERROR(__xludf.DUMMYFUNCTION("GOOGLETRANSLATE(E3886,""EN"",""JA"")"),"プロガストリン放出ペプチド; proGRP")</f>
        <v>プロガストリン放出ペプチド; proGRP</v>
      </c>
      <c r="J3886" s="1" t="str">
        <f>IFERROR(__xludf.DUMMYFUNCTION("GOOGLETRANSLATE(F3886,""EN"",""JA"")"),"生物学的標本中のプロガストリン放出ペプチドの測定。")</f>
        <v>生物学的標本中のプロガストリン放出ペプチドの測定。</v>
      </c>
      <c r="K3886" s="1" t="str">
        <f>IFERROR(__xludf.DUMMYFUNCTION("GOOGLETRANSLATE(G3886,""EN"",""JA"")"),"プロガストリン放出ペプチド測定")</f>
        <v>プロガストリン放出ペプチド測定</v>
      </c>
    </row>
    <row r="3887" ht="13.5" customHeight="1">
      <c r="A3887" s="1" t="s">
        <v>11</v>
      </c>
      <c r="B3887" s="1" t="s">
        <v>19474</v>
      </c>
      <c r="C3887" s="1" t="s">
        <v>19475</v>
      </c>
      <c r="D3887" s="1" t="s">
        <v>19476</v>
      </c>
      <c r="E3887" s="1" t="s">
        <v>19476</v>
      </c>
      <c r="F3887" s="1" t="s">
        <v>19477</v>
      </c>
      <c r="G3887" s="1" t="s">
        <v>19478</v>
      </c>
      <c r="H3887" s="1" t="str">
        <f>IFERROR(__xludf.DUMMYFUNCTION("GOOGLETRANSLATE(D3887,""EN"",""JA"")"),"プロインスリン")</f>
        <v>プロインスリン</v>
      </c>
      <c r="I3887" s="1" t="str">
        <f>IFERROR(__xludf.DUMMYFUNCTION("GOOGLETRANSLATE(E3887,""EN"",""JA"")"),"プロインスリン")</f>
        <v>プロインスリン</v>
      </c>
      <c r="J3887" s="1" t="str">
        <f>IFERROR(__xludf.DUMMYFUNCTION("GOOGLETRANSLATE(F3887,""EN"",""JA"")"),"生物学的標本中のプロインスリンの測定。")</f>
        <v>生物学的標本中のプロインスリンの測定。</v>
      </c>
      <c r="K3887" s="1" t="str">
        <f>IFERROR(__xludf.DUMMYFUNCTION("GOOGLETRANSLATE(G3887,""EN"",""JA"")"),"プロインスリン測定")</f>
        <v>プロインスリン測定</v>
      </c>
    </row>
    <row r="3888" ht="13.5" customHeight="1">
      <c r="A3888" s="1" t="s">
        <v>11</v>
      </c>
      <c r="B3888" s="1" t="s">
        <v>19479</v>
      </c>
      <c r="C3888" s="1" t="s">
        <v>19480</v>
      </c>
      <c r="D3888" s="1" t="s">
        <v>19481</v>
      </c>
      <c r="E3888" s="1" t="s">
        <v>19481</v>
      </c>
      <c r="F3888" s="1" t="s">
        <v>19482</v>
      </c>
      <c r="G3888" s="1" t="s">
        <v>19483</v>
      </c>
      <c r="H3888" s="1" t="str">
        <f>IFERROR(__xludf.DUMMYFUNCTION("GOOGLETRANSLATE(D3888,""EN"",""JA"")"),"プロラクチン")</f>
        <v>プロラクチン</v>
      </c>
      <c r="I3888" s="1" t="str">
        <f>IFERROR(__xludf.DUMMYFUNCTION("GOOGLETRANSLATE(E3888,""EN"",""JA"")"),"プロラクチン")</f>
        <v>プロラクチン</v>
      </c>
      <c r="J3888" s="1" t="str">
        <f>IFERROR(__xludf.DUMMYFUNCTION("GOOGLETRANSLATE(F3888,""EN"",""JA"")"),"生物学的標本中のプロラクチンホルモンの測定。")</f>
        <v>生物学的標本中のプロラクチンホルモンの測定。</v>
      </c>
      <c r="K3888" s="1" t="str">
        <f>IFERROR(__xludf.DUMMYFUNCTION("GOOGLETRANSLATE(G3888,""EN"",""JA"")"),"プロラクチン測定")</f>
        <v>プロラクチン測定</v>
      </c>
    </row>
    <row r="3889" ht="13.5" customHeight="1">
      <c r="A3889" s="1" t="s">
        <v>11</v>
      </c>
      <c r="B3889" s="1" t="s">
        <v>19484</v>
      </c>
      <c r="C3889" s="1" t="s">
        <v>19485</v>
      </c>
      <c r="D3889" s="1" t="s">
        <v>19486</v>
      </c>
      <c r="E3889" s="1" t="s">
        <v>19486</v>
      </c>
      <c r="F3889" s="1" t="s">
        <v>19487</v>
      </c>
      <c r="G3889" s="1" t="s">
        <v>19488</v>
      </c>
      <c r="H3889" s="1" t="str">
        <f>IFERROR(__xludf.DUMMYFUNCTION("GOOGLETRANSLATE(D3889,""EN"",""JA"")"),"前リンパ球")</f>
        <v>前リンパ球</v>
      </c>
      <c r="I3889" s="1" t="str">
        <f>IFERROR(__xludf.DUMMYFUNCTION("GOOGLETRANSLATE(E3889,""EN"",""JA"")"),"前リンパ球")</f>
        <v>前リンパ球</v>
      </c>
      <c r="J3889" s="1" t="str">
        <f>IFERROR(__xludf.DUMMYFUNCTION("GOOGLETRANSLATE(F3889,""EN"",""JA"")"),"生物標本中の前リンパ球の測定。")</f>
        <v>生物標本中の前リンパ球の測定。</v>
      </c>
      <c r="K3889" s="1" t="str">
        <f>IFERROR(__xludf.DUMMYFUNCTION("GOOGLETRANSLATE(G3889,""EN"",""JA"")"),"前リンパ球数")</f>
        <v>前リンパ球数</v>
      </c>
    </row>
    <row r="3890" ht="13.5" customHeight="1">
      <c r="A3890" s="1" t="s">
        <v>11</v>
      </c>
      <c r="B3890" s="1" t="s">
        <v>19489</v>
      </c>
      <c r="C3890" s="1" t="s">
        <v>19490</v>
      </c>
      <c r="D3890" s="1" t="s">
        <v>19491</v>
      </c>
      <c r="E3890" s="1" t="s">
        <v>19491</v>
      </c>
      <c r="F3890" s="1" t="s">
        <v>19492</v>
      </c>
      <c r="G3890" s="1" t="s">
        <v>19493</v>
      </c>
      <c r="H3890" s="1" t="str">
        <f>IFERROR(__xludf.DUMMYFUNCTION("GOOGLETRANSLATE(D3890,""EN"",""JA"")"),"前リンパ球/リンパ球")</f>
        <v>前リンパ球/リンパ球</v>
      </c>
      <c r="I3890" s="1" t="str">
        <f>IFERROR(__xludf.DUMMYFUNCTION("GOOGLETRANSLATE(E3890,""EN"",""JA"")"),"前リンパ球/リンパ球")</f>
        <v>前リンパ球/リンパ球</v>
      </c>
      <c r="J3890" s="1" t="str">
        <f>IFERROR(__xludf.DUMMYFUNCTION("GOOGLETRANSLATE(F3890,""EN"",""JA"")"),"生物標本中のすべてのリンパ球に対する前リンパ球の相対的な測定値 (比率またはパーセンテージ)。")</f>
        <v>生物標本中のすべてのリンパ球に対する前リンパ球の相対的な測定値 (比率またはパーセンテージ)。</v>
      </c>
      <c r="K3890" s="1" t="str">
        <f>IFERROR(__xludf.DUMMYFUNCTION("GOOGLETRANSLATE(G3890,""EN"",""JA"")"),"前リンパ球とリンパ球の比率測定")</f>
        <v>前リンパ球とリンパ球の比率測定</v>
      </c>
    </row>
    <row r="3891" ht="13.5" customHeight="1">
      <c r="A3891" s="1" t="s">
        <v>134</v>
      </c>
      <c r="B3891" s="1" t="s">
        <v>19494</v>
      </c>
      <c r="C3891" s="1" t="s">
        <v>19495</v>
      </c>
      <c r="D3891" s="1" t="s">
        <v>19496</v>
      </c>
      <c r="E3891" s="1" t="s">
        <v>19496</v>
      </c>
      <c r="F3891" s="1" t="s">
        <v>19497</v>
      </c>
      <c r="G3891" s="1" t="s">
        <v>19498</v>
      </c>
      <c r="H3891" s="1" t="str">
        <f>IFERROR(__xludf.DUMMYFUNCTION("GOOGLETRANSLATE(D3891,""EN"",""JA"")"),"前単球/総細胞")</f>
        <v>前単球/総細胞</v>
      </c>
      <c r="I3891" s="1" t="str">
        <f>IFERROR(__xludf.DUMMYFUNCTION("GOOGLETRANSLATE(E3891,""EN"",""JA"")"),"前単球/総細胞")</f>
        <v>前単球/総細胞</v>
      </c>
      <c r="J3891" s="1" t="str">
        <f>IFERROR(__xludf.DUMMYFUNCTION("GOOGLETRANSLATE(F3891,""EN"",""JA"")"),"生物学的標本（骨髄標本など）内の全細胞に対する前単球の相対的な測定値（比率またはパーセンテージ）。")</f>
        <v>生物学的標本（骨髄標本など）内の全細胞に対する前単球の相対的な測定値（比率またはパーセンテージ）。</v>
      </c>
      <c r="K3891" s="1" t="str">
        <f>IFERROR(__xludf.DUMMYFUNCTION("GOOGLETRANSLATE(G3891,""EN"",""JA"")"),"前単球と全細胞比の測定")</f>
        <v>前単球と全細胞比の測定</v>
      </c>
    </row>
    <row r="3892" ht="13.5" customHeight="1">
      <c r="A3892" s="1" t="s">
        <v>11</v>
      </c>
      <c r="B3892" s="1" t="s">
        <v>19494</v>
      </c>
      <c r="C3892" s="1" t="s">
        <v>19495</v>
      </c>
      <c r="D3892" s="1" t="s">
        <v>19496</v>
      </c>
      <c r="E3892" s="1" t="s">
        <v>19496</v>
      </c>
      <c r="F3892" s="1" t="s">
        <v>19497</v>
      </c>
      <c r="G3892" s="1" t="s">
        <v>19498</v>
      </c>
      <c r="H3892" s="1" t="str">
        <f>IFERROR(__xludf.DUMMYFUNCTION("GOOGLETRANSLATE(D3892,""EN"",""JA"")"),"前単球/総細胞")</f>
        <v>前単球/総細胞</v>
      </c>
      <c r="I3892" s="1" t="str">
        <f>IFERROR(__xludf.DUMMYFUNCTION("GOOGLETRANSLATE(E3892,""EN"",""JA"")"),"前単球/総細胞")</f>
        <v>前単球/総細胞</v>
      </c>
      <c r="J3892" s="1" t="str">
        <f>IFERROR(__xludf.DUMMYFUNCTION("GOOGLETRANSLATE(F3892,""EN"",""JA"")"),"生物学的標本（骨髄標本など）内の全細胞に対する前単球の相対的な測定値（比率またはパーセンテージ）。")</f>
        <v>生物学的標本（骨髄標本など）内の全細胞に対する前単球の相対的な測定値（比率またはパーセンテージ）。</v>
      </c>
      <c r="K3892" s="1" t="str">
        <f>IFERROR(__xludf.DUMMYFUNCTION("GOOGLETRANSLATE(G3892,""EN"",""JA"")"),"前単球と全細胞比の測定")</f>
        <v>前単球と全細胞比の測定</v>
      </c>
    </row>
    <row r="3893" ht="13.5" customHeight="1">
      <c r="A3893" s="1" t="s">
        <v>11</v>
      </c>
      <c r="B3893" s="1" t="s">
        <v>19499</v>
      </c>
      <c r="C3893" s="1" t="s">
        <v>19500</v>
      </c>
      <c r="D3893" s="1" t="s">
        <v>19501</v>
      </c>
      <c r="E3893" s="1" t="s">
        <v>19501</v>
      </c>
      <c r="F3893" s="1" t="s">
        <v>19502</v>
      </c>
      <c r="G3893" s="1" t="s">
        <v>19503</v>
      </c>
      <c r="H3893" s="1" t="str">
        <f>IFERROR(__xludf.DUMMYFUNCTION("GOOGLETRANSLATE(D3893,""EN"",""JA"")"),"前単球/白血球")</f>
        <v>前単球/白血球</v>
      </c>
      <c r="I3893" s="1" t="str">
        <f>IFERROR(__xludf.DUMMYFUNCTION("GOOGLETRANSLATE(E3893,""EN"",""JA"")"),"前単球/白血球")</f>
        <v>前単球/白血球</v>
      </c>
      <c r="J3893" s="1" t="str">
        <f>IFERROR(__xludf.DUMMYFUNCTION("GOOGLETRANSLATE(F3893,""EN"",""JA"")"),"生物標本中の全白血球に対する前単球の相対的な測定値（比率またはパーセンテージ）。")</f>
        <v>生物標本中の全白血球に対する前単球の相対的な測定値（比率またはパーセンテージ）。</v>
      </c>
      <c r="K3893" s="1" t="str">
        <f>IFERROR(__xludf.DUMMYFUNCTION("GOOGLETRANSLATE(G3893,""EN"",""JA"")"),"前単球とリンパ球の比率測定")</f>
        <v>前単球とリンパ球の比率測定</v>
      </c>
    </row>
    <row r="3894" ht="13.5" customHeight="1">
      <c r="A3894" s="1" t="s">
        <v>11</v>
      </c>
      <c r="B3894" s="1" t="s">
        <v>19504</v>
      </c>
      <c r="C3894" s="1" t="s">
        <v>19505</v>
      </c>
      <c r="D3894" s="1" t="s">
        <v>19506</v>
      </c>
      <c r="E3894" s="1" t="s">
        <v>19506</v>
      </c>
      <c r="F3894" s="1" t="s">
        <v>19507</v>
      </c>
      <c r="G3894" s="1" t="s">
        <v>19508</v>
      </c>
      <c r="H3894" s="1" t="str">
        <f>IFERROR(__xludf.DUMMYFUNCTION("GOOGLETRANSLATE(D3894,""EN"",""JA"")"),"前単球")</f>
        <v>前単球</v>
      </c>
      <c r="I3894" s="1" t="str">
        <f>IFERROR(__xludf.DUMMYFUNCTION("GOOGLETRANSLATE(E3894,""EN"",""JA"")"),"前単球")</f>
        <v>前単球</v>
      </c>
      <c r="J3894" s="1" t="str">
        <f>IFERROR(__xludf.DUMMYFUNCTION("GOOGLETRANSLATE(F3894,""EN"",""JA"")"),"生物標本中の前単球の測定。")</f>
        <v>生物標本中の前単球の測定。</v>
      </c>
      <c r="K3894" s="1" t="str">
        <f>IFERROR(__xludf.DUMMYFUNCTION("GOOGLETRANSLATE(G3894,""EN"",""JA"")"),"前単球数")</f>
        <v>前単球数</v>
      </c>
    </row>
    <row r="3895" ht="13.5" customHeight="1">
      <c r="A3895" s="1" t="s">
        <v>11</v>
      </c>
      <c r="B3895" s="1" t="s">
        <v>19509</v>
      </c>
      <c r="C3895" s="1" t="s">
        <v>19510</v>
      </c>
      <c r="D3895" s="1" t="s">
        <v>19511</v>
      </c>
      <c r="E3895" s="1" t="s">
        <v>19511</v>
      </c>
      <c r="F3895" s="1" t="s">
        <v>19512</v>
      </c>
      <c r="G3895" s="1" t="s">
        <v>19513</v>
      </c>
      <c r="H3895" s="1" t="str">
        <f>IFERROR(__xludf.DUMMYFUNCTION("GOOGLETRANSLATE(D3895,""EN"",""JA"")"),"前骨髄球")</f>
        <v>前骨髄球</v>
      </c>
      <c r="I3895" s="1" t="str">
        <f>IFERROR(__xludf.DUMMYFUNCTION("GOOGLETRANSLATE(E3895,""EN"",""JA"")"),"前骨髄球")</f>
        <v>前骨髄球</v>
      </c>
      <c r="J3895" s="1" t="str">
        <f>IFERROR(__xludf.DUMMYFUNCTION("GOOGLETRANSLATE(F3895,""EN"",""JA"")"),"生物標本中の前骨髄球（未熟骨髄球）の測定。")</f>
        <v>生物標本中の前骨髄球（未熟骨髄球）の測定。</v>
      </c>
      <c r="K3895" s="1" t="str">
        <f>IFERROR(__xludf.DUMMYFUNCTION("GOOGLETRANSLATE(G3895,""EN"",""JA"")"),"前骨髄球数")</f>
        <v>前骨髄球数</v>
      </c>
    </row>
    <row r="3896" ht="13.5" customHeight="1">
      <c r="A3896" s="1" t="s">
        <v>11</v>
      </c>
      <c r="B3896" s="1" t="s">
        <v>19514</v>
      </c>
      <c r="C3896" s="1" t="s">
        <v>19515</v>
      </c>
      <c r="D3896" s="1" t="s">
        <v>19516</v>
      </c>
      <c r="E3896" s="1" t="s">
        <v>19516</v>
      </c>
      <c r="F3896" s="1" t="s">
        <v>19517</v>
      </c>
      <c r="G3896" s="1" t="s">
        <v>19518</v>
      </c>
      <c r="H3896" s="1" t="str">
        <f>IFERROR(__xludf.DUMMYFUNCTION("GOOGLETRANSLATE(D3896,""EN"",""JA"")"),"前骨髄芽球")</f>
        <v>前骨髄芽球</v>
      </c>
      <c r="I3896" s="1" t="str">
        <f>IFERROR(__xludf.DUMMYFUNCTION("GOOGLETRANSLATE(E3896,""EN"",""JA"")"),"前骨髄芽球")</f>
        <v>前骨髄芽球</v>
      </c>
      <c r="J3896" s="1" t="str">
        <f>IFERROR(__xludf.DUMMYFUNCTION("GOOGLETRANSLATE(F3896,""EN"",""JA"")"),"生物標本中の前骨髄芽球の測定。")</f>
        <v>生物標本中の前骨髄芽球の測定。</v>
      </c>
      <c r="K3896" s="1" t="str">
        <f>IFERROR(__xludf.DUMMYFUNCTION("GOOGLETRANSLATE(G3896,""EN"",""JA"")"),"前骨髄芽球測定")</f>
        <v>前骨髄芽球測定</v>
      </c>
    </row>
    <row r="3897" ht="13.5" customHeight="1">
      <c r="A3897" s="1" t="s">
        <v>134</v>
      </c>
      <c r="B3897" s="1" t="s">
        <v>19519</v>
      </c>
      <c r="C3897" s="1" t="s">
        <v>19520</v>
      </c>
      <c r="D3897" s="1" t="s">
        <v>19521</v>
      </c>
      <c r="E3897" s="1" t="s">
        <v>19521</v>
      </c>
      <c r="F3897" s="1" t="s">
        <v>19522</v>
      </c>
      <c r="G3897" s="1" t="s">
        <v>19523</v>
      </c>
      <c r="H3897" s="1" t="str">
        <f>IFERROR(__xludf.DUMMYFUNCTION("GOOGLETRANSLATE(D3897,""EN"",""JA"")"),"前骨髄球/総細胞")</f>
        <v>前骨髄球/総細胞</v>
      </c>
      <c r="I3897" s="1" t="str">
        <f>IFERROR(__xludf.DUMMYFUNCTION("GOOGLETRANSLATE(E3897,""EN"",""JA"")"),"前骨髄球/総細胞")</f>
        <v>前骨髄球/総細胞</v>
      </c>
      <c r="J3897" s="1" t="str">
        <f>IFERROR(__xludf.DUMMYFUNCTION("GOOGLETRANSLATE(F3897,""EN"",""JA"")"),"生物学的標本（骨髄標本など）内の全細胞に対する前骨髄球（未熟骨髄球）の相対的な測定値（比率またはパーセンテージ）。")</f>
        <v>生物学的標本（骨髄標本など）内の全細胞に対する前骨髄球（未熟骨髄球）の相対的な測定値（比率またはパーセンテージ）。</v>
      </c>
      <c r="K3897" s="1" t="str">
        <f>IFERROR(__xludf.DUMMYFUNCTION("GOOGLETRANSLATE(G3897,""EN"",""JA"")"),"前骨髄球と全細胞比の測定")</f>
        <v>前骨髄球と全細胞比の測定</v>
      </c>
    </row>
    <row r="3898" ht="13.5" customHeight="1">
      <c r="A3898" s="1" t="s">
        <v>11</v>
      </c>
      <c r="B3898" s="1" t="s">
        <v>19519</v>
      </c>
      <c r="C3898" s="1" t="s">
        <v>19520</v>
      </c>
      <c r="D3898" s="1" t="s">
        <v>19521</v>
      </c>
      <c r="E3898" s="1" t="s">
        <v>19521</v>
      </c>
      <c r="F3898" s="1" t="s">
        <v>19522</v>
      </c>
      <c r="G3898" s="1" t="s">
        <v>19523</v>
      </c>
      <c r="H3898" s="1" t="str">
        <f>IFERROR(__xludf.DUMMYFUNCTION("GOOGLETRANSLATE(D3898,""EN"",""JA"")"),"前骨髄球/総細胞")</f>
        <v>前骨髄球/総細胞</v>
      </c>
      <c r="I3898" s="1" t="str">
        <f>IFERROR(__xludf.DUMMYFUNCTION("GOOGLETRANSLATE(E3898,""EN"",""JA"")"),"前骨髄球/総細胞")</f>
        <v>前骨髄球/総細胞</v>
      </c>
      <c r="J3898" s="1" t="str">
        <f>IFERROR(__xludf.DUMMYFUNCTION("GOOGLETRANSLATE(F3898,""EN"",""JA"")"),"生物学的標本（骨髄標本など）内の全細胞に対する前骨髄球（未熟骨髄球）の相対的な測定値（比率またはパーセンテージ）。")</f>
        <v>生物学的標本（骨髄標本など）内の全細胞に対する前骨髄球（未熟骨髄球）の相対的な測定値（比率またはパーセンテージ）。</v>
      </c>
      <c r="K3898" s="1" t="str">
        <f>IFERROR(__xludf.DUMMYFUNCTION("GOOGLETRANSLATE(G3898,""EN"",""JA"")"),"前骨髄球と全細胞比の測定")</f>
        <v>前骨髄球と全細胞比の測定</v>
      </c>
    </row>
    <row r="3899" ht="13.5" customHeight="1">
      <c r="A3899" s="1" t="s">
        <v>11</v>
      </c>
      <c r="B3899" s="1" t="s">
        <v>19524</v>
      </c>
      <c r="C3899" s="1" t="s">
        <v>19525</v>
      </c>
      <c r="D3899" s="1" t="s">
        <v>19526</v>
      </c>
      <c r="E3899" s="1" t="s">
        <v>19526</v>
      </c>
      <c r="F3899" s="1" t="s">
        <v>19527</v>
      </c>
      <c r="G3899" s="1" t="s">
        <v>19528</v>
      </c>
      <c r="H3899" s="1" t="str">
        <f>IFERROR(__xludf.DUMMYFUNCTION("GOOGLETRANSLATE(D3899,""EN"",""JA"")"),"前骨髄球/白血球")</f>
        <v>前骨髄球/白血球</v>
      </c>
      <c r="I3899" s="1" t="str">
        <f>IFERROR(__xludf.DUMMYFUNCTION("GOOGLETRANSLATE(E3899,""EN"",""JA"")"),"前骨髄球/白血球")</f>
        <v>前骨髄球/白血球</v>
      </c>
      <c r="J3899" s="1" t="str">
        <f>IFERROR(__xludf.DUMMYFUNCTION("GOOGLETRANSLATE(F3899,""EN"",""JA"")"),"生物標本中の全白血球に対する前骨髄球（未熟骨髄球）の相対的な測定値（比率またはパーセンテージ）。")</f>
        <v>生物標本中の全白血球に対する前骨髄球（未熟骨髄球）の相対的な測定値（比率またはパーセンテージ）。</v>
      </c>
      <c r="K3899" s="1" t="str">
        <f>IFERROR(__xludf.DUMMYFUNCTION("GOOGLETRANSLATE(G3899,""EN"",""JA"")"),"前骨髄球とリンパ球の比率測定")</f>
        <v>前骨髄球とリンパ球の比率測定</v>
      </c>
    </row>
    <row r="3900" ht="13.5" customHeight="1">
      <c r="A3900" s="1" t="s">
        <v>11</v>
      </c>
      <c r="B3900" s="1" t="s">
        <v>19529</v>
      </c>
      <c r="C3900" s="1" t="s">
        <v>19530</v>
      </c>
      <c r="D3900" s="1" t="s">
        <v>19531</v>
      </c>
      <c r="E3900" s="1" t="s">
        <v>19531</v>
      </c>
      <c r="F3900" s="1" t="s">
        <v>19532</v>
      </c>
      <c r="G3900" s="1" t="s">
        <v>19533</v>
      </c>
      <c r="H3900" s="1" t="str">
        <f>IFERROR(__xludf.DUMMYFUNCTION("GOOGLETRANSLATE(D3900,""EN"",""JA"")"),"プロポキシフェン")</f>
        <v>プロポキシフェン</v>
      </c>
      <c r="I3900" s="1" t="str">
        <f>IFERROR(__xludf.DUMMYFUNCTION("GOOGLETRANSLATE(E3900,""EN"",""JA"")"),"プロポキシフェン")</f>
        <v>プロポキシフェン</v>
      </c>
      <c r="J3900" s="1" t="str">
        <f>IFERROR(__xludf.DUMMYFUNCTION("GOOGLETRANSLATE(F3900,""EN"",""JA"")"),"生物標本中に存在するプロポキシフェンの測定。")</f>
        <v>生物標本中に存在するプロポキシフェンの測定。</v>
      </c>
      <c r="K3900" s="1" t="str">
        <f>IFERROR(__xludf.DUMMYFUNCTION("GOOGLETRANSLATE(G3900,""EN"",""JA"")"),"プロポキシフェン測定")</f>
        <v>プロポキシフェン測定</v>
      </c>
    </row>
    <row r="3901" ht="13.5" customHeight="1">
      <c r="A3901" s="1" t="s">
        <v>11</v>
      </c>
      <c r="B3901" s="1" t="s">
        <v>19534</v>
      </c>
      <c r="C3901" s="1" t="s">
        <v>19535</v>
      </c>
      <c r="D3901" s="1" t="s">
        <v>19536</v>
      </c>
      <c r="E3901" s="1" t="s">
        <v>19537</v>
      </c>
      <c r="F3901" s="1" t="s">
        <v>19538</v>
      </c>
      <c r="G3901" s="1" t="s">
        <v>19539</v>
      </c>
      <c r="H3901" s="1" t="str">
        <f>IFERROR(__xludf.DUMMYFUNCTION("GOOGLETRANSLATE(D3901,""EN"",""JA"")"),"プロルブリサイト")</f>
        <v>プロルブリサイト</v>
      </c>
      <c r="I3901" s="1" t="str">
        <f>IFERROR(__xludf.DUMMYFUNCTION("GOOGLETRANSLATE(E3901,""EN"",""JA"")"),"好塩基性赤芽球; 好塩基性正芽球; 好塩基性赤芽球")</f>
        <v>好塩基性赤芽球; 好塩基性正芽球; 好塩基性赤芽球</v>
      </c>
      <c r="J3901" s="1" t="str">
        <f>IFERROR(__xludf.DUMMYFUNCTION("GOOGLETRANSLATE(F3901,""EN"",""JA"")"),"生物標本中の赤芽球数の測定。")</f>
        <v>生物標本中の赤芽球数の測定。</v>
      </c>
      <c r="K3901" s="1" t="str">
        <f>IFERROR(__xludf.DUMMYFUNCTION("GOOGLETRANSLATE(G3901,""EN"",""JA"")"),"プロルブリサイト数")</f>
        <v>プロルブリサイト数</v>
      </c>
    </row>
    <row r="3902" ht="13.5" customHeight="1">
      <c r="A3902" s="1" t="s">
        <v>11</v>
      </c>
      <c r="B3902" s="1" t="s">
        <v>19540</v>
      </c>
      <c r="C3902" s="1" t="s">
        <v>19541</v>
      </c>
      <c r="D3902" s="1" t="s">
        <v>19542</v>
      </c>
      <c r="E3902" s="1" t="s">
        <v>19542</v>
      </c>
      <c r="F3902" s="1" t="s">
        <v>19543</v>
      </c>
      <c r="G3902" s="1" t="s">
        <v>19544</v>
      </c>
      <c r="H3902" s="1" t="str">
        <f>IFERROR(__xludf.DUMMYFUNCTION("GOOGLETRANSLATE(D3902,""EN"",""JA"")"),"プロルブリサイト/総細胞数")</f>
        <v>プロルブリサイト/総細胞数</v>
      </c>
      <c r="I3902" s="1" t="str">
        <f>IFERROR(__xludf.DUMMYFUNCTION("GOOGLETRANSLATE(E3902,""EN"",""JA"")"),"プロルブリサイト/総細胞数")</f>
        <v>プロルブリサイト/総細胞数</v>
      </c>
      <c r="J3902" s="1" t="str">
        <f>IFERROR(__xludf.DUMMYFUNCTION("GOOGLETRANSLATE(F3902,""EN"",""JA"")"),"生物標本中の全細胞に対する赤芽球数の相対的な測定値（比率またはパーセンテージ）。")</f>
        <v>生物標本中の全細胞に対する赤芽球数の相対的な測定値（比率またはパーセンテージ）。</v>
      </c>
      <c r="K3902" s="1" t="str">
        <f>IFERROR(__xludf.DUMMYFUNCTION("GOOGLETRANSLATE(G3902,""EN"",""JA"")"),"総細胞に対するプロルブリサイト比の測定")</f>
        <v>総細胞に対するプロルブリサイト比の測定</v>
      </c>
    </row>
    <row r="3903" ht="13.5" customHeight="1">
      <c r="A3903" s="1" t="s">
        <v>11</v>
      </c>
      <c r="B3903" s="1" t="s">
        <v>19545</v>
      </c>
      <c r="C3903" s="1" t="s">
        <v>19546</v>
      </c>
      <c r="D3903" s="1" t="s">
        <v>19547</v>
      </c>
      <c r="E3903" s="1" t="s">
        <v>19547</v>
      </c>
      <c r="F3903" s="1" t="s">
        <v>19548</v>
      </c>
      <c r="G3903" s="1" t="s">
        <v>19549</v>
      </c>
      <c r="H3903" s="1" t="str">
        <f>IFERROR(__xludf.DUMMYFUNCTION("GOOGLETRANSLATE(D3903,""EN"",""JA"")"),"タンパク質")</f>
        <v>タンパク質</v>
      </c>
      <c r="I3903" s="1" t="str">
        <f>IFERROR(__xludf.DUMMYFUNCTION("GOOGLETRANSLATE(E3903,""EN"",""JA"")"),"タンパク質")</f>
        <v>タンパク質</v>
      </c>
      <c r="J3903" s="1" t="str">
        <f>IFERROR(__xludf.DUMMYFUNCTION("GOOGLETRANSLATE(F3903,""EN"",""JA"")"),"生物標本中の総タンパク質の測定値。")</f>
        <v>生物標本中の総タンパク質の測定値。</v>
      </c>
      <c r="K3903" s="1" t="str">
        <f>IFERROR(__xludf.DUMMYFUNCTION("GOOGLETRANSLATE(G3903,""EN"",""JA"")"),"総タンパク質測定")</f>
        <v>総タンパク質測定</v>
      </c>
    </row>
    <row r="3904" ht="13.5" customHeight="1">
      <c r="A3904" s="1" t="s">
        <v>11</v>
      </c>
      <c r="B3904" s="1" t="s">
        <v>19550</v>
      </c>
      <c r="C3904" s="1" t="s">
        <v>19551</v>
      </c>
      <c r="D3904" s="1" t="s">
        <v>19552</v>
      </c>
      <c r="E3904" s="1" t="s">
        <v>19552</v>
      </c>
      <c r="F3904" s="1" t="s">
        <v>19553</v>
      </c>
      <c r="G3904" s="1" t="s">
        <v>19554</v>
      </c>
      <c r="H3904" s="1" t="str">
        <f>IFERROR(__xludf.DUMMYFUNCTION("GOOGLETRANSLATE(D3904,""EN"",""JA"")"),"タンパク質/クレアチニン")</f>
        <v>タンパク質/クレアチニン</v>
      </c>
      <c r="I3904" s="1" t="str">
        <f>IFERROR(__xludf.DUMMYFUNCTION("GOOGLETRANSLATE(E3904,""EN"",""JA"")"),"タンパク質/クレアチニン")</f>
        <v>タンパク質/クレアチニン</v>
      </c>
      <c r="J3904" s="1" t="str">
        <f>IFERROR(__xludf.DUMMYFUNCTION("GOOGLETRANSLATE(F3904,""EN"",""JA"")"),"生物標本中の総タンパク質とクレアチニンの相対的な測定値（比率またはパーセンテージ）。")</f>
        <v>生物標本中の総タンパク質とクレアチニンの相対的な測定値（比率またはパーセンテージ）。</v>
      </c>
      <c r="K3904" s="1" t="str">
        <f>IFERROR(__xludf.DUMMYFUNCTION("GOOGLETRANSLATE(G3904,""EN"",""JA"")"),"タンパク質とクレアチニンの比率の測定")</f>
        <v>タンパク質とクレアチニンの比率の測定</v>
      </c>
    </row>
    <row r="3905" ht="13.5" customHeight="1">
      <c r="A3905" s="1" t="s">
        <v>67</v>
      </c>
      <c r="B3905" s="1" t="s">
        <v>19555</v>
      </c>
      <c r="C3905" s="1" t="s">
        <v>19556</v>
      </c>
      <c r="D3905" s="1" t="s">
        <v>19557</v>
      </c>
      <c r="E3905" s="1" t="s">
        <v>19558</v>
      </c>
      <c r="F3905" s="1" t="s">
        <v>19559</v>
      </c>
      <c r="G3905" s="1" t="s">
        <v>19560</v>
      </c>
      <c r="H3905" s="1" t="str">
        <f>IFERROR(__xludf.DUMMYFUNCTION("GOOGLETRANSLATE(D3905,""EN"",""JA"")"),"プロテウスDNA")</f>
        <v>プロテウスDNA</v>
      </c>
      <c r="I3905" s="1" t="str">
        <f>IFERROR(__xludf.DUMMYFUNCTION("GOOGLETRANSLATE(E3905,""EN"",""JA"")"),"プロテウス DNA; プロテウス種 DNA; プロテウス属 DNA")</f>
        <v>プロテウス DNA; プロテウス種 DNA; プロテウス属 DNA</v>
      </c>
      <c r="J3905" s="1" t="str">
        <f>IFERROR(__xludf.DUMMYFUNCTION("GOOGLETRANSLATE(F3905,""EN"",""JA"")"),"生物標本中のプロテウス属の任意のメンバーの DNA の測定。")</f>
        <v>生物標本中のプロテウス属の任意のメンバーの DNA の測定。</v>
      </c>
      <c r="K3905" s="1" t="str">
        <f>IFERROR(__xludf.DUMMYFUNCTION("GOOGLETRANSLATE(G3905,""EN"",""JA"")"),"プロテウスDNA測定")</f>
        <v>プロテウスDNA測定</v>
      </c>
    </row>
    <row r="3906" ht="13.5" customHeight="1">
      <c r="A3906" s="1" t="s">
        <v>11</v>
      </c>
      <c r="B3906" s="1" t="s">
        <v>19561</v>
      </c>
      <c r="C3906" s="1" t="s">
        <v>19562</v>
      </c>
      <c r="D3906" s="1" t="s">
        <v>19563</v>
      </c>
      <c r="E3906" s="1" t="s">
        <v>19563</v>
      </c>
      <c r="F3906" s="1" t="s">
        <v>19564</v>
      </c>
      <c r="G3906" s="1" t="s">
        <v>19563</v>
      </c>
      <c r="H3906" s="1" t="str">
        <f>IFERROR(__xludf.DUMMYFUNCTION("GOOGLETRANSLATE(D3906,""EN"",""JA"")"),"タンパク質排泄率")</f>
        <v>タンパク質排泄率</v>
      </c>
      <c r="I3906" s="1" t="str">
        <f>IFERROR(__xludf.DUMMYFUNCTION("GOOGLETRANSLATE(E3906,""EN"",""JA"")"),"タンパク質排泄率")</f>
        <v>タンパク質排泄率</v>
      </c>
      <c r="J3906" s="1" t="str">
        <f>IFERROR(__xludf.DUMMYFUNCTION("GOOGLETRANSLATE(F3906,""EN"",""JA"")"),"定義された時間（例：1 時間）にわたって生物標本中に排出される総タンパク質量の測定値。")</f>
        <v>定義された時間（例：1 時間）にわたって生物標本中に排出される総タンパク質量の測定値。</v>
      </c>
      <c r="K3906" s="1" t="str">
        <f>IFERROR(__xludf.DUMMYFUNCTION("GOOGLETRANSLATE(G3906,""EN"",""JA"")"),"タンパク質排泄率")</f>
        <v>タンパク質排泄率</v>
      </c>
    </row>
    <row r="3907" ht="13.5" customHeight="1">
      <c r="A3907" s="1" t="s">
        <v>11</v>
      </c>
      <c r="B3907" s="1" t="s">
        <v>19565</v>
      </c>
      <c r="C3907" s="1" t="s">
        <v>19566</v>
      </c>
      <c r="D3907" s="1" t="s">
        <v>19567</v>
      </c>
      <c r="E3907" s="1" t="s">
        <v>19568</v>
      </c>
      <c r="F3907" s="1" t="s">
        <v>19569</v>
      </c>
      <c r="G3907" s="1" t="s">
        <v>19570</v>
      </c>
      <c r="H3907" s="1" t="str">
        <f>IFERROR(__xludf.DUMMYFUNCTION("GOOGLETRANSLATE(D3907,""EN"",""JA"")"),"タンパク質/浸透圧")</f>
        <v>タンパク質/浸透圧</v>
      </c>
      <c r="I3907" s="1" t="str">
        <f>IFERROR(__xludf.DUMMYFUNCTION("GOOGLETRANSLATE(E3907,""EN"",""JA"")"),"タンパク質/浸透圧; タンパク質/浸透圧比")</f>
        <v>タンパク質/浸透圧; タンパク質/浸透圧比</v>
      </c>
      <c r="J3907" s="1" t="str">
        <f>IFERROR(__xludf.DUMMYFUNCTION("GOOGLETRANSLATE(F3907,""EN"",""JA"")"),"生物標本の浸透圧に対する総タンパク質の相対的な測定値（比率またはパーセンテージ）。")</f>
        <v>生物標本の浸透圧に対する総タンパク質の相対的な測定値（比率またはパーセンテージ）。</v>
      </c>
      <c r="K3907" s="1" t="str">
        <f>IFERROR(__xludf.DUMMYFUNCTION("GOOGLETRANSLATE(G3907,""EN"",""JA"")"),"タンパク質と浸透圧の比の測定")</f>
        <v>タンパク質と浸透圧の比の測定</v>
      </c>
    </row>
    <row r="3908" ht="13.5" customHeight="1">
      <c r="A3908" s="1" t="s">
        <v>67</v>
      </c>
      <c r="B3908" s="1" t="s">
        <v>19571</v>
      </c>
      <c r="C3908" s="1" t="s">
        <v>19572</v>
      </c>
      <c r="D3908" s="1" t="s">
        <v>19573</v>
      </c>
      <c r="E3908" s="1" t="s">
        <v>19573</v>
      </c>
      <c r="F3908" s="1" t="s">
        <v>19574</v>
      </c>
      <c r="G3908" s="1" t="s">
        <v>19575</v>
      </c>
      <c r="H3908" s="1" t="str">
        <f>IFERROR(__xludf.DUMMYFUNCTION("GOOGLETRANSLATE(D3908,""EN"",""JA"")"),"原生動物")</f>
        <v>原生動物</v>
      </c>
      <c r="I3908" s="1" t="str">
        <f>IFERROR(__xludf.DUMMYFUNCTION("GOOGLETRANSLATE(E3908,""EN"",""JA"")"),"原生動物")</f>
        <v>原生動物</v>
      </c>
      <c r="J3908" s="1" t="str">
        <f>IFERROR(__xludf.DUMMYFUNCTION("GOOGLETRANSLATE(F3908,""EN"",""JA"")"),"生物標本中の原生動物の測定。")</f>
        <v>生物標本中の原生動物の測定。</v>
      </c>
      <c r="K3908" s="1" t="str">
        <f>IFERROR(__xludf.DUMMYFUNCTION("GOOGLETRANSLATE(G3908,""EN"",""JA"")"),"原生動物測定")</f>
        <v>原生動物測定</v>
      </c>
    </row>
    <row r="3909" ht="13.5" customHeight="1">
      <c r="A3909" s="1" t="s">
        <v>11</v>
      </c>
      <c r="B3909" s="1" t="s">
        <v>19576</v>
      </c>
      <c r="C3909" s="1" t="s">
        <v>19577</v>
      </c>
      <c r="D3909" s="1" t="s">
        <v>19578</v>
      </c>
      <c r="E3909" s="1" t="s">
        <v>19578</v>
      </c>
      <c r="F3909" s="1" t="s">
        <v>19579</v>
      </c>
      <c r="G3909" s="1" t="s">
        <v>19580</v>
      </c>
      <c r="H3909" s="1" t="str">
        <f>IFERROR(__xludf.DUMMYFUNCTION("GOOGLETRANSLATE(D3909,""EN"",""JA"")"),"タンパク質パターン")</f>
        <v>タンパク質パターン</v>
      </c>
      <c r="I3909" s="1" t="str">
        <f>IFERROR(__xludf.DUMMYFUNCTION("GOOGLETRANSLATE(E3909,""EN"",""JA"")"),"タンパク質パターン")</f>
        <v>タンパク質パターン</v>
      </c>
      <c r="J3909" s="1" t="str">
        <f>IFERROR(__xludf.DUMMYFUNCTION("GOOGLETRANSLATE(F3909,""EN"",""JA"")"),"生物標本中のタンパク質バンドパターンの測定。")</f>
        <v>生物標本中のタンパク質バンドパターンの測定。</v>
      </c>
      <c r="K3909" s="1" t="str">
        <f>IFERROR(__xludf.DUMMYFUNCTION("GOOGLETRANSLATE(G3909,""EN"",""JA"")"),"タンパク質パターン測定")</f>
        <v>タンパク質パターン測定</v>
      </c>
    </row>
    <row r="3910" ht="13.5" customHeight="1">
      <c r="A3910" s="1" t="s">
        <v>11</v>
      </c>
      <c r="B3910" s="1" t="s">
        <v>19581</v>
      </c>
      <c r="C3910" s="1" t="s">
        <v>19582</v>
      </c>
      <c r="D3910" s="1" t="s">
        <v>19583</v>
      </c>
      <c r="E3910" s="1" t="s">
        <v>19583</v>
      </c>
      <c r="F3910" s="1" t="s">
        <v>19584</v>
      </c>
      <c r="G3910" s="1" t="s">
        <v>19585</v>
      </c>
      <c r="H3910" s="1" t="str">
        <f>IFERROR(__xludf.DUMMYFUNCTION("GOOGLETRANSLATE(D3910,""EN"",""JA"")"),"プロトリプチリン")</f>
        <v>プロトリプチリン</v>
      </c>
      <c r="I3910" s="1" t="str">
        <f>IFERROR(__xludf.DUMMYFUNCTION("GOOGLETRANSLATE(E3910,""EN"",""JA"")"),"プロトリプチリン")</f>
        <v>プロトリプチリン</v>
      </c>
      <c r="J3910" s="1" t="str">
        <f>IFERROR(__xludf.DUMMYFUNCTION("GOOGLETRANSLATE(F3910,""EN"",""JA"")"),"生物学的標本中に存在するプロトリプチリンの測定。")</f>
        <v>生物学的標本中に存在するプロトリプチリンの測定。</v>
      </c>
      <c r="K3910" s="1" t="str">
        <f>IFERROR(__xludf.DUMMYFUNCTION("GOOGLETRANSLATE(G3910,""EN"",""JA"")"),"プロトリプチリン測定")</f>
        <v>プロトリプチリン測定</v>
      </c>
    </row>
    <row r="3911" ht="13.5" customHeight="1">
      <c r="A3911" s="1" t="s">
        <v>397</v>
      </c>
      <c r="B3911" s="1" t="s">
        <v>19586</v>
      </c>
      <c r="C3911" s="1" t="s">
        <v>19587</v>
      </c>
      <c r="D3911" s="1" t="s">
        <v>19588</v>
      </c>
      <c r="E3911" s="1" t="s">
        <v>19588</v>
      </c>
      <c r="F3911" s="1" t="s">
        <v>19589</v>
      </c>
      <c r="G3911" s="1" t="s">
        <v>19588</v>
      </c>
      <c r="H3911" s="1" t="str">
        <f>IFERROR(__xludf.DUMMYFUNCTION("GOOGLETRANSLATE(D3911,""EN"",""JA"")"),"プロトコルリスク評価")</f>
        <v>プロトコルリスク評価</v>
      </c>
      <c r="I3911" s="1" t="str">
        <f>IFERROR(__xludf.DUMMYFUNCTION("GOOGLETRANSLATE(E3911,""EN"",""JA"")"),"プロトコルリスク評価")</f>
        <v>プロトコルリスク評価</v>
      </c>
      <c r="J3911" s="1" t="str">
        <f>IFERROR(__xludf.DUMMYFUNCTION("GOOGLETRANSLATE(F3911,""EN"",""JA"")"),"プロトコルで定義された活動、手順、および介入が研究対象者に及ぼすリスク。")</f>
        <v>プロトコルで定義された活動、手順、および介入が研究対象者に及ぼすリスク。</v>
      </c>
      <c r="K3911" s="1" t="str">
        <f>IFERROR(__xludf.DUMMYFUNCTION("GOOGLETRANSLATE(G3911,""EN"",""JA"")"),"プロトコルリスク評価")</f>
        <v>プロトコルリスク評価</v>
      </c>
    </row>
    <row r="3912" ht="13.5" customHeight="1">
      <c r="A3912" s="1" t="s">
        <v>11</v>
      </c>
      <c r="B3912" s="1" t="s">
        <v>19590</v>
      </c>
      <c r="C3912" s="1" t="s">
        <v>19591</v>
      </c>
      <c r="D3912" s="1" t="s">
        <v>19592</v>
      </c>
      <c r="E3912" s="1" t="s">
        <v>19592</v>
      </c>
      <c r="F3912" s="1" t="s">
        <v>19593</v>
      </c>
      <c r="G3912" s="1" t="s">
        <v>19594</v>
      </c>
      <c r="H3912" s="1" t="str">
        <f>IFERROR(__xludf.DUMMYFUNCTION("GOOGLETRANSLATE(D3912,""EN"",""JA"")"),"プロテインS")</f>
        <v>プロテインS</v>
      </c>
      <c r="I3912" s="1" t="str">
        <f>IFERROR(__xludf.DUMMYFUNCTION("GOOGLETRANSLATE(E3912,""EN"",""JA"")"),"プロテインS")</f>
        <v>プロテインS</v>
      </c>
      <c r="J3912" s="1" t="str">
        <f>IFERROR(__xludf.DUMMYFUNCTION("GOOGLETRANSLATE(F3912,""EN"",""JA"")"),"生物標本中の総タンパク質 S の測定。")</f>
        <v>生物標本中の総タンパク質 S の測定。</v>
      </c>
      <c r="K3912" s="1" t="str">
        <f>IFERROR(__xludf.DUMMYFUNCTION("GOOGLETRANSLATE(G3912,""EN"",""JA"")"),"プロテインS測定")</f>
        <v>プロテインS測定</v>
      </c>
    </row>
    <row r="3913" ht="13.5" customHeight="1">
      <c r="A3913" s="1" t="s">
        <v>11</v>
      </c>
      <c r="B3913" s="1" t="s">
        <v>19595</v>
      </c>
      <c r="C3913" s="1" t="s">
        <v>19596</v>
      </c>
      <c r="D3913" s="1" t="s">
        <v>19597</v>
      </c>
      <c r="E3913" s="1" t="s">
        <v>19597</v>
      </c>
      <c r="F3913" s="1" t="s">
        <v>19598</v>
      </c>
      <c r="G3913" s="1" t="s">
        <v>19599</v>
      </c>
      <c r="H3913" s="1" t="str">
        <f>IFERROR(__xludf.DUMMYFUNCTION("GOOGLETRANSLATE(D3913,""EN"",""JA"")"),"プロテインS、フリー")</f>
        <v>プロテインS、フリー</v>
      </c>
      <c r="I3913" s="1" t="str">
        <f>IFERROR(__xludf.DUMMYFUNCTION("GOOGLETRANSLATE(E3913,""EN"",""JA"")"),"プロテインS、フリー")</f>
        <v>プロテインS、フリー</v>
      </c>
      <c r="J3913" s="1" t="str">
        <f>IFERROR(__xludf.DUMMYFUNCTION("GOOGLETRANSLATE(F3913,""EN"",""JA"")"),"生物標本中の未結合タンパク質 S の測定。")</f>
        <v>生物標本中の未結合タンパク質 S の測定。</v>
      </c>
      <c r="K3913" s="1" t="str">
        <f>IFERROR(__xludf.DUMMYFUNCTION("GOOGLETRANSLATE(G3913,""EN"",""JA"")"),"遊離タンパク質S測定")</f>
        <v>遊離タンパク質S測定</v>
      </c>
    </row>
    <row r="3914" ht="13.5" customHeight="1">
      <c r="A3914" s="1" t="s">
        <v>1168</v>
      </c>
      <c r="B3914" s="1" t="s">
        <v>19600</v>
      </c>
      <c r="C3914" s="1" t="s">
        <v>19601</v>
      </c>
      <c r="D3914" s="1" t="s">
        <v>19602</v>
      </c>
      <c r="E3914" s="1" t="s">
        <v>19603</v>
      </c>
      <c r="F3914" s="1" t="s">
        <v>19604</v>
      </c>
      <c r="G3914" s="1" t="s">
        <v>19605</v>
      </c>
      <c r="H3914" s="1" t="str">
        <f>IFERROR(__xludf.DUMMYFUNCTION("GOOGLETRANSLATE(D3914,""EN"",""JA"")"),"PR間隔、1拍")</f>
        <v>PR間隔、1拍</v>
      </c>
      <c r="I3914" s="1" t="str">
        <f>IFERROR(__xludf.DUMMYFUNCTION("GOOGLETRANSLATE(E3914,""EN"",""JA"")"),"PQ間隔、単一心拍; PQSB; PR間隔、単一心拍")</f>
        <v>PQ間隔、単一心拍; PQSB; PR間隔、単一心拍</v>
      </c>
      <c r="J3914" s="1" t="str">
        <f>IFERROR(__xludf.DUMMYFUNCTION("GOOGLETRANSLATE(F3914,""EN"",""JA"")"),"1 つ以上のリードを使用して、単一拍動の P 波の開始から QRS 群の開始までを測定した心電図間隔。")</f>
        <v>1 つ以上のリードを使用して、単一拍動の P 波の開始から QRS 群の開始までを測定した心電図間隔。</v>
      </c>
      <c r="K3914" s="1" t="str">
        <f>IFERROR(__xludf.DUMMYFUNCTION("GOOGLETRANSLATE(G3914,""EN"",""JA"")"),"1拍PR間隔")</f>
        <v>1拍PR間隔</v>
      </c>
    </row>
    <row r="3915" ht="13.5" customHeight="1">
      <c r="A3915" s="1" t="s">
        <v>1168</v>
      </c>
      <c r="B3915" s="1" t="s">
        <v>19606</v>
      </c>
      <c r="C3915" s="1" t="s">
        <v>19607</v>
      </c>
      <c r="D3915" s="1" t="s">
        <v>19608</v>
      </c>
      <c r="E3915" s="1" t="s">
        <v>19608</v>
      </c>
      <c r="F3915" s="1" t="s">
        <v>19609</v>
      </c>
      <c r="G3915" s="1" t="s">
        <v>19610</v>
      </c>
      <c r="H3915" s="1" t="str">
        <f>IFERROR(__xludf.DUMMYFUNCTION("GOOGLETRANSLATE(D3915,""EN"",""JA"")"),"PRセグメント、集計")</f>
        <v>PRセグメント、集計</v>
      </c>
      <c r="I3915" s="1" t="str">
        <f>IFERROR(__xludf.DUMMYFUNCTION("GOOGLETRANSLATE(E3915,""EN"",""JA"")"),"PRセグメント、集計")</f>
        <v>PRセグメント、集計</v>
      </c>
      <c r="J3915" s="1" t="str">
        <f>IFERROR(__xludf.DUMMYFUNCTION("GOOGLETRANSLATE(F3915,""EN"",""JA"")"),"1回の心電図における複数の心拍から測定されたPRセグメント間隔に基づく集計PRセグメント値。集計方法は様々ですが、通常は平均値などの中心傾向を示す指標が用いられます。")</f>
        <v>1回の心電図における複数の心拍から測定されたPRセグメント間隔に基づく集計PRセグメント値。集計方法は様々ですが、通常は平均値などの中心傾向を示す指標が用いられます。</v>
      </c>
      <c r="K3915" s="1" t="str">
        <f>IFERROR(__xludf.DUMMYFUNCTION("GOOGLETRANSLATE(G3915,""EN"",""JA"")"),"集計PRセグメント")</f>
        <v>集計PRセグメント</v>
      </c>
    </row>
    <row r="3916" ht="13.5" customHeight="1">
      <c r="A3916" s="1" t="s">
        <v>1168</v>
      </c>
      <c r="B3916" s="1" t="s">
        <v>19611</v>
      </c>
      <c r="C3916" s="1" t="s">
        <v>19612</v>
      </c>
      <c r="D3916" s="1" t="s">
        <v>19613</v>
      </c>
      <c r="E3916" s="1" t="s">
        <v>19613</v>
      </c>
      <c r="F3916" s="1" t="s">
        <v>19614</v>
      </c>
      <c r="G3916" s="1" t="s">
        <v>19615</v>
      </c>
      <c r="H3916" s="1" t="str">
        <f>IFERROR(__xludf.DUMMYFUNCTION("GOOGLETRANSLATE(D3916,""EN"",""JA"")"),"PRセグメント、シングルビート")</f>
        <v>PRセグメント、シングルビート</v>
      </c>
      <c r="I3916" s="1" t="str">
        <f>IFERROR(__xludf.DUMMYFUNCTION("GOOGLETRANSLATE(E3916,""EN"",""JA"")"),"PRセグメント、シングルビート")</f>
        <v>PRセグメント、シングルビート</v>
      </c>
      <c r="J3916" s="1" t="str">
        <f>IFERROR(__xludf.DUMMYFUNCTION("GOOGLETRANSLATE(F3916,""EN"",""JA"")"),"1 つ以上のリードを使用して、単一心拍の P 波の終了から QRS 群の開始までを測定する心電図間隔。")</f>
        <v>1 つ以上のリードを使用して、単一心拍の P 波の終了から QRS 群の開始までを測定する心電図間隔。</v>
      </c>
      <c r="K3916" s="1" t="str">
        <f>IFERROR(__xludf.DUMMYFUNCTION("GOOGLETRANSLATE(G3916,""EN"",""JA"")"),"シングルビートPRセグメント")</f>
        <v>シングルビートPRセグメント</v>
      </c>
    </row>
    <row r="3917" ht="13.5" customHeight="1">
      <c r="A3917" s="1" t="s">
        <v>11</v>
      </c>
      <c r="B3917" s="1" t="s">
        <v>19616</v>
      </c>
      <c r="C3917" s="1" t="s">
        <v>19617</v>
      </c>
      <c r="D3917" s="1" t="s">
        <v>19618</v>
      </c>
      <c r="E3917" s="1" t="s">
        <v>19619</v>
      </c>
      <c r="F3917" s="1" t="s">
        <v>19620</v>
      </c>
      <c r="G3917" s="1" t="s">
        <v>19621</v>
      </c>
      <c r="H3917" s="1" t="str">
        <f>IFERROR(__xludf.DUMMYFUNCTION("GOOGLETRANSLATE(D3917,""EN"",""JA"")"),"プレセプシン")</f>
        <v>プレセプシン</v>
      </c>
      <c r="I3917" s="1" t="str">
        <f>IFERROR(__xludf.DUMMYFUNCTION("GOOGLETRANSLATE(E3917,""EN"",""JA"")"),"プレセプシン; sCD14-ST; 可溶性CD14サブタイプ")</f>
        <v>プレセプシン; sCD14-ST; 可溶性CD14サブタイプ</v>
      </c>
      <c r="J3917" s="1" t="str">
        <f>IFERROR(__xludf.DUMMYFUNCTION("GOOGLETRANSLATE(F3917,""EN"",""JA"")"),"生物標本中のプレセプシンの測定。")</f>
        <v>生物標本中のプレセプシンの測定。</v>
      </c>
      <c r="K3917" s="1" t="str">
        <f>IFERROR(__xludf.DUMMYFUNCTION("GOOGLETRANSLATE(G3917,""EN"",""JA"")"),"プレセプシン測定")</f>
        <v>プレセプシン測定</v>
      </c>
    </row>
    <row r="3918" ht="13.5" customHeight="1">
      <c r="A3918" s="1" t="s">
        <v>11</v>
      </c>
      <c r="B3918" s="1" t="s">
        <v>19622</v>
      </c>
      <c r="C3918" s="1" t="s">
        <v>19623</v>
      </c>
      <c r="D3918" s="1" t="s">
        <v>19624</v>
      </c>
      <c r="E3918" s="1" t="s">
        <v>19624</v>
      </c>
      <c r="F3918" s="1" t="s">
        <v>19625</v>
      </c>
      <c r="G3918" s="1" t="s">
        <v>19626</v>
      </c>
      <c r="H3918" s="1" t="str">
        <f>IFERROR(__xludf.DUMMYFUNCTION("GOOGLETRANSLATE(D3918,""EN"",""JA"")"),"プロスタノゾール")</f>
        <v>プロスタノゾール</v>
      </c>
      <c r="I3918" s="1" t="str">
        <f>IFERROR(__xludf.DUMMYFUNCTION("GOOGLETRANSLATE(E3918,""EN"",""JA"")"),"プロスタノゾール")</f>
        <v>プロスタノゾール</v>
      </c>
      <c r="J3918" s="1" t="str">
        <f>IFERROR(__xludf.DUMMYFUNCTION("GOOGLETRANSLATE(F3918,""EN"",""JA"")"),"生物標本中のプロスタノゾールの測定。")</f>
        <v>生物標本中のプロスタノゾールの測定。</v>
      </c>
      <c r="K3918" s="1" t="str">
        <f>IFERROR(__xludf.DUMMYFUNCTION("GOOGLETRANSLATE(G3918,""EN"",""JA"")"),"プロスタノゾール測定")</f>
        <v>プロスタノゾール測定</v>
      </c>
    </row>
    <row r="3919" ht="13.5" customHeight="1">
      <c r="A3919" s="1" t="s">
        <v>160</v>
      </c>
      <c r="B3919" s="1" t="s">
        <v>19627</v>
      </c>
      <c r="C3919" s="1" t="s">
        <v>19628</v>
      </c>
      <c r="D3919" s="1" t="s">
        <v>19629</v>
      </c>
      <c r="E3919" s="1" t="s">
        <v>19629</v>
      </c>
      <c r="F3919" s="1" t="s">
        <v>19630</v>
      </c>
      <c r="G3919" s="1" t="s">
        <v>19629</v>
      </c>
      <c r="H3919" s="1" t="str">
        <f>IFERROR(__xludf.DUMMYFUNCTION("GOOGLETRANSLATE(D3919,""EN"",""JA"")"),"過去の妊娠回数")</f>
        <v>過去の妊娠回数</v>
      </c>
      <c r="I3919" s="1" t="str">
        <f>IFERROR(__xludf.DUMMYFUNCTION("GOOGLETRANSLATE(E3919,""EN"",""JA"")"),"過去の妊娠回数")</f>
        <v>過去の妊娠回数</v>
      </c>
      <c r="J3919" s="1" t="str">
        <f>IFERROR(__xludf.DUMMYFUNCTION("GOOGLETRANSLATE(F3919,""EN"",""JA"")"),"女性被験者が現在の妊娠前に経験した妊娠イベントの総数を測定します。")</f>
        <v>女性被験者が現在の妊娠前に経験した妊娠イベントの総数を測定します。</v>
      </c>
      <c r="K3919" s="1" t="str">
        <f>IFERROR(__xludf.DUMMYFUNCTION("GOOGLETRANSLATE(G3919,""EN"",""JA"")"),"過去の妊娠回数")</f>
        <v>過去の妊娠回数</v>
      </c>
    </row>
    <row r="3920" ht="13.5" customHeight="1">
      <c r="A3920" s="1" t="s">
        <v>11</v>
      </c>
      <c r="B3920" s="1" t="s">
        <v>19631</v>
      </c>
      <c r="C3920" s="1" t="s">
        <v>19632</v>
      </c>
      <c r="D3920" s="1" t="s">
        <v>19633</v>
      </c>
      <c r="E3920" s="1" t="s">
        <v>19634</v>
      </c>
      <c r="F3920" s="1" t="s">
        <v>19635</v>
      </c>
      <c r="G3920" s="1" t="s">
        <v>19636</v>
      </c>
      <c r="H3920" s="1" t="str">
        <f>IFERROR(__xludf.DUMMYFUNCTION("GOOGLETRANSLATE(D3920,""EN"",""JA"")"),"パラキサンチン")</f>
        <v>パラキサンチン</v>
      </c>
      <c r="I3920" s="1" t="str">
        <f>IFERROR(__xludf.DUMMYFUNCTION("GOOGLETRANSLATE(E3920,""EN"",""JA"")"),"1,7-ジメチルキサンチン;パラキサンチン")</f>
        <v>1,7-ジメチルキサンチン;パラキサンチン</v>
      </c>
      <c r="J3920" s="1" t="str">
        <f>IFERROR(__xludf.DUMMYFUNCTION("GOOGLETRANSLATE(F3920,""EN"",""JA"")"),"標本中のパラキサンチンの測定。")</f>
        <v>標本中のパラキサンチンの測定。</v>
      </c>
      <c r="K3920" s="1" t="str">
        <f>IFERROR(__xludf.DUMMYFUNCTION("GOOGLETRANSLATE(G3920,""EN"",""JA"")"),"パラキサンチン測定")</f>
        <v>パラキサンチン測定</v>
      </c>
    </row>
    <row r="3921" ht="13.5" customHeight="1">
      <c r="A3921" s="1" t="s">
        <v>11</v>
      </c>
      <c r="B3921" s="1" t="s">
        <v>19637</v>
      </c>
      <c r="C3921" s="1" t="s">
        <v>19638</v>
      </c>
      <c r="D3921" s="1" t="s">
        <v>19639</v>
      </c>
      <c r="E3921" s="1" t="s">
        <v>19639</v>
      </c>
      <c r="F3921" s="1" t="s">
        <v>19640</v>
      </c>
      <c r="G3921" s="1" t="s">
        <v>19641</v>
      </c>
      <c r="H3921" s="1" t="str">
        <f>IFERROR(__xludf.DUMMYFUNCTION("GOOGLETRANSLATE(D3921,""EN"",""JA"")"),"プラゼパム")</f>
        <v>プラゼパム</v>
      </c>
      <c r="I3921" s="1" t="str">
        <f>IFERROR(__xludf.DUMMYFUNCTION("GOOGLETRANSLATE(E3921,""EN"",""JA"")"),"プラゼパム")</f>
        <v>プラゼパム</v>
      </c>
      <c r="J3921" s="1" t="str">
        <f>IFERROR(__xludf.DUMMYFUNCTION("GOOGLETRANSLATE(F3921,""EN"",""JA"")"),"生物学的標本中に存在するプラゼパムの測定。")</f>
        <v>生物学的標本中に存在するプラゼパムの測定。</v>
      </c>
      <c r="K3921" s="1" t="str">
        <f>IFERROR(__xludf.DUMMYFUNCTION("GOOGLETRANSLATE(G3921,""EN"",""JA"")"),"プラゼパム測定")</f>
        <v>プラゼパム測定</v>
      </c>
    </row>
    <row r="3922" ht="13.5" customHeight="1">
      <c r="A3922" s="1" t="s">
        <v>11</v>
      </c>
      <c r="B3922" s="1" t="s">
        <v>19642</v>
      </c>
      <c r="C3922" s="1" t="s">
        <v>19643</v>
      </c>
      <c r="D3922" s="1" t="s">
        <v>19644</v>
      </c>
      <c r="E3922" s="1" t="s">
        <v>19644</v>
      </c>
      <c r="F3922" s="1" t="s">
        <v>19645</v>
      </c>
      <c r="G3922" s="1" t="s">
        <v>19646</v>
      </c>
      <c r="H3922" s="1" t="str">
        <f>IFERROR(__xludf.DUMMYFUNCTION("GOOGLETRANSLATE(D3922,""EN"",""JA"")"),"前立腺特異抗原")</f>
        <v>前立腺特異抗原</v>
      </c>
      <c r="I3922" s="1" t="str">
        <f>IFERROR(__xludf.DUMMYFUNCTION("GOOGLETRANSLATE(E3922,""EN"",""JA"")"),"前立腺特異抗原")</f>
        <v>前立腺特異抗原</v>
      </c>
      <c r="J3922" s="1" t="str">
        <f>IFERROR(__xludf.DUMMYFUNCTION("GOOGLETRANSLATE(F3922,""EN"",""JA"")"),"生物学的標本中の前立腺特異抗原の総量の測定。")</f>
        <v>生物学的標本中の前立腺特異抗原の総量の測定。</v>
      </c>
      <c r="K3922" s="1" t="str">
        <f>IFERROR(__xludf.DUMMYFUNCTION("GOOGLETRANSLATE(G3922,""EN"",""JA"")"),"前立腺特異抗原測定")</f>
        <v>前立腺特異抗原測定</v>
      </c>
    </row>
    <row r="3923" ht="13.5" customHeight="1">
      <c r="A3923" s="1" t="s">
        <v>11</v>
      </c>
      <c r="B3923" s="1" t="s">
        <v>19647</v>
      </c>
      <c r="C3923" s="1" t="s">
        <v>19648</v>
      </c>
      <c r="D3923" s="1" t="s">
        <v>19649</v>
      </c>
      <c r="E3923" s="1" t="s">
        <v>19649</v>
      </c>
      <c r="F3923" s="1" t="s">
        <v>19650</v>
      </c>
      <c r="G3923" s="1" t="s">
        <v>19651</v>
      </c>
      <c r="H3923" s="1" t="str">
        <f>IFERROR(__xludf.DUMMYFUNCTION("GOOGLETRANSLATE(D3923,""EN"",""JA"")"),"前立腺特異抗原、フリー")</f>
        <v>前立腺特異抗原、フリー</v>
      </c>
      <c r="I3923" s="1" t="str">
        <f>IFERROR(__xludf.DUMMYFUNCTION("GOOGLETRANSLATE(E3923,""EN"",""JA"")"),"前立腺特異抗原、フリー")</f>
        <v>前立腺特異抗原、フリー</v>
      </c>
      <c r="J3923" s="1" t="str">
        <f>IFERROR(__xludf.DUMMYFUNCTION("GOOGLETRANSLATE(F3923,""EN"",""JA"")"),"生物学的標本中の未結合前立腺特異抗原の測定。")</f>
        <v>生物学的標本中の未結合前立腺特異抗原の測定。</v>
      </c>
      <c r="K3923" s="1" t="str">
        <f>IFERROR(__xludf.DUMMYFUNCTION("GOOGLETRANSLATE(G3923,""EN"",""JA"")"),"無料前立腺特異抗原測定")</f>
        <v>無料前立腺特異抗原測定</v>
      </c>
    </row>
    <row r="3924" ht="13.5" customHeight="1">
      <c r="A3924" s="1" t="s">
        <v>11</v>
      </c>
      <c r="B3924" s="1" t="s">
        <v>19652</v>
      </c>
      <c r="C3924" s="1" t="s">
        <v>19653</v>
      </c>
      <c r="D3924" s="1" t="s">
        <v>19654</v>
      </c>
      <c r="E3924" s="1" t="s">
        <v>19654</v>
      </c>
      <c r="F3924" s="1" t="s">
        <v>19655</v>
      </c>
      <c r="G3924" s="1" t="s">
        <v>19656</v>
      </c>
      <c r="H3924" s="1" t="str">
        <f>IFERROR(__xludf.DUMMYFUNCTION("GOOGLETRANSLATE(D3924,""EN"",""JA"")"),"PSA、無料/PSA")</f>
        <v>PSA、無料/PSA</v>
      </c>
      <c r="I3924" s="1" t="str">
        <f>IFERROR(__xludf.DUMMYFUNCTION("GOOGLETRANSLATE(E3924,""EN"",""JA"")"),"PSA、無料/PSA")</f>
        <v>PSA、無料/PSA</v>
      </c>
      <c r="J3924" s="1" t="str">
        <f>IFERROR(__xludf.DUMMYFUNCTION("GOOGLETRANSLATE(F3924,""EN"",""JA"")"),"生物学的標本中の遊離前立腺特異抗原と総前立腺特異抗原の相対的な測定値（パーセンテージ）。")</f>
        <v>生物学的標本中の遊離前立腺特異抗原と総前立腺特異抗原の相対的な測定値（パーセンテージ）。</v>
      </c>
      <c r="K3924" s="1" t="str">
        <f>IFERROR(__xludf.DUMMYFUNCTION("GOOGLETRANSLATE(G3924,""EN"",""JA"")"),"遊離PSAと総PSAの比の測定")</f>
        <v>遊離PSAと総PSAの比の測定</v>
      </c>
    </row>
    <row r="3925" ht="13.5" customHeight="1">
      <c r="A3925" s="1" t="s">
        <v>11</v>
      </c>
      <c r="B3925" s="1" t="s">
        <v>19657</v>
      </c>
      <c r="C3925" s="1" t="s">
        <v>19658</v>
      </c>
      <c r="D3925" s="1" t="s">
        <v>19659</v>
      </c>
      <c r="E3925" s="1" t="s">
        <v>19659</v>
      </c>
      <c r="F3925" s="1" t="s">
        <v>19660</v>
      </c>
      <c r="G3925" s="1" t="s">
        <v>19661</v>
      </c>
      <c r="H3925" s="1" t="str">
        <f>IFERROR(__xludf.DUMMYFUNCTION("GOOGLETRANSLATE(D3925,""EN"",""JA"")"),"前立腺特異抗原mRNA")</f>
        <v>前立腺特異抗原mRNA</v>
      </c>
      <c r="I3925" s="1" t="str">
        <f>IFERROR(__xludf.DUMMYFUNCTION("GOOGLETRANSLATE(E3925,""EN"",""JA"")"),"前立腺特異抗原mRNA")</f>
        <v>前立腺特異抗原mRNA</v>
      </c>
      <c r="J3925" s="1" t="str">
        <f>IFERROR(__xludf.DUMMYFUNCTION("GOOGLETRANSLATE(F3925,""EN"",""JA"")"),"生物学的標本中の前立腺特異抗原 mRNA の測定。")</f>
        <v>生物学的標本中の前立腺特異抗原 mRNA の測定。</v>
      </c>
      <c r="K3925" s="1" t="str">
        <f>IFERROR(__xludf.DUMMYFUNCTION("GOOGLETRANSLATE(G3925,""EN"",""JA"")"),"前立腺特異抗原mRNA測定")</f>
        <v>前立腺特異抗原mRNA測定</v>
      </c>
    </row>
    <row r="3926" ht="13.5" customHeight="1">
      <c r="A3926" s="1" t="s">
        <v>11</v>
      </c>
      <c r="B3926" s="1" t="s">
        <v>19662</v>
      </c>
      <c r="C3926" s="1" t="s">
        <v>19663</v>
      </c>
      <c r="D3926" s="1" t="s">
        <v>19664</v>
      </c>
      <c r="E3926" s="1" t="s">
        <v>19664</v>
      </c>
      <c r="F3926" s="1" t="s">
        <v>19665</v>
      </c>
      <c r="G3926" s="1" t="s">
        <v>19666</v>
      </c>
      <c r="H3926" s="1" t="str">
        <f>IFERROR(__xludf.DUMMYFUNCTION("GOOGLETRANSLATE(D3926,""EN"",""JA"")"),"プソイドエフェドリン")</f>
        <v>プソイドエフェドリン</v>
      </c>
      <c r="I3926" s="1" t="str">
        <f>IFERROR(__xludf.DUMMYFUNCTION("GOOGLETRANSLATE(E3926,""EN"",""JA"")"),"プソイドエフェドリン")</f>
        <v>プソイドエフェドリン</v>
      </c>
      <c r="J3926" s="1" t="str">
        <f>IFERROR(__xludf.DUMMYFUNCTION("GOOGLETRANSLATE(F3926,""EN"",""JA"")"),"生物標本中に存在するプソイドエフェドリンの測定。")</f>
        <v>生物標本中に存在するプソイドエフェドリンの測定。</v>
      </c>
      <c r="K3926" s="1" t="str">
        <f>IFERROR(__xludf.DUMMYFUNCTION("GOOGLETRANSLATE(G3926,""EN"",""JA"")"),"プソイドエフェドリン測定")</f>
        <v>プソイドエフェドリン測定</v>
      </c>
    </row>
    <row r="3927" ht="13.5" customHeight="1">
      <c r="A3927" s="1" t="s">
        <v>11</v>
      </c>
      <c r="B3927" s="1" t="s">
        <v>19667</v>
      </c>
      <c r="C3927" s="1" t="s">
        <v>19668</v>
      </c>
      <c r="D3927" s="1" t="s">
        <v>19669</v>
      </c>
      <c r="E3927" s="1" t="s">
        <v>19670</v>
      </c>
      <c r="F3927" s="1" t="s">
        <v>19671</v>
      </c>
      <c r="G3927" s="1" t="s">
        <v>19672</v>
      </c>
      <c r="H3927" s="1" t="str">
        <f>IFERROR(__xludf.DUMMYFUNCTION("GOOGLETRANSLATE(D3927,""EN"",""JA"")"),"ホスファチジルグリセロール/肺サーファクタント")</f>
        <v>ホスファチジルグリセロール/肺サーファクタント</v>
      </c>
      <c r="I3927" s="1" t="str">
        <f>IFERROR(__xludf.DUMMYFUNCTION("GOOGLETRANSLATE(E3927,""EN"",""JA"")"),"ホスファチジルグリセロール/肺サーファクタント; ホスファチジルグリセロール/肺サーファクタント")</f>
        <v>ホスファチジルグリセロール/肺サーファクタント; ホスファチジルグリセロール/肺サーファクタント</v>
      </c>
      <c r="J3927" s="1" t="str">
        <f>IFERROR(__xludf.DUMMYFUNCTION("GOOGLETRANSLATE(F3927,""EN"",""JA"")"),"生物標本中のホスファチジルグリセロールと総肺サーファクタントの相対測定値（比率）。")</f>
        <v>生物標本中のホスファチジルグリセロールと総肺サーファクタントの相対測定値（比率）。</v>
      </c>
      <c r="K3927" s="1" t="str">
        <f>IFERROR(__xludf.DUMMYFUNCTION("GOOGLETRANSLATE(G3927,""EN"",""JA"")"),"ホスファチジルグリセロールと肺サーファクタントの比率測定")</f>
        <v>ホスファチジルグリセロールと肺サーファクタントの比率測定</v>
      </c>
    </row>
    <row r="3928" ht="13.5" customHeight="1">
      <c r="A3928" s="1" t="s">
        <v>11</v>
      </c>
      <c r="B3928" s="1" t="s">
        <v>19673</v>
      </c>
      <c r="C3928" s="1" t="s">
        <v>19674</v>
      </c>
      <c r="D3928" s="1" t="s">
        <v>19675</v>
      </c>
      <c r="E3928" s="1" t="s">
        <v>19676</v>
      </c>
      <c r="F3928" s="1" t="s">
        <v>19677</v>
      </c>
      <c r="G3928" s="1" t="s">
        <v>19678</v>
      </c>
      <c r="H3928" s="1" t="str">
        <f>IFERROR(__xludf.DUMMYFUNCTION("GOOGLETRANSLATE(D3928,""EN"",""JA"")"),"P-セレクチン")</f>
        <v>P-セレクチン</v>
      </c>
      <c r="I3928" s="1" t="str">
        <f>IFERROR(__xludf.DUMMYFUNCTION("GOOGLETRANSLATE(E3928,""EN"",""JA"")"),"GMP-140; P-セレクチン")</f>
        <v>GMP-140; P-セレクチン</v>
      </c>
      <c r="J3928" s="1" t="str">
        <f>IFERROR(__xludf.DUMMYFUNCTION("GOOGLETRANSLATE(F3928,""EN"",""JA"")"),"生物標本中の総 P セレクチンの測定。")</f>
        <v>生物標本中の総 P セレクチンの測定。</v>
      </c>
      <c r="K3928" s="1" t="str">
        <f>IFERROR(__xludf.DUMMYFUNCTION("GOOGLETRANSLATE(G3928,""EN"",""JA"")"),"P-セレクチン測定")</f>
        <v>P-セレクチン測定</v>
      </c>
    </row>
    <row r="3929" ht="13.5" customHeight="1">
      <c r="A3929" s="1" t="s">
        <v>11</v>
      </c>
      <c r="B3929" s="1" t="s">
        <v>19679</v>
      </c>
      <c r="C3929" s="1" t="s">
        <v>19680</v>
      </c>
      <c r="D3929" s="1" t="s">
        <v>19681</v>
      </c>
      <c r="E3929" s="1" t="s">
        <v>19681</v>
      </c>
      <c r="F3929" s="1" t="s">
        <v>19682</v>
      </c>
      <c r="G3929" s="1" t="s">
        <v>19683</v>
      </c>
      <c r="H3929" s="1" t="str">
        <f>IFERROR(__xludf.DUMMYFUNCTION("GOOGLETRANSLATE(D3929,""EN"",""JA"")"),"可溶性P-セレクチン")</f>
        <v>可溶性P-セレクチン</v>
      </c>
      <c r="I3929" s="1" t="str">
        <f>IFERROR(__xludf.DUMMYFUNCTION("GOOGLETRANSLATE(E3929,""EN"",""JA"")"),"可溶性P-セレクチン")</f>
        <v>可溶性P-セレクチン</v>
      </c>
      <c r="J3929" s="1" t="str">
        <f>IFERROR(__xludf.DUMMYFUNCTION("GOOGLETRANSLATE(F3929,""EN"",""JA"")"),"生物標本中の可溶性 P-セレクチンの測定。")</f>
        <v>生物標本中の可溶性 P-セレクチンの測定。</v>
      </c>
      <c r="K3929" s="1" t="str">
        <f>IFERROR(__xludf.DUMMYFUNCTION("GOOGLETRANSLATE(G3929,""EN"",""JA"")"),"可溶性P-セレクチン測定")</f>
        <v>可溶性P-セレクチン測定</v>
      </c>
    </row>
    <row r="3930" ht="13.5" customHeight="1">
      <c r="A3930" s="1" t="s">
        <v>67</v>
      </c>
      <c r="B3930" s="1" t="s">
        <v>19684</v>
      </c>
      <c r="C3930" s="1" t="s">
        <v>19685</v>
      </c>
      <c r="D3930" s="1" t="s">
        <v>19686</v>
      </c>
      <c r="E3930" s="1" t="s">
        <v>19686</v>
      </c>
      <c r="F3930" s="1" t="s">
        <v>19687</v>
      </c>
      <c r="G3930" s="1" t="s">
        <v>19688</v>
      </c>
      <c r="H3930" s="1" t="str">
        <f>IFERROR(__xludf.DUMMYFUNCTION("GOOGLETRANSLATE(D3930,""EN"",""JA"")"),"シュードモナス")</f>
        <v>シュードモナス</v>
      </c>
      <c r="I3930" s="1" t="str">
        <f>IFERROR(__xludf.DUMMYFUNCTION("GOOGLETRANSLATE(E3930,""EN"",""JA"")"),"シュードモナス")</f>
        <v>シュードモナス</v>
      </c>
      <c r="J3930" s="1" t="str">
        <f>IFERROR(__xludf.DUMMYFUNCTION("GOOGLETRANSLATE(F3930,""EN"",""JA"")"),"生物標本において、種レベルには割り当てられていないが、Pseudomonas 属レベルに割り当てられている生物の測定値。")</f>
        <v>生物標本において、種レベルには割り当てられていないが、Pseudomonas 属レベルに割り当てられている生物の測定値。</v>
      </c>
      <c r="K3930" s="1" t="str">
        <f>IFERROR(__xludf.DUMMYFUNCTION("GOOGLETRANSLATE(G3930,""EN"",""JA"")"),"シュードモナス測定")</f>
        <v>シュードモナス測定</v>
      </c>
    </row>
    <row r="3931" ht="13.5" customHeight="1">
      <c r="A3931" s="1" t="s">
        <v>67</v>
      </c>
      <c r="B3931" s="1" t="s">
        <v>19689</v>
      </c>
      <c r="C3931" s="1" t="s">
        <v>19690</v>
      </c>
      <c r="D3931" s="1" t="s">
        <v>19691</v>
      </c>
      <c r="E3931" s="1" t="s">
        <v>19691</v>
      </c>
      <c r="F3931" s="1" t="s">
        <v>19692</v>
      </c>
      <c r="G3931" s="1" t="s">
        <v>19693</v>
      </c>
      <c r="H3931" s="1" t="str">
        <f>IFERROR(__xludf.DUMMYFUNCTION("GOOGLETRANSLATE(D3931,""EN"",""JA"")"),"プレシオモナス・シゲロイデスDNA")</f>
        <v>プレシオモナス・シゲロイデスDNA</v>
      </c>
      <c r="I3931" s="1" t="str">
        <f>IFERROR(__xludf.DUMMYFUNCTION("GOOGLETRANSLATE(E3931,""EN"",""JA"")"),"プレシオモナス・シゲロイデスDNA")</f>
        <v>プレシオモナス・シゲロイデスDNA</v>
      </c>
      <c r="J3931" s="1" t="str">
        <f>IFERROR(__xludf.DUMMYFUNCTION("GOOGLETRANSLATE(F3931,""EN"",""JA"")"),"生物標本中の Plesiomonas shigelloides DNA の測定。")</f>
        <v>生物標本中の Plesiomonas shigelloides DNA の測定。</v>
      </c>
      <c r="K3931" s="1" t="str">
        <f>IFERROR(__xludf.DUMMYFUNCTION("GOOGLETRANSLATE(G3931,""EN"",""JA"")"),"プレシオモナス・シゲロイデスのDNA測定")</f>
        <v>プレシオモナス・シゲロイデスのDNA測定</v>
      </c>
    </row>
    <row r="3932" ht="13.5" customHeight="1">
      <c r="A3932" s="1" t="s">
        <v>11</v>
      </c>
      <c r="B3932" s="1" t="s">
        <v>19694</v>
      </c>
      <c r="C3932" s="1" t="s">
        <v>19695</v>
      </c>
      <c r="D3932" s="1" t="s">
        <v>19696</v>
      </c>
      <c r="E3932" s="1" t="s">
        <v>19697</v>
      </c>
      <c r="F3932" s="1" t="s">
        <v>19698</v>
      </c>
      <c r="G3932" s="1" t="s">
        <v>19699</v>
      </c>
      <c r="H3932" s="1" t="str">
        <f>IFERROR(__xludf.DUMMYFUNCTION("GOOGLETRANSLATE(D3932,""EN"",""JA"")"),"シロシビン")</f>
        <v>シロシビン</v>
      </c>
      <c r="I3932" s="1" t="str">
        <f>IFERROR(__xludf.DUMMYFUNCTION("GOOGLETRANSLATE(E3932,""EN"",""JA"")"),"マジックマッシュルーム; シロシビン; シロシビン")</f>
        <v>マジックマッシュルーム; シロシビン; シロシビン</v>
      </c>
      <c r="J3932" s="1" t="str">
        <f>IFERROR(__xludf.DUMMYFUNCTION("GOOGLETRANSLATE(F3932,""EN"",""JA"")"),"生物標本中のシロシビンの測定。")</f>
        <v>生物標本中のシロシビンの測定。</v>
      </c>
      <c r="K3932" s="1" t="str">
        <f>IFERROR(__xludf.DUMMYFUNCTION("GOOGLETRANSLATE(G3932,""EN"",""JA"")"),"シロシビン測定")</f>
        <v>シロシビン測定</v>
      </c>
    </row>
    <row r="3933" ht="13.5" customHeight="1">
      <c r="A3933" s="1" t="s">
        <v>67</v>
      </c>
      <c r="B3933" s="1" t="s">
        <v>19700</v>
      </c>
      <c r="C3933" s="1" t="s">
        <v>19701</v>
      </c>
      <c r="D3933" s="1" t="s">
        <v>19702</v>
      </c>
      <c r="E3933" s="1" t="s">
        <v>19702</v>
      </c>
      <c r="F3933" s="1" t="s">
        <v>19703</v>
      </c>
      <c r="G3933" s="1" t="s">
        <v>19704</v>
      </c>
      <c r="H3933" s="1" t="str">
        <f>IFERROR(__xludf.DUMMYFUNCTION("GOOGLETRANSLATE(D3933,""EN"",""JA"")"),"プロビデンシア・スチュアルティ")</f>
        <v>プロビデンシア・スチュアルティ</v>
      </c>
      <c r="I3933" s="1" t="str">
        <f>IFERROR(__xludf.DUMMYFUNCTION("GOOGLETRANSLATE(E3933,""EN"",""JA"")"),"プロビデンシア・スチュアルティ")</f>
        <v>プロビデンシア・スチュアルティ</v>
      </c>
      <c r="J3933" s="1" t="str">
        <f>IFERROR(__xludf.DUMMYFUNCTION("GOOGLETRANSLATE(F3933,""EN"",""JA"")"),"生物標本における Providencia staurtii の測定。")</f>
        <v>生物標本における Providencia staurtii の測定。</v>
      </c>
      <c r="K3933" s="1" t="str">
        <f>IFERROR(__xludf.DUMMYFUNCTION("GOOGLETRANSLATE(G3933,""EN"",""JA"")"),"プロビデンシア・スチュアティ測定")</f>
        <v>プロビデンシア・スチュアティ測定</v>
      </c>
    </row>
    <row r="3934" ht="13.5" customHeight="1">
      <c r="A3934" s="1" t="s">
        <v>160</v>
      </c>
      <c r="B3934" s="1" t="s">
        <v>19705</v>
      </c>
      <c r="C3934" s="1" t="s">
        <v>19706</v>
      </c>
      <c r="D3934" s="1" t="s">
        <v>19707</v>
      </c>
      <c r="E3934" s="1" t="s">
        <v>19707</v>
      </c>
      <c r="F3934" s="1" t="s">
        <v>19708</v>
      </c>
      <c r="G3934" s="1" t="s">
        <v>19707</v>
      </c>
      <c r="H3934" s="1" t="str">
        <f>IFERROR(__xludf.DUMMYFUNCTION("GOOGLETRANSLATE(D3934,""EN"",""JA"")"),"妊娠疑いの指標")</f>
        <v>妊娠疑いの指標</v>
      </c>
      <c r="I3934" s="1" t="str">
        <f>IFERROR(__xludf.DUMMYFUNCTION("GOOGLETRANSLATE(E3934,""EN"",""JA"")"),"妊娠疑いの指標")</f>
        <v>妊娠疑いの指標</v>
      </c>
      <c r="J3934" s="1" t="str">
        <f>IFERROR(__xludf.DUMMYFUNCTION("GOOGLETRANSLATE(F3934,""EN"",""JA"")"),"質問者が質問された時点で、対象者また​​は関係者が妊娠しているのではないかと疑っているかどうかを示します。")</f>
        <v>質問者が質問された時点で、対象者また​​は関係者が妊娠しているのではないかと疑っているかどうかを示します。</v>
      </c>
      <c r="K3934" s="1" t="str">
        <f>IFERROR(__xludf.DUMMYFUNCTION("GOOGLETRANSLATE(G3934,""EN"",""JA"")"),"妊娠疑いの指標")</f>
        <v>妊娠疑いの指標</v>
      </c>
    </row>
    <row r="3935" ht="13.5" customHeight="1">
      <c r="A3935" s="1" t="s">
        <v>11</v>
      </c>
      <c r="B3935" s="1" t="s">
        <v>19709</v>
      </c>
      <c r="C3935" s="1" t="s">
        <v>19710</v>
      </c>
      <c r="D3935" s="1" t="s">
        <v>19711</v>
      </c>
      <c r="E3935" s="1" t="s">
        <v>19711</v>
      </c>
      <c r="F3935" s="1" t="s">
        <v>19712</v>
      </c>
      <c r="G3935" s="1" t="s">
        <v>19711</v>
      </c>
      <c r="H3935" s="1" t="str">
        <f>IFERROR(__xludf.DUMMYFUNCTION("GOOGLETRANSLATE(D3935,""EN"",""JA"")"),"プロトロンビン時間")</f>
        <v>プロトロンビン時間</v>
      </c>
      <c r="I3935" s="1" t="str">
        <f>IFERROR(__xludf.DUMMYFUNCTION("GOOGLETRANSLATE(E3935,""EN"",""JA"")"),"プロトロンビン時間")</f>
        <v>プロトロンビン時間</v>
      </c>
      <c r="J3935" s="1" t="str">
        <f>IFERROR(__xludf.DUMMYFUNCTION("GOOGLETRANSLATE(F3935,""EN"",""JA"")"),"血液凝固の外因的経路を評価する血液凝固測定。")</f>
        <v>血液凝固の外因的経路を評価する血液凝固測定。</v>
      </c>
      <c r="K3935" s="1" t="str">
        <f>IFERROR(__xludf.DUMMYFUNCTION("GOOGLETRANSLATE(G3935,""EN"",""JA"")"),"プロトロンビン時間")</f>
        <v>プロトロンビン時間</v>
      </c>
    </row>
    <row r="3936" ht="13.5" customHeight="1">
      <c r="A3936" s="1" t="s">
        <v>11</v>
      </c>
      <c r="B3936" s="1" t="s">
        <v>19713</v>
      </c>
      <c r="C3936" s="1" t="s">
        <v>19714</v>
      </c>
      <c r="D3936" s="1" t="s">
        <v>19715</v>
      </c>
      <c r="E3936" s="1" t="s">
        <v>19716</v>
      </c>
      <c r="F3936" s="1" t="s">
        <v>19717</v>
      </c>
      <c r="G3936" s="1" t="s">
        <v>19718</v>
      </c>
      <c r="H3936" s="1" t="str">
        <f>IFERROR(__xludf.DUMMYFUNCTION("GOOGLETRANSLATE(D3936,""EN"",""JA"")"),"プロトロンビン活性")</f>
        <v>プロトロンビン活性</v>
      </c>
      <c r="I3936" s="1" t="str">
        <f>IFERROR(__xludf.DUMMYFUNCTION("GOOGLETRANSLATE(E3936,""EN"",""JA"")"),"第II因子活性; プロトロンビン活性")</f>
        <v>第II因子活性; プロトロンビン活性</v>
      </c>
      <c r="J3936" s="1" t="str">
        <f>IFERROR(__xludf.DUMMYFUNCTION("GOOGLETRANSLATE(F3936,""EN"",""JA"")"),"生物標本中の凝固因子プロトロンビンの生物活性の測定。")</f>
        <v>生物標本中の凝固因子プロトロンビンの生物活性の測定。</v>
      </c>
      <c r="K3936" s="1" t="str">
        <f>IFERROR(__xludf.DUMMYFUNCTION("GOOGLETRANSLATE(G3936,""EN"",""JA"")"),"プロトロンビン活性測定")</f>
        <v>プロトロンビン活性測定</v>
      </c>
    </row>
    <row r="3937" ht="13.5" customHeight="1">
      <c r="A3937" s="1" t="s">
        <v>11</v>
      </c>
      <c r="B3937" s="1" t="s">
        <v>19719</v>
      </c>
      <c r="C3937" s="1" t="s">
        <v>19720</v>
      </c>
      <c r="D3937" s="1" t="s">
        <v>19721</v>
      </c>
      <c r="E3937" s="1" t="s">
        <v>19721</v>
      </c>
      <c r="F3937" s="1" t="s">
        <v>19722</v>
      </c>
      <c r="G3937" s="1" t="s">
        <v>19723</v>
      </c>
      <c r="H3937" s="1" t="str">
        <f>IFERROR(__xludf.DUMMYFUNCTION("GOOGLETRANSLATE(D3937,""EN"",""JA"")"),"プロトロンビン時間実測値/対照値")</f>
        <v>プロトロンビン時間実測値/対照値</v>
      </c>
      <c r="I3937" s="1" t="str">
        <f>IFERROR(__xludf.DUMMYFUNCTION("GOOGLETRANSLATE(E3937,""EN"",""JA"")"),"プロトロンビン時間実測値/対照値")</f>
        <v>プロトロンビン時間実測値/対照値</v>
      </c>
      <c r="J3937" s="1" t="str">
        <f>IFERROR(__xludf.DUMMYFUNCTION("GOOGLETRANSLATE(F3937,""EN"",""JA"")"),"被験者の検体中のプロトロンビン時間を対照検体と比較した相対的な測定値 (比率またはパーセンテージ)。")</f>
        <v>被験者の検体中のプロトロンビン時間を対照検体と比較した相対的な測定値 (比率またはパーセンテージ)。</v>
      </c>
      <c r="K3937" s="1" t="str">
        <f>IFERROR(__xludf.DUMMYFUNCTION("GOOGLETRANSLATE(G3937,""EN"",""JA"")"),"プロトロンビン時間実測値と対照値の比の測定")</f>
        <v>プロトロンビン時間実測値と対照値の比の測定</v>
      </c>
    </row>
    <row r="3938" ht="13.5" customHeight="1">
      <c r="A3938" s="1" t="s">
        <v>11</v>
      </c>
      <c r="B3938" s="1" t="s">
        <v>19724</v>
      </c>
      <c r="C3938" s="1" t="s">
        <v>19725</v>
      </c>
      <c r="D3938" s="1" t="s">
        <v>19726</v>
      </c>
      <c r="E3938" s="1" t="s">
        <v>19727</v>
      </c>
      <c r="F3938" s="1" t="s">
        <v>19728</v>
      </c>
      <c r="G3938" s="1" t="s">
        <v>19729</v>
      </c>
      <c r="H3938" s="1" t="str">
        <f>IFERROR(__xludf.DUMMYFUNCTION("GOOGLETRANSLATE(D3938,""EN"",""JA"")"),"リン酸化タウタンパク質/アミロイドβ1-42")</f>
        <v>リン酸化タウタンパク質/アミロイドβ1-42</v>
      </c>
      <c r="I3938" s="1" t="str">
        <f>IFERROR(__xludf.DUMMYFUNCTION("GOOGLETRANSLATE(E3938,""EN"",""JA"")"),"リン酸化タウタンパク質/アミロイドβ1-42; リン酸化タウタンパク質/アミロイドβ1-42")</f>
        <v>リン酸化タウタンパク質/アミロイドβ1-42; リン酸化タウタンパク質/アミロイドβ1-42</v>
      </c>
      <c r="J3938" s="1" t="str">
        <f>IFERROR(__xludf.DUMMYFUNCTION("GOOGLETRANSLATE(F3938,""EN"",""JA"")"),"生物標本中のリン酸化タウタンパク質とアミロイドβ1-42の相対測定値（比率）。")</f>
        <v>生物標本中のリン酸化タウタンパク質とアミロイドβ1-42の相対測定値（比率）。</v>
      </c>
      <c r="K3938" s="1" t="str">
        <f>IFERROR(__xludf.DUMMYFUNCTION("GOOGLETRANSLATE(G3938,""EN"",""JA"")"),"リン酸化タウタンパク質とアミロイドβ1-42の比率測定")</f>
        <v>リン酸化タウタンパク質とアミロイドβ1-42の比率測定</v>
      </c>
    </row>
    <row r="3939" ht="13.5" customHeight="1">
      <c r="A3939" s="1" t="s">
        <v>134</v>
      </c>
      <c r="B3939" s="1" t="s">
        <v>19730</v>
      </c>
      <c r="C3939" s="1" t="s">
        <v>19731</v>
      </c>
      <c r="D3939" s="1" t="s">
        <v>19732</v>
      </c>
      <c r="E3939" s="1" t="s">
        <v>19732</v>
      </c>
      <c r="F3939" s="1" t="s">
        <v>19733</v>
      </c>
      <c r="G3939" s="1" t="s">
        <v>19734</v>
      </c>
      <c r="H3939" s="1" t="str">
        <f>IFERROR(__xludf.DUMMYFUNCTION("GOOGLETRANSLATE(D3939,""EN"",""JA"")"),"尿細管周囲毛細血管炎")</f>
        <v>尿細管周囲毛細血管炎</v>
      </c>
      <c r="I3939" s="1" t="str">
        <f>IFERROR(__xludf.DUMMYFUNCTION("GOOGLETRANSLATE(E3939,""EN"",""JA"")"),"尿細管周囲毛細血管炎")</f>
        <v>尿細管周囲毛細血管炎</v>
      </c>
      <c r="J3939" s="1" t="str">
        <f>IFERROR(__xludf.DUMMYFUNCTION("GOOGLETRANSLATE(F3939,""EN"",""JA"")"),"生物標本における尿細管周囲毛細血管炎の評価。")</f>
        <v>生物標本における尿細管周囲毛細血管炎の評価。</v>
      </c>
      <c r="K3939" s="1" t="str">
        <f>IFERROR(__xludf.DUMMYFUNCTION("GOOGLETRANSLATE(G3939,""EN"",""JA"")"),"尿細管周囲毛細血管炎の評価")</f>
        <v>尿細管周囲毛細血管炎の評価</v>
      </c>
    </row>
    <row r="3940" ht="13.5" customHeight="1">
      <c r="A3940" s="1" t="s">
        <v>134</v>
      </c>
      <c r="B3940" s="1" t="s">
        <v>19735</v>
      </c>
      <c r="C3940" s="1" t="s">
        <v>19736</v>
      </c>
      <c r="D3940" s="1" t="s">
        <v>19737</v>
      </c>
      <c r="E3940" s="1" t="s">
        <v>19737</v>
      </c>
      <c r="F3940" s="1" t="s">
        <v>19738</v>
      </c>
      <c r="G3940" s="1" t="s">
        <v>19739</v>
      </c>
      <c r="H3940" s="1" t="str">
        <f>IFERROR(__xludf.DUMMYFUNCTION("GOOGLETRANSLATE(D3940,""EN"",""JA"")"),"ホスファターゼとテンシンホモログ")</f>
        <v>ホスファターゼとテンシンホモログ</v>
      </c>
      <c r="I3940" s="1" t="str">
        <f>IFERROR(__xludf.DUMMYFUNCTION("GOOGLETRANSLATE(E3940,""EN"",""JA"")"),"ホスファターゼとテンシンホモログ")</f>
        <v>ホスファターゼとテンシンホモログ</v>
      </c>
      <c r="J3940" s="1" t="str">
        <f>IFERROR(__xludf.DUMMYFUNCTION("GOOGLETRANSLATE(F3940,""EN"",""JA"")"),"生物標本中のホスファターゼおよびテンシン相同体の測定。")</f>
        <v>生物標本中のホスファターゼおよびテンシン相同体の測定。</v>
      </c>
      <c r="K3940" s="1" t="str">
        <f>IFERROR(__xludf.DUMMYFUNCTION("GOOGLETRANSLATE(G3940,""EN"",""JA"")"),"ホスファターゼおよびテンシンホモログ測定")</f>
        <v>ホスファターゼおよびテンシンホモログ測定</v>
      </c>
    </row>
    <row r="3941" ht="13.5" customHeight="1">
      <c r="A3941" s="1" t="s">
        <v>11</v>
      </c>
      <c r="B3941" s="1" t="s">
        <v>19740</v>
      </c>
      <c r="C3941" s="1" t="s">
        <v>19741</v>
      </c>
      <c r="D3941" s="1" t="s">
        <v>19742</v>
      </c>
      <c r="E3941" s="1" t="s">
        <v>19742</v>
      </c>
      <c r="F3941" s="1" t="s">
        <v>19743</v>
      </c>
      <c r="G3941" s="1" t="s">
        <v>19744</v>
      </c>
      <c r="H3941" s="1" t="str">
        <f>IFERROR(__xludf.DUMMYFUNCTION("GOOGLETRANSLATE(D3941,""EN"",""JA"")"),"プロトロンビンフラグメント1")</f>
        <v>プロトロンビンフラグメント1</v>
      </c>
      <c r="I3941" s="1" t="str">
        <f>IFERROR(__xludf.DUMMYFUNCTION("GOOGLETRANSLATE(E3941,""EN"",""JA"")"),"プロトロンビンフラグメント1")</f>
        <v>プロトロンビンフラグメント1</v>
      </c>
      <c r="J3941" s="1" t="str">
        <f>IFERROR(__xludf.DUMMYFUNCTION("GOOGLETRANSLATE(F3941,""EN"",""JA"")"),"生物標本中のプロトロンビンフラグメント 1 の測定。")</f>
        <v>生物標本中のプロトロンビンフラグメント 1 の測定。</v>
      </c>
      <c r="K3941" s="1" t="str">
        <f>IFERROR(__xludf.DUMMYFUNCTION("GOOGLETRANSLATE(G3941,""EN"",""JA"")"),"プロトロンビンフラグメント1測定")</f>
        <v>プロトロンビンフラグメント1測定</v>
      </c>
    </row>
    <row r="3942" ht="13.5" customHeight="1">
      <c r="A3942" s="1" t="s">
        <v>11</v>
      </c>
      <c r="B3942" s="1" t="s">
        <v>19745</v>
      </c>
      <c r="C3942" s="1" t="s">
        <v>19746</v>
      </c>
      <c r="D3942" s="1" t="s">
        <v>19747</v>
      </c>
      <c r="E3942" s="1" t="s">
        <v>19747</v>
      </c>
      <c r="F3942" s="1" t="s">
        <v>19748</v>
      </c>
      <c r="G3942" s="1" t="s">
        <v>19749</v>
      </c>
      <c r="H3942" s="1" t="str">
        <f>IFERROR(__xludf.DUMMYFUNCTION("GOOGLETRANSLATE(D3942,""EN"",""JA"")"),"プロトロンビンフラグメント1 + 2")</f>
        <v>プロトロンビンフラグメント1 + 2</v>
      </c>
      <c r="I3942" s="1" t="str">
        <f>IFERROR(__xludf.DUMMYFUNCTION("GOOGLETRANSLATE(E3942,""EN"",""JA"")"),"プロトロンビンフラグメント1 + 2")</f>
        <v>プロトロンビンフラグメント1 + 2</v>
      </c>
      <c r="J3942" s="1" t="str">
        <f>IFERROR(__xludf.DUMMYFUNCTION("GOOGLETRANSLATE(F3942,""EN"",""JA"")"),"生物学的標本中のプロトロンビン断片 1 および 2 の測定。")</f>
        <v>生物学的標本中のプロトロンビン断片 1 および 2 の測定。</v>
      </c>
      <c r="K3942" s="1" t="str">
        <f>IFERROR(__xludf.DUMMYFUNCTION("GOOGLETRANSLATE(G3942,""EN"",""JA"")"),"プロトロンビンフラグメント1および2の測定")</f>
        <v>プロトロンビンフラグメント1および2の測定</v>
      </c>
    </row>
    <row r="3943" ht="13.5" customHeight="1">
      <c r="A3943" s="1" t="s">
        <v>11</v>
      </c>
      <c r="B3943" s="1" t="s">
        <v>19750</v>
      </c>
      <c r="C3943" s="1" t="s">
        <v>19751</v>
      </c>
      <c r="D3943" s="1" t="s">
        <v>19752</v>
      </c>
      <c r="E3943" s="1" t="s">
        <v>19752</v>
      </c>
      <c r="F3943" s="1" t="s">
        <v>19753</v>
      </c>
      <c r="G3943" s="1" t="s">
        <v>19754</v>
      </c>
      <c r="H3943" s="1" t="str">
        <f>IFERROR(__xludf.DUMMYFUNCTION("GOOGLETRANSLATE(D3943,""EN"",""JA"")"),"プロトロンビンフラグメント2")</f>
        <v>プロトロンビンフラグメント2</v>
      </c>
      <c r="I3943" s="1" t="str">
        <f>IFERROR(__xludf.DUMMYFUNCTION("GOOGLETRANSLATE(E3943,""EN"",""JA"")"),"プロトロンビンフラグメント2")</f>
        <v>プロトロンビンフラグメント2</v>
      </c>
      <c r="J3943" s="1" t="str">
        <f>IFERROR(__xludf.DUMMYFUNCTION("GOOGLETRANSLATE(F3943,""EN"",""JA"")"),"生物標本中のプロトロンビンフラグメント 2 の測定。")</f>
        <v>生物標本中のプロトロンビンフラグメント 2 の測定。</v>
      </c>
      <c r="K3943" s="1" t="str">
        <f>IFERROR(__xludf.DUMMYFUNCTION("GOOGLETRANSLATE(G3943,""EN"",""JA"")"),"プロトロンビンフラグメント2測定")</f>
        <v>プロトロンビンフラグメント2測定</v>
      </c>
    </row>
    <row r="3944" ht="13.5" customHeight="1">
      <c r="A3944" s="1" t="s">
        <v>11</v>
      </c>
      <c r="B3944" s="1" t="s">
        <v>19755</v>
      </c>
      <c r="C3944" s="1" t="s">
        <v>19756</v>
      </c>
      <c r="D3944" s="1" t="s">
        <v>19757</v>
      </c>
      <c r="E3944" s="1" t="s">
        <v>19758</v>
      </c>
      <c r="F3944" s="1" t="s">
        <v>19759</v>
      </c>
      <c r="G3944" s="1" t="s">
        <v>19760</v>
      </c>
      <c r="H3944" s="1" t="str">
        <f>IFERROR(__xludf.DUMMYFUNCTION("GOOGLETRANSLATE(D3944,""EN"",""JA"")"),"副甲状腺ホルモン、C末端")</f>
        <v>副甲状腺ホルモン、C末端</v>
      </c>
      <c r="I3944" s="1" t="str">
        <f>IFERROR(__xludf.DUMMYFUNCTION("GOOGLETRANSLATE(E3944,""EN"",""JA"")"),"パラチリンホルモン、C末端; 副甲状腺ホルモン、C末端")</f>
        <v>パラチリンホルモン、C末端; 副甲状腺ホルモン、C末端</v>
      </c>
      <c r="J3944" s="1" t="str">
        <f>IFERROR(__xludf.DUMMYFUNCTION("GOOGLETRANSLATE(F3944,""EN"",""JA"")"),"生物標本中の副甲状腺ホルモンの C 末端フラグメントの測定。")</f>
        <v>生物標本中の副甲状腺ホルモンの C 末端フラグメントの測定。</v>
      </c>
      <c r="K3944" s="1" t="str">
        <f>IFERROR(__xludf.DUMMYFUNCTION("GOOGLETRANSLATE(G3944,""EN"",""JA"")"),"C末端副甲状腺ホルモン測定")</f>
        <v>C末端副甲状腺ホルモン測定</v>
      </c>
    </row>
    <row r="3945" ht="13.5" customHeight="1">
      <c r="A3945" s="1" t="s">
        <v>11</v>
      </c>
      <c r="B3945" s="1" t="s">
        <v>19761</v>
      </c>
      <c r="C3945" s="1" t="s">
        <v>19762</v>
      </c>
      <c r="D3945" s="1" t="s">
        <v>19763</v>
      </c>
      <c r="E3945" s="1" t="s">
        <v>19764</v>
      </c>
      <c r="F3945" s="1" t="s">
        <v>19765</v>
      </c>
      <c r="G3945" s="1" t="s">
        <v>19766</v>
      </c>
      <c r="H3945" s="1" t="str">
        <f>IFERROR(__xludf.DUMMYFUNCTION("GOOGLETRANSLATE(D3945,""EN"",""JA"")"),"副甲状腺ホルモン、断片化")</f>
        <v>副甲状腺ホルモン、断片化</v>
      </c>
      <c r="I3945" s="1" t="str">
        <f>IFERROR(__xludf.DUMMYFUNCTION("GOOGLETRANSLATE(E3945,""EN"",""JA"")"),"副甲状腺ホルモン、断片化")</f>
        <v>副甲状腺ホルモン、断片化</v>
      </c>
      <c r="J3945" s="1" t="str">
        <f>IFERROR(__xludf.DUMMYFUNCTION("GOOGLETRANSLATE(F3945,""EN"",""JA"")"),"生物標本中の断片化された副甲状腺ホルモンの測定。")</f>
        <v>生物標本中の断片化された副甲状腺ホルモンの測定。</v>
      </c>
      <c r="K3945" s="1" t="str">
        <f>IFERROR(__xludf.DUMMYFUNCTION("GOOGLETRANSLATE(G3945,""EN"",""JA"")"),"断片化された副甲状腺ホルモン測定")</f>
        <v>断片化された副甲状腺ホルモン測定</v>
      </c>
    </row>
    <row r="3946" ht="13.5" customHeight="1">
      <c r="A3946" s="1" t="s">
        <v>11</v>
      </c>
      <c r="B3946" s="1" t="s">
        <v>19767</v>
      </c>
      <c r="C3946" s="1" t="s">
        <v>19768</v>
      </c>
      <c r="D3946" s="1" t="s">
        <v>19769</v>
      </c>
      <c r="E3946" s="1" t="s">
        <v>19770</v>
      </c>
      <c r="F3946" s="1" t="s">
        <v>19771</v>
      </c>
      <c r="G3946" s="1" t="s">
        <v>19772</v>
      </c>
      <c r="H3946" s="1" t="str">
        <f>IFERROR(__xludf.DUMMYFUNCTION("GOOGLETRANSLATE(D3946,""EN"",""JA"")"),"副甲状腺ホルモン（完全）")</f>
        <v>副甲状腺ホルモン（完全）</v>
      </c>
      <c r="I3946" s="1" t="str">
        <f>IFERROR(__xludf.DUMMYFUNCTION("GOOGLETRANSLATE(E3946,""EN"",""JA"")"),"パラチリン、完全体；副甲状腺ホルモン、完全体")</f>
        <v>パラチリン、完全体；副甲状腺ホルモン、完全体</v>
      </c>
      <c r="J3946" s="1" t="str">
        <f>IFERROR(__xludf.DUMMYFUNCTION("GOOGLETRANSLATE(F3946,""EN"",""JA"")"),"生物学的標本中の完全な副甲状腺ホルモン（アミノ酸 1 ～ 84 または 7 ～ 84 で構成）の測定。")</f>
        <v>生物学的標本中の完全な副甲状腺ホルモン（アミノ酸 1 ～ 84 または 7 ～ 84 で構成）の測定。</v>
      </c>
      <c r="K3946" s="1" t="str">
        <f>IFERROR(__xludf.DUMMYFUNCTION("GOOGLETRANSLATE(G3946,""EN"",""JA"")"),"完全副甲状腺ホルモン測定")</f>
        <v>完全副甲状腺ホルモン測定</v>
      </c>
    </row>
    <row r="3947" ht="13.5" customHeight="1">
      <c r="A3947" s="1" t="s">
        <v>11</v>
      </c>
      <c r="B3947" s="1" t="s">
        <v>19773</v>
      </c>
      <c r="C3947" s="1" t="s">
        <v>19774</v>
      </c>
      <c r="D3947" s="1" t="s">
        <v>19775</v>
      </c>
      <c r="E3947" s="1" t="s">
        <v>19776</v>
      </c>
      <c r="F3947" s="1" t="s">
        <v>19777</v>
      </c>
      <c r="G3947" s="1" t="s">
        <v>19778</v>
      </c>
      <c r="H3947" s="1" t="str">
        <f>IFERROR(__xludf.DUMMYFUNCTION("GOOGLETRANSLATE(D3947,""EN"",""JA"")"),"副甲状腺ホルモン、中分子")</f>
        <v>副甲状腺ホルモン、中分子</v>
      </c>
      <c r="I3947" s="1" t="str">
        <f>IFERROR(__xludf.DUMMYFUNCTION("GOOGLETRANSLATE(E3947,""EN"",""JA"")"),"パラチリンホルモン、中分子; 副甲状腺ホルモン、中分子")</f>
        <v>パラチリンホルモン、中分子; 副甲状腺ホルモン、中分子</v>
      </c>
      <c r="J3947" s="1" t="str">
        <f>IFERROR(__xludf.DUMMYFUNCTION("GOOGLETRANSLATE(F3947,""EN"",""JA"")"),"生物標本中の副甲状腺ホルモンの中分子フラグメントの測定。")</f>
        <v>生物標本中の副甲状腺ホルモンの中分子フラグメントの測定。</v>
      </c>
      <c r="K3947" s="1" t="str">
        <f>IFERROR(__xludf.DUMMYFUNCTION("GOOGLETRANSLATE(G3947,""EN"",""JA"")"),"中分子副甲状腺ホルモン測定")</f>
        <v>中分子副甲状腺ホルモン測定</v>
      </c>
    </row>
    <row r="3948" ht="13.5" customHeight="1">
      <c r="A3948" s="1" t="s">
        <v>11</v>
      </c>
      <c r="B3948" s="1" t="s">
        <v>19779</v>
      </c>
      <c r="C3948" s="1" t="s">
        <v>19780</v>
      </c>
      <c r="D3948" s="1" t="s">
        <v>19781</v>
      </c>
      <c r="E3948" s="1" t="s">
        <v>19782</v>
      </c>
      <c r="F3948" s="1" t="s">
        <v>19783</v>
      </c>
      <c r="G3948" s="1" t="s">
        <v>19784</v>
      </c>
      <c r="H3948" s="1" t="str">
        <f>IFERROR(__xludf.DUMMYFUNCTION("GOOGLETRANSLATE(D3948,""EN"",""JA"")"),"副甲状腺ホルモン、N末端")</f>
        <v>副甲状腺ホルモン、N末端</v>
      </c>
      <c r="I3948" s="1" t="str">
        <f>IFERROR(__xludf.DUMMYFUNCTION("GOOGLETRANSLATE(E3948,""EN"",""JA"")"),"パラチリンホルモン、N末端; 副甲状腺ホルモン、N末端")</f>
        <v>パラチリンホルモン、N末端; 副甲状腺ホルモン、N末端</v>
      </c>
      <c r="J3948" s="1" t="str">
        <f>IFERROR(__xludf.DUMMYFUNCTION("GOOGLETRANSLATE(F3948,""EN"",""JA"")"),"生物標本中の副甲状腺ホルモンの N 末端フラグメントの測定。")</f>
        <v>生物標本中の副甲状腺ホルモンの N 末端フラグメントの測定。</v>
      </c>
      <c r="K3948" s="1" t="str">
        <f>IFERROR(__xludf.DUMMYFUNCTION("GOOGLETRANSLATE(G3948,""EN"",""JA"")"),"N末端副甲状腺ホルモン測定")</f>
        <v>N末端副甲状腺ホルモン測定</v>
      </c>
    </row>
    <row r="3949" ht="13.5" customHeight="1">
      <c r="A3949" s="1" t="s">
        <v>11</v>
      </c>
      <c r="B3949" s="1" t="s">
        <v>19785</v>
      </c>
      <c r="C3949" s="1" t="s">
        <v>19786</v>
      </c>
      <c r="D3949" s="1" t="s">
        <v>19787</v>
      </c>
      <c r="E3949" s="1" t="s">
        <v>19788</v>
      </c>
      <c r="F3949" s="1" t="s">
        <v>19789</v>
      </c>
      <c r="G3949" s="1" t="s">
        <v>19790</v>
      </c>
      <c r="H3949" s="1" t="str">
        <f>IFERROR(__xludf.DUMMYFUNCTION("GOOGLETRANSLATE(D3949,""EN"",""JA"")"),"副甲状腺ホルモン関連タンパク質")</f>
        <v>副甲状腺ホルモン関連タンパク質</v>
      </c>
      <c r="I3949" s="1" t="str">
        <f>IFERROR(__xludf.DUMMYFUNCTION("GOOGLETRANSLATE(E3949,""EN"",""JA"")"),"パラチリンホルモン関連タンパク質; 副甲状腺ホルモン関連ペプチド; 副甲状腺ホルモン関連タンパク質")</f>
        <v>パラチリンホルモン関連タンパク質; 副甲状腺ホルモン関連ペプチド; 副甲状腺ホルモン関連タンパク質</v>
      </c>
      <c r="J3949" s="1" t="str">
        <f>IFERROR(__xludf.DUMMYFUNCTION("GOOGLETRANSLATE(F3949,""EN"",""JA"")"),"生物標本中の副甲状腺ホルモン関連タンパク質の測定。")</f>
        <v>生物標本中の副甲状腺ホルモン関連タンパク質の測定。</v>
      </c>
      <c r="K3949" s="1" t="str">
        <f>IFERROR(__xludf.DUMMYFUNCTION("GOOGLETRANSLATE(G3949,""EN"",""JA"")"),"副甲状腺ホルモン関連タンパク質測定")</f>
        <v>副甲状腺ホルモン関連タンパク質測定</v>
      </c>
    </row>
    <row r="3950" ht="13.5" customHeight="1">
      <c r="A3950" s="1" t="s">
        <v>11</v>
      </c>
      <c r="B3950" s="1" t="s">
        <v>19791</v>
      </c>
      <c r="C3950" s="1" t="s">
        <v>19792</v>
      </c>
      <c r="D3950" s="1" t="s">
        <v>19793</v>
      </c>
      <c r="E3950" s="1" t="s">
        <v>19794</v>
      </c>
      <c r="F3950" s="1" t="s">
        <v>19795</v>
      </c>
      <c r="G3950" s="1" t="s">
        <v>19796</v>
      </c>
      <c r="H3950" s="1" t="str">
        <f>IFERROR(__xludf.DUMMYFUNCTION("GOOGLETRANSLATE(D3950,""EN"",""JA"")"),"副甲状腺ホルモン（全量）")</f>
        <v>副甲状腺ホルモン（全量）</v>
      </c>
      <c r="I3950" s="1" t="str">
        <f>IFERROR(__xludf.DUMMYFUNCTION("GOOGLETRANSLATE(E3950,""EN"",""JA"")"),"パラチリンホルモン、全粒; 副甲状腺ホルモン、全粒")</f>
        <v>パラチリンホルモン、全粒; 副甲状腺ホルモン、全粒</v>
      </c>
      <c r="J3950" s="1" t="str">
        <f>IFERROR(__xludf.DUMMYFUNCTION("GOOGLETRANSLATE(F3950,""EN"",""JA"")"),"生物標本中の副甲状腺ホルモン全体（アミノ酸 1 ～ 84 で構成）の測定。")</f>
        <v>生物標本中の副甲状腺ホルモン全体（アミノ酸 1 ～ 84 で構成）の測定。</v>
      </c>
      <c r="K3950" s="1" t="str">
        <f>IFERROR(__xludf.DUMMYFUNCTION("GOOGLETRANSLATE(G3950,""EN"",""JA"")"),"全副甲状腺ホルモン測定")</f>
        <v>全副甲状腺ホルモン測定</v>
      </c>
    </row>
    <row r="3951" ht="13.5" customHeight="1">
      <c r="A3951" s="1" t="s">
        <v>870</v>
      </c>
      <c r="B3951" s="1" t="s">
        <v>19797</v>
      </c>
      <c r="C3951" s="1" t="s">
        <v>19798</v>
      </c>
      <c r="D3951" s="1" t="s">
        <v>19799</v>
      </c>
      <c r="E3951" s="1" t="s">
        <v>19799</v>
      </c>
      <c r="F3951" s="1" t="s">
        <v>19800</v>
      </c>
      <c r="G3951" s="1" t="s">
        <v>19799</v>
      </c>
      <c r="H3951" s="1" t="str">
        <f>IFERROR(__xludf.DUMMYFUNCTION("GOOGLETRANSLATE(D3951,""EN"",""JA"")"),"ピークトラフ比")</f>
        <v>ピークトラフ比</v>
      </c>
      <c r="I3951" s="1" t="str">
        <f>IFERROR(__xludf.DUMMYFUNCTION("GOOGLETRANSLATE(E3951,""EN"",""JA"")"),"ピークトラフ比")</f>
        <v>ピークトラフ比</v>
      </c>
      <c r="J3951" s="1" t="str">
        <f>IFERROR(__xludf.DUMMYFUNCTION("GOOGLETRANSLATE(F3951,""EN"",""JA"")"),"投与間隔中の最大濃度を投与間隔終了時の濃度で割ったもの。")</f>
        <v>投与間隔中の最大濃度を投与間隔終了時の濃度で割ったもの。</v>
      </c>
      <c r="K3951" s="1" t="str">
        <f>IFERROR(__xludf.DUMMYFUNCTION("GOOGLETRANSLATE(G3951,""EN"",""JA"")"),"ピークトラフ比")</f>
        <v>ピークトラフ比</v>
      </c>
    </row>
    <row r="3952" ht="13.5" customHeight="1">
      <c r="A3952" s="1" t="s">
        <v>397</v>
      </c>
      <c r="B3952" s="1" t="s">
        <v>19801</v>
      </c>
      <c r="C3952" s="1" t="s">
        <v>19802</v>
      </c>
      <c r="D3952" s="1" t="s">
        <v>19803</v>
      </c>
      <c r="E3952" s="1" t="s">
        <v>19803</v>
      </c>
      <c r="F3952" s="1" t="s">
        <v>19804</v>
      </c>
      <c r="G3952" s="1" t="s">
        <v>19803</v>
      </c>
      <c r="H3952" s="1" t="str">
        <f>IFERROR(__xludf.DUMMYFUNCTION("GOOGLETRANSLATE(D3952,""EN"",""JA"")"),"予定治療期間")</f>
        <v>予定治療期間</v>
      </c>
      <c r="I3952" s="1" t="str">
        <f>IFERROR(__xludf.DUMMYFUNCTION("GOOGLETRANSLATE(E3952,""EN"",""JA"")"),"予定治療期間")</f>
        <v>予定治療期間</v>
      </c>
      <c r="J3952" s="1" t="str">
        <f>IFERROR(__xludf.DUMMYFUNCTION("GOOGLETRANSLATE(F3952,""EN"",""JA"")"),"治療を施す予定の期間。")</f>
        <v>治療を施す予定の期間。</v>
      </c>
      <c r="K3952" s="1" t="str">
        <f>IFERROR(__xludf.DUMMYFUNCTION("GOOGLETRANSLATE(G3952,""EN"",""JA"")"),"予定治療期間")</f>
        <v>予定治療期間</v>
      </c>
    </row>
    <row r="3953" ht="13.5" customHeight="1">
      <c r="A3953" s="1" t="s">
        <v>11</v>
      </c>
      <c r="B3953" s="1" t="s">
        <v>19805</v>
      </c>
      <c r="C3953" s="1" t="s">
        <v>19806</v>
      </c>
      <c r="D3953" s="1" t="s">
        <v>19807</v>
      </c>
      <c r="E3953" s="1" t="s">
        <v>19808</v>
      </c>
      <c r="F3953" s="1" t="s">
        <v>19809</v>
      </c>
      <c r="G3953" s="1" t="s">
        <v>19810</v>
      </c>
      <c r="H3953" s="1" t="str">
        <f>IFERROR(__xludf.DUMMYFUNCTION("GOOGLETRANSLATE(D3953,""EN"",""JA"")"),"プロテインS活性実測値/対照値")</f>
        <v>プロテインS活性実測値/対照値</v>
      </c>
      <c r="I3953" s="1" t="str">
        <f>IFERROR(__xludf.DUMMYFUNCTION("GOOGLETRANSLATE(E3953,""EN"",""JA"")"),"プロテインS活性実測値/対照値; プロテインS活性実測値/正常値; プロテインS活性実測値/プロテインS活性対照値")</f>
        <v>プロテインS活性実測値/対照値; プロテインS活性実測値/正常値; プロテインS活性実測値/プロテインS活性対照値</v>
      </c>
      <c r="J3953" s="1" t="str">
        <f>IFERROR(__xludf.DUMMYFUNCTION("GOOGLETRANSLATE(F3953,""EN"",""JA"")"),"被験者の標本中のタンパク質 S の生物学的活性を、対照標本中の同じ活性と比較した相対的な測定値 (比率またはパーセンテージ)。")</f>
        <v>被験者の標本中のタンパク質 S の生物学的活性を、対照標本中の同じ活性と比較した相対的な測定値 (比率またはパーセンテージ)。</v>
      </c>
      <c r="K3953" s="1" t="str">
        <f>IFERROR(__xludf.DUMMYFUNCTION("GOOGLETRANSLATE(G3953,""EN"",""JA"")"),"プロテインS活性実測値と対照値比の測定")</f>
        <v>プロテインS活性実測値と対照値比の測定</v>
      </c>
    </row>
    <row r="3954" ht="13.5" customHeight="1">
      <c r="A3954" s="1" t="s">
        <v>11</v>
      </c>
      <c r="B3954" s="1" t="s">
        <v>19811</v>
      </c>
      <c r="C3954" s="1" t="s">
        <v>19812</v>
      </c>
      <c r="D3954" s="1" t="s">
        <v>19813</v>
      </c>
      <c r="E3954" s="1" t="s">
        <v>19813</v>
      </c>
      <c r="F3954" s="1" t="s">
        <v>19814</v>
      </c>
      <c r="G3954" s="1" t="s">
        <v>19815</v>
      </c>
      <c r="H3954" s="1" t="str">
        <f>IFERROR(__xludf.DUMMYFUNCTION("GOOGLETRANSLATE(D3954,""EN"",""JA"")"),"プロテインS 実測値/対照値")</f>
        <v>プロテインS 実測値/対照値</v>
      </c>
      <c r="I3954" s="1" t="str">
        <f>IFERROR(__xludf.DUMMYFUNCTION("GOOGLETRANSLATE(E3954,""EN"",""JA"")"),"プロテインS 実測値/対照値")</f>
        <v>プロテインS 実測値/対照値</v>
      </c>
      <c r="J3954" s="1" t="str">
        <f>IFERROR(__xludf.DUMMYFUNCTION("GOOGLETRANSLATE(F3954,""EN"",""JA"")"),"被験者の標本中のタンパク質 S を対照標本と比較した相対的な測定値 (比率またはパーセンテージ)。")</f>
        <v>被験者の標本中のタンパク質 S を対照標本と比較した相対的な測定値 (比率またはパーセンテージ)。</v>
      </c>
      <c r="K3954" s="1" t="str">
        <f>IFERROR(__xludf.DUMMYFUNCTION("GOOGLETRANSLATE(G3954,""EN"",""JA"")"),"タンパク質S実測値と対照値比の測定")</f>
        <v>タンパク質S実測値と対照値比の測定</v>
      </c>
    </row>
    <row r="3955" ht="13.5" customHeight="1">
      <c r="A3955" s="1" t="s">
        <v>11</v>
      </c>
      <c r="B3955" s="1" t="s">
        <v>19816</v>
      </c>
      <c r="C3955" s="1" t="s">
        <v>19817</v>
      </c>
      <c r="D3955" s="1" t="s">
        <v>19818</v>
      </c>
      <c r="E3955" s="1" t="s">
        <v>19819</v>
      </c>
      <c r="F3955" s="1" t="s">
        <v>19820</v>
      </c>
      <c r="G3955" s="1" t="s">
        <v>19821</v>
      </c>
      <c r="H3955" s="1" t="str">
        <f>IFERROR(__xludf.DUMMYFUNCTION("GOOGLETRANSLATE(D3955,""EN"",""JA"")"),"プロテインS遊離活性実測値/対照値")</f>
        <v>プロテインS遊離活性実測値/対照値</v>
      </c>
      <c r="I3955" s="1" t="str">
        <f>IFERROR(__xludf.DUMMYFUNCTION("GOOGLETRANSLATE(E3955,""EN"",""JA"")"),"プロテインS遊離活性実測値/対照値；プロテインS遊離活性実測値/正常値；プロテインS遊離活性実測値/プロテインS遊離活性対照値")</f>
        <v>プロテインS遊離活性実測値/対照値；プロテインS遊離活性実測値/正常値；プロテインS遊離活性実測値/プロテインS遊離活性対照値</v>
      </c>
      <c r="J3955" s="1" t="str">
        <f>IFERROR(__xludf.DUMMYFUNCTION("GOOGLETRANSLATE(F3955,""EN"",""JA"")"),"被験者の検体中の遊離タンパク質 S の生物学的活性を、対照検体中の同じ活性と比較した相対的な測定値 (比率またはパーセンテージ)。")</f>
        <v>被験者の検体中の遊離タンパク質 S の生物学的活性を、対照検体中の同じ活性と比較した相対的な測定値 (比率またはパーセンテージ)。</v>
      </c>
      <c r="K3955" s="1" t="str">
        <f>IFERROR(__xludf.DUMMYFUNCTION("GOOGLETRANSLATE(G3955,""EN"",""JA"")"),"遊離プロテインS活性実測値と対照値比の測定")</f>
        <v>遊離プロテインS活性実測値と対照値比の測定</v>
      </c>
    </row>
    <row r="3956" ht="13.5" customHeight="1">
      <c r="A3956" s="1" t="s">
        <v>11</v>
      </c>
      <c r="B3956" s="1" t="s">
        <v>19822</v>
      </c>
      <c r="C3956" s="1" t="s">
        <v>19823</v>
      </c>
      <c r="D3956" s="1" t="s">
        <v>19824</v>
      </c>
      <c r="E3956" s="1" t="s">
        <v>19824</v>
      </c>
      <c r="F3956" s="1" t="s">
        <v>19825</v>
      </c>
      <c r="G3956" s="1" t="s">
        <v>19826</v>
      </c>
      <c r="H3956" s="1" t="str">
        <f>IFERROR(__xludf.DUMMYFUNCTION("GOOGLETRANSLATE(D3956,""EN"",""JA"")"),"プロテインS、遊離実測値/対照値")</f>
        <v>プロテインS、遊離実測値/対照値</v>
      </c>
      <c r="I3956" s="1" t="str">
        <f>IFERROR(__xludf.DUMMYFUNCTION("GOOGLETRANSLATE(E3956,""EN"",""JA"")"),"プロテインS、遊離実測値/対照値")</f>
        <v>プロテインS、遊離実測値/対照値</v>
      </c>
      <c r="J3956" s="1" t="str">
        <f>IFERROR(__xludf.DUMMYFUNCTION("GOOGLETRANSLATE(F3956,""EN"",""JA"")"),"被験者の検体中の遊離タンパク質 S を対照検体と比較した相対的な測定値 (比率またはパーセンテージ)。")</f>
        <v>被験者の検体中の遊離タンパク質 S を対照検体と比較した相対的な測定値 (比率またはパーセンテージ)。</v>
      </c>
      <c r="K3956" s="1" t="str">
        <f>IFERROR(__xludf.DUMMYFUNCTION("GOOGLETRANSLATE(G3956,""EN"",""JA"")"),"遊離タンパク質Sの実測値と対照値の比の測定")</f>
        <v>遊離タンパク質Sの実測値と対照値の比の測定</v>
      </c>
    </row>
    <row r="3957" ht="13.5" customHeight="1">
      <c r="A3957" s="1" t="s">
        <v>6439</v>
      </c>
      <c r="B3957" s="1" t="s">
        <v>19827</v>
      </c>
      <c r="C3957" s="1" t="s">
        <v>19828</v>
      </c>
      <c r="D3957" s="1" t="s">
        <v>19829</v>
      </c>
      <c r="E3957" s="1" t="s">
        <v>19829</v>
      </c>
      <c r="F3957" s="1" t="s">
        <v>19830</v>
      </c>
      <c r="G3957" s="1" t="s">
        <v>19829</v>
      </c>
      <c r="H3957" s="1" t="str">
        <f>IFERROR(__xludf.DUMMYFUNCTION("GOOGLETRANSLATE(D3957,""EN"",""JA"")"),"原発腫瘍部位指標")</f>
        <v>原発腫瘍部位指標</v>
      </c>
      <c r="I3957" s="1" t="str">
        <f>IFERROR(__xludf.DUMMYFUNCTION("GOOGLETRANSLATE(E3957,""EN"",""JA"")"),"原発腫瘍部位指標")</f>
        <v>原発腫瘍部位指標</v>
      </c>
      <c r="J3957" s="1" t="str">
        <f>IFERROR(__xludf.DUMMYFUNCTION("GOOGLETRANSLATE(F3957,""EN"",""JA"")"),"解剖学的な場所が病気の原発腫瘍部位であるかどうかを示すもの。")</f>
        <v>解剖学的な場所が病気の原発腫瘍部位であるかどうかを示すもの。</v>
      </c>
      <c r="K3957" s="1" t="str">
        <f>IFERROR(__xludf.DUMMYFUNCTION("GOOGLETRANSLATE(G3957,""EN"",""JA"")"),"原発腫瘍部位指標")</f>
        <v>原発腫瘍部位指標</v>
      </c>
    </row>
    <row r="3958" ht="13.5" customHeight="1">
      <c r="A3958" s="1" t="s">
        <v>11</v>
      </c>
      <c r="B3958" s="1" t="s">
        <v>19831</v>
      </c>
      <c r="C3958" s="1" t="s">
        <v>19832</v>
      </c>
      <c r="D3958" s="1" t="s">
        <v>19833</v>
      </c>
      <c r="E3958" s="1" t="s">
        <v>19833</v>
      </c>
      <c r="F3958" s="1" t="s">
        <v>19834</v>
      </c>
      <c r="G3958" s="1" t="s">
        <v>19833</v>
      </c>
      <c r="H3958" s="1" t="str">
        <f>IFERROR(__xludf.DUMMYFUNCTION("GOOGLETRANSLATE(D3958,""EN"",""JA"")"),"部分トロンボプラスチン時間")</f>
        <v>部分トロンボプラスチン時間</v>
      </c>
      <c r="I3958" s="1" t="str">
        <f>IFERROR(__xludf.DUMMYFUNCTION("GOOGLETRANSLATE(E3958,""EN"",""JA"")"),"部分トロンボプラスチン時間")</f>
        <v>部分トロンボプラスチン時間</v>
      </c>
      <c r="J3958" s="1" t="str">
        <f>IFERROR(__xludf.DUMMYFUNCTION("GOOGLETRANSLATE(F3958,""EN"",""JA"")"),"活性化試薬を生体試料に加えずに凝固が起こるまでの時間を測定する検査。反応混合物に組織因子（第III因子）が含まれていないため、この検査は部分的なものである。")</f>
        <v>活性化試薬を生体試料に加えずに凝固が起こるまでの時間を測定する検査。反応混合物に組織因子（第III因子）が含まれていないため、この検査は部分的なものである。</v>
      </c>
      <c r="K3958" s="1" t="str">
        <f>IFERROR(__xludf.DUMMYFUNCTION("GOOGLETRANSLATE(G3958,""EN"",""JA"")"),"部分トロンボプラスチン時間")</f>
        <v>部分トロンボプラスチン時間</v>
      </c>
    </row>
    <row r="3959" ht="13.5" customHeight="1">
      <c r="A3959" s="1" t="s">
        <v>11</v>
      </c>
      <c r="B3959" s="1" t="s">
        <v>19835</v>
      </c>
      <c r="C3959" s="1" t="s">
        <v>19836</v>
      </c>
      <c r="D3959" s="1" t="s">
        <v>19837</v>
      </c>
      <c r="E3959" s="1" t="s">
        <v>19838</v>
      </c>
      <c r="F3959" s="1" t="s">
        <v>19839</v>
      </c>
      <c r="G3959" s="1" t="s">
        <v>19840</v>
      </c>
      <c r="H3959" s="1" t="str">
        <f>IFERROR(__xludf.DUMMYFUNCTION("GOOGLETRANSLATE(D3959,""EN"",""JA"")"),"PTT/標準")</f>
        <v>PTT/標準</v>
      </c>
      <c r="I3959" s="1" t="str">
        <f>IFERROR(__xludf.DUMMYFUNCTION("GOOGLETRANSLATE(E3959,""EN"",""JA"")"),"部分トロンボプラスチン時間/標準トロンボプラスチン時間; PTT/標準; PTT/標準PTT")</f>
        <v>部分トロンボプラスチン時間/標準トロンボプラスチン時間; PTT/標準; PTT/標準PTT</v>
      </c>
      <c r="J3959" s="1" t="str">
        <f>IFERROR(__xludf.DUMMYFUNCTION("GOOGLETRANSLATE(F3959,""EN"",""JA"")"),"被験者の部分トロンボプラスチン時間と標準またはコントロールの部分トロンボプラスチン時間の相対的な測定値 (比率またはパーセンテージ)。")</f>
        <v>被験者の部分トロンボプラスチン時間と標準またはコントロールの部分トロンボプラスチン時間の相対的な測定値 (比率またはパーセンテージ)。</v>
      </c>
      <c r="K3959" s="1" t="str">
        <f>IFERROR(__xludf.DUMMYFUNCTION("GOOGLETRANSLATE(G3959,""EN"",""JA"")"),"部分トロンボプラスチン時間と標準トロンボプラスチン時間の比測定")</f>
        <v>部分トロンボプラスチン時間と標準トロンボプラスチン時間の比測定</v>
      </c>
    </row>
    <row r="3960" ht="13.5" customHeight="1">
      <c r="A3960" s="1" t="s">
        <v>160</v>
      </c>
      <c r="B3960" s="1" t="s">
        <v>19841</v>
      </c>
      <c r="C3960" s="1" t="s">
        <v>19842</v>
      </c>
      <c r="D3960" s="1" t="s">
        <v>19843</v>
      </c>
      <c r="E3960" s="1" t="s">
        <v>19843</v>
      </c>
      <c r="F3960" s="1" t="s">
        <v>19844</v>
      </c>
      <c r="G3960" s="1" t="s">
        <v>19843</v>
      </c>
      <c r="H3960" s="1" t="str">
        <f>IFERROR(__xludf.DUMMYFUNCTION("GOOGLETRANSLATE(D3960,""EN"",""JA"")"),"思春期年齢")</f>
        <v>思春期年齢</v>
      </c>
      <c r="I3960" s="1" t="str">
        <f>IFERROR(__xludf.DUMMYFUNCTION("GOOGLETRANSLATE(E3960,""EN"",""JA"")"),"思春期年齢")</f>
        <v>思春期年齢</v>
      </c>
      <c r="J3960" s="1" t="str">
        <f>IFERROR(__xludf.DUMMYFUNCTION("GOOGLETRANSLATE(F3960,""EN"",""JA"")"),"思春期が始まる年齢。")</f>
        <v>思春期が始まる年齢。</v>
      </c>
      <c r="K3960" s="1" t="str">
        <f>IFERROR(__xludf.DUMMYFUNCTION("GOOGLETRANSLATE(G3960,""EN"",""JA"")"),"思春期年齢")</f>
        <v>思春期年齢</v>
      </c>
    </row>
    <row r="3961" ht="13.5" customHeight="1">
      <c r="A3961" s="1" t="s">
        <v>160</v>
      </c>
      <c r="B3961" s="1" t="s">
        <v>19845</v>
      </c>
      <c r="C3961" s="1" t="s">
        <v>19846</v>
      </c>
      <c r="D3961" s="1" t="s">
        <v>19847</v>
      </c>
      <c r="E3961" s="1" t="s">
        <v>19847</v>
      </c>
      <c r="F3961" s="1" t="s">
        <v>19848</v>
      </c>
      <c r="G3961" s="1" t="s">
        <v>19847</v>
      </c>
      <c r="H3961" s="1" t="str">
        <f>IFERROR(__xludf.DUMMYFUNCTION("GOOGLETRANSLATE(D3961,""EN"",""JA"")"),"思春期指標")</f>
        <v>思春期指標</v>
      </c>
      <c r="I3961" s="1" t="str">
        <f>IFERROR(__xludf.DUMMYFUNCTION("GOOGLETRANSLATE(E3961,""EN"",""JA"")"),"思春期指標")</f>
        <v>思春期指標</v>
      </c>
      <c r="J3961" s="1" t="str">
        <f>IFERROR(__xludf.DUMMYFUNCTION("GOOGLETRANSLATE(F3961,""EN"",""JA"")"),"個人が思春期を迎えているかどうか、またはすでに思春期を迎えたかどうかを示す指標。")</f>
        <v>個人が思春期を迎えているかどうか、またはすでに思春期を迎えたかどうかを示す指標。</v>
      </c>
      <c r="K3961" s="1" t="str">
        <f>IFERROR(__xludf.DUMMYFUNCTION("GOOGLETRANSLATE(G3961,""EN"",""JA"")"),"思春期指標")</f>
        <v>思春期指標</v>
      </c>
    </row>
    <row r="3962" ht="13.5" customHeight="1">
      <c r="A3962" s="1" t="s">
        <v>397</v>
      </c>
      <c r="B3962" s="1" t="s">
        <v>19849</v>
      </c>
      <c r="C3962" s="1" t="s">
        <v>19850</v>
      </c>
      <c r="D3962" s="1" t="s">
        <v>19851</v>
      </c>
      <c r="E3962" s="1" t="s">
        <v>19851</v>
      </c>
      <c r="F3962" s="1" t="s">
        <v>19852</v>
      </c>
      <c r="G3962" s="1" t="s">
        <v>19853</v>
      </c>
      <c r="H3962" s="1" t="str">
        <f>IFERROR(__xludf.DUMMYFUNCTION("GOOGLETRANSLATE(D3962,""EN"",""JA"")"),"研究で使用された引用文献のPubMed ID")</f>
        <v>研究で使用された引用文献のPubMed ID</v>
      </c>
      <c r="I3962" s="1" t="str">
        <f>IFERROR(__xludf.DUMMYFUNCTION("GOOGLETRANSLATE(E3962,""EN"",""JA"")"),"研究で使用された引用文献のPubMed ID")</f>
        <v>研究で使用された引用文献のPubMed ID</v>
      </c>
      <c r="J3962" s="1" t="str">
        <f>IFERROR(__xludf.DUMMYFUNCTION("GOOGLETRANSLATE(F3962,""EN"",""JA"")"),"PubMed によって割り当てられた、生物医学記事のグローバルに一意の識別子。")</f>
        <v>PubMed によって割り当てられた、生物医学記事のグローバルに一意の識別子。</v>
      </c>
      <c r="K3962" s="1" t="str">
        <f>IFERROR(__xludf.DUMMYFUNCTION("GOOGLETRANSLATE(G3962,""EN"",""JA"")"),"PubMed 固有識別子")</f>
        <v>PubMed 固有識別子</v>
      </c>
    </row>
    <row r="3963" ht="13.5" customHeight="1">
      <c r="A3963" s="1" t="s">
        <v>129</v>
      </c>
      <c r="B3963" s="1" t="s">
        <v>19854</v>
      </c>
      <c r="C3963" s="1" t="s">
        <v>19855</v>
      </c>
      <c r="D3963" s="1" t="s">
        <v>19856</v>
      </c>
      <c r="E3963" s="1" t="s">
        <v>19856</v>
      </c>
      <c r="F3963" s="1" t="s">
        <v>19857</v>
      </c>
      <c r="G3963" s="1" t="s">
        <v>19856</v>
      </c>
      <c r="H3963" s="1" t="str">
        <f>IFERROR(__xludf.DUMMYFUNCTION("GOOGLETRANSLATE(D3963,""EN"",""JA"")"),"脈拍数")</f>
        <v>脈拍数</v>
      </c>
      <c r="I3963" s="1" t="str">
        <f>IFERROR(__xludf.DUMMYFUNCTION("GOOGLETRANSLATE(E3963,""EN"",""JA"")"),"脈拍数")</f>
        <v>脈拍数</v>
      </c>
      <c r="J3963" s="1" t="str">
        <f>IFERROR(__xludf.DUMMYFUNCTION("GOOGLETRANSLATE(F3963,""EN"",""JA"")"),"動脈で観測される脈拍数。1分間の拍動数で表されます。手首、首、こめかみ、鼠径部、膝の裏側、足の甲など、解剖学的にいくつかの部位で測定できます。(NCI)")</f>
        <v>動脈で観測される脈拍数。1分間の拍動数で表されます。手首、首、こめかみ、鼠径部、膝の裏側、足の甲など、解剖学的にいくつかの部位で測定できます。(NCI)</v>
      </c>
      <c r="K3963" s="1" t="str">
        <f>IFERROR(__xludf.DUMMYFUNCTION("GOOGLETRANSLATE(G3963,""EN"",""JA"")"),"脈拍数")</f>
        <v>脈拍数</v>
      </c>
    </row>
    <row r="3964" ht="13.5" customHeight="1">
      <c r="A3964" s="1" t="s">
        <v>129</v>
      </c>
      <c r="B3964" s="1" t="s">
        <v>19858</v>
      </c>
      <c r="C3964" s="1" t="s">
        <v>19859</v>
      </c>
      <c r="D3964" s="1" t="s">
        <v>19860</v>
      </c>
      <c r="E3964" s="1" t="s">
        <v>19860</v>
      </c>
      <c r="F3964" s="1" t="s">
        <v>19861</v>
      </c>
      <c r="G3964" s="1" t="s">
        <v>19860</v>
      </c>
      <c r="H3964" s="1" t="str">
        <f>IFERROR(__xludf.DUMMYFUNCTION("GOOGLETRANSLATE(D3964,""EN"",""JA"")"),"脈圧")</f>
        <v>脈圧</v>
      </c>
      <c r="I3964" s="1" t="str">
        <f>IFERROR(__xludf.DUMMYFUNCTION("GOOGLETRANSLATE(E3964,""EN"",""JA"")"),"脈圧")</f>
        <v>脈圧</v>
      </c>
      <c r="J3964" s="1" t="str">
        <f>IFERROR(__xludf.DUMMYFUNCTION("GOOGLETRANSLATE(F3964,""EN"",""JA"")"),"収縮期血圧から拡張期血圧への変化によって脈拍が生じます。")</f>
        <v>収縮期血圧から拡張期血圧への変化によって脈拍が生じます。</v>
      </c>
      <c r="K3964" s="1" t="str">
        <f>IFERROR(__xludf.DUMMYFUNCTION("GOOGLETRANSLATE(G3964,""EN"",""JA"")"),"脈圧")</f>
        <v>脈圧</v>
      </c>
    </row>
    <row r="3965" ht="13.5" customHeight="1">
      <c r="A3965" s="1" t="s">
        <v>11</v>
      </c>
      <c r="B3965" s="1" t="s">
        <v>19862</v>
      </c>
      <c r="C3965" s="1" t="s">
        <v>19863</v>
      </c>
      <c r="D3965" s="1" t="s">
        <v>19864</v>
      </c>
      <c r="E3965" s="1" t="s">
        <v>19864</v>
      </c>
      <c r="F3965" s="1" t="s">
        <v>19865</v>
      </c>
      <c r="G3965" s="1" t="s">
        <v>19866</v>
      </c>
      <c r="H3965" s="1" t="str">
        <f>IFERROR(__xludf.DUMMYFUNCTION("GOOGLETRANSLATE(D3965,""EN"",""JA"")"),"膿")</f>
        <v>膿</v>
      </c>
      <c r="I3965" s="1" t="str">
        <f>IFERROR(__xludf.DUMMYFUNCTION("GOOGLETRANSLATE(E3965,""EN"",""JA"")"),"膿")</f>
        <v>膿</v>
      </c>
      <c r="J3965" s="1" t="str">
        <f>IFERROR(__xludf.DUMMYFUNCTION("GOOGLETRANSLATE(F3965,""EN"",""JA"")"),"生物標本内の膿の測定。")</f>
        <v>生物標本内の膿の測定。</v>
      </c>
      <c r="K3965" s="1" t="str">
        <f>IFERROR(__xludf.DUMMYFUNCTION("GOOGLETRANSLATE(G3965,""EN"",""JA"")"),"膿の測定")</f>
        <v>膿の測定</v>
      </c>
    </row>
    <row r="3966" ht="13.5" customHeight="1">
      <c r="A3966" s="1" t="s">
        <v>160</v>
      </c>
      <c r="B3966" s="1" t="s">
        <v>19867</v>
      </c>
      <c r="C3966" s="1" t="s">
        <v>19868</v>
      </c>
      <c r="D3966" s="1" t="s">
        <v>19869</v>
      </c>
      <c r="E3966" s="1" t="s">
        <v>19869</v>
      </c>
      <c r="F3966" s="1" t="s">
        <v>19870</v>
      </c>
      <c r="G3966" s="1" t="s">
        <v>19869</v>
      </c>
      <c r="H3966" s="1" t="str">
        <f>IFERROR(__xludf.DUMMYFUNCTION("GOOGLETRANSLATE(D3966,""EN"",""JA"")"),"膿疱指標")</f>
        <v>膿疱指標</v>
      </c>
      <c r="I3966" s="1" t="str">
        <f>IFERROR(__xludf.DUMMYFUNCTION("GOOGLETRANSLATE(E3966,""EN"",""JA"")"),"膿疱指標")</f>
        <v>膿疱指標</v>
      </c>
      <c r="J3966" s="1" t="str">
        <f>IFERROR(__xludf.DUMMYFUNCTION("GOOGLETRANSLATE(F3966,""EN"",""JA"")"),"膿疱が存在するかどうかを示します。")</f>
        <v>膿疱が存在するかどうかを示します。</v>
      </c>
      <c r="K3966" s="1" t="str">
        <f>IFERROR(__xludf.DUMMYFUNCTION("GOOGLETRANSLATE(G3966,""EN"",""JA"")"),"膿疱指標")</f>
        <v>膿疱指標</v>
      </c>
    </row>
    <row r="3967" ht="13.5" customHeight="1">
      <c r="A3967" s="1" t="s">
        <v>90</v>
      </c>
      <c r="B3967" s="1" t="s">
        <v>19871</v>
      </c>
      <c r="C3967" s="1" t="s">
        <v>19872</v>
      </c>
      <c r="D3967" s="1" t="s">
        <v>19873</v>
      </c>
      <c r="E3967" s="1" t="s">
        <v>19873</v>
      </c>
      <c r="F3967" s="1" t="s">
        <v>19874</v>
      </c>
      <c r="G3967" s="1" t="s">
        <v>19873</v>
      </c>
      <c r="H3967" s="1" t="str">
        <f>IFERROR(__xludf.DUMMYFUNCTION("GOOGLETRANSLATE(D3967,""EN"",""JA"")"),"肺静脈優位")</f>
        <v>肺静脈優位</v>
      </c>
      <c r="I3967" s="1" t="str">
        <f>IFERROR(__xludf.DUMMYFUNCTION("GOOGLETRANSLATE(E3967,""EN"",""JA"")"),"肺静脈優位")</f>
        <v>肺静脈優位</v>
      </c>
      <c r="J3967" s="1" t="str">
        <f>IFERROR(__xludf.DUMMYFUNCTION("GOOGLETRANSLATE(F3967,""EN"",""JA"")"),"心室収縮期と拡張期のどちらで肺静脈の血流が大きいかを判断します。")</f>
        <v>心室収縮期と拡張期のどちらで肺静脈の血流が大きいかを判断します。</v>
      </c>
      <c r="K3967" s="1" t="str">
        <f>IFERROR(__xludf.DUMMYFUNCTION("GOOGLETRANSLATE(G3967,""EN"",""JA"")"),"肺静脈優位")</f>
        <v>肺静脈優位</v>
      </c>
    </row>
    <row r="3968" ht="13.5" customHeight="1">
      <c r="A3968" s="1" t="s">
        <v>90</v>
      </c>
      <c r="B3968" s="1" t="s">
        <v>19875</v>
      </c>
      <c r="C3968" s="1" t="s">
        <v>19876</v>
      </c>
      <c r="D3968" s="1" t="s">
        <v>19877</v>
      </c>
      <c r="E3968" s="1" t="s">
        <v>19877</v>
      </c>
      <c r="F3968" s="1" t="s">
        <v>19878</v>
      </c>
      <c r="G3968" s="1" t="s">
        <v>19877</v>
      </c>
      <c r="H3968" s="1" t="str">
        <f>IFERROR(__xludf.DUMMYFUNCTION("GOOGLETRANSLATE(D3968,""EN"",""JA"")"),"肺血管抵抗")</f>
        <v>肺血管抵抗</v>
      </c>
      <c r="I3968" s="1" t="str">
        <f>IFERROR(__xludf.DUMMYFUNCTION("GOOGLETRANSLATE(E3968,""EN"",""JA"")"),"肺血管抵抗")</f>
        <v>肺血管抵抗</v>
      </c>
      <c r="J3968" s="1" t="str">
        <f>IFERROR(__xludf.DUMMYFUNCTION("GOOGLETRANSLATE(F3968,""EN"",""JA"")"),"肺血管を通る血流に対する抵抗。")</f>
        <v>肺血管を通る血流に対する抵抗。</v>
      </c>
      <c r="K3968" s="1" t="str">
        <f>IFERROR(__xludf.DUMMYFUNCTION("GOOGLETRANSLATE(G3968,""EN"",""JA"")"),"肺血管抵抗")</f>
        <v>肺血管抵抗</v>
      </c>
    </row>
    <row r="3969" ht="13.5" customHeight="1">
      <c r="A3969" s="1" t="s">
        <v>90</v>
      </c>
      <c r="B3969" s="1" t="s">
        <v>19879</v>
      </c>
      <c r="C3969" s="1" t="s">
        <v>19880</v>
      </c>
      <c r="D3969" s="1" t="s">
        <v>19881</v>
      </c>
      <c r="E3969" s="1" t="s">
        <v>19881</v>
      </c>
      <c r="F3969" s="1" t="s">
        <v>19882</v>
      </c>
      <c r="G3969" s="1" t="s">
        <v>19881</v>
      </c>
      <c r="H3969" s="1" t="str">
        <f>IFERROR(__xludf.DUMMYFUNCTION("GOOGLETRANSLATE(D3969,""EN"",""JA"")"),"肺動脈弁逆流率")</f>
        <v>肺動脈弁逆流率</v>
      </c>
      <c r="I3969" s="1" t="str">
        <f>IFERROR(__xludf.DUMMYFUNCTION("GOOGLETRANSLATE(E3969,""EN"",""JA"")"),"肺動脈弁逆流率")</f>
        <v>肺動脈弁逆流率</v>
      </c>
      <c r="J3969" s="1" t="str">
        <f>IFERROR(__xludf.DUMMYFUNCTION("GOOGLETRANSLATE(F3969,""EN"",""JA"")"),"肺動脈弁の開口部を通過する逆流血流量の測定値を、順行性血流量のパーセンテージとして表します。")</f>
        <v>肺動脈弁の開口部を通過する逆流血流量の測定値を、順行性血流量のパーセンテージとして表します。</v>
      </c>
      <c r="K3969" s="1" t="str">
        <f>IFERROR(__xludf.DUMMYFUNCTION("GOOGLETRANSLATE(G3969,""EN"",""JA"")"),"肺動脈弁逆流率")</f>
        <v>肺動脈弁逆流率</v>
      </c>
    </row>
    <row r="3970" ht="13.5" customHeight="1">
      <c r="A3970" s="1" t="s">
        <v>90</v>
      </c>
      <c r="B3970" s="1" t="s">
        <v>19883</v>
      </c>
      <c r="C3970" s="1" t="s">
        <v>19884</v>
      </c>
      <c r="D3970" s="1" t="s">
        <v>19885</v>
      </c>
      <c r="E3970" s="1" t="s">
        <v>19885</v>
      </c>
      <c r="F3970" s="1" t="s">
        <v>19886</v>
      </c>
      <c r="G3970" s="1" t="s">
        <v>19885</v>
      </c>
      <c r="H3970" s="1" t="str">
        <f>IFERROR(__xludf.DUMMYFUNCTION("GOOGLETRANSLATE(D3970,""EN"",""JA"")"),"肺動脈弁逆流ジェット幅")</f>
        <v>肺動脈弁逆流ジェット幅</v>
      </c>
      <c r="I3970" s="1" t="str">
        <f>IFERROR(__xludf.DUMMYFUNCTION("GOOGLETRANSLATE(E3970,""EN"",""JA"")"),"肺動脈弁逆流ジェット幅")</f>
        <v>肺動脈弁逆流ジェット幅</v>
      </c>
      <c r="J3970" s="1" t="str">
        <f>IFERROR(__xludf.DUMMYFUNCTION("GOOGLETRANSLATE(F3970,""EN"",""JA"")"),"右心室流出路への逆流血液ジェットの測定された幅。")</f>
        <v>右心室流出路への逆流血液ジェットの測定された幅。</v>
      </c>
      <c r="K3970" s="1" t="str">
        <f>IFERROR(__xludf.DUMMYFUNCTION("GOOGLETRANSLATE(G3970,""EN"",""JA"")"),"肺動脈弁逆流ジェット幅")</f>
        <v>肺動脈弁逆流ジェット幅</v>
      </c>
    </row>
    <row r="3971" ht="13.5" customHeight="1">
      <c r="A3971" s="1" t="s">
        <v>90</v>
      </c>
      <c r="B3971" s="1" t="s">
        <v>19887</v>
      </c>
      <c r="C3971" s="1" t="s">
        <v>19888</v>
      </c>
      <c r="D3971" s="1" t="s">
        <v>19889</v>
      </c>
      <c r="E3971" s="1" t="s">
        <v>19889</v>
      </c>
      <c r="F3971" s="1" t="s">
        <v>19890</v>
      </c>
      <c r="G3971" s="1" t="s">
        <v>19889</v>
      </c>
      <c r="H3971" s="1" t="str">
        <f>IFERROR(__xludf.DUMMYFUNCTION("GOOGLETRANSLATE(D3971,""EN"",""JA"")"),"肺動脈弁逆流量")</f>
        <v>肺動脈弁逆流量</v>
      </c>
      <c r="I3971" s="1" t="str">
        <f>IFERROR(__xludf.DUMMYFUNCTION("GOOGLETRANSLATE(E3971,""EN"",""JA"")"),"肺動脈弁逆流量")</f>
        <v>肺動脈弁逆流量</v>
      </c>
      <c r="J3971" s="1" t="str">
        <f>IFERROR(__xludf.DUMMYFUNCTION("GOOGLETRANSLATE(F3971,""EN"",""JA"")"),"肺動脈弁の開口部を流れる逆流血量の測定。")</f>
        <v>肺動脈弁の開口部を流れる逆流血量の測定。</v>
      </c>
      <c r="K3971" s="1" t="str">
        <f>IFERROR(__xludf.DUMMYFUNCTION("GOOGLETRANSLATE(G3971,""EN"",""JA"")"),"肺動脈弁逆流量")</f>
        <v>肺動脈弁逆流量</v>
      </c>
    </row>
    <row r="3972" ht="13.5" customHeight="1">
      <c r="A3972" s="1" t="s">
        <v>67</v>
      </c>
      <c r="B3972" s="1" t="s">
        <v>19891</v>
      </c>
      <c r="C3972" s="1" t="s">
        <v>19892</v>
      </c>
      <c r="D3972" s="1" t="s">
        <v>19893</v>
      </c>
      <c r="E3972" s="1" t="s">
        <v>19893</v>
      </c>
      <c r="F3972" s="1" t="s">
        <v>19894</v>
      </c>
      <c r="G3972" s="1" t="s">
        <v>19895</v>
      </c>
      <c r="H3972" s="1" t="str">
        <f>IFERROR(__xludf.DUMMYFUNCTION("GOOGLETRANSLATE(D3972,""EN"",""JA"")"),"プロテウス・ブルガリス")</f>
        <v>プロテウス・ブルガリス</v>
      </c>
      <c r="I3972" s="1" t="str">
        <f>IFERROR(__xludf.DUMMYFUNCTION("GOOGLETRANSLATE(E3972,""EN"",""JA"")"),"プロテウス・ブルガリス")</f>
        <v>プロテウス・ブルガリス</v>
      </c>
      <c r="J3972" s="1" t="str">
        <f>IFERROR(__xludf.DUMMYFUNCTION("GOOGLETRANSLATE(F3972,""EN"",""JA"")"),"生物標本中の Proteus vulgaris の測定。")</f>
        <v>生物標本中の Proteus vulgaris の測定。</v>
      </c>
      <c r="K3972" s="1" t="str">
        <f>IFERROR(__xludf.DUMMYFUNCTION("GOOGLETRANSLATE(G3972,""EN"",""JA"")"),"プロテウス・ブルガリス測定")</f>
        <v>プロテウス・ブルガリス測定</v>
      </c>
    </row>
    <row r="3973" ht="13.5" customHeight="1">
      <c r="A3973" s="1" t="s">
        <v>90</v>
      </c>
      <c r="B3973" s="1" t="s">
        <v>19896</v>
      </c>
      <c r="C3973" s="1" t="s">
        <v>19897</v>
      </c>
      <c r="D3973" s="1" t="s">
        <v>19898</v>
      </c>
      <c r="E3973" s="1" t="s">
        <v>19898</v>
      </c>
      <c r="F3973" s="1" t="s">
        <v>19899</v>
      </c>
      <c r="G3973" s="1" t="s">
        <v>19898</v>
      </c>
      <c r="H3973" s="1" t="str">
        <f>IFERROR(__xludf.DUMMYFUNCTION("GOOGLETRANSLATE(D3973,""EN"",""JA"")"),"肺弁大静脈収縮領域")</f>
        <v>肺弁大静脈収縮領域</v>
      </c>
      <c r="I3973" s="1" t="str">
        <f>IFERROR(__xludf.DUMMYFUNCTION("GOOGLETRANSLATE(E3973,""EN"",""JA"")"),"肺弁大静脈収縮領域")</f>
        <v>肺弁大静脈収縮領域</v>
      </c>
      <c r="J3973" s="1" t="str">
        <f>IFERROR(__xludf.DUMMYFUNCTION("GOOGLETRANSLATE(F3973,""EN"",""JA"")"),"肺動脈弁の縮静脈領域。")</f>
        <v>肺動脈弁の縮静脈領域。</v>
      </c>
      <c r="K3973" s="1" t="str">
        <f>IFERROR(__xludf.DUMMYFUNCTION("GOOGLETRANSLATE(G3973,""EN"",""JA"")"),"肺弁大静脈収縮領域")</f>
        <v>肺弁大静脈収縮領域</v>
      </c>
    </row>
    <row r="3974" ht="13.5" customHeight="1">
      <c r="A3974" s="1" t="s">
        <v>90</v>
      </c>
      <c r="B3974" s="1" t="s">
        <v>19900</v>
      </c>
      <c r="C3974" s="1" t="s">
        <v>19901</v>
      </c>
      <c r="D3974" s="1" t="s">
        <v>19902</v>
      </c>
      <c r="E3974" s="1" t="s">
        <v>19902</v>
      </c>
      <c r="F3974" s="1" t="s">
        <v>19903</v>
      </c>
      <c r="G3974" s="1" t="s">
        <v>19902</v>
      </c>
      <c r="H3974" s="1" t="str">
        <f>IFERROR(__xludf.DUMMYFUNCTION("GOOGLETRANSLATE(D3974,""EN"",""JA"")"),"肺動脈弁拘縮静脈幅")</f>
        <v>肺動脈弁拘縮静脈幅</v>
      </c>
      <c r="I3974" s="1" t="str">
        <f>IFERROR(__xludf.DUMMYFUNCTION("GOOGLETRANSLATE(E3974,""EN"",""JA"")"),"肺動脈弁拘縮静脈幅")</f>
        <v>肺動脈弁拘縮静脈幅</v>
      </c>
      <c r="J3974" s="1" t="str">
        <f>IFERROR(__xludf.DUMMYFUNCTION("GOOGLETRANSLATE(F3974,""EN"",""JA"")"),"肺動脈弁の縮静脈の幅。")</f>
        <v>肺動脈弁の縮静脈の幅。</v>
      </c>
      <c r="K3974" s="1" t="str">
        <f>IFERROR(__xludf.DUMMYFUNCTION("GOOGLETRANSLATE(G3974,""EN"",""JA"")"),"肺動脈弁拘縮静脈幅")</f>
        <v>肺動脈弁拘縮静脈幅</v>
      </c>
    </row>
    <row r="3975" ht="13.5" customHeight="1">
      <c r="A3975" s="1" t="s">
        <v>1168</v>
      </c>
      <c r="B3975" s="1" t="s">
        <v>19904</v>
      </c>
      <c r="C3975" s="1" t="s">
        <v>19905</v>
      </c>
      <c r="D3975" s="1" t="s">
        <v>19906</v>
      </c>
      <c r="E3975" s="1" t="s">
        <v>19906</v>
      </c>
      <c r="F3975" s="1" t="s">
        <v>19907</v>
      </c>
      <c r="G3975" s="1" t="s">
        <v>19908</v>
      </c>
      <c r="H3975" s="1" t="str">
        <f>IFERROR(__xludf.DUMMYFUNCTION("GOOGLETRANSLATE(D3975,""EN"",""JA"")"),"P波持続時間、合計")</f>
        <v>P波持続時間、合計</v>
      </c>
      <c r="I3975" s="1" t="str">
        <f>IFERROR(__xludf.DUMMYFUNCTION("GOOGLETRANSLATE(E3975,""EN"",""JA"")"),"P波持続時間、合計")</f>
        <v>P波持続時間、合計</v>
      </c>
      <c r="J3975" s="1" t="str">
        <f>IFERROR(__xludf.DUMMYFUNCTION("GOOGLETRANSLATE(F3975,""EN"",""JA"")"),"単一の心電図における複数の心拍のP波持続間隔の測定に基づく、P波持続時間の集計値。集計方法は様々ですが、通常は平均値などの中心傾向を示す指標が用いられます。")</f>
        <v>単一の心電図における複数の心拍のP波持続間隔の測定に基づく、P波持続時間の集計値。集計方法は様々ですが、通常は平均値などの中心傾向を示す指標が用いられます。</v>
      </c>
      <c r="K3975" s="1" t="str">
        <f>IFERROR(__xludf.DUMMYFUNCTION("GOOGLETRANSLATE(G3975,""EN"",""JA"")"),"総P波持続時間")</f>
        <v>総P波持続時間</v>
      </c>
    </row>
    <row r="3976" ht="13.5" customHeight="1">
      <c r="A3976" s="1" t="s">
        <v>1168</v>
      </c>
      <c r="B3976" s="1" t="s">
        <v>19909</v>
      </c>
      <c r="C3976" s="1" t="s">
        <v>19910</v>
      </c>
      <c r="D3976" s="1" t="s">
        <v>19911</v>
      </c>
      <c r="E3976" s="1" t="s">
        <v>19911</v>
      </c>
      <c r="F3976" s="1" t="s">
        <v>19912</v>
      </c>
      <c r="G3976" s="1" t="s">
        <v>19913</v>
      </c>
      <c r="H3976" s="1" t="str">
        <f>IFERROR(__xludf.DUMMYFUNCTION("GOOGLETRANSLATE(D3976,""EN"",""JA"")"),"P波の持続時間、1拍")</f>
        <v>P波の持続時間、1拍</v>
      </c>
      <c r="I3976" s="1" t="str">
        <f>IFERROR(__xludf.DUMMYFUNCTION("GOOGLETRANSLATE(E3976,""EN"",""JA"")"),"P波の持続時間、1拍")</f>
        <v>P波の持続時間、1拍</v>
      </c>
      <c r="J3976" s="1" t="str">
        <f>IFERROR(__xludf.DUMMYFUNCTION("GOOGLETRANSLATE(F3976,""EN"",""JA"")"),"1 つ以上のリードを使用して、単一拍動の P 波の開始から P 波の終了まで測定された心電図間隔。")</f>
        <v>1 つ以上のリードを使用して、単一拍動の P 波の開始から P 波の終了まで測定された心電図間隔。</v>
      </c>
      <c r="K3976" s="1" t="str">
        <f>IFERROR(__xludf.DUMMYFUNCTION("GOOGLETRANSLATE(G3976,""EN"",""JA"")"),"単拍P波持続時間")</f>
        <v>単拍P波持続時間</v>
      </c>
    </row>
    <row r="3977" ht="13.5" customHeight="1">
      <c r="A3977" s="1" t="s">
        <v>1168</v>
      </c>
      <c r="B3977" s="1" t="s">
        <v>19914</v>
      </c>
      <c r="C3977" s="1" t="s">
        <v>19915</v>
      </c>
      <c r="D3977" s="1" t="s">
        <v>19916</v>
      </c>
      <c r="E3977" s="1" t="s">
        <v>19916</v>
      </c>
      <c r="F3977" s="1" t="s">
        <v>19917</v>
      </c>
      <c r="G3977" s="1" t="s">
        <v>19918</v>
      </c>
      <c r="H3977" s="1" t="str">
        <f>IFERROR(__xludf.DUMMYFUNCTION("GOOGLETRANSLATE(D3977,""EN"",""JA"")"),"P波振幅、全体")</f>
        <v>P波振幅、全体</v>
      </c>
      <c r="I3977" s="1" t="str">
        <f>IFERROR(__xludf.DUMMYFUNCTION("GOOGLETRANSLATE(E3977,""EN"",""JA"")"),"P波振幅、全体")</f>
        <v>P波振幅、全体</v>
      </c>
      <c r="J3977" s="1" t="str">
        <f>IFERROR(__xludf.DUMMYFUNCTION("GOOGLETRANSLATE(F3977,""EN"",""JA"")"),"単一の心電図における複数の心拍のP波振幅の測定に基づく、P波振幅の集計値。集計方法は様々ですが、通常は平均値などの中心傾向を示す指標が用いられます。")</f>
        <v>単一の心電図における複数の心拍のP波振幅の測定に基づく、P波振幅の集計値。集計方法は様々ですが、通常は平均値などの中心傾向を示す指標が用いられます。</v>
      </c>
      <c r="K3977" s="1" t="str">
        <f>IFERROR(__xludf.DUMMYFUNCTION("GOOGLETRANSLATE(G3977,""EN"",""JA"")"),"総P波振幅")</f>
        <v>総P波振幅</v>
      </c>
    </row>
    <row r="3978" ht="13.5" customHeight="1">
      <c r="A3978" s="1" t="s">
        <v>1168</v>
      </c>
      <c r="B3978" s="1" t="s">
        <v>19919</v>
      </c>
      <c r="C3978" s="1" t="s">
        <v>19920</v>
      </c>
      <c r="D3978" s="1" t="s">
        <v>19921</v>
      </c>
      <c r="E3978" s="1" t="s">
        <v>19921</v>
      </c>
      <c r="F3978" s="1" t="s">
        <v>19922</v>
      </c>
      <c r="G3978" s="1" t="s">
        <v>19923</v>
      </c>
      <c r="H3978" s="1" t="str">
        <f>IFERROR(__xludf.DUMMYFUNCTION("GOOGLETRANSLATE(D3978,""EN"",""JA"")"),"P波振幅、1拍")</f>
        <v>P波振幅、1拍</v>
      </c>
      <c r="I3978" s="1" t="str">
        <f>IFERROR(__xludf.DUMMYFUNCTION("GOOGLETRANSLATE(E3978,""EN"",""JA"")"),"P波振幅、1拍")</f>
        <v>P波振幅、1拍</v>
      </c>
      <c r="J3978" s="1" t="str">
        <f>IFERROR(__xludf.DUMMYFUNCTION("GOOGLETRANSLATE(F3978,""EN"",""JA"")"),"心電図において、1回または複数回の誘導を用いて、等電位基線からP波のピークまでのP波の平均振幅（通常はmm単位）を測定する。記録ゲインに基づいて、この測定値は")</f>
        <v>心電図において、1回または複数回の誘導を用いて、等電位基線からP波のピークまでのP波の平均振幅（通常はmm単位）を測定する。記録ゲインに基づいて、この測定値は</v>
      </c>
      <c r="K3978" s="1" t="str">
        <f>IFERROR(__xludf.DUMMYFUNCTION("GOOGLETRANSLATE(G3978,""EN"",""JA"")"),"単拍P波振幅")</f>
        <v>単拍P波振幅</v>
      </c>
    </row>
    <row r="3979" ht="13.5" customHeight="1">
      <c r="A3979" s="1" t="s">
        <v>90</v>
      </c>
      <c r="B3979" s="1" t="s">
        <v>19924</v>
      </c>
      <c r="C3979" s="1" t="s">
        <v>19925</v>
      </c>
      <c r="D3979" s="1" t="s">
        <v>19926</v>
      </c>
      <c r="E3979" s="1" t="s">
        <v>19926</v>
      </c>
      <c r="F3979" s="1" t="s">
        <v>19927</v>
      </c>
      <c r="G3979" s="1" t="s">
        <v>19926</v>
      </c>
      <c r="H3979" s="1" t="str">
        <f>IFERROR(__xludf.DUMMYFUNCTION("GOOGLETRANSLATE(D3979,""EN"",""JA"")"),"脈波伝播速度")</f>
        <v>脈波伝播速度</v>
      </c>
      <c r="I3979" s="1" t="str">
        <f>IFERROR(__xludf.DUMMYFUNCTION("GOOGLETRANSLATE(E3979,""EN"",""JA"")"),"脈波伝播速度")</f>
        <v>脈波伝播速度</v>
      </c>
      <c r="J3979" s="1" t="str">
        <f>IFERROR(__xludf.DUMMYFUNCTION("GOOGLETRANSLATE(F3979,""EN"",""JA"")"),"単位時間あたりに心室駆出圧力波のピークが移動する距離。")</f>
        <v>単位時間あたりに心室駆出圧力波のピークが移動する距離。</v>
      </c>
      <c r="K3979" s="1" t="str">
        <f>IFERROR(__xludf.DUMMYFUNCTION("GOOGLETRANSLATE(G3979,""EN"",""JA"")"),"脈波伝播速度")</f>
        <v>脈波伝播速度</v>
      </c>
    </row>
    <row r="3980" ht="13.5" customHeight="1">
      <c r="A3980" s="1" t="s">
        <v>11</v>
      </c>
      <c r="B3980" s="1" t="s">
        <v>19928</v>
      </c>
      <c r="C3980" s="1" t="s">
        <v>19929</v>
      </c>
      <c r="D3980" s="1" t="s">
        <v>19930</v>
      </c>
      <c r="E3980" s="1" t="s">
        <v>19930</v>
      </c>
      <c r="F3980" s="1" t="s">
        <v>19931</v>
      </c>
      <c r="G3980" s="1" t="s">
        <v>19932</v>
      </c>
      <c r="H3980" s="1" t="str">
        <f>IFERROR(__xludf.DUMMYFUNCTION("GOOGLETRANSLATE(D3980,""EN"",""JA"")"),"ピリジノリン/クレアチニン")</f>
        <v>ピリジノリン/クレアチニン</v>
      </c>
      <c r="I3980" s="1" t="str">
        <f>IFERROR(__xludf.DUMMYFUNCTION("GOOGLETRANSLATE(E3980,""EN"",""JA"")"),"ピリジノリン/クレアチニン")</f>
        <v>ピリジノリン/クレアチニン</v>
      </c>
      <c r="J3980" s="1" t="str">
        <f>IFERROR(__xludf.DUMMYFUNCTION("GOOGLETRANSLATE(F3980,""EN"",""JA"")"),"生物標本中のピリジノリンとクレアチニンの相対的な測定値（比率またはパーセンテージ）。")</f>
        <v>生物標本中のピリジノリンとクレアチニンの相対的な測定値（比率またはパーセンテージ）。</v>
      </c>
      <c r="K3980" s="1" t="str">
        <f>IFERROR(__xludf.DUMMYFUNCTION("GOOGLETRANSLATE(G3980,""EN"",""JA"")"),"ピリジノリン対クレアチニン比測定")</f>
        <v>ピリジノリン対クレアチニン比測定</v>
      </c>
    </row>
    <row r="3981" ht="13.5" customHeight="1">
      <c r="A3981" s="1" t="s">
        <v>11</v>
      </c>
      <c r="B3981" s="1" t="s">
        <v>19933</v>
      </c>
      <c r="C3981" s="1" t="s">
        <v>19934</v>
      </c>
      <c r="D3981" s="1" t="s">
        <v>19935</v>
      </c>
      <c r="E3981" s="1" t="s">
        <v>19936</v>
      </c>
      <c r="F3981" s="1" t="s">
        <v>19937</v>
      </c>
      <c r="G3981" s="1" t="s">
        <v>19938</v>
      </c>
      <c r="H3981" s="1" t="str">
        <f>IFERROR(__xludf.DUMMYFUNCTION("GOOGLETRANSLATE(D3981,""EN"",""JA"")"),"ピルビン酸キナーゼ")</f>
        <v>ピルビン酸キナーゼ</v>
      </c>
      <c r="I3981" s="1" t="str">
        <f>IFERROR(__xludf.DUMMYFUNCTION("GOOGLETRANSLATE(E3981,""EN"",""JA"")"),"PK; ピルビン酸キナーゼ")</f>
        <v>PK; ピルビン酸キナーゼ</v>
      </c>
      <c r="J3981" s="1" t="str">
        <f>IFERROR(__xludf.DUMMYFUNCTION("GOOGLETRANSLATE(F3981,""EN"",""JA"")"),"生物標本中の総ピルビン酸キナーゼの測定。")</f>
        <v>生物標本中の総ピルビン酸キナーゼの測定。</v>
      </c>
      <c r="K3981" s="1" t="str">
        <f>IFERROR(__xludf.DUMMYFUNCTION("GOOGLETRANSLATE(G3981,""EN"",""JA"")"),"ピルビン酸キナーゼ測定")</f>
        <v>ピルビン酸キナーゼ測定</v>
      </c>
    </row>
    <row r="3982" ht="13.5" customHeight="1">
      <c r="A3982" s="1" t="s">
        <v>134</v>
      </c>
      <c r="B3982" s="1" t="s">
        <v>19939</v>
      </c>
      <c r="C3982" s="1" t="s">
        <v>19940</v>
      </c>
      <c r="D3982" s="1" t="s">
        <v>19941</v>
      </c>
      <c r="E3982" s="1" t="s">
        <v>19942</v>
      </c>
      <c r="F3982" s="1" t="s">
        <v>19943</v>
      </c>
      <c r="G3982" s="1" t="s">
        <v>19944</v>
      </c>
      <c r="H3982" s="1" t="str">
        <f>IFERROR(__xludf.DUMMYFUNCTION("GOOGLETRANSLATE(D3982,""EN"",""JA"")"),"ピクノティック細胞")</f>
        <v>ピクノティック細胞</v>
      </c>
      <c r="I3982" s="1" t="str">
        <f>IFERROR(__xludf.DUMMYFUNCTION("GOOGLETRANSLATE(E3982,""EN"",""JA"")"),"核濃縮細胞; 核濃縮細胞")</f>
        <v>核濃縮細胞; 核濃縮細胞</v>
      </c>
      <c r="J3982" s="1" t="str">
        <f>IFERROR(__xludf.DUMMYFUNCTION("GOOGLETRANSLATE(F3982,""EN"",""JA"")"),"生物標本内の濃縮細胞の測定。")</f>
        <v>生物標本内の濃縮細胞の測定。</v>
      </c>
      <c r="K3982" s="1" t="str">
        <f>IFERROR(__xludf.DUMMYFUNCTION("GOOGLETRANSLATE(G3982,""EN"",""JA"")"),"ピクノティック細胞数")</f>
        <v>ピクノティック細胞数</v>
      </c>
    </row>
    <row r="3983" ht="13.5" customHeight="1">
      <c r="A3983" s="1" t="s">
        <v>11</v>
      </c>
      <c r="B3983" s="1" t="s">
        <v>19939</v>
      </c>
      <c r="C3983" s="1" t="s">
        <v>19940</v>
      </c>
      <c r="D3983" s="1" t="s">
        <v>19941</v>
      </c>
      <c r="E3983" s="1" t="s">
        <v>19942</v>
      </c>
      <c r="F3983" s="1" t="s">
        <v>19943</v>
      </c>
      <c r="G3983" s="1" t="s">
        <v>19944</v>
      </c>
      <c r="H3983" s="1" t="str">
        <f>IFERROR(__xludf.DUMMYFUNCTION("GOOGLETRANSLATE(D3983,""EN"",""JA"")"),"ピクノティック細胞")</f>
        <v>ピクノティック細胞</v>
      </c>
      <c r="I3983" s="1" t="str">
        <f>IFERROR(__xludf.DUMMYFUNCTION("GOOGLETRANSLATE(E3983,""EN"",""JA"")"),"核濃縮細胞; 核濃縮細胞")</f>
        <v>核濃縮細胞; 核濃縮細胞</v>
      </c>
      <c r="J3983" s="1" t="str">
        <f>IFERROR(__xludf.DUMMYFUNCTION("GOOGLETRANSLATE(F3983,""EN"",""JA"")"),"生物標本内の濃縮細胞の測定。")</f>
        <v>生物標本内の濃縮細胞の測定。</v>
      </c>
      <c r="K3983" s="1" t="str">
        <f>IFERROR(__xludf.DUMMYFUNCTION("GOOGLETRANSLATE(G3983,""EN"",""JA"")"),"ピクノティック細胞数")</f>
        <v>ピクノティック細胞数</v>
      </c>
    </row>
    <row r="3984" ht="13.5" customHeight="1">
      <c r="A3984" s="1" t="s">
        <v>11</v>
      </c>
      <c r="B3984" s="1" t="s">
        <v>19945</v>
      </c>
      <c r="C3984" s="1" t="s">
        <v>19946</v>
      </c>
      <c r="D3984" s="1" t="s">
        <v>19947</v>
      </c>
      <c r="E3984" s="1" t="s">
        <v>19947</v>
      </c>
      <c r="F3984" s="1" t="s">
        <v>19948</v>
      </c>
      <c r="G3984" s="1" t="s">
        <v>19949</v>
      </c>
      <c r="H3984" s="1" t="str">
        <f>IFERROR(__xludf.DUMMYFUNCTION("GOOGLETRANSLATE(D3984,""EN"",""JA"")"),"膿皮細胞")</f>
        <v>膿皮細胞</v>
      </c>
      <c r="I3984" s="1" t="str">
        <f>IFERROR(__xludf.DUMMYFUNCTION("GOOGLETRANSLATE(E3984,""EN"",""JA"")"),"膿皮細胞")</f>
        <v>膿皮細胞</v>
      </c>
      <c r="J3984" s="1" t="str">
        <f>IFERROR(__xludf.DUMMYFUNCTION("GOOGLETRANSLATE(F3984,""EN"",""JA"")"),"生物標本中の膿皮細胞の測定。")</f>
        <v>生物標本中の膿皮細胞の測定。</v>
      </c>
      <c r="K3984" s="1" t="str">
        <f>IFERROR(__xludf.DUMMYFUNCTION("GOOGLETRANSLATE(G3984,""EN"",""JA"")"),"膿皮細胞測定")</f>
        <v>膿皮細胞測定</v>
      </c>
    </row>
    <row r="3985" ht="13.5" customHeight="1">
      <c r="A3985" s="1" t="s">
        <v>11</v>
      </c>
      <c r="B3985" s="1" t="s">
        <v>19950</v>
      </c>
      <c r="C3985" s="1" t="s">
        <v>19951</v>
      </c>
      <c r="D3985" s="1" t="s">
        <v>19952</v>
      </c>
      <c r="E3985" s="1" t="s">
        <v>19952</v>
      </c>
      <c r="F3985" s="1" t="s">
        <v>19953</v>
      </c>
      <c r="G3985" s="1" t="s">
        <v>19954</v>
      </c>
      <c r="H3985" s="1" t="str">
        <f>IFERROR(__xludf.DUMMYFUNCTION("GOOGLETRANSLATE(D3985,""EN"",""JA"")"),"ピリジノリン")</f>
        <v>ピリジノリン</v>
      </c>
      <c r="I3985" s="1" t="str">
        <f>IFERROR(__xludf.DUMMYFUNCTION("GOOGLETRANSLATE(E3985,""EN"",""JA"")"),"ピリジノリン")</f>
        <v>ピリジノリン</v>
      </c>
      <c r="J3985" s="1" t="str">
        <f>IFERROR(__xludf.DUMMYFUNCTION("GOOGLETRANSLATE(F3985,""EN"",""JA"")"),"生物標本中のピリジノリンの測定。")</f>
        <v>生物標本中のピリジノリンの測定。</v>
      </c>
      <c r="K3985" s="1" t="str">
        <f>IFERROR(__xludf.DUMMYFUNCTION("GOOGLETRANSLATE(G3985,""EN"",""JA"")"),"ピリジノリン測定")</f>
        <v>ピリジノリン測定</v>
      </c>
    </row>
    <row r="3986" ht="13.5" customHeight="1">
      <c r="A3986" s="1" t="s">
        <v>11</v>
      </c>
      <c r="B3986" s="1" t="s">
        <v>19955</v>
      </c>
      <c r="C3986" s="1" t="s">
        <v>19956</v>
      </c>
      <c r="D3986" s="1" t="s">
        <v>19957</v>
      </c>
      <c r="E3986" s="1" t="s">
        <v>19957</v>
      </c>
      <c r="F3986" s="1" t="s">
        <v>19958</v>
      </c>
      <c r="G3986" s="1" t="s">
        <v>19959</v>
      </c>
      <c r="H3986" s="1" t="str">
        <f>IFERROR(__xludf.DUMMYFUNCTION("GOOGLETRANSLATE(D3986,""EN"",""JA"")"),"ピロバレロン")</f>
        <v>ピロバレロン</v>
      </c>
      <c r="I3986" s="1" t="str">
        <f>IFERROR(__xludf.DUMMYFUNCTION("GOOGLETRANSLATE(E3986,""EN"",""JA"")"),"ピロバレロン")</f>
        <v>ピロバレロン</v>
      </c>
      <c r="J3986" s="1" t="str">
        <f>IFERROR(__xludf.DUMMYFUNCTION("GOOGLETRANSLATE(F3986,""EN"",""JA"")"),"生物標本中のピロバレロンの測定。")</f>
        <v>生物標本中のピロバレロンの測定。</v>
      </c>
      <c r="K3986" s="1" t="str">
        <f>IFERROR(__xludf.DUMMYFUNCTION("GOOGLETRANSLATE(G3986,""EN"",""JA"")"),"ピロバレロン測定")</f>
        <v>ピロバレロン測定</v>
      </c>
    </row>
    <row r="3987" ht="13.5" customHeight="1">
      <c r="A3987" s="1" t="s">
        <v>11</v>
      </c>
      <c r="B3987" s="1" t="s">
        <v>19960</v>
      </c>
      <c r="C3987" s="1" t="s">
        <v>19961</v>
      </c>
      <c r="D3987" s="1" t="s">
        <v>19962</v>
      </c>
      <c r="E3987" s="1" t="s">
        <v>19963</v>
      </c>
      <c r="F3987" s="1" t="s">
        <v>19964</v>
      </c>
      <c r="G3987" s="1" t="s">
        <v>19965</v>
      </c>
      <c r="H3987" s="1" t="str">
        <f>IFERROR(__xludf.DUMMYFUNCTION("GOOGLETRANSLATE(D3987,""EN"",""JA"")"),"ピルビン酸")</f>
        <v>ピルビン酸</v>
      </c>
      <c r="I3987" s="1" t="str">
        <f>IFERROR(__xludf.DUMMYFUNCTION("GOOGLETRANSLATE(E3987,""EN"",""JA"")"),"ピルビン酸")</f>
        <v>ピルビン酸</v>
      </c>
      <c r="J3987" s="1" t="str">
        <f>IFERROR(__xludf.DUMMYFUNCTION("GOOGLETRANSLATE(F3987,""EN"",""JA"")"),"生物標本中のピルビン酸の測定。")</f>
        <v>生物標本中のピルビン酸の測定。</v>
      </c>
      <c r="K3987" s="1" t="str">
        <f>IFERROR(__xludf.DUMMYFUNCTION("GOOGLETRANSLATE(G3987,""EN"",""JA"")"),"ピルビン酸測定")</f>
        <v>ピルビン酸測定</v>
      </c>
    </row>
    <row r="3988" ht="13.5" customHeight="1">
      <c r="A3988" s="1" t="s">
        <v>134</v>
      </c>
      <c r="B3988" s="1" t="s">
        <v>19966</v>
      </c>
      <c r="C3988" s="1" t="s">
        <v>19967</v>
      </c>
      <c r="D3988" s="1" t="s">
        <v>19968</v>
      </c>
      <c r="E3988" s="1" t="s">
        <v>19968</v>
      </c>
      <c r="F3988" s="1" t="s">
        <v>19969</v>
      </c>
      <c r="G3988" s="1" t="s">
        <v>19970</v>
      </c>
      <c r="H3988" s="1" t="str">
        <f>IFERROR(__xludf.DUMMYFUNCTION("GOOGLETRANSLATE(D3988,""EN"",""JA"")"),"多糖類と粘液物質")</f>
        <v>多糖類と粘液物質</v>
      </c>
      <c r="I3988" s="1" t="str">
        <f>IFERROR(__xludf.DUMMYFUNCTION("GOOGLETRANSLATE(E3988,""EN"",""JA"")"),"多糖類と粘液物質")</f>
        <v>多糖類と粘液物質</v>
      </c>
      <c r="J3988" s="1" t="str">
        <f>IFERROR(__xludf.DUMMYFUNCTION("GOOGLETRANSLATE(F3988,""EN"",""JA"")"),"生物標本中の多糖類および粘液物質の測定。")</f>
        <v>生物標本中の多糖類および粘液物質の測定。</v>
      </c>
      <c r="K3988" s="1" t="str">
        <f>IFERROR(__xludf.DUMMYFUNCTION("GOOGLETRANSLATE(G3988,""EN"",""JA"")"),"多糖類および粘液物質の測定")</f>
        <v>多糖類および粘液物質の測定</v>
      </c>
    </row>
    <row r="3989" ht="13.5" customHeight="1">
      <c r="A3989" s="1" t="s">
        <v>11</v>
      </c>
      <c r="B3989" s="1" t="s">
        <v>19971</v>
      </c>
      <c r="C3989" s="1" t="s">
        <v>19972</v>
      </c>
      <c r="D3989" s="1" t="s">
        <v>19973</v>
      </c>
      <c r="E3989" s="1" t="s">
        <v>19974</v>
      </c>
      <c r="F3989" s="1" t="s">
        <v>19975</v>
      </c>
      <c r="G3989" s="1" t="s">
        <v>19976</v>
      </c>
      <c r="H3989" s="1" t="str">
        <f>IFERROR(__xludf.DUMMYFUNCTION("GOOGLETRANSLATE(D3989,""EN"",""JA"")"),"ペプチドYY")</f>
        <v>ペプチドYY</v>
      </c>
      <c r="I3989" s="1" t="str">
        <f>IFERROR(__xludf.DUMMYFUNCTION("GOOGLETRANSLATE(E3989,""EN"",""JA"")"),"ペプチドチロシンチロシン; ペプチドYY")</f>
        <v>ペプチドチロシンチロシン; ペプチドYY</v>
      </c>
      <c r="J3989" s="1" t="str">
        <f>IFERROR(__xludf.DUMMYFUNCTION("GOOGLETRANSLATE(F3989,""EN"",""JA"")"),"生物標本中のペプチド YY の測定。")</f>
        <v>生物標本中のペプチド YY の測定。</v>
      </c>
      <c r="K3989" s="1" t="str">
        <f>IFERROR(__xludf.DUMMYFUNCTION("GOOGLETRANSLATE(G3989,""EN"",""JA"")"),"ペプチドYY測定")</f>
        <v>ペプチドYY測定</v>
      </c>
    </row>
    <row r="3990" ht="13.5" customHeight="1">
      <c r="A3990" s="1" t="s">
        <v>1168</v>
      </c>
      <c r="B3990" s="1" t="s">
        <v>19977</v>
      </c>
      <c r="C3990" s="1" t="s">
        <v>19978</v>
      </c>
      <c r="D3990" s="1" t="s">
        <v>19979</v>
      </c>
      <c r="E3990" s="1" t="s">
        <v>19979</v>
      </c>
      <c r="F3990" s="1" t="s">
        <v>19980</v>
      </c>
      <c r="G3990" s="1" t="s">
        <v>19979</v>
      </c>
      <c r="H3990" s="1" t="str">
        <f>IFERROR(__xludf.DUMMYFUNCTION("GOOGLETRANSLATE(D3990,""EN"",""JA"")"),"QRS軸")</f>
        <v>QRS軸</v>
      </c>
      <c r="I3990" s="1" t="str">
        <f>IFERROR(__xludf.DUMMYFUNCTION("GOOGLETRANSLATE(E3990,""EN"",""JA"")"),"QRS軸")</f>
        <v>QRS軸</v>
      </c>
      <c r="J3990" s="1" t="str">
        <f>IFERROR(__xludf.DUMMYFUNCTION("GOOGLETRANSLATE(F3990,""EN"",""JA"")"),"等電位ベースラインからの QRS 複合体の最大偏差で評価された心電図ベクトルの数値表現。通常は前頭部面で報告されます。")</f>
        <v>等電位ベースラインからの QRS 複合体の最大偏差で評価された心電図ベクトルの数値表現。通常は前頭部面で報告されます。</v>
      </c>
      <c r="K3990" s="1" t="str">
        <f>IFERROR(__xludf.DUMMYFUNCTION("GOOGLETRANSLATE(G3990,""EN"",""JA"")"),"QRS軸")</f>
        <v>QRS軸</v>
      </c>
    </row>
    <row r="3991" ht="13.5" customHeight="1">
      <c r="A3991" s="1" t="s">
        <v>1168</v>
      </c>
      <c r="B3991" s="1" t="s">
        <v>19981</v>
      </c>
      <c r="C3991" s="1" t="s">
        <v>19982</v>
      </c>
      <c r="D3991" s="1" t="s">
        <v>19983</v>
      </c>
      <c r="E3991" s="1" t="s">
        <v>19983</v>
      </c>
      <c r="F3991" s="1" t="s">
        <v>19984</v>
      </c>
      <c r="G3991" s="1" t="s">
        <v>19985</v>
      </c>
      <c r="H3991" s="1" t="str">
        <f>IFERROR(__xludf.DUMMYFUNCTION("GOOGLETRANSLATE(D3991,""EN"",""JA"")"),"QRS持続時間、合計")</f>
        <v>QRS持続時間、合計</v>
      </c>
      <c r="I3991" s="1" t="str">
        <f>IFERROR(__xludf.DUMMYFUNCTION("GOOGLETRANSLATE(E3991,""EN"",""JA"")"),"QRS持続時間、合計")</f>
        <v>QRS持続時間、合計</v>
      </c>
      <c r="J3991" s="1" t="str">
        <f>IFERROR(__xludf.DUMMYFUNCTION("GOOGLETRANSLATE(F3991,""EN"",""JA"")"),"単一の心電図における複数の心拍からのQRS間隔の測定に基づく集計QRS値。集計方法は様々ですが、通常は平均値などの中心傾向を示す指標が用いられます。")</f>
        <v>単一の心電図における複数の心拍からのQRS間隔の測定に基づく集計QRS値。集計方法は様々ですが、通常は平均値などの中心傾向を示す指標が用いられます。</v>
      </c>
      <c r="K3991" s="1" t="str">
        <f>IFERROR(__xludf.DUMMYFUNCTION("GOOGLETRANSLATE(G3991,""EN"",""JA"")"),"総QRS持続時間")</f>
        <v>総QRS持続時間</v>
      </c>
    </row>
    <row r="3992" ht="13.5" customHeight="1">
      <c r="A3992" s="1" t="s">
        <v>1168</v>
      </c>
      <c r="B3992" s="1" t="s">
        <v>19986</v>
      </c>
      <c r="C3992" s="1" t="s">
        <v>19987</v>
      </c>
      <c r="D3992" s="1" t="s">
        <v>19988</v>
      </c>
      <c r="E3992" s="1" t="s">
        <v>19988</v>
      </c>
      <c r="F3992" s="1" t="s">
        <v>19989</v>
      </c>
      <c r="G3992" s="1" t="s">
        <v>19990</v>
      </c>
      <c r="H3992" s="1" t="str">
        <f>IFERROR(__xludf.DUMMYFUNCTION("GOOGLETRANSLATE(D3992,""EN"",""JA"")"),"QRS持続時間、単一拍")</f>
        <v>QRS持続時間、単一拍</v>
      </c>
      <c r="I3992" s="1" t="str">
        <f>IFERROR(__xludf.DUMMYFUNCTION("GOOGLETRANSLATE(E3992,""EN"",""JA"")"),"QRS持続時間、単一拍")</f>
        <v>QRS持続時間、単一拍</v>
      </c>
      <c r="J3992" s="1" t="str">
        <f>IFERROR(__xludf.DUMMYFUNCTION("GOOGLETRANSLATE(F3992,""EN"",""JA"")"),"1 つ以上のリードを使用して、単一拍動の QRS 群の開始から QRS 群の終了まで測定された心電図間隔。")</f>
        <v>1 つ以上のリードを使用して、単一拍動の QRS 群の開始から QRS 群の終了まで測定された心電図間隔。</v>
      </c>
      <c r="K3992" s="1" t="str">
        <f>IFERROR(__xludf.DUMMYFUNCTION("GOOGLETRANSLATE(G3992,""EN"",""JA"")"),"単一心拍QRS持続時間")</f>
        <v>単一心拍QRS持続時間</v>
      </c>
    </row>
    <row r="3993" ht="13.5" customHeight="1">
      <c r="A3993" s="1" t="s">
        <v>1168</v>
      </c>
      <c r="B3993" s="1" t="s">
        <v>19991</v>
      </c>
      <c r="C3993" s="1" t="s">
        <v>19992</v>
      </c>
      <c r="D3993" s="1" t="s">
        <v>19993</v>
      </c>
      <c r="E3993" s="1" t="s">
        <v>19993</v>
      </c>
      <c r="F3993" s="1" t="s">
        <v>19994</v>
      </c>
      <c r="G3993" s="1" t="s">
        <v>19995</v>
      </c>
      <c r="H3993" s="1" t="str">
        <f>IFERROR(__xludf.DUMMYFUNCTION("GOOGLETRANSLATE(D3993,""EN"",""JA"")"),"QRS時間、心室ペーシング、合計")</f>
        <v>QRS時間、心室ペーシング、合計</v>
      </c>
      <c r="I3993" s="1" t="str">
        <f>IFERROR(__xludf.DUMMYFUNCTION("GOOGLETRANSLATE(E3993,""EN"",""JA"")"),"QRS時間、心室ペーシング、合計")</f>
        <v>QRS時間、心室ペーシング、合計</v>
      </c>
      <c r="J3993" s="1" t="str">
        <f>IFERROR(__xludf.DUMMYFUNCTION("GOOGLETRANSLATE(F3993,""EN"",""JA"")"),"単一心電図における複数拍のペースドQRS持続時間間隔の測定に基づく、ペースドQRS持続時間の集計値。集計方法は様々ですが、通常は平均値などの中心傾向を示す指標が用いられます。")</f>
        <v>単一心電図における複数拍のペースドQRS持続時間間隔の測定に基づく、ペースドQRS持続時間の集計値。集計方法は様々ですが、通常は平均値などの中心傾向を示す指標が用いられます。</v>
      </c>
      <c r="K3993" s="1" t="str">
        <f>IFERROR(__xludf.DUMMYFUNCTION("GOOGLETRANSLATE(G3993,""EN"",""JA"")"),"ペーシングされた心室集合QRS持続時間")</f>
        <v>ペーシングされた心室集合QRS持続時間</v>
      </c>
    </row>
    <row r="3994" ht="13.5" customHeight="1">
      <c r="A3994" s="1" t="s">
        <v>1168</v>
      </c>
      <c r="B3994" s="1" t="s">
        <v>19996</v>
      </c>
      <c r="C3994" s="1" t="s">
        <v>19997</v>
      </c>
      <c r="D3994" s="1" t="s">
        <v>19998</v>
      </c>
      <c r="E3994" s="1" t="s">
        <v>19998</v>
      </c>
      <c r="F3994" s="1" t="s">
        <v>19999</v>
      </c>
      <c r="G3994" s="1" t="s">
        <v>20000</v>
      </c>
      <c r="H3994" s="1" t="str">
        <f>IFERROR(__xludf.DUMMYFUNCTION("GOOGLETRANSLATE(D3994,""EN"",""JA"")"),"QRS持続時間、腹腔ペーシング、単一拍動")</f>
        <v>QRS持続時間、腹腔ペーシング、単一拍動</v>
      </c>
      <c r="I3994" s="1" t="str">
        <f>IFERROR(__xludf.DUMMYFUNCTION("GOOGLETRANSLATE(E3994,""EN"",""JA"")"),"QRS持続時間、腹腔ペーシング、単一拍動")</f>
        <v>QRS持続時間、腹腔ペーシング、単一拍動</v>
      </c>
      <c r="J3994" s="1" t="str">
        <f>IFERROR(__xludf.DUMMYFUNCTION("GOOGLETRANSLATE(F3994,""EN"",""JA"")"),"1 つ以上のリードを使用して、ペーシングされた QRS 複合体の開始から単一拍の QRS 複合体の終了まで測定された心電図間隔。")</f>
        <v>1 つ以上のリードを使用して、ペーシングされた QRS 複合体の開始から単一拍の QRS 複合体の終了まで測定された心電図間隔。</v>
      </c>
      <c r="K3994" s="1" t="str">
        <f>IFERROR(__xludf.DUMMYFUNCTION("GOOGLETRANSLATE(G3994,""EN"",""JA"")"),"ペーシングされた心室単拍QRS持続時間")</f>
        <v>ペーシングされた心室単拍QRS持続時間</v>
      </c>
    </row>
    <row r="3995" ht="13.5" customHeight="1">
      <c r="A3995" s="1" t="s">
        <v>1168</v>
      </c>
      <c r="B3995" s="1" t="s">
        <v>20001</v>
      </c>
      <c r="C3995" s="1" t="s">
        <v>20002</v>
      </c>
      <c r="D3995" s="1" t="s">
        <v>20003</v>
      </c>
      <c r="E3995" s="1" t="s">
        <v>20003</v>
      </c>
      <c r="F3995" s="1" t="s">
        <v>20004</v>
      </c>
      <c r="G3995" s="1" t="s">
        <v>20005</v>
      </c>
      <c r="H3995" s="1" t="str">
        <f>IFERROR(__xludf.DUMMYFUNCTION("GOOGLETRANSLATE(D3995,""EN"",""JA"")"),"QT間隔、集計")</f>
        <v>QT間隔、集計</v>
      </c>
      <c r="I3995" s="1" t="str">
        <f>IFERROR(__xludf.DUMMYFUNCTION("GOOGLETRANSLATE(E3995,""EN"",""JA"")"),"QT間隔、集計")</f>
        <v>QT間隔、集計</v>
      </c>
      <c r="J3995" s="1" t="str">
        <f>IFERROR(__xludf.DUMMYFUNCTION("GOOGLETRANSLATE(F3995,""EN"",""JA"")"),"1回の心電図における複数の心拍からのQT間隔の測定に基づく集計QT値。集計方法は様々ですが、通常は平均値などの中心傾向を示す指標が用いられます。")</f>
        <v>1回の心電図における複数の心拍からのQT間隔の測定に基づく集計QT値。集計方法は様々ですが、通常は平均値などの中心傾向を示す指標が用いられます。</v>
      </c>
      <c r="K3995" s="1" t="str">
        <f>IFERROR(__xludf.DUMMYFUNCTION("GOOGLETRANSLATE(G3995,""EN"",""JA"")"),"総QT間隔")</f>
        <v>総QT間隔</v>
      </c>
    </row>
    <row r="3996" ht="13.5" customHeight="1">
      <c r="A3996" s="1" t="s">
        <v>1168</v>
      </c>
      <c r="B3996" s="1" t="s">
        <v>20006</v>
      </c>
      <c r="C3996" s="1" t="s">
        <v>20007</v>
      </c>
      <c r="D3996" s="1" t="s">
        <v>20008</v>
      </c>
      <c r="E3996" s="1" t="s">
        <v>20008</v>
      </c>
      <c r="F3996" s="1" t="s">
        <v>20009</v>
      </c>
      <c r="G3996" s="1" t="s">
        <v>20010</v>
      </c>
      <c r="H3996" s="1" t="str">
        <f>IFERROR(__xludf.DUMMYFUNCTION("GOOGLETRANSLATE(D3996,""EN"",""JA"")"),"QTca間隔、集計")</f>
        <v>QTca間隔、集計</v>
      </c>
      <c r="I3996" s="1" t="str">
        <f>IFERROR(__xludf.DUMMYFUNCTION("GOOGLETRANSLATE(E3996,""EN"",""JA"")"),"QTca間隔、集計")</f>
        <v>QTca間隔、集計</v>
      </c>
      <c r="J3996" s="1" t="str">
        <f>IFERROR(__xludf.DUMMYFUNCTION("GOOGLETRANSLATE(F3996,""EN"",""JA"")"),"被験者ごとに個別の確率的QT/RR勾配を用いて心拍数補正されたQT集計間隔。これは、単一の心電図または連続心電図の期間内の複数の拍動から測定されたQT間隔に基づいている。")</f>
        <v>被験者ごとに個別の確率的QT/RR勾配を用いて心拍数補正されたQT集計間隔。これは、単一の心電図または連続心電図の期間内の複数の拍動から測定されたQT間隔に基づいている。</v>
      </c>
      <c r="K3996" s="1" t="str">
        <f>IFERROR(__xludf.DUMMYFUNCTION("GOOGLETRANSLATE(G3996,""EN"",""JA"")"),"総QTca間隔")</f>
        <v>総QTca間隔</v>
      </c>
    </row>
    <row r="3997" ht="13.5" customHeight="1">
      <c r="A3997" s="1" t="s">
        <v>1168</v>
      </c>
      <c r="B3997" s="1" t="s">
        <v>20011</v>
      </c>
      <c r="C3997" s="1" t="s">
        <v>20012</v>
      </c>
      <c r="D3997" s="1" t="s">
        <v>20013</v>
      </c>
      <c r="E3997" s="1" t="s">
        <v>20013</v>
      </c>
      <c r="F3997" s="1" t="s">
        <v>20014</v>
      </c>
      <c r="G3997" s="1" t="s">
        <v>20015</v>
      </c>
      <c r="H3997" s="1" t="str">
        <f>IFERROR(__xludf.DUMMYFUNCTION("GOOGLETRANSLATE(D3997,""EN"",""JA"")"),"QTca間隔、1拍")</f>
        <v>QTca間隔、1拍</v>
      </c>
      <c r="I3997" s="1" t="str">
        <f>IFERROR(__xludf.DUMMYFUNCTION("GOOGLETRANSLATE(E3997,""EN"",""JA"")"),"QTca間隔、1拍")</f>
        <v>QTca間隔、1拍</v>
      </c>
      <c r="J3997" s="1" t="str">
        <f>IFERROR(__xludf.DUMMYFUNCTION("GOOGLETRANSLATE(F3997,""EN"",""JA"")"),"1 つ以上の ECG リードを使用して 1 回の心拍で測定された QT 間隔に基づいて、各被験者の個別の確率的 QT/RR 勾配を使用して心拍数に対して補正された QT 間隔。")</f>
        <v>1 つ以上の ECG リードを使用して 1 回の心拍で測定された QT 間隔に基づいて、各被験者の個別の確率的 QT/RR 勾配を使用して心拍数に対して補正された QT 間隔。</v>
      </c>
      <c r="K3997" s="1" t="str">
        <f>IFERROR(__xludf.DUMMYFUNCTION("GOOGLETRANSLATE(G3997,""EN"",""JA"")"),"1心拍QTca間隔")</f>
        <v>1心拍QTca間隔</v>
      </c>
    </row>
    <row r="3998" ht="13.5" customHeight="1">
      <c r="A3998" s="1" t="s">
        <v>1168</v>
      </c>
      <c r="B3998" s="1" t="s">
        <v>20016</v>
      </c>
      <c r="C3998" s="1" t="s">
        <v>20017</v>
      </c>
      <c r="D3998" s="1" t="s">
        <v>20018</v>
      </c>
      <c r="E3998" s="1" t="s">
        <v>20018</v>
      </c>
      <c r="F3998" s="1" t="s">
        <v>20019</v>
      </c>
      <c r="G3998" s="1" t="s">
        <v>20020</v>
      </c>
      <c r="H3998" s="1" t="str">
        <f>IFERROR(__xludf.DUMMYFUNCTION("GOOGLETRANSLATE(D3998,""EN"",""JA"")"),"QTcB間隔、集計")</f>
        <v>QTcB間隔、集計</v>
      </c>
      <c r="I3998" s="1" t="str">
        <f>IFERROR(__xludf.DUMMYFUNCTION("GOOGLETRANSLATE(E3998,""EN"",""JA"")"),"QTcB間隔、集計")</f>
        <v>QTcB間隔、集計</v>
      </c>
      <c r="J3998" s="1" t="str">
        <f>IFERROR(__xludf.DUMMYFUNCTION("GOOGLETRANSLATE(F3998,""EN"",""JA"")"),"心電図内の複数の拍動から測定されたQT間隔に基づき、バゼットの式を用いて心拍数補正されたQT間隔の総計。集計方法は様々であるが、通常は中心傾向の尺度が用いられる。")</f>
        <v>心電図内の複数の拍動から測定されたQT間隔に基づき、バゼットの式を用いて心拍数補正されたQT間隔の総計。集計方法は様々であるが、通常は中心傾向の尺度が用いられる。</v>
      </c>
      <c r="K3998" s="1" t="str">
        <f>IFERROR(__xludf.DUMMYFUNCTION("GOOGLETRANSLATE(G3998,""EN"",""JA"")"),"総QTCB間隔")</f>
        <v>総QTCB間隔</v>
      </c>
    </row>
    <row r="3999" ht="13.5" customHeight="1">
      <c r="A3999" s="1" t="s">
        <v>1168</v>
      </c>
      <c r="B3999" s="1" t="s">
        <v>20021</v>
      </c>
      <c r="C3999" s="1" t="s">
        <v>20022</v>
      </c>
      <c r="D3999" s="1" t="s">
        <v>20023</v>
      </c>
      <c r="E3999" s="1" t="s">
        <v>20023</v>
      </c>
      <c r="F3999" s="1" t="s">
        <v>20024</v>
      </c>
      <c r="G3999" s="1" t="s">
        <v>20025</v>
      </c>
      <c r="H3999" s="1" t="str">
        <f>IFERROR(__xludf.DUMMYFUNCTION("GOOGLETRANSLATE(D3999,""EN"",""JA"")"),"QTcB間隔、1拍")</f>
        <v>QTcB間隔、1拍</v>
      </c>
      <c r="I3999" s="1" t="str">
        <f>IFERROR(__xludf.DUMMYFUNCTION("GOOGLETRANSLATE(E3999,""EN"",""JA"")"),"QTcB間隔、1拍")</f>
        <v>QTcB間隔、1拍</v>
      </c>
      <c r="J3999" s="1" t="str">
        <f>IFERROR(__xludf.DUMMYFUNCTION("GOOGLETRANSLATE(F3999,""EN"",""JA"")"),"1 つ以上の ECG リードを使用して単一拍で測定された QT 間隔に基づき、Bazett の式を使用して心拍数に合わせて補正された単一 QT 間隔。")</f>
        <v>1 つ以上の ECG リードを使用して単一拍で測定された QT 間隔に基づき、Bazett の式を使用して心拍数に合わせて補正された単一 QT 間隔。</v>
      </c>
      <c r="K3999" s="1" t="str">
        <f>IFERROR(__xludf.DUMMYFUNCTION("GOOGLETRANSLATE(G3999,""EN"",""JA"")"),"1拍QTCB間隔")</f>
        <v>1拍QTCB間隔</v>
      </c>
    </row>
    <row r="4000" ht="13.5" customHeight="1">
      <c r="A4000" s="1" t="s">
        <v>1168</v>
      </c>
      <c r="B4000" s="1" t="s">
        <v>20026</v>
      </c>
      <c r="C4000" s="1" t="s">
        <v>20027</v>
      </c>
      <c r="D4000" s="1" t="s">
        <v>20028</v>
      </c>
      <c r="E4000" s="1" t="s">
        <v>20028</v>
      </c>
      <c r="F4000" s="1" t="s">
        <v>20029</v>
      </c>
      <c r="G4000" s="1" t="s">
        <v>20030</v>
      </c>
      <c r="H4000" s="1" t="str">
        <f>IFERROR(__xludf.DUMMYFUNCTION("GOOGLETRANSLATE(D4000,""EN"",""JA"")"),"QTcF間隔、集計")</f>
        <v>QTcF間隔、集計</v>
      </c>
      <c r="I4000" s="1" t="str">
        <f>IFERROR(__xludf.DUMMYFUNCTION("GOOGLETRANSLATE(E4000,""EN"",""JA"")"),"QTcF間隔、集計")</f>
        <v>QTcF間隔、集計</v>
      </c>
      <c r="J4000" s="1" t="str">
        <f>IFERROR(__xludf.DUMMYFUNCTION("GOOGLETRANSLATE(F4000,""EN"",""JA"")"),"単一の心電図における複数の心拍からのQT間隔の測定に基づき、Fridericiaの式を用いて心拍数補正されたQT間隔の総計。集計方法は様々であるが、通常は中心傾向の尺度が用いられる。")</f>
        <v>単一の心電図における複数の心拍からのQT間隔の測定に基づき、Fridericiaの式を用いて心拍数補正されたQT間隔の総計。集計方法は様々であるが、通常は中心傾向の尺度が用いられる。</v>
      </c>
      <c r="K4000" s="1" t="str">
        <f>IFERROR(__xludf.DUMMYFUNCTION("GOOGLETRANSLATE(G4000,""EN"",""JA"")"),"総QTCF間隔")</f>
        <v>総QTCF間隔</v>
      </c>
    </row>
    <row r="4001" ht="13.5" customHeight="1">
      <c r="A4001" s="1" t="s">
        <v>1168</v>
      </c>
      <c r="B4001" s="1" t="s">
        <v>20031</v>
      </c>
      <c r="C4001" s="1" t="s">
        <v>20032</v>
      </c>
      <c r="D4001" s="1" t="s">
        <v>20033</v>
      </c>
      <c r="E4001" s="1" t="s">
        <v>20033</v>
      </c>
      <c r="F4001" s="1" t="s">
        <v>20034</v>
      </c>
      <c r="G4001" s="1" t="s">
        <v>20035</v>
      </c>
      <c r="H4001" s="1" t="str">
        <f>IFERROR(__xludf.DUMMYFUNCTION("GOOGLETRANSLATE(D4001,""EN"",""JA"")"),"QTcF間隔、1拍")</f>
        <v>QTcF間隔、1拍</v>
      </c>
      <c r="I4001" s="1" t="str">
        <f>IFERROR(__xludf.DUMMYFUNCTION("GOOGLETRANSLATE(E4001,""EN"",""JA"")"),"QTcF間隔、1拍")</f>
        <v>QTcF間隔、1拍</v>
      </c>
      <c r="J4001" s="1" t="str">
        <f>IFERROR(__xludf.DUMMYFUNCTION("GOOGLETRANSLATE(F4001,""EN"",""JA"")"),"1 つ以上の ECG リードを使用して単一心拍で測定された QT 間隔に基づき、Fridericia の式を使用して心拍数に合わせて補正された QT 単一心拍間隔。")</f>
        <v>1 つ以上の ECG リードを使用して単一心拍で測定された QT 間隔に基づき、Fridericia の式を使用して心拍数に合わせて補正された QT 単一心拍間隔。</v>
      </c>
      <c r="K4001" s="1" t="str">
        <f>IFERROR(__xludf.DUMMYFUNCTION("GOOGLETRANSLATE(G4001,""EN"",""JA"")"),"1拍QTCF間隔")</f>
        <v>1拍QTCF間隔</v>
      </c>
    </row>
    <row r="4002" ht="13.5" customHeight="1">
      <c r="A4002" s="1" t="s">
        <v>1168</v>
      </c>
      <c r="B4002" s="1" t="s">
        <v>20036</v>
      </c>
      <c r="C4002" s="1" t="s">
        <v>20037</v>
      </c>
      <c r="D4002" s="1" t="s">
        <v>20038</v>
      </c>
      <c r="E4002" s="1" t="s">
        <v>20038</v>
      </c>
      <c r="F4002" s="1" t="s">
        <v>20039</v>
      </c>
      <c r="G4002" s="1" t="s">
        <v>20040</v>
      </c>
      <c r="H4002" s="1" t="str">
        <f>IFERROR(__xludf.DUMMYFUNCTION("GOOGLETRANSLATE(D4002,""EN"",""JA"")"),"QTcL間隔、集計")</f>
        <v>QTcL間隔、集計</v>
      </c>
      <c r="I4002" s="1" t="str">
        <f>IFERROR(__xludf.DUMMYFUNCTION("GOOGLETRANSLATE(E4002,""EN"",""JA"")"),"QTcL間隔、集計")</f>
        <v>QTcL間隔、集計</v>
      </c>
      <c r="J4002" s="1" t="str">
        <f>IFERROR(__xludf.DUMMYFUNCTION("GOOGLETRANSLATE(F4002,""EN"",""JA"")"),"線形補正式を使用して心拍数に合わせて補正された QT 集計間隔。")</f>
        <v>線形補正式を使用して心拍数に合わせて補正された QT 集計間隔。</v>
      </c>
      <c r="K4002" s="1" t="str">
        <f>IFERROR(__xludf.DUMMYFUNCTION("GOOGLETRANSLATE(G4002,""EN"",""JA"")"),"総QTcL間隔")</f>
        <v>総QTcL間隔</v>
      </c>
    </row>
    <row r="4003" ht="13.5" customHeight="1">
      <c r="A4003" s="1" t="s">
        <v>1168</v>
      </c>
      <c r="B4003" s="1" t="s">
        <v>20041</v>
      </c>
      <c r="C4003" s="1" t="s">
        <v>20042</v>
      </c>
      <c r="D4003" s="1" t="s">
        <v>20043</v>
      </c>
      <c r="E4003" s="1" t="s">
        <v>20043</v>
      </c>
      <c r="F4003" s="1" t="s">
        <v>20044</v>
      </c>
      <c r="G4003" s="1" t="s">
        <v>20045</v>
      </c>
      <c r="H4003" s="1" t="str">
        <f>IFERROR(__xludf.DUMMYFUNCTION("GOOGLETRANSLATE(D4003,""EN"",""JA"")"),"QTcL間隔、1拍")</f>
        <v>QTcL間隔、1拍</v>
      </c>
      <c r="I4003" s="1" t="str">
        <f>IFERROR(__xludf.DUMMYFUNCTION("GOOGLETRANSLATE(E4003,""EN"",""JA"")"),"QTcL間隔、1拍")</f>
        <v>QTcL間隔、1拍</v>
      </c>
      <c r="J4003" s="1" t="str">
        <f>IFERROR(__xludf.DUMMYFUNCTION("GOOGLETRANSLATE(F4003,""EN"",""JA"")"),"線形補正式を使用して心拍数を補正した QT 単一拍動間隔。")</f>
        <v>線形補正式を使用して心拍数を補正した QT 単一拍動間隔。</v>
      </c>
      <c r="K4003" s="1" t="str">
        <f>IFERROR(__xludf.DUMMYFUNCTION("GOOGLETRANSLATE(G4003,""EN"",""JA"")"),"1拍QTcL間隔")</f>
        <v>1拍QTcL間隔</v>
      </c>
    </row>
    <row r="4004" ht="13.5" customHeight="1">
      <c r="A4004" s="1" t="s">
        <v>1168</v>
      </c>
      <c r="B4004" s="1" t="s">
        <v>20046</v>
      </c>
      <c r="C4004" s="1" t="s">
        <v>20047</v>
      </c>
      <c r="D4004" s="1" t="s">
        <v>20048</v>
      </c>
      <c r="E4004" s="1" t="s">
        <v>20048</v>
      </c>
      <c r="F4004" s="1" t="s">
        <v>20049</v>
      </c>
      <c r="G4004" s="1" t="s">
        <v>20050</v>
      </c>
      <c r="H4004" s="1" t="str">
        <f>IFERROR(__xludf.DUMMYFUNCTION("GOOGLETRANSLATE(D4004,""EN"",""JA"")"),"QTc補正方法未指定")</f>
        <v>QTc補正方法未指定</v>
      </c>
      <c r="I4004" s="1" t="str">
        <f>IFERROR(__xludf.DUMMYFUNCTION("GOOGLETRANSLATE(E4004,""EN"",""JA"")"),"QTc補正方法未指定")</f>
        <v>QTc補正方法未指定</v>
      </c>
      <c r="J4004" s="1" t="str">
        <f>IFERROR(__xludf.DUMMYFUNCTION("GOOGLETRANSLATE(F4004,""EN"",""JA"")"),"指定されていない補正方法、または非標準の補正方法によって心拍数に対して補正された QT 間隔。")</f>
        <v>指定されていない補正方法、または非標準の補正方法によって心拍数に対して補正された QT 間隔。</v>
      </c>
      <c r="K4004" s="1" t="str">
        <f>IFERROR(__xludf.DUMMYFUNCTION("GOOGLETRANSLATE(G4004,""EN"",""JA"")"),"補正QT間隔")</f>
        <v>補正QT間隔</v>
      </c>
    </row>
    <row r="4005" ht="13.5" customHeight="1">
      <c r="A4005" s="1" t="s">
        <v>1168</v>
      </c>
      <c r="B4005" s="1" t="s">
        <v>20051</v>
      </c>
      <c r="C4005" s="1" t="s">
        <v>20052</v>
      </c>
      <c r="D4005" s="1" t="s">
        <v>20053</v>
      </c>
      <c r="E4005" s="1" t="s">
        <v>20054</v>
      </c>
      <c r="F4005" s="1" t="s">
        <v>20055</v>
      </c>
      <c r="G4005" s="1" t="s">
        <v>20056</v>
      </c>
      <c r="H4005" s="1" t="str">
        <f>IFERROR(__xludf.DUMMYFUNCTION("GOOGLETRANSLATE(D4005,""EN"",""JA"")"),"QTc相関法 未指定、集計")</f>
        <v>QTc相関法 未指定、集計</v>
      </c>
      <c r="I4005" s="1" t="str">
        <f>IFERROR(__xludf.DUMMYFUNCTION("GOOGLETRANSLATE(E4005,""EN"",""JA"")"),"QTc補正方法 未指定、集計; QTc補正方法 未指定、集計")</f>
        <v>QTc補正方法 未指定、集計; QTc補正方法 未指定、集計</v>
      </c>
      <c r="J4005" s="1" t="str">
        <f>IFERROR(__xludf.DUMMYFUNCTION("GOOGLETRANSLATE(F4005,""EN"",""JA"")"),"指定されていない補正方法、または非標準の補正方法によって心拍数に対して補正された QT 集計間隔。")</f>
        <v>指定されていない補正方法、または非標準の補正方法によって心拍数に対して補正された QT 集計間隔。</v>
      </c>
      <c r="K4005" s="1" t="str">
        <f>IFERROR(__xludf.DUMMYFUNCTION("GOOGLETRANSLATE(G4005,""EN"",""JA"")"),"QTc補正方法 未指定、集計")</f>
        <v>QTc補正方法 未指定、集計</v>
      </c>
    </row>
    <row r="4006" ht="13.5" customHeight="1">
      <c r="A4006" s="1" t="s">
        <v>1168</v>
      </c>
      <c r="B4006" s="1" t="s">
        <v>20057</v>
      </c>
      <c r="C4006" s="1" t="s">
        <v>20058</v>
      </c>
      <c r="D4006" s="1" t="s">
        <v>20059</v>
      </c>
      <c r="E4006" s="1" t="s">
        <v>20060</v>
      </c>
      <c r="F4006" s="1" t="s">
        <v>20061</v>
      </c>
      <c r="G4006" s="1" t="s">
        <v>20062</v>
      </c>
      <c r="H4006" s="1" t="str">
        <f>IFERROR(__xludf.DUMMYFUNCTION("GOOGLETRANSLATE(D4006,""EN"",""JA"")"),"QTc相関法 未指定、単一拍動")</f>
        <v>QTc相関法 未指定、単一拍動</v>
      </c>
      <c r="I4006" s="1" t="str">
        <f>IFERROR(__xludf.DUMMYFUNCTION("GOOGLETRANSLATE(E4006,""EN"",""JA"")"),"QTc補正法 未指定、単一心拍; QTc補正法 未指定、単一心拍")</f>
        <v>QTc補正法 未指定、単一心拍; QTc補正法 未指定、単一心拍</v>
      </c>
      <c r="J4006" s="1" t="str">
        <f>IFERROR(__xludf.DUMMYFUNCTION("GOOGLETRANSLATE(F4006,""EN"",""JA"")"),"1 つ以上の ECG リードを使用して 1 回の心拍で測定された QT 間隔に基づいて、指定されていない補正方法または非標準の補正方法によって心拍数に対して補正された QT 間隔。")</f>
        <v>1 つ以上の ECG リードを使用して 1 回の心拍で測定された QT 間隔に基づいて、指定されていない補正方法または非標準の補正方法によって心拍数に対して補正された QT 間隔。</v>
      </c>
      <c r="K4006" s="1" t="str">
        <f>IFERROR(__xludf.DUMMYFUNCTION("GOOGLETRANSLATE(G4006,""EN"",""JA"")"),"QTc補正方法 未指定、単一拍動")</f>
        <v>QTc補正方法 未指定、単一拍動</v>
      </c>
    </row>
    <row r="4007" ht="13.5" customHeight="1">
      <c r="A4007" s="1" t="s">
        <v>1168</v>
      </c>
      <c r="B4007" s="1" t="s">
        <v>20063</v>
      </c>
      <c r="C4007" s="1" t="s">
        <v>20064</v>
      </c>
      <c r="D4007" s="1" t="s">
        <v>20065</v>
      </c>
      <c r="E4007" s="1" t="s">
        <v>20065</v>
      </c>
      <c r="F4007" s="1" t="s">
        <v>20066</v>
      </c>
      <c r="G4007" s="1" t="s">
        <v>20067</v>
      </c>
      <c r="H4007" s="1" t="str">
        <f>IFERROR(__xludf.DUMMYFUNCTION("GOOGLETRANSLATE(D4007,""EN"",""JA"")"),"QTcV間隔、集計")</f>
        <v>QTcV間隔、集計</v>
      </c>
      <c r="I4007" s="1" t="str">
        <f>IFERROR(__xludf.DUMMYFUNCTION("GOOGLETRANSLATE(E4007,""EN"",""JA"")"),"QTcV間隔、集計")</f>
        <v>QTcV間隔、集計</v>
      </c>
      <c r="J4007" s="1" t="str">
        <f>IFERROR(__xludf.DUMMYFUNCTION("GOOGLETRANSLATE(F4007,""EN"",""JA"")"),"ファンデルウォーター補正式を使用して心拍数に合わせて補正された QT 集計間隔。")</f>
        <v>ファンデルウォーター補正式を使用して心拍数に合わせて補正された QT 集計間隔。</v>
      </c>
      <c r="K4007" s="1" t="str">
        <f>IFERROR(__xludf.DUMMYFUNCTION("GOOGLETRANSLATE(G4007,""EN"",""JA"")"),"総QTcV間隔")</f>
        <v>総QTcV間隔</v>
      </c>
    </row>
    <row r="4008" ht="13.5" customHeight="1">
      <c r="A4008" s="1" t="s">
        <v>1168</v>
      </c>
      <c r="B4008" s="1" t="s">
        <v>20068</v>
      </c>
      <c r="C4008" s="1" t="s">
        <v>20069</v>
      </c>
      <c r="D4008" s="1" t="s">
        <v>20070</v>
      </c>
      <c r="E4008" s="1" t="s">
        <v>20070</v>
      </c>
      <c r="F4008" s="1" t="s">
        <v>20071</v>
      </c>
      <c r="G4008" s="1" t="s">
        <v>20072</v>
      </c>
      <c r="H4008" s="1" t="str">
        <f>IFERROR(__xludf.DUMMYFUNCTION("GOOGLETRANSLATE(D4008,""EN"",""JA"")"),"QTcV間隔、1拍")</f>
        <v>QTcV間隔、1拍</v>
      </c>
      <c r="I4008" s="1" t="str">
        <f>IFERROR(__xludf.DUMMYFUNCTION("GOOGLETRANSLATE(E4008,""EN"",""JA"")"),"QTcV間隔、1拍")</f>
        <v>QTcV間隔、1拍</v>
      </c>
      <c r="J4008" s="1" t="str">
        <f>IFERROR(__xludf.DUMMYFUNCTION("GOOGLETRANSLATE(F4008,""EN"",""JA"")"),"ファンデルウォーター補正式を使用して心拍数を補正した QT 単一拍動間隔。")</f>
        <v>ファンデルウォーター補正式を使用して心拍数を補正した QT 単一拍動間隔。</v>
      </c>
      <c r="K4008" s="1" t="str">
        <f>IFERROR(__xludf.DUMMYFUNCTION("GOOGLETRANSLATE(G4008,""EN"",""JA"")"),"1心拍QTcV間隔")</f>
        <v>1心拍QTcV間隔</v>
      </c>
    </row>
    <row r="4009" ht="13.5" customHeight="1">
      <c r="A4009" s="1" t="s">
        <v>1168</v>
      </c>
      <c r="B4009" s="1" t="s">
        <v>20073</v>
      </c>
      <c r="C4009" s="1" t="s">
        <v>20074</v>
      </c>
      <c r="D4009" s="1" t="s">
        <v>20075</v>
      </c>
      <c r="E4009" s="1" t="s">
        <v>20075</v>
      </c>
      <c r="F4009" s="1" t="s">
        <v>20076</v>
      </c>
      <c r="G4009" s="1" t="s">
        <v>20077</v>
      </c>
      <c r="H4009" s="1" t="str">
        <f>IFERROR(__xludf.DUMMYFUNCTION("GOOGLETRANSLATE(D4009,""EN"",""JA"")"),"サマリー（最大）QT期間")</f>
        <v>サマリー（最大）QT期間</v>
      </c>
      <c r="I4009" s="1" t="str">
        <f>IFERROR(__xludf.DUMMYFUNCTION("GOOGLETRANSLATE(E4009,""EN"",""JA"")"),"サマリー（最大）QT期間")</f>
        <v>サマリー（最大）QT期間</v>
      </c>
      <c r="J4009" s="1" t="str">
        <f>IFERROR(__xludf.DUMMYFUNCTION("GOOGLETRANSLATE(F4009,""EN"",""JA"")"),"QT間隔の測定から得られるQT間隔の最大持続時間（時間）。QT間隔は、QRS波の開始からT波の終了までの時間として定義され、心室が収縮するのにかかる時間を表します。")</f>
        <v>QT間隔の測定から得られるQT間隔の最大持続時間（時間）。QT間隔は、QRS波の開始からT波の終了までの時間として定義され、心室が収縮するのにかかる時間を表します。</v>
      </c>
      <c r="K4009" s="1" t="str">
        <f>IFERROR(__xludf.DUMMYFUNCTION("GOOGLETRANSLATE(G4009,""EN"",""JA"")"),"最大QT時間")</f>
        <v>最大QT時間</v>
      </c>
    </row>
    <row r="4010" ht="13.5" customHeight="1">
      <c r="A4010" s="1" t="s">
        <v>1168</v>
      </c>
      <c r="B4010" s="1" t="s">
        <v>20078</v>
      </c>
      <c r="C4010" s="1" t="s">
        <v>20079</v>
      </c>
      <c r="D4010" s="1" t="s">
        <v>20080</v>
      </c>
      <c r="E4010" s="1" t="s">
        <v>20080</v>
      </c>
      <c r="F4010" s="1" t="s">
        <v>20081</v>
      </c>
      <c r="G4010" s="1" t="s">
        <v>20082</v>
      </c>
      <c r="H4010" s="1" t="str">
        <f>IFERROR(__xludf.DUMMYFUNCTION("GOOGLETRANSLATE(D4010,""EN"",""JA"")"),"サマリー（分）QT時間")</f>
        <v>サマリー（分）QT時間</v>
      </c>
      <c r="I4010" s="1" t="str">
        <f>IFERROR(__xludf.DUMMYFUNCTION("GOOGLETRANSLATE(E4010,""EN"",""JA"")"),"サマリー（分）QT時間")</f>
        <v>サマリー（分）QT時間</v>
      </c>
      <c r="J4010" s="1" t="str">
        <f>IFERROR(__xludf.DUMMYFUNCTION("GOOGLETRANSLATE(F4010,""EN"",""JA"")"),"QT間隔の最小持続時間（時間）。これはQT間隔の一連の測定から得られる。QT間隔はQRS波の開始からT波の終了までの時間として定義され、心室が収縮するのにかかる時間を表す。")</f>
        <v>QT間隔の最小持続時間（時間）。これはQT間隔の一連の測定から得られる。QT間隔はQRS波の開始からT波の終了までの時間として定義され、心室が収縮するのにかかる時間を表す。</v>
      </c>
      <c r="K4010" s="1" t="str">
        <f>IFERROR(__xludf.DUMMYFUNCTION("GOOGLETRANSLATE(G4010,""EN"",""JA"")"),"最小QT時間")</f>
        <v>最小QT時間</v>
      </c>
    </row>
    <row r="4011" ht="13.5" customHeight="1">
      <c r="A4011" s="1" t="s">
        <v>1168</v>
      </c>
      <c r="B4011" s="1" t="s">
        <v>20083</v>
      </c>
      <c r="C4011" s="1" t="s">
        <v>20084</v>
      </c>
      <c r="D4011" s="1" t="s">
        <v>20085</v>
      </c>
      <c r="E4011" s="1" t="s">
        <v>20085</v>
      </c>
      <c r="F4011" s="1" t="s">
        <v>20086</v>
      </c>
      <c r="G4011" s="1" t="s">
        <v>20087</v>
      </c>
      <c r="H4011" s="1" t="str">
        <f>IFERROR(__xludf.DUMMYFUNCTION("GOOGLETRANSLATE(D4011,""EN"",""JA"")"),"QT間隔、1拍")</f>
        <v>QT間隔、1拍</v>
      </c>
      <c r="I4011" s="1" t="str">
        <f>IFERROR(__xludf.DUMMYFUNCTION("GOOGLETRANSLATE(E4011,""EN"",""JA"")"),"QT間隔、1拍")</f>
        <v>QT間隔、1拍</v>
      </c>
      <c r="J4011" s="1" t="str">
        <f>IFERROR(__xludf.DUMMYFUNCTION("GOOGLETRANSLATE(F4011,""EN"",""JA"")"),"1 つ以上のリードを使用して、QRS 複合体の開始から単一拍の T 波の終了まで測定された心電図間隔。")</f>
        <v>1 つ以上のリードを使用して、QRS 複合体の開始から単一拍の T 波の終了まで測定された心電図間隔。</v>
      </c>
      <c r="K4011" s="1" t="str">
        <f>IFERROR(__xludf.DUMMYFUNCTION("GOOGLETRANSLATE(G4011,""EN"",""JA"")"),"1心拍QT間隔")</f>
        <v>1心拍QT間隔</v>
      </c>
    </row>
    <row r="4012" ht="13.5" customHeight="1">
      <c r="A4012" s="1" t="s">
        <v>580</v>
      </c>
      <c r="B4012" s="1" t="s">
        <v>20088</v>
      </c>
      <c r="C4012" s="1" t="s">
        <v>20089</v>
      </c>
      <c r="D4012" s="1" t="s">
        <v>20090</v>
      </c>
      <c r="E4012" s="1" t="s">
        <v>20090</v>
      </c>
      <c r="F4012" s="1" t="s">
        <v>20091</v>
      </c>
      <c r="G4012" s="1" t="s">
        <v>20090</v>
      </c>
      <c r="H4012" s="1" t="str">
        <f>IFERROR(__xludf.DUMMYFUNCTION("GOOGLETRANSLATE(D4012,""EN"",""JA"")"),"準静的コンプライアンス")</f>
        <v>準静的コンプライアンス</v>
      </c>
      <c r="I4012" s="1" t="str">
        <f>IFERROR(__xludf.DUMMYFUNCTION("GOOGLETRANSLATE(E4012,""EN"",""JA"")"),"準静的コンプライアンス")</f>
        <v>準静的コンプライアンス</v>
      </c>
      <c r="J4012" s="1" t="str">
        <f>IFERROR(__xludf.DUMMYFUNCTION("GOOGLETRANSLATE(F4012,""EN"",""JA"")"),"与えられた肺容積における肺の静的弾性反跳圧。")</f>
        <v>与えられた肺容積における肺の静的弾性反跳圧。</v>
      </c>
      <c r="K4012" s="1" t="str">
        <f>IFERROR(__xludf.DUMMYFUNCTION("GOOGLETRANSLATE(G4012,""EN"",""JA"")"),"準静的コンプライアンス")</f>
        <v>準静的コンプライアンス</v>
      </c>
    </row>
    <row r="4013" ht="13.5" customHeight="1">
      <c r="A4013" s="1" t="s">
        <v>11</v>
      </c>
      <c r="B4013" s="1" t="s">
        <v>20092</v>
      </c>
      <c r="C4013" s="1" t="s">
        <v>20093</v>
      </c>
      <c r="D4013" s="1" t="s">
        <v>20094</v>
      </c>
      <c r="E4013" s="1" t="s">
        <v>20094</v>
      </c>
      <c r="F4013" s="1" t="s">
        <v>20095</v>
      </c>
      <c r="G4013" s="1" t="s">
        <v>20096</v>
      </c>
      <c r="H4013" s="1" t="str">
        <f>IFERROR(__xludf.DUMMYFUNCTION("GOOGLETRANSLATE(D4013,""EN"",""JA"")"),"クエチアピン")</f>
        <v>クエチアピン</v>
      </c>
      <c r="I4013" s="1" t="str">
        <f>IFERROR(__xludf.DUMMYFUNCTION("GOOGLETRANSLATE(E4013,""EN"",""JA"")"),"クエチアピン")</f>
        <v>クエチアピン</v>
      </c>
      <c r="J4013" s="1" t="str">
        <f>IFERROR(__xludf.DUMMYFUNCTION("GOOGLETRANSLATE(F4013,""EN"",""JA"")"),"生物標本中のクエチアピンの測定。")</f>
        <v>生物標本中のクエチアピンの測定。</v>
      </c>
      <c r="K4013" s="1" t="str">
        <f>IFERROR(__xludf.DUMMYFUNCTION("GOOGLETRANSLATE(G4013,""EN"",""JA"")"),"クエチアピン測定")</f>
        <v>クエチアピン測定</v>
      </c>
    </row>
    <row r="4014" ht="13.5" customHeight="1">
      <c r="A4014" s="1" t="s">
        <v>11</v>
      </c>
      <c r="B4014" s="1" t="s">
        <v>20097</v>
      </c>
      <c r="C4014" s="1" t="s">
        <v>20098</v>
      </c>
      <c r="D4014" s="1" t="s">
        <v>20099</v>
      </c>
      <c r="E4014" s="1" t="s">
        <v>20099</v>
      </c>
      <c r="F4014" s="1" t="s">
        <v>20100</v>
      </c>
      <c r="G4014" s="1" t="s">
        <v>20101</v>
      </c>
      <c r="H4014" s="1" t="str">
        <f>IFERROR(__xludf.DUMMYFUNCTION("GOOGLETRANSLATE(D4014,""EN"",""JA"")"),"クアゼパム")</f>
        <v>クアゼパム</v>
      </c>
      <c r="I4014" s="1" t="str">
        <f>IFERROR(__xludf.DUMMYFUNCTION("GOOGLETRANSLATE(E4014,""EN"",""JA"")"),"クアゼパム")</f>
        <v>クアゼパム</v>
      </c>
      <c r="J4014" s="1" t="str">
        <f>IFERROR(__xludf.DUMMYFUNCTION("GOOGLETRANSLATE(F4014,""EN"",""JA"")"),"生物標本中のクアゼパムの測定。")</f>
        <v>生物標本中のクアゼパムの測定。</v>
      </c>
      <c r="K4014" s="1" t="str">
        <f>IFERROR(__xludf.DUMMYFUNCTION("GOOGLETRANSLATE(G4014,""EN"",""JA"")"),"クアゼパム測定")</f>
        <v>クアゼパム測定</v>
      </c>
    </row>
    <row r="4015" ht="13.5" customHeight="1">
      <c r="A4015" s="1" t="s">
        <v>1168</v>
      </c>
      <c r="B4015" s="1" t="s">
        <v>20102</v>
      </c>
      <c r="C4015" s="1" t="s">
        <v>20103</v>
      </c>
      <c r="D4015" s="1" t="s">
        <v>20104</v>
      </c>
      <c r="E4015" s="1" t="s">
        <v>20104</v>
      </c>
      <c r="F4015" s="1" t="s">
        <v>20105</v>
      </c>
      <c r="G4015" s="1" t="s">
        <v>20106</v>
      </c>
      <c r="H4015" s="1" t="str">
        <f>IFERROR(__xludf.DUMMYFUNCTION("GOOGLETRANSLATE(D4015,""EN"",""JA"")"),"Q波振幅、全体")</f>
        <v>Q波振幅、全体</v>
      </c>
      <c r="I4015" s="1" t="str">
        <f>IFERROR(__xludf.DUMMYFUNCTION("GOOGLETRANSLATE(E4015,""EN"",""JA"")"),"Q波振幅、全体")</f>
        <v>Q波振幅、全体</v>
      </c>
      <c r="J4015" s="1" t="str">
        <f>IFERROR(__xludf.DUMMYFUNCTION("GOOGLETRANSLATE(F4015,""EN"",""JA"")"),"単一の心電図における複数の心拍からのQ波振幅の測定に基づく、Q波振幅の集計値。集計方法は様々ですが、通常は平均値などの中心傾向を示す指標が用いられます。")</f>
        <v>単一の心電図における複数の心拍からのQ波振幅の測定に基づく、Q波振幅の集計値。集計方法は様々ですが、通常は平均値などの中心傾向を示す指標が用いられます。</v>
      </c>
      <c r="K4015" s="1" t="str">
        <f>IFERROR(__xludf.DUMMYFUNCTION("GOOGLETRANSLATE(G4015,""EN"",""JA"")"),"総Q波振幅")</f>
        <v>総Q波振幅</v>
      </c>
    </row>
    <row r="4016" ht="13.5" customHeight="1">
      <c r="A4016" s="1" t="s">
        <v>1168</v>
      </c>
      <c r="B4016" s="1" t="s">
        <v>20107</v>
      </c>
      <c r="C4016" s="1" t="s">
        <v>20108</v>
      </c>
      <c r="D4016" s="1" t="s">
        <v>20109</v>
      </c>
      <c r="E4016" s="1" t="s">
        <v>20109</v>
      </c>
      <c r="F4016" s="1" t="s">
        <v>20110</v>
      </c>
      <c r="G4016" s="1" t="s">
        <v>20111</v>
      </c>
      <c r="H4016" s="1" t="str">
        <f>IFERROR(__xludf.DUMMYFUNCTION("GOOGLETRANSLATE(D4016,""EN"",""JA"")"),"Q波振幅、単一拍")</f>
        <v>Q波振幅、単一拍</v>
      </c>
      <c r="I4016" s="1" t="str">
        <f>IFERROR(__xludf.DUMMYFUNCTION("GOOGLETRANSLATE(E4016,""EN"",""JA"")"),"Q波振幅、単一拍")</f>
        <v>Q波振幅、単一拍</v>
      </c>
      <c r="J4016" s="1" t="str">
        <f>IFERROR(__xludf.DUMMYFUNCTION("GOOGLETRANSLATE(F4016,""EN"",""JA"")"),"心電図において、1回または複数回の誘導を用いて、等電位基線からQ波のピークまでのQ波の平均振幅（通常はmm単位）を測定する。記録ゲインに基づいて、この測定値はmとなる。")</f>
        <v>心電図において、1回または複数回の誘導を用いて、等電位基線からQ波のピークまでのQ波の平均振幅（通常はmm単位）を測定する。記録ゲインに基づいて、この測定値はmとなる。</v>
      </c>
      <c r="K4016" s="1" t="str">
        <f>IFERROR(__xludf.DUMMYFUNCTION("GOOGLETRANSLATE(G4016,""EN"",""JA"")"),"単拍Q波振幅")</f>
        <v>単拍Q波振幅</v>
      </c>
    </row>
    <row r="4017" ht="13.5" customHeight="1">
      <c r="A4017" s="1" t="s">
        <v>870</v>
      </c>
      <c r="B4017" s="1" t="s">
        <v>20112</v>
      </c>
      <c r="C4017" s="1" t="s">
        <v>20113</v>
      </c>
      <c r="D4017" s="1" t="s">
        <v>20114</v>
      </c>
      <c r="E4017" s="1" t="s">
        <v>20114</v>
      </c>
      <c r="F4017" s="1" t="s">
        <v>20115</v>
      </c>
      <c r="G4017" s="1" t="s">
        <v>20114</v>
      </c>
      <c r="H4017" s="1" t="str">
        <f>IFERROR(__xludf.DUMMYFUNCTION("GOOGLETRANSLATE(D4017,""EN"",""JA"")"),"R平方")</f>
        <v>R平方</v>
      </c>
      <c r="I4017" s="1" t="str">
        <f>IFERROR(__xludf.DUMMYFUNCTION("GOOGLETRANSLATE(E4017,""EN"",""JA"")"),"R平方")</f>
        <v>R平方</v>
      </c>
      <c r="J4017" s="1" t="str">
        <f>IFERROR(__xludf.DUMMYFUNCTION("GOOGLETRANSLATE(F4017,""EN"",""JA"")"),"末端排除段階の適合度統計。")</f>
        <v>末端排除段階の適合度統計。</v>
      </c>
      <c r="K4017" s="1" t="str">
        <f>IFERROR(__xludf.DUMMYFUNCTION("GOOGLETRANSLATE(G4017,""EN"",""JA"")"),"R平方")</f>
        <v>R平方</v>
      </c>
    </row>
    <row r="4018" ht="13.5" customHeight="1">
      <c r="A4018" s="1" t="s">
        <v>870</v>
      </c>
      <c r="B4018" s="1" t="s">
        <v>20116</v>
      </c>
      <c r="C4018" s="1" t="s">
        <v>20117</v>
      </c>
      <c r="D4018" s="1" t="s">
        <v>20118</v>
      </c>
      <c r="E4018" s="1" t="s">
        <v>20118</v>
      </c>
      <c r="F4018" s="1" t="s">
        <v>20119</v>
      </c>
      <c r="G4018" s="1" t="s">
        <v>20120</v>
      </c>
      <c r="H4018" s="1" t="str">
        <f>IFERROR(__xludf.DUMMYFUNCTION("GOOGLETRANSLATE(D4018,""EN"",""JA"")"),"R2乗調整")</f>
        <v>R2乗調整</v>
      </c>
      <c r="I4018" s="1" t="str">
        <f>IFERROR(__xludf.DUMMYFUNCTION("GOOGLETRANSLATE(E4018,""EN"",""JA"")"),"R2乗調整")</f>
        <v>R2乗調整</v>
      </c>
      <c r="J4018" s="1" t="str">
        <f>IFERROR(__xludf.DUMMYFUNCTION("GOOGLETRANSLATE(F4018,""EN"",""JA"")"),"Lambda z の推定に使用される時点の数に合わせて調整された、末端排除フェーズの適合度統計。")</f>
        <v>Lambda z の推定に使用される時点の数に合わせて調整された、末端排除フェーズの適合度統計。</v>
      </c>
      <c r="K4018" s="1" t="str">
        <f>IFERROR(__xludf.DUMMYFUNCTION("GOOGLETRANSLATE(G4018,""EN"",""JA"")"),"調整R2乗")</f>
        <v>調整R2乗</v>
      </c>
    </row>
    <row r="4019" ht="13.5" customHeight="1">
      <c r="A4019" s="1" t="s">
        <v>870</v>
      </c>
      <c r="B4019" s="1" t="s">
        <v>20121</v>
      </c>
      <c r="C4019" s="1" t="s">
        <v>20122</v>
      </c>
      <c r="D4019" s="1" t="s">
        <v>20123</v>
      </c>
      <c r="E4019" s="1" t="s">
        <v>20123</v>
      </c>
      <c r="F4019" s="1" t="s">
        <v>20124</v>
      </c>
      <c r="G4019" s="1" t="s">
        <v>20125</v>
      </c>
      <c r="H4019" s="1" t="str">
        <f>IFERROR(__xludf.DUMMYFUNCTION("GOOGLETRANSLATE(D4019,""EN"",""JA"")"),"比率AUC")</f>
        <v>比率AUC</v>
      </c>
      <c r="I4019" s="1" t="str">
        <f>IFERROR(__xludf.DUMMYFUNCTION("GOOGLETRANSLATE(E4019,""EN"",""JA"")"),"比率AUC")</f>
        <v>比率AUC</v>
      </c>
      <c r="J4019" s="1" t="str">
        <f>IFERROR(__xludf.DUMMYFUNCTION("GOOGLETRANSLATE(F4019,""EN"",""JA"")"),"2 つの AUC 値の比率。")</f>
        <v>2 つの AUC 値の比率。</v>
      </c>
      <c r="K4019" s="1" t="str">
        <f>IFERROR(__xludf.DUMMYFUNCTION("GOOGLETRANSLATE(G4019,""EN"",""JA"")"),"曲線下面積比")</f>
        <v>曲線下面積比</v>
      </c>
    </row>
    <row r="4020" ht="13.5" customHeight="1">
      <c r="A4020" s="1" t="s">
        <v>870</v>
      </c>
      <c r="B4020" s="1" t="s">
        <v>20126</v>
      </c>
      <c r="C4020" s="1" t="s">
        <v>20127</v>
      </c>
      <c r="D4020" s="1" t="s">
        <v>20128</v>
      </c>
      <c r="E4020" s="1" t="s">
        <v>20128</v>
      </c>
      <c r="F4020" s="1" t="s">
        <v>20129</v>
      </c>
      <c r="G4020" s="1" t="s">
        <v>20130</v>
      </c>
      <c r="H4020" s="1" t="str">
        <f>IFERROR(__xludf.DUMMYFUNCTION("GOOGLETRANSLATE(D4020,""EN"",""JA"")"),"比率AUC全")</f>
        <v>比率AUC全</v>
      </c>
      <c r="I4020" s="1" t="str">
        <f>IFERROR(__xludf.DUMMYFUNCTION("GOOGLETRANSLATE(E4020,""EN"",""JA"")"),"比率AUC全")</f>
        <v>比率AUC全</v>
      </c>
      <c r="J4020" s="1" t="str">
        <f>IFERROR(__xludf.DUMMYFUNCTION("GOOGLETRANSLATE(F4020,""EN"",""JA"")"),"2 つの AUC All 値の比率。")</f>
        <v>2 つの AUC All 値の比率。</v>
      </c>
      <c r="K4020" s="1" t="str">
        <f>IFERROR(__xludf.DUMMYFUNCTION("GOOGLETRANSLATE(G4020,""EN"",""JA"")"),"AUC全比率")</f>
        <v>AUC全比率</v>
      </c>
    </row>
    <row r="4021" ht="13.5" customHeight="1">
      <c r="A4021" s="1" t="s">
        <v>870</v>
      </c>
      <c r="B4021" s="1" t="s">
        <v>20131</v>
      </c>
      <c r="C4021" s="1" t="s">
        <v>20132</v>
      </c>
      <c r="D4021" s="1" t="s">
        <v>20133</v>
      </c>
      <c r="E4021" s="1" t="s">
        <v>20133</v>
      </c>
      <c r="F4021" s="1" t="s">
        <v>20134</v>
      </c>
      <c r="G4021" s="1" t="s">
        <v>20135</v>
      </c>
      <c r="H4021" s="1" t="str">
        <f>IFERROR(__xludf.DUMMYFUNCTION("GOOGLETRANSLATE(D4021,""EN"",""JA"")"),"比率AUC無限大観測")</f>
        <v>比率AUC無限大観測</v>
      </c>
      <c r="I4021" s="1" t="str">
        <f>IFERROR(__xludf.DUMMYFUNCTION("GOOGLETRANSLATE(E4021,""EN"",""JA"")"),"比率AUC無限大観測")</f>
        <v>比率AUC無限大観測</v>
      </c>
      <c r="J4021" s="1" t="str">
        <f>IFERROR(__xludf.DUMMYFUNCTION("GOOGLETRANSLATE(F4021,""EN"",""JA"")"),"2 つの AUC 無限大観測値の比率。")</f>
        <v>2 つの AUC 無限大観測値の比率。</v>
      </c>
      <c r="K4021" s="1" t="str">
        <f>IFERROR(__xludf.DUMMYFUNCTION("GOOGLETRANSLATE(G4021,""EN"",""JA"")"),"曲線下面積比の無限大が観測される")</f>
        <v>曲線下面積比の無限大が観測される</v>
      </c>
    </row>
    <row r="4022" ht="13.5" customHeight="1">
      <c r="A4022" s="1" t="s">
        <v>870</v>
      </c>
      <c r="B4022" s="1" t="s">
        <v>20136</v>
      </c>
      <c r="C4022" s="1" t="s">
        <v>20137</v>
      </c>
      <c r="D4022" s="1" t="s">
        <v>20138</v>
      </c>
      <c r="E4022" s="1" t="s">
        <v>20138</v>
      </c>
      <c r="F4022" s="1" t="s">
        <v>20139</v>
      </c>
      <c r="G4022" s="1" t="s">
        <v>20140</v>
      </c>
      <c r="H4022" s="1" t="str">
        <f>IFERROR(__xludf.DUMMYFUNCTION("GOOGLETRANSLATE(D4022,""EN"",""JA"")"),"比率AUC無限大予測")</f>
        <v>比率AUC無限大予測</v>
      </c>
      <c r="I4022" s="1" t="str">
        <f>IFERROR(__xludf.DUMMYFUNCTION("GOOGLETRANSLATE(E4022,""EN"",""JA"")"),"比率AUC無限大予測")</f>
        <v>比率AUC無限大予測</v>
      </c>
      <c r="J4022" s="1" t="str">
        <f>IFERROR(__xludf.DUMMYFUNCTION("GOOGLETRANSLATE(F4022,""EN"",""JA"")"),"2 つの AUC 無限大予測値の比率。")</f>
        <v>2 つの AUC 無限大予測値の比率。</v>
      </c>
      <c r="K4022" s="1" t="str">
        <f>IFERROR(__xludf.DUMMYFUNCTION("GOOGLETRANSLATE(G4022,""EN"",""JA"")"),"曲線下面積比無限大予測")</f>
        <v>曲線下面積比無限大予測</v>
      </c>
    </row>
    <row r="4023" ht="13.5" customHeight="1">
      <c r="A4023" s="1" t="s">
        <v>870</v>
      </c>
      <c r="B4023" s="1" t="s">
        <v>20141</v>
      </c>
      <c r="C4023" s="1" t="s">
        <v>20142</v>
      </c>
      <c r="D4023" s="1" t="s">
        <v>20143</v>
      </c>
      <c r="E4023" s="1" t="s">
        <v>20143</v>
      </c>
      <c r="F4023" s="1" t="s">
        <v>20144</v>
      </c>
      <c r="G4023" s="1" t="s">
        <v>20145</v>
      </c>
      <c r="H4023" s="1" t="str">
        <f>IFERROR(__xludf.DUMMYFUNCTION("GOOGLETRANSLATE(D4023,""EN"",""JA"")"),"用量別のT1からT2正常値へのAUC比")</f>
        <v>用量別のT1からT2正常値へのAUC比</v>
      </c>
      <c r="I4023" s="1" t="str">
        <f>IFERROR(__xludf.DUMMYFUNCTION("GOOGLETRANSLATE(E4023,""EN"",""JA"")"),"用量別のT1からT2正常値へのAUC比")</f>
        <v>用量別のT1からT2正常値へのAUC比</v>
      </c>
      <c r="J4023" s="1" t="str">
        <f>IFERROR(__xludf.DUMMYFUNCTION("GOOGLETRANSLATE(F4023,""EN"",""JA"")"),"投与量値によって正規化された T1 から T2 までの 2 つの AUC の比率。")</f>
        <v>投与量値によって正規化された T1 から T2 までの 2 つの AUC の比率。</v>
      </c>
      <c r="K4023" s="1" t="str">
        <f>IFERROR(__xludf.DUMMYFUNCTION("GOOGLETRANSLATE(G4023,""EN"",""JA"")"),"用量で正規化したT1からT2へのAUC比")</f>
        <v>用量で正規化したT1からT2へのAUC比</v>
      </c>
    </row>
    <row r="4024" ht="13.5" customHeight="1">
      <c r="A4024" s="1" t="s">
        <v>870</v>
      </c>
      <c r="B4024" s="1" t="s">
        <v>20146</v>
      </c>
      <c r="C4024" s="1" t="s">
        <v>20147</v>
      </c>
      <c r="D4024" s="1" t="s">
        <v>20148</v>
      </c>
      <c r="E4024" s="1" t="s">
        <v>20148</v>
      </c>
      <c r="F4024" s="1" t="s">
        <v>20149</v>
      </c>
      <c r="G4024" s="1" t="s">
        <v>20150</v>
      </c>
      <c r="H4024" s="1" t="str">
        <f>IFERROR(__xludf.DUMMYFUNCTION("GOOGLETRANSLATE(D4024,""EN"",""JA"")"),"T1からT2までのAUC比")</f>
        <v>T1からT2までのAUC比</v>
      </c>
      <c r="I4024" s="1" t="str">
        <f>IFERROR(__xludf.DUMMYFUNCTION("GOOGLETRANSLATE(E4024,""EN"",""JA"")"),"T1からT2までのAUC比")</f>
        <v>T1からT2までのAUC比</v>
      </c>
      <c r="J4024" s="1" t="str">
        <f>IFERROR(__xludf.DUMMYFUNCTION("GOOGLETRANSLATE(F4024,""EN"",""JA"")"),"T1 から T2 までの 2 つの AUC 値の比率。")</f>
        <v>T1 から T2 までの 2 つの AUC 値の比率。</v>
      </c>
      <c r="K4024" s="1" t="str">
        <f>IFERROR(__xludf.DUMMYFUNCTION("GOOGLETRANSLATE(G4024,""EN"",""JA"")"),"T1からT2までのAUC比")</f>
        <v>T1からT2までのAUC比</v>
      </c>
    </row>
    <row r="4025" ht="13.5" customHeight="1">
      <c r="A4025" s="1" t="s">
        <v>870</v>
      </c>
      <c r="B4025" s="1" t="s">
        <v>20151</v>
      </c>
      <c r="C4025" s="1" t="s">
        <v>20152</v>
      </c>
      <c r="D4025" s="1" t="s">
        <v>20153</v>
      </c>
      <c r="E4025" s="1" t="s">
        <v>20153</v>
      </c>
      <c r="F4025" s="1" t="s">
        <v>20154</v>
      </c>
      <c r="G4025" s="1" t="s">
        <v>20155</v>
      </c>
      <c r="H4025" s="1" t="str">
        <f>IFERROR(__xludf.DUMMYFUNCTION("GOOGLETRANSLATE(D4025,""EN"",""JA"")"),"用量別AUC無限大Obs正常比")</f>
        <v>用量別AUC無限大Obs正常比</v>
      </c>
      <c r="I4025" s="1" t="str">
        <f>IFERROR(__xludf.DUMMYFUNCTION("GOOGLETRANSLATE(E4025,""EN"",""JA"")"),"用量別AUC無限大Obs正常比")</f>
        <v>用量別AUC無限大Obs正常比</v>
      </c>
      <c r="J4025" s="1" t="str">
        <f>IFERROR(__xludf.DUMMYFUNCTION("GOOGLETRANSLATE(F4025,""EN"",""JA"")"),"観察された 2 つの AUC 無限大の比率を用量値で正規化したもの。")</f>
        <v>観察された 2 つの AUC 無限大の比率を用量値で正規化したもの。</v>
      </c>
      <c r="K4025" s="1" t="str">
        <f>IFERROR(__xludf.DUMMYFUNCTION("GOOGLETRANSLATE(G4025,""EN"",""JA"")"),"投与量で正規化された観測AUC無限大比")</f>
        <v>投与量で正規化された観測AUC無限大比</v>
      </c>
    </row>
    <row r="4026" ht="13.5" customHeight="1">
      <c r="A4026" s="1" t="s">
        <v>870</v>
      </c>
      <c r="B4026" s="1" t="s">
        <v>20156</v>
      </c>
      <c r="C4026" s="1" t="s">
        <v>20157</v>
      </c>
      <c r="D4026" s="1" t="s">
        <v>20158</v>
      </c>
      <c r="E4026" s="1" t="s">
        <v>20159</v>
      </c>
      <c r="F4026" s="1" t="s">
        <v>20160</v>
      </c>
      <c r="G4026" s="1" t="s">
        <v>20161</v>
      </c>
      <c r="H4026" s="1" t="str">
        <f>IFERROR(__xludf.DUMMYFUNCTION("GOOGLETRANSLATE(D4026,""EN"",""JA"")"),"最後の非ゼロ濃度に対するAUC比（投与量別正常値）")</f>
        <v>最後の非ゼロ濃度に対するAUC比（投与量別正常値）</v>
      </c>
      <c r="I4026" s="1" t="str">
        <f>IFERROR(__xludf.DUMMYFUNCTION("GOOGLETRANSLATE(E4026,""EN"",""JA"")"),"投与量別のAUCと最後の非ゼロ濃度基準値の比")</f>
        <v>投与量別のAUCと最後の非ゼロ濃度基準値の比</v>
      </c>
      <c r="J4026" s="1" t="str">
        <f>IFERROR(__xludf.DUMMYFUNCTION("GOOGLETRANSLATE(F4026,""EN"",""JA"")"),"投与量値で正規化された、最後の非ゼロ濃度に対する 2 つの AUC の比率。")</f>
        <v>投与量値で正規化された、最後の非ゼロ濃度に対する 2 つの AUC の比率。</v>
      </c>
      <c r="K4026" s="1" t="str">
        <f>IFERROR(__xludf.DUMMYFUNCTION("GOOGLETRANSLATE(G4026,""EN"",""JA"")"),"投与量で正規化した最後の非ゼロ濃度に対するAUCの比")</f>
        <v>投与量で正規化した最後の非ゼロ濃度に対するAUCの比</v>
      </c>
    </row>
    <row r="4027" ht="13.5" customHeight="1">
      <c r="A4027" s="1" t="s">
        <v>870</v>
      </c>
      <c r="B4027" s="1" t="s">
        <v>20162</v>
      </c>
      <c r="C4027" s="1" t="s">
        <v>20163</v>
      </c>
      <c r="D4027" s="1" t="s">
        <v>20164</v>
      </c>
      <c r="E4027" s="1" t="s">
        <v>20164</v>
      </c>
      <c r="F4027" s="1" t="s">
        <v>20165</v>
      </c>
      <c r="G4027" s="1" t="s">
        <v>20166</v>
      </c>
      <c r="H4027" s="1" t="str">
        <f>IFERROR(__xludf.DUMMYFUNCTION("GOOGLETRANSLATE(D4027,""EN"",""JA"")"),"最後の非ゼロ濃度に対するAUCの比率")</f>
        <v>最後の非ゼロ濃度に対するAUCの比率</v>
      </c>
      <c r="I4027" s="1" t="str">
        <f>IFERROR(__xludf.DUMMYFUNCTION("GOOGLETRANSLATE(E4027,""EN"",""JA"")"),"最後の非ゼロ濃度に対するAUCの比率")</f>
        <v>最後の非ゼロ濃度に対するAUCの比率</v>
      </c>
      <c r="J4027" s="1" t="str">
        <f>IFERROR(__xludf.DUMMYFUNCTION("GOOGLETRANSLATE(F4027,""EN"",""JA"")"),"2 つの AUC と最後のゼロ以外の濃度値の比率。")</f>
        <v>2 つの AUC と最後のゼロ以外の濃度値の比率。</v>
      </c>
      <c r="K4027" s="1" t="str">
        <f>IFERROR(__xludf.DUMMYFUNCTION("GOOGLETRANSLATE(G4027,""EN"",""JA"")"),"最後の非ゼロ濃度に対するAUCの比")</f>
        <v>最後の非ゼロ濃度に対するAUCの比</v>
      </c>
    </row>
    <row r="4028" ht="13.5" customHeight="1">
      <c r="A4028" s="1" t="s">
        <v>870</v>
      </c>
      <c r="B4028" s="1" t="s">
        <v>20167</v>
      </c>
      <c r="C4028" s="1" t="s">
        <v>20168</v>
      </c>
      <c r="D4028" s="1" t="s">
        <v>20169</v>
      </c>
      <c r="E4028" s="1" t="s">
        <v>20169</v>
      </c>
      <c r="F4028" s="1" t="s">
        <v>20170</v>
      </c>
      <c r="G4028" s="1" t="s">
        <v>20169</v>
      </c>
      <c r="H4028" s="1" t="str">
        <f>IFERROR(__xludf.DUMMYFUNCTION("GOOGLETRANSLATE(D4028,""EN"",""JA"")"),"投与間隔に対するAUC比")</f>
        <v>投与間隔に対するAUC比</v>
      </c>
      <c r="I4028" s="1" t="str">
        <f>IFERROR(__xludf.DUMMYFUNCTION("GOOGLETRANSLATE(E4028,""EN"",""JA"")"),"投与間隔に対するAUC比")</f>
        <v>投与間隔に対するAUC比</v>
      </c>
      <c r="J4028" s="1" t="str">
        <f>IFERROR(__xludf.DUMMYFUNCTION("GOOGLETRANSLATE(F4028,""EN"",""JA"")"),"2 つの AUCTAU 値の比率。")</f>
        <v>2 つの AUCTAU 値の比率。</v>
      </c>
      <c r="K4028" s="1" t="str">
        <f>IFERROR(__xludf.DUMMYFUNCTION("GOOGLETRANSLATE(G4028,""EN"",""JA"")"),"投与間隔に対するAUC比")</f>
        <v>投与間隔に対するAUC比</v>
      </c>
    </row>
    <row r="4029" ht="13.5" customHeight="1">
      <c r="A4029" s="1" t="s">
        <v>870</v>
      </c>
      <c r="B4029" s="1" t="s">
        <v>20171</v>
      </c>
      <c r="C4029" s="1" t="s">
        <v>20172</v>
      </c>
      <c r="D4029" s="1" t="s">
        <v>20173</v>
      </c>
      <c r="E4029" s="1" t="s">
        <v>20173</v>
      </c>
      <c r="F4029" s="1" t="s">
        <v>20174</v>
      </c>
      <c r="G4029" s="1" t="s">
        <v>20175</v>
      </c>
      <c r="H4029" s="1" t="str">
        <f>IFERROR(__xludf.DUMMYFUNCTION("GOOGLETRANSLATE(D4029,""EN"",""JA"")"),"比率平均濃度")</f>
        <v>比率平均濃度</v>
      </c>
      <c r="I4029" s="1" t="str">
        <f>IFERROR(__xludf.DUMMYFUNCTION("GOOGLETRANSLATE(E4029,""EN"",""JA"")"),"比率平均濃度")</f>
        <v>比率平均濃度</v>
      </c>
      <c r="J4029" s="1" t="str">
        <f>IFERROR(__xludf.DUMMYFUNCTION("GOOGLETRANSLATE(F4029,""EN"",""JA"")"),"2 つの平均濃度値の比。")</f>
        <v>2 つの平均濃度値の比。</v>
      </c>
      <c r="K4029" s="1" t="str">
        <f>IFERROR(__xludf.DUMMYFUNCTION("GOOGLETRANSLATE(G4029,""EN"",""JA"")"),"平均濃度比")</f>
        <v>平均濃度比</v>
      </c>
    </row>
    <row r="4030" ht="13.5" customHeight="1">
      <c r="A4030" s="1" t="s">
        <v>870</v>
      </c>
      <c r="B4030" s="1" t="s">
        <v>20176</v>
      </c>
      <c r="C4030" s="1" t="s">
        <v>20177</v>
      </c>
      <c r="D4030" s="1" t="s">
        <v>20178</v>
      </c>
      <c r="E4030" s="1" t="s">
        <v>20178</v>
      </c>
      <c r="F4030" s="1" t="s">
        <v>20179</v>
      </c>
      <c r="G4030" s="1" t="s">
        <v>20180</v>
      </c>
      <c r="H4030" s="1" t="str">
        <f>IFERROR(__xludf.DUMMYFUNCTION("GOOGLETRANSLATE(D4030,""EN"",""JA"")"),"比率CMAX")</f>
        <v>比率CMAX</v>
      </c>
      <c r="I4030" s="1" t="str">
        <f>IFERROR(__xludf.DUMMYFUNCTION("GOOGLETRANSLATE(E4030,""EN"",""JA"")"),"比率CMAX")</f>
        <v>比率CMAX</v>
      </c>
      <c r="J4030" s="1" t="str">
        <f>IFERROR(__xludf.DUMMYFUNCTION("GOOGLETRANSLATE(F4030,""EN"",""JA"")"),"2 つの Cmax 値の比率。")</f>
        <v>2 つの Cmax 値の比率。</v>
      </c>
      <c r="K4030" s="1" t="str">
        <f>IFERROR(__xludf.DUMMYFUNCTION("GOOGLETRANSLATE(G4030,""EN"",""JA"")"),"Cmax対Cmax比測定")</f>
        <v>Cmax対Cmax比測定</v>
      </c>
    </row>
    <row r="4031" ht="13.5" customHeight="1">
      <c r="A4031" s="1" t="s">
        <v>870</v>
      </c>
      <c r="B4031" s="1" t="s">
        <v>20181</v>
      </c>
      <c r="C4031" s="1" t="s">
        <v>20182</v>
      </c>
      <c r="D4031" s="1" t="s">
        <v>20183</v>
      </c>
      <c r="E4031" s="1" t="s">
        <v>20183</v>
      </c>
      <c r="F4031" s="1" t="s">
        <v>20184</v>
      </c>
      <c r="G4031" s="1" t="s">
        <v>20185</v>
      </c>
      <c r="H4031" s="1" t="str">
        <f>IFERROR(__xludf.DUMMYFUNCTION("GOOGLETRANSLATE(D4031,""EN"",""JA"")"),"投与量別最大濃度基準比")</f>
        <v>投与量別最大濃度基準比</v>
      </c>
      <c r="I4031" s="1" t="str">
        <f>IFERROR(__xludf.DUMMYFUNCTION("GOOGLETRANSLATE(E4031,""EN"",""JA"")"),"投与量別最大濃度基準比")</f>
        <v>投与量別最大濃度基準比</v>
      </c>
      <c r="J4031" s="1" t="str">
        <f>IFERROR(__xludf.DUMMYFUNCTION("GOOGLETRANSLATE(F4031,""EN"",""JA"")"),"投与量値によって正規化された 2 つの最大濃度の比。")</f>
        <v>投与量値によって正規化された 2 つの最大濃度の比。</v>
      </c>
      <c r="K4031" s="1" t="str">
        <f>IFERROR(__xludf.DUMMYFUNCTION("GOOGLETRANSLATE(G4031,""EN"",""JA"")"),"投与量で正規化された最大濃度比")</f>
        <v>投与量で正規化された最大濃度比</v>
      </c>
    </row>
    <row r="4032" ht="13.5" customHeight="1">
      <c r="A4032" s="1" t="s">
        <v>870</v>
      </c>
      <c r="B4032" s="1" t="s">
        <v>20186</v>
      </c>
      <c r="C4032" s="1" t="s">
        <v>20187</v>
      </c>
      <c r="D4032" s="1" t="s">
        <v>20188</v>
      </c>
      <c r="E4032" s="1" t="s">
        <v>20188</v>
      </c>
      <c r="F4032" s="1" t="s">
        <v>20189</v>
      </c>
      <c r="G4032" s="1" t="s">
        <v>20190</v>
      </c>
      <c r="H4032" s="1" t="str">
        <f>IFERROR(__xludf.DUMMYFUNCTION("GOOGLETRANSLATE(D4032,""EN"",""JA"")"),"比率最小濃度")</f>
        <v>比率最小濃度</v>
      </c>
      <c r="I4032" s="1" t="str">
        <f>IFERROR(__xludf.DUMMYFUNCTION("GOOGLETRANSLATE(E4032,""EN"",""JA"")"),"比率最小濃度")</f>
        <v>比率最小濃度</v>
      </c>
      <c r="J4032" s="1" t="str">
        <f>IFERROR(__xludf.DUMMYFUNCTION("GOOGLETRANSLATE(F4032,""EN"",""JA"")"),"2 つの cmin 値の比率。")</f>
        <v>2 つの cmin 値の比率。</v>
      </c>
      <c r="K4032" s="1" t="str">
        <f>IFERROR(__xludf.DUMMYFUNCTION("GOOGLETRANSLATE(G4032,""EN"",""JA"")"),"最小濃度比")</f>
        <v>最小濃度比</v>
      </c>
    </row>
    <row r="4033" ht="13.5" customHeight="1">
      <c r="A4033" s="1" t="s">
        <v>870</v>
      </c>
      <c r="B4033" s="1" t="s">
        <v>20191</v>
      </c>
      <c r="C4033" s="1" t="s">
        <v>20192</v>
      </c>
      <c r="D4033" s="1" t="s">
        <v>20193</v>
      </c>
      <c r="E4033" s="1" t="s">
        <v>20193</v>
      </c>
      <c r="F4033" s="1" t="s">
        <v>20194</v>
      </c>
      <c r="G4033" s="1" t="s">
        <v>20195</v>
      </c>
      <c r="H4033" s="1" t="str">
        <f>IFERROR(__xludf.DUMMYFUNCTION("GOOGLETRANSLATE(D4033,""EN"",""JA"")"),"比率濃度")</f>
        <v>比率濃度</v>
      </c>
      <c r="I4033" s="1" t="str">
        <f>IFERROR(__xludf.DUMMYFUNCTION("GOOGLETRANSLATE(E4033,""EN"",""JA"")"),"比率濃度")</f>
        <v>比率濃度</v>
      </c>
      <c r="J4033" s="1" t="str">
        <f>IFERROR(__xludf.DUMMYFUNCTION("GOOGLETRANSLATE(F4033,""EN"",""JA"")"),"2 つの濃度値の比率。")</f>
        <v>2 つの濃度値の比率。</v>
      </c>
      <c r="K4033" s="1" t="str">
        <f>IFERROR(__xludf.DUMMYFUNCTION("GOOGLETRANSLATE(G4033,""EN"",""JA"")"),"濃度比")</f>
        <v>濃度比</v>
      </c>
    </row>
    <row r="4034" ht="13.5" customHeight="1">
      <c r="A4034" s="1" t="s">
        <v>870</v>
      </c>
      <c r="B4034" s="1" t="s">
        <v>20196</v>
      </c>
      <c r="C4034" s="1" t="s">
        <v>20197</v>
      </c>
      <c r="D4034" s="1" t="s">
        <v>20198</v>
      </c>
      <c r="E4034" s="1" t="s">
        <v>20198</v>
      </c>
      <c r="F4034" s="1" t="s">
        <v>20199</v>
      </c>
      <c r="G4034" s="1" t="s">
        <v>20200</v>
      </c>
      <c r="H4034" s="1" t="str">
        <f>IFERROR(__xludf.DUMMYFUNCTION("GOOGLETRANSLATE(D4034,""EN"",""JA"")"),"比率コンクトラフ")</f>
        <v>比率コンクトラフ</v>
      </c>
      <c r="I4034" s="1" t="str">
        <f>IFERROR(__xludf.DUMMYFUNCTION("GOOGLETRANSLATE(E4034,""EN"",""JA"")"),"比率コンクトラフ")</f>
        <v>比率コンクトラフ</v>
      </c>
      <c r="J4034" s="1" t="str">
        <f>IFERROR(__xludf.DUMMYFUNCTION("GOOGLETRANSLATE(F4034,""EN"",""JA"")"),"2 つの CTROUGH 値の比率。")</f>
        <v>2 つの CTROUGH 値の比率。</v>
      </c>
      <c r="K4034" s="1" t="str">
        <f>IFERROR(__xludf.DUMMYFUNCTION("GOOGLETRANSLATE(G4034,""EN"",""JA"")"),"比率濃度トラフ")</f>
        <v>比率濃度トラフ</v>
      </c>
    </row>
    <row r="4035" ht="13.5" customHeight="1">
      <c r="A4035" s="1" t="s">
        <v>233</v>
      </c>
      <c r="B4035" s="1" t="s">
        <v>20201</v>
      </c>
      <c r="C4035" s="1" t="s">
        <v>20202</v>
      </c>
      <c r="D4035" s="1" t="s">
        <v>20203</v>
      </c>
      <c r="E4035" s="1" t="s">
        <v>20203</v>
      </c>
      <c r="F4035" s="1" t="s">
        <v>20204</v>
      </c>
      <c r="G4035" s="1" t="s">
        <v>20203</v>
      </c>
      <c r="H4035" s="1" t="str">
        <f>IFERROR(__xludf.DUMMYFUNCTION("GOOGLETRANSLATE(D4035,""EN"",""JA"")"),"放射線密度")</f>
        <v>放射線密度</v>
      </c>
      <c r="I4035" s="1" t="str">
        <f>IFERROR(__xludf.DUMMYFUNCTION("GOOGLETRANSLATE(E4035,""EN"",""JA"")"),"放射線密度")</f>
        <v>放射線密度</v>
      </c>
      <c r="J4035" s="1" t="str">
        <f>IFERROR(__xludf.DUMMYFUNCTION("GOOGLETRANSLATE(F4035,""EN"",""JA"")"),"X 線やその他の放射線の通過に対する物質の透明性。")</f>
        <v>X 線やその他の放射線の通過に対する物質の透明性。</v>
      </c>
      <c r="K4035" s="1" t="str">
        <f>IFERROR(__xludf.DUMMYFUNCTION("GOOGLETRANSLATE(G4035,""EN"",""JA"")"),"放射線密度")</f>
        <v>放射線密度</v>
      </c>
    </row>
    <row r="4036" ht="13.5" customHeight="1">
      <c r="A4036" s="1" t="s">
        <v>11</v>
      </c>
      <c r="B4036" s="1" t="s">
        <v>20205</v>
      </c>
      <c r="C4036" s="1" t="s">
        <v>20206</v>
      </c>
      <c r="D4036" s="1" t="s">
        <v>20207</v>
      </c>
      <c r="E4036" s="1" t="s">
        <v>20208</v>
      </c>
      <c r="F4036" s="1" t="s">
        <v>20209</v>
      </c>
      <c r="G4036" s="1" t="s">
        <v>20210</v>
      </c>
      <c r="H4036" s="1" t="str">
        <f>IFERROR(__xludf.DUMMYFUNCTION("GOOGLETRANSLATE(D4036,""EN"",""JA"")"),"受容体終末糖化産物")</f>
        <v>受容体終末糖化産物</v>
      </c>
      <c r="I4036" s="1" t="str">
        <f>IFERROR(__xludf.DUMMYFUNCTION("GOOGLETRANSLATE(E4036,""EN"",""JA"")"),"終末糖化産物特異的受容体; AGER; 終末糖化産物受容体")</f>
        <v>終末糖化産物特異的受容体; AGER; 終末糖化産物受容体</v>
      </c>
      <c r="J4036" s="1" t="str">
        <f>IFERROR(__xludf.DUMMYFUNCTION("GOOGLETRANSLATE(F4036,""EN"",""JA"")"),"生物学的標本中の受容体終末糖化生成物の測定。")</f>
        <v>生物学的標本中の受容体終末糖化生成物の測定。</v>
      </c>
      <c r="K4036" s="1" t="str">
        <f>IFERROR(__xludf.DUMMYFUNCTION("GOOGLETRANSLATE(G4036,""EN"",""JA"")"),"受容体終末糖化産物測定")</f>
        <v>受容体終末糖化産物測定</v>
      </c>
    </row>
    <row r="4037" ht="13.5" customHeight="1">
      <c r="A4037" s="1" t="s">
        <v>870</v>
      </c>
      <c r="B4037" s="1" t="s">
        <v>20211</v>
      </c>
      <c r="C4037" s="1" t="s">
        <v>20212</v>
      </c>
      <c r="D4037" s="1" t="s">
        <v>20213</v>
      </c>
      <c r="E4037" s="1" t="s">
        <v>20213</v>
      </c>
      <c r="F4037" s="1" t="s">
        <v>20214</v>
      </c>
      <c r="G4037" s="1" t="s">
        <v>20215</v>
      </c>
      <c r="H4037" s="1" t="str">
        <f>IFERROR(__xludf.DUMMYFUNCTION("GOOGLETRANSLATE(D4037,""EN"",""JA"")"),"CMAXとCMINの比率")</f>
        <v>CMAXとCMINの比率</v>
      </c>
      <c r="I4037" s="1" t="str">
        <f>IFERROR(__xludf.DUMMYFUNCTION("GOOGLETRANSLATE(E4037,""EN"",""JA"")"),"CMAXとCMINの比率")</f>
        <v>CMAXとCMINの比率</v>
      </c>
      <c r="J4037" s="1" t="str">
        <f>IFERROR(__xludf.DUMMYFUNCTION("GOOGLETRANSLATE(F4037,""EN"",""JA"")"),"Cmax 値と Cmin 値の比率。")</f>
        <v>Cmax 値と Cmin 値の比率。</v>
      </c>
      <c r="K4037" s="1" t="str">
        <f>IFERROR(__xludf.DUMMYFUNCTION("GOOGLETRANSLATE(G4037,""EN"",""JA"")"),"CmaxとCminの比の測定")</f>
        <v>CmaxとCminの比の測定</v>
      </c>
    </row>
    <row r="4038" ht="13.5" customHeight="1">
      <c r="A4038" s="1" t="s">
        <v>397</v>
      </c>
      <c r="B4038" s="1" t="s">
        <v>20216</v>
      </c>
      <c r="C4038" s="1" t="s">
        <v>20217</v>
      </c>
      <c r="D4038" s="1" t="s">
        <v>20218</v>
      </c>
      <c r="E4038" s="1" t="s">
        <v>20218</v>
      </c>
      <c r="F4038" s="1" t="s">
        <v>20219</v>
      </c>
      <c r="G4038" s="1" t="s">
        <v>20220</v>
      </c>
      <c r="H4038" s="1" t="str">
        <f>IFERROR(__xludf.DUMMYFUNCTION("GOOGLETRANSLATE(D4038,""EN"",""JA"")"),"試験はランダム化されています")</f>
        <v>試験はランダム化されています</v>
      </c>
      <c r="I4038" s="1" t="str">
        <f>IFERROR(__xludf.DUMMYFUNCTION("GOOGLETRANSLATE(E4038,""EN"",""JA"")"),"試験はランダム化されています")</f>
        <v>試験はランダム化されています</v>
      </c>
      <c r="J4038" s="1" t="str">
        <f>IFERROR(__xludf.DUMMYFUNCTION("GOOGLETRANSLATE(F4038,""EN"",""JA"")"),"被験者を治療群または対照群に割り当てるプロセス。割り当てを決定する際に偶然性を考慮し、バイアスを減らすことを目的としている。注：不平等ランダム化は、被験者を異なる割合でグループに割り当てるために使用される。例えば、")</f>
        <v>被験者を治療群または対照群に割り当てるプロセス。割り当てを決定する際に偶然性を考慮し、バイアスを減らすことを目的としている。注：不平等ランダム化は、被験者を異なる割合でグループに割り当てるために使用される。例えば、</v>
      </c>
      <c r="K4038" s="1" t="str">
        <f>IFERROR(__xludf.DUMMYFUNCTION("GOOGLETRANSLATE(G4038,""EN"",""JA"")"),"ランダム化")</f>
        <v>ランダム化</v>
      </c>
    </row>
    <row r="4039" ht="13.5" customHeight="1">
      <c r="A4039" s="1" t="s">
        <v>397</v>
      </c>
      <c r="B4039" s="1" t="s">
        <v>20221</v>
      </c>
      <c r="C4039" s="1" t="s">
        <v>20222</v>
      </c>
      <c r="D4039" s="1" t="s">
        <v>20223</v>
      </c>
      <c r="E4039" s="1" t="s">
        <v>20223</v>
      </c>
      <c r="F4039" s="1" t="s">
        <v>20224</v>
      </c>
      <c r="G4039" s="1" t="s">
        <v>20223</v>
      </c>
      <c r="H4039" s="1" t="str">
        <f>IFERROR(__xludf.DUMMYFUNCTION("GOOGLETRANSLATE(D4039,""EN"",""JA"")"),"ランダム化係数")</f>
        <v>ランダム化係数</v>
      </c>
      <c r="I4039" s="1" t="str">
        <f>IFERROR(__xludf.DUMMYFUNCTION("GOOGLETRANSLATE(E4039,""EN"",""JA"")"),"ランダム化係数")</f>
        <v>ランダム化係数</v>
      </c>
      <c r="J4039" s="1" t="str">
        <f>IFERROR(__xludf.DUMMYFUNCTION("GOOGLETRANSLATE(F4039,""EN"",""JA"")"),"ランダム化比率は、投与量やその他の要因とは無関係に、治験治療を受ける予定の被験者の数を、予定された被験者の総数で割ったものです。")</f>
        <v>ランダム化比率は、投与量やその他の要因とは無関係に、治験治療を受ける予定の被験者の数を、予定された被験者の総数で割ったものです。</v>
      </c>
      <c r="K4039" s="1" t="str">
        <f>IFERROR(__xludf.DUMMYFUNCTION("GOOGLETRANSLATE(G4039,""EN"",""JA"")"),"ランダム化係数")</f>
        <v>ランダム化係数</v>
      </c>
    </row>
    <row r="4040" ht="13.5" customHeight="1">
      <c r="A4040" s="1" t="s">
        <v>11</v>
      </c>
      <c r="B4040" s="1" t="s">
        <v>20225</v>
      </c>
      <c r="C4040" s="1" t="s">
        <v>20226</v>
      </c>
      <c r="D4040" s="1" t="s">
        <v>20227</v>
      </c>
      <c r="E4040" s="1" t="s">
        <v>20228</v>
      </c>
      <c r="F4040" s="1" t="s">
        <v>20229</v>
      </c>
      <c r="G4040" s="1" t="s">
        <v>20230</v>
      </c>
      <c r="H4040" s="1" t="str">
        <f>IFERROR(__xludf.DUMMYFUNCTION("GOOGLETRANSLATE(D4040,""EN"",""JA"")"),"受容体活性化核κBリガンド")</f>
        <v>受容体活性化核κBリガンド</v>
      </c>
      <c r="I4040" s="1" t="str">
        <f>IFERROR(__xludf.DUMMYFUNCTION("GOOGLETRANSLATE(E4040,""EN"",""JA"")"),"受容体活性化因子核κBリガンド; 受容体活性化因子核κBリガンド")</f>
        <v>受容体活性化因子核κBリガンド; 受容体活性化因子核κBリガンド</v>
      </c>
      <c r="J4040" s="1" t="str">
        <f>IFERROR(__xludf.DUMMYFUNCTION("GOOGLETRANSLATE(F4040,""EN"",""JA"")"),"生物標本中の核κBリガンドの受容体活性化因子の測定。")</f>
        <v>生物標本中の核κBリガンドの受容体活性化因子の測定。</v>
      </c>
      <c r="K4040" s="1" t="str">
        <f>IFERROR(__xludf.DUMMYFUNCTION("GOOGLETRANSLATE(G4040,""EN"",""JA"")"),"受容体活性化因子核κBリガンド測定")</f>
        <v>受容体活性化因子核κBリガンド測定</v>
      </c>
    </row>
    <row r="4041" ht="13.5" customHeight="1">
      <c r="A4041" s="1" t="s">
        <v>11</v>
      </c>
      <c r="B4041" s="1" t="s">
        <v>20231</v>
      </c>
      <c r="C4041" s="1" t="s">
        <v>20232</v>
      </c>
      <c r="D4041" s="1" t="s">
        <v>20233</v>
      </c>
      <c r="E4041" s="1" t="s">
        <v>20234</v>
      </c>
      <c r="F4041" s="1" t="s">
        <v>20235</v>
      </c>
      <c r="G4041" s="1" t="s">
        <v>20236</v>
      </c>
      <c r="H4041" s="1" t="str">
        <f>IFERROR(__xludf.DUMMYFUNCTION("GOOGLETRANSLATE(D4041,""EN"",""JA"")"),"正常なT細胞増殖の秘密を登録")</f>
        <v>正常なT細胞増殖の秘密を登録</v>
      </c>
      <c r="I4041" s="1" t="str">
        <f>IFERROR(__xludf.DUMMYFUNCTION("GOOGLETRANSLATE(E4041,""EN"",""JA"")"),"ケモカインリガンド5; 正常なT細胞増殖抑制作用")</f>
        <v>ケモカインリガンド5; 正常なT細胞増殖抑制作用</v>
      </c>
      <c r="J4041" s="1" t="str">
        <f>IFERROR(__xludf.DUMMYFUNCTION("GOOGLETRANSLATE(F4041,""EN"",""JA"")"),"生物標本中の RANTES (活性化により調節され、通常、T 細胞によって発現および分泌される) ケモカインの測定。")</f>
        <v>生物標本中の RANTES (活性化により調節され、通常、T 細胞によって発現および分泌される) ケモカインの測定。</v>
      </c>
      <c r="K4041" s="1" t="str">
        <f>IFERROR(__xludf.DUMMYFUNCTION("GOOGLETRANSLATE(G4041,""EN"",""JA"")"),"正常T細胞増殖抑制測定時の反応")</f>
        <v>正常T細胞増殖抑制測定時の反応</v>
      </c>
    </row>
    <row r="4042" ht="13.5" customHeight="1">
      <c r="A4042" s="1" t="s">
        <v>870</v>
      </c>
      <c r="B4042" s="1" t="s">
        <v>20237</v>
      </c>
      <c r="C4042" s="1" t="s">
        <v>20238</v>
      </c>
      <c r="D4042" s="1" t="s">
        <v>20239</v>
      </c>
      <c r="E4042" s="1" t="s">
        <v>20239</v>
      </c>
      <c r="F4042" s="1" t="s">
        <v>20240</v>
      </c>
      <c r="G4042" s="1" t="s">
        <v>20241</v>
      </c>
      <c r="H4042" s="1" t="str">
        <f>IFERROR(__xludf.DUMMYFUNCTION("GOOGLETRANSLATE(D4042,""EN"",""JA"")"),"比率量記録無限大観測")</f>
        <v>比率量記録無限大観測</v>
      </c>
      <c r="I4042" s="1" t="str">
        <f>IFERROR(__xludf.DUMMYFUNCTION("GOOGLETRANSLATE(E4042,""EN"",""JA"")"),"比率量記録無限大観測")</f>
        <v>比率量記録無限大観測</v>
      </c>
      <c r="J4042" s="1" t="str">
        <f>IFERROR(__xludf.DUMMYFUNCTION("GOOGLETRANSLATE(F4042,""EN"",""JA"")"),"2 つの量の比は、無限大の観測値を回復します。")</f>
        <v>2 つの量の比は、無限大の観測値を回復します。</v>
      </c>
      <c r="K4042" s="1" t="str">
        <f>IFERROR(__xludf.DUMMYFUNCTION("GOOGLETRANSLATE(G4042,""EN"",""JA"")"),"比率 回収量 無限大 観測")</f>
        <v>比率 回収量 無限大 観測</v>
      </c>
    </row>
    <row r="4043" ht="13.5" customHeight="1">
      <c r="A4043" s="1" t="s">
        <v>870</v>
      </c>
      <c r="B4043" s="1" t="s">
        <v>20242</v>
      </c>
      <c r="C4043" s="1" t="s">
        <v>20243</v>
      </c>
      <c r="D4043" s="1" t="s">
        <v>20244</v>
      </c>
      <c r="E4043" s="1" t="s">
        <v>20244</v>
      </c>
      <c r="F4043" s="1" t="s">
        <v>20245</v>
      </c>
      <c r="G4043" s="1" t="s">
        <v>20246</v>
      </c>
      <c r="H4043" s="1" t="str">
        <f>IFERROR(__xludf.DUMMYFUNCTION("GOOGLETRANSLATE(D4043,""EN"",""JA"")"),"T1からT2への受取金額比率")</f>
        <v>T1からT2への受取金額比率</v>
      </c>
      <c r="I4043" s="1" t="str">
        <f>IFERROR(__xludf.DUMMYFUNCTION("GOOGLETRANSLATE(E4043,""EN"",""JA"")"),"T1からT2への受取金額比率")</f>
        <v>T1からT2への受取金額比率</v>
      </c>
      <c r="J4043" s="1" t="str">
        <f>IFERROR(__xludf.DUMMYFUNCTION("GOOGLETRANSLATE(F4043,""EN"",""JA"")"),"T1 から T2 値まで回収された 2 つの量の比率。")</f>
        <v>T1 から T2 値まで回収された 2 つの量の比率。</v>
      </c>
      <c r="K4043" s="1" t="str">
        <f>IFERROR(__xludf.DUMMYFUNCTION("GOOGLETRANSLATE(G4043,""EN"",""JA"")"),"T1からT2への回収額比率")</f>
        <v>T1からT2への回収額比率</v>
      </c>
    </row>
    <row r="4044" ht="13.5" customHeight="1">
      <c r="A4044" s="1" t="s">
        <v>160</v>
      </c>
      <c r="B4044" s="1" t="s">
        <v>20247</v>
      </c>
      <c r="C4044" s="1" t="s">
        <v>20248</v>
      </c>
      <c r="D4044" s="1" t="s">
        <v>20249</v>
      </c>
      <c r="E4044" s="1" t="s">
        <v>20249</v>
      </c>
      <c r="F4044" s="1" t="s">
        <v>20250</v>
      </c>
      <c r="G4044" s="1" t="s">
        <v>20249</v>
      </c>
      <c r="H4044" s="1" t="str">
        <f>IFERROR(__xludf.DUMMYFUNCTION("GOOGLETRANSLATE(D4044,""EN"",""JA"")"),"発疹インジケーター")</f>
        <v>発疹インジケーター</v>
      </c>
      <c r="I4044" s="1" t="str">
        <f>IFERROR(__xludf.DUMMYFUNCTION("GOOGLETRANSLATE(E4044,""EN"",""JA"")"),"発疹インジケーター")</f>
        <v>発疹インジケーター</v>
      </c>
      <c r="J4044" s="1" t="str">
        <f>IFERROR(__xludf.DUMMYFUNCTION("GOOGLETRANSLATE(F4044,""EN"",""JA"")"),"発疹が存在するかどうかを示します。")</f>
        <v>発疹が存在するかどうかを示します。</v>
      </c>
      <c r="K4044" s="1" t="str">
        <f>IFERROR(__xludf.DUMMYFUNCTION("GOOGLETRANSLATE(G4044,""EN"",""JA"")"),"発疹インジケーター")</f>
        <v>発疹インジケーター</v>
      </c>
    </row>
    <row r="4045" ht="13.5" customHeight="1">
      <c r="A4045" s="1" t="s">
        <v>580</v>
      </c>
      <c r="B4045" s="1" t="s">
        <v>20251</v>
      </c>
      <c r="C4045" s="1" t="s">
        <v>20252</v>
      </c>
      <c r="D4045" s="1" t="s">
        <v>20253</v>
      </c>
      <c r="E4045" s="1" t="s">
        <v>20253</v>
      </c>
      <c r="F4045" s="1" t="s">
        <v>20254</v>
      </c>
      <c r="G4045" s="1" t="s">
        <v>20253</v>
      </c>
      <c r="H4045" s="1" t="str">
        <f>IFERROR(__xludf.DUMMYFUNCTION("GOOGLETRANSLATE(D4045,""EN"",""JA"")"),"気道抵抗")</f>
        <v>気道抵抗</v>
      </c>
      <c r="I4045" s="1" t="str">
        <f>IFERROR(__xludf.DUMMYFUNCTION("GOOGLETRANSLATE(E4045,""EN"",""JA"")"),"気道抵抗")</f>
        <v>気道抵抗</v>
      </c>
      <c r="J4045" s="1" t="str">
        <f>IFERROR(__xludf.DUMMYFUNCTION("GOOGLETRANSLATE(F4045,""EN"",""JA"")"),"吸気時および呼気時の気流に対する呼吸器の抵抗の測定値。")</f>
        <v>吸気時および呼気時の気流に対する呼吸器の抵抗の測定値。</v>
      </c>
      <c r="K4045" s="1" t="str">
        <f>IFERROR(__xludf.DUMMYFUNCTION("GOOGLETRANSLATE(G4045,""EN"",""JA"")"),"気道抵抗")</f>
        <v>気道抵抗</v>
      </c>
    </row>
    <row r="4046" ht="13.5" customHeight="1">
      <c r="A4046" s="1" t="s">
        <v>580</v>
      </c>
      <c r="B4046" s="1" t="s">
        <v>20255</v>
      </c>
      <c r="C4046" s="1" t="s">
        <v>20256</v>
      </c>
      <c r="D4046" s="1" t="s">
        <v>20257</v>
      </c>
      <c r="E4046" s="1" t="s">
        <v>20257</v>
      </c>
      <c r="F4046" s="1" t="s">
        <v>20258</v>
      </c>
      <c r="G4046" s="1" t="s">
        <v>20257</v>
      </c>
      <c r="H4046" s="1" t="str">
        <f>IFERROR(__xludf.DUMMYFUNCTION("GOOGLETRANSLATE(D4046,""EN"",""JA"")"),"予測気道抵抗率")</f>
        <v>予測気道抵抗率</v>
      </c>
      <c r="I4046" s="1" t="str">
        <f>IFERROR(__xludf.DUMMYFUNCTION("GOOGLETRANSLATE(E4046,""EN"",""JA"")"),"予測気道抵抗率")</f>
        <v>予測気道抵抗率</v>
      </c>
      <c r="J4046" s="1" t="str">
        <f>IFERROR(__xludf.DUMMYFUNCTION("GOOGLETRANSLATE(F4046,""EN"",""JA"")"),"吸気時および呼気時の気流に対する呼吸器の抵抗の測定値（予測される正常値の割合として）。")</f>
        <v>吸気時および呼気時の気流に対する呼吸器の抵抗の測定値（予測される正常値の割合として）。</v>
      </c>
      <c r="K4046" s="1" t="str">
        <f>IFERROR(__xludf.DUMMYFUNCTION("GOOGLETRANSLATE(G4046,""EN"",""JA"")"),"予測気道抵抗率")</f>
        <v>予測気道抵抗率</v>
      </c>
    </row>
    <row r="4047" ht="13.5" customHeight="1">
      <c r="A4047" s="1" t="s">
        <v>11</v>
      </c>
      <c r="B4047" s="1" t="s">
        <v>20259</v>
      </c>
      <c r="C4047" s="1" t="s">
        <v>20260</v>
      </c>
      <c r="D4047" s="1" t="s">
        <v>20261</v>
      </c>
      <c r="E4047" s="1" t="s">
        <v>20262</v>
      </c>
      <c r="F4047" s="1" t="s">
        <v>20263</v>
      </c>
      <c r="G4047" s="1" t="s">
        <v>20264</v>
      </c>
      <c r="H4047" s="1" t="str">
        <f>IFERROR(__xludf.DUMMYFUNCTION("GOOGLETRANSLATE(D4047,""EN"",""JA"")"),"赤血球")</f>
        <v>赤血球</v>
      </c>
      <c r="I4047" s="1" t="str">
        <f>IFERROR(__xludf.DUMMYFUNCTION("GOOGLETRANSLATE(E4047,""EN"",""JA"")"),"赤血球")</f>
        <v>赤血球</v>
      </c>
      <c r="J4047" s="1" t="str">
        <f>IFERROR(__xludf.DUMMYFUNCTION("GOOGLETRANSLATE(F4047,""EN"",""JA"")"),"生物標本中の赤血球の総数の測定。")</f>
        <v>生物標本中の赤血球の総数の測定。</v>
      </c>
      <c r="K4047" s="1" t="str">
        <f>IFERROR(__xludf.DUMMYFUNCTION("GOOGLETRANSLATE(G4047,""EN"",""JA"")"),"赤血球数")</f>
        <v>赤血球数</v>
      </c>
    </row>
    <row r="4048" ht="13.5" customHeight="1">
      <c r="A4048" s="1" t="s">
        <v>11</v>
      </c>
      <c r="B4048" s="1" t="s">
        <v>20265</v>
      </c>
      <c r="C4048" s="1" t="s">
        <v>20266</v>
      </c>
      <c r="D4048" s="1" t="s">
        <v>20267</v>
      </c>
      <c r="E4048" s="1" t="s">
        <v>20268</v>
      </c>
      <c r="F4048" s="1" t="s">
        <v>20269</v>
      </c>
      <c r="G4048" s="1" t="s">
        <v>20270</v>
      </c>
      <c r="H4048" s="1" t="str">
        <f>IFERROR(__xludf.DUMMYFUNCTION("GOOGLETRANSLATE(D4048,""EN"",""JA"")"),"赤血球凝集反応")</f>
        <v>赤血球凝集反応</v>
      </c>
      <c r="I4048" s="1" t="str">
        <f>IFERROR(__xludf.DUMMYFUNCTION("GOOGLETRANSLATE(E4048,""EN"",""JA"")"),"自己凝集反応; 赤血球凝集反応; 赤血球凝集反応")</f>
        <v>自己凝集反応; 赤血球凝集反応; 赤血球凝集反応</v>
      </c>
      <c r="J4048" s="1" t="str">
        <f>IFERROR(__xludf.DUMMYFUNCTION("GOOGLETRANSLATE(F4048,""EN"",""JA"")"),"生物標本中の赤血球凝集反応の測定。")</f>
        <v>生物標本中の赤血球凝集反応の測定。</v>
      </c>
      <c r="K4048" s="1" t="str">
        <f>IFERROR(__xludf.DUMMYFUNCTION("GOOGLETRANSLATE(G4048,""EN"",""JA"")"),"赤血球凝集測定")</f>
        <v>赤血球凝集測定</v>
      </c>
    </row>
    <row r="4049" ht="13.5" customHeight="1">
      <c r="A4049" s="1" t="s">
        <v>11</v>
      </c>
      <c r="B4049" s="1" t="s">
        <v>20271</v>
      </c>
      <c r="C4049" s="1" t="s">
        <v>20272</v>
      </c>
      <c r="D4049" s="1" t="s">
        <v>20273</v>
      </c>
      <c r="E4049" s="1" t="s">
        <v>20274</v>
      </c>
      <c r="F4049" s="1" t="s">
        <v>20275</v>
      </c>
      <c r="G4049" s="1" t="s">
        <v>20276</v>
      </c>
      <c r="H4049" s="1" t="str">
        <f>IFERROR(__xludf.DUMMYFUNCTION("GOOGLETRANSLATE(D4049,""EN"",""JA"")"),"赤血球細胞塊")</f>
        <v>赤血球細胞塊</v>
      </c>
      <c r="I4049" s="1" t="str">
        <f>IFERROR(__xludf.DUMMYFUNCTION("GOOGLETRANSLATE(E4049,""EN"",""JA"")"),"赤血球凝集塊; 赤血球凝集塊; 赤血球凝集塊")</f>
        <v>赤血球凝集塊; 赤血球凝集塊; 赤血球凝集塊</v>
      </c>
      <c r="J4049" s="1" t="str">
        <f>IFERROR(__xludf.DUMMYFUNCTION("GOOGLETRANSLATE(F4049,""EN"",""JA"")"),"生物標本内の赤血球凝集体の測定。")</f>
        <v>生物標本内の赤血球凝集体の測定。</v>
      </c>
      <c r="K4049" s="1" t="str">
        <f>IFERROR(__xludf.DUMMYFUNCTION("GOOGLETRANSLATE(G4049,""EN"",""JA"")"),"赤血球凝集体の測定")</f>
        <v>赤血球凝集体の測定</v>
      </c>
    </row>
    <row r="4050" ht="13.5" customHeight="1">
      <c r="A4050" s="1" t="s">
        <v>11</v>
      </c>
      <c r="B4050" s="1" t="s">
        <v>20277</v>
      </c>
      <c r="C4050" s="1" t="s">
        <v>20278</v>
      </c>
      <c r="D4050" s="1" t="s">
        <v>20279</v>
      </c>
      <c r="E4050" s="1" t="s">
        <v>20279</v>
      </c>
      <c r="F4050" s="1" t="s">
        <v>20280</v>
      </c>
      <c r="G4050" s="1" t="s">
        <v>20281</v>
      </c>
      <c r="H4050" s="1" t="str">
        <f>IFERROR(__xludf.DUMMYFUNCTION("GOOGLETRANSLATE(D4050,""EN"",""JA"")"),"赤血球の変形能")</f>
        <v>赤血球の変形能</v>
      </c>
      <c r="I4050" s="1" t="str">
        <f>IFERROR(__xludf.DUMMYFUNCTION("GOOGLETRANSLATE(E4050,""EN"",""JA"")"),"赤血球の変形能")</f>
        <v>赤血球の変形能</v>
      </c>
      <c r="J4050" s="1" t="str">
        <f>IFERROR(__xludf.DUMMYFUNCTION("GOOGLETRANSLATE(F4050,""EN"",""JA"")"),"動的に変化する流動条件に形状を適応させ、流動抵抗を最小限に抑える赤血球の能力を評価します。")</f>
        <v>動的に変化する流動条件に形状を適応させ、流動抵抗を最小限に抑える赤血球の能力を評価します。</v>
      </c>
      <c r="K4050" s="1" t="str">
        <f>IFERROR(__xludf.DUMMYFUNCTION("GOOGLETRANSLATE(G4050,""EN"",""JA"")"),"赤血球変形能測定")</f>
        <v>赤血球変形能測定</v>
      </c>
    </row>
    <row r="4051" ht="13.5" customHeight="1">
      <c r="A4051" s="1" t="s">
        <v>11</v>
      </c>
      <c r="B4051" s="1" t="s">
        <v>20282</v>
      </c>
      <c r="C4051" s="1" t="s">
        <v>20283</v>
      </c>
      <c r="D4051" s="1" t="s">
        <v>20284</v>
      </c>
      <c r="E4051" s="1" t="s">
        <v>20285</v>
      </c>
      <c r="F4051" s="1" t="s">
        <v>20286</v>
      </c>
      <c r="G4051" s="1" t="s">
        <v>20284</v>
      </c>
      <c r="H4051" s="1" t="str">
        <f>IFERROR(__xludf.DUMMYFUNCTION("GOOGLETRANSLATE(D4051,""EN"",""JA"")"),"二形性赤血球集団")</f>
        <v>二形性赤血球集団</v>
      </c>
      <c r="I4051" s="1" t="str">
        <f>IFERROR(__xludf.DUMMYFUNCTION("GOOGLETRANSLATE(E4051,""EN"",""JA"")"),"二形性赤血球集団; 二形性赤血球集団")</f>
        <v>二形性赤血球集団; 二形性赤血球集団</v>
      </c>
      <c r="J4051" s="1" t="str">
        <f>IFERROR(__xludf.DUMMYFUNCTION("GOOGLETRANSLATE(F4051,""EN"",""JA"")"),"二形性赤血球集団の存在を検出するための生物学的標本の検査。")</f>
        <v>二形性赤血球集団の存在を検出するための生物学的標本の検査。</v>
      </c>
      <c r="K4051" s="1" t="str">
        <f>IFERROR(__xludf.DUMMYFUNCTION("GOOGLETRANSLATE(G4051,""EN"",""JA"")"),"二形性赤血球集団")</f>
        <v>二形性赤血球集団</v>
      </c>
    </row>
    <row r="4052" ht="13.5" customHeight="1">
      <c r="A4052" s="1" t="s">
        <v>11</v>
      </c>
      <c r="B4052" s="1" t="s">
        <v>20287</v>
      </c>
      <c r="C4052" s="1" t="s">
        <v>20288</v>
      </c>
      <c r="D4052" s="1" t="s">
        <v>20289</v>
      </c>
      <c r="E4052" s="1" t="s">
        <v>20289</v>
      </c>
      <c r="F4052" s="1" t="s">
        <v>20290</v>
      </c>
      <c r="G4052" s="1" t="s">
        <v>20291</v>
      </c>
      <c r="H4052" s="1" t="str">
        <f>IFERROR(__xludf.DUMMYFUNCTION("GOOGLETRANSLATE(D4052,""EN"",""JA"")"),"変形赤血球/赤血球")</f>
        <v>変形赤血球/赤血球</v>
      </c>
      <c r="I4052" s="1" t="str">
        <f>IFERROR(__xludf.DUMMYFUNCTION("GOOGLETRANSLATE(E4052,""EN"",""JA"")"),"変形赤血球/赤血球")</f>
        <v>変形赤血球/赤血球</v>
      </c>
      <c r="J4052" s="1" t="str">
        <f>IFERROR(__xludf.DUMMYFUNCTION("GOOGLETRANSLATE(F4052,""EN"",""JA"")"),"生物標本中の全赤血球に対する変形赤血球の測定値（比率またはパーセンテージ）。")</f>
        <v>生物標本中の全赤血球に対する変形赤血球の測定値（比率またはパーセンテージ）。</v>
      </c>
      <c r="K4052" s="1" t="str">
        <f>IFERROR(__xludf.DUMMYFUNCTION("GOOGLETRANSLATE(G4052,""EN"",""JA"")"),"変形赤血球と赤血球の比率測定")</f>
        <v>変形赤血球と赤血球の比率測定</v>
      </c>
    </row>
    <row r="4053" ht="13.5" customHeight="1">
      <c r="A4053" s="1" t="s">
        <v>11</v>
      </c>
      <c r="B4053" s="1" t="s">
        <v>20292</v>
      </c>
      <c r="C4053" s="1" t="s">
        <v>20293</v>
      </c>
      <c r="D4053" s="1" t="s">
        <v>20294</v>
      </c>
      <c r="E4053" s="1" t="s">
        <v>20294</v>
      </c>
      <c r="F4053" s="1" t="s">
        <v>20295</v>
      </c>
      <c r="G4053" s="1" t="s">
        <v>20296</v>
      </c>
      <c r="H4053" s="1" t="str">
        <f>IFERROR(__xludf.DUMMYFUNCTION("GOOGLETRANSLATE(D4053,""EN"",""JA"")"),"変形赤血球")</f>
        <v>変形赤血球</v>
      </c>
      <c r="I4053" s="1" t="str">
        <f>IFERROR(__xludf.DUMMYFUNCTION("GOOGLETRANSLATE(E4053,""EN"",""JA"")"),"変形赤血球")</f>
        <v>変形赤血球</v>
      </c>
      <c r="J4053" s="1" t="str">
        <f>IFERROR(__xludf.DUMMYFUNCTION("GOOGLETRANSLATE(F4053,""EN"",""JA"")"),"生物標本中の異形赤血球の測定。")</f>
        <v>生物標本中の異形赤血球の測定。</v>
      </c>
      <c r="K4053" s="1" t="str">
        <f>IFERROR(__xludf.DUMMYFUNCTION("GOOGLETRANSLATE(G4053,""EN"",""JA"")"),"変形赤血球数")</f>
        <v>変形赤血球数</v>
      </c>
    </row>
    <row r="4054" ht="13.5" customHeight="1">
      <c r="A4054" s="1" t="s">
        <v>11</v>
      </c>
      <c r="B4054" s="1" t="s">
        <v>20297</v>
      </c>
      <c r="C4054" s="1" t="s">
        <v>20298</v>
      </c>
      <c r="D4054" s="1" t="s">
        <v>20299</v>
      </c>
      <c r="E4054" s="1" t="s">
        <v>20300</v>
      </c>
      <c r="F4054" s="1" t="s">
        <v>20301</v>
      </c>
      <c r="G4054" s="1" t="s">
        <v>20302</v>
      </c>
      <c r="H4054" s="1" t="str">
        <f>IFERROR(__xludf.DUMMYFUNCTION("GOOGLETRANSLATE(D4054,""EN"",""JA"")"),"赤血球断片")</f>
        <v>赤血球断片</v>
      </c>
      <c r="I4054" s="1" t="str">
        <f>IFERROR(__xludf.DUMMYFUNCTION("GOOGLETRANSLATE(E4054,""EN"",""JA"")"),"赤血球断片; 赤血球断片")</f>
        <v>赤血球断片; 赤血球断片</v>
      </c>
      <c r="J4054" s="1" t="str">
        <f>IFERROR(__xludf.DUMMYFUNCTION("GOOGLETRANSLATE(F4054,""EN"",""JA"")"),"生物標本中の赤血球断片（端が丸く、骨針のない網状形状の赤血球断片で、破砕赤血球や棘赤血球と区別される）の測定。")</f>
        <v>生物標本中の赤血球断片（端が丸く、骨針のない網状形状の赤血球断片で、破砕赤血球や棘赤血球と区別される）の測定。</v>
      </c>
      <c r="K4054" s="1" t="str">
        <f>IFERROR(__xludf.DUMMYFUNCTION("GOOGLETRANSLATE(G4054,""EN"",""JA"")"),"赤血球フラグメント測定")</f>
        <v>赤血球フラグメント測定</v>
      </c>
    </row>
    <row r="4055" ht="13.5" customHeight="1">
      <c r="A4055" s="1" t="s">
        <v>11</v>
      </c>
      <c r="B4055" s="1" t="s">
        <v>20303</v>
      </c>
      <c r="C4055" s="1" t="s">
        <v>20304</v>
      </c>
      <c r="D4055" s="1" t="s">
        <v>20305</v>
      </c>
      <c r="E4055" s="1" t="s">
        <v>20306</v>
      </c>
      <c r="F4055" s="1" t="s">
        <v>20307</v>
      </c>
      <c r="G4055" s="1" t="s">
        <v>20308</v>
      </c>
      <c r="H4055" s="1" t="str">
        <f>IFERROR(__xludf.DUMMYFUNCTION("GOOGLETRANSLATE(D4055,""EN"",""JA"")"),"赤血球ゴースト")</f>
        <v>赤血球ゴースト</v>
      </c>
      <c r="I4055" s="1" t="str">
        <f>IFERROR(__xludf.DUMMYFUNCTION("GOOGLETRANSLATE(E4055,""EN"",""JA"")"),"赤血球ゴースト; 赤血球ゴースト")</f>
        <v>赤血球ゴースト; 赤血球ゴースト</v>
      </c>
      <c r="J4055" s="1" t="str">
        <f>IFERROR(__xludf.DUMMYFUNCTION("GOOGLETRANSLATE(F4055,""EN"",""JA"")"),"生物標本中の赤血球ゴースト（溶血によりヘモグロビンが除去された赤血球）の測定。")</f>
        <v>生物標本中の赤血球ゴースト（溶血によりヘモグロビンが除去された赤血球）の測定。</v>
      </c>
      <c r="K4055" s="1" t="str">
        <f>IFERROR(__xludf.DUMMYFUNCTION("GOOGLETRANSLATE(G4055,""EN"",""JA"")"),"赤血球ゴーストカウント")</f>
        <v>赤血球ゴーストカウント</v>
      </c>
    </row>
    <row r="4056" ht="13.5" customHeight="1">
      <c r="A4056" s="1" t="s">
        <v>11</v>
      </c>
      <c r="B4056" s="1" t="s">
        <v>20309</v>
      </c>
      <c r="C4056" s="1" t="s">
        <v>20310</v>
      </c>
      <c r="D4056" s="1" t="s">
        <v>20311</v>
      </c>
      <c r="E4056" s="1" t="s">
        <v>20312</v>
      </c>
      <c r="F4056" s="1" t="s">
        <v>20313</v>
      </c>
      <c r="G4056" s="1" t="s">
        <v>20311</v>
      </c>
      <c r="H4056" s="1" t="str">
        <f>IFERROR(__xludf.DUMMYFUNCTION("GOOGLETRANSLATE(D4056,""EN"",""JA"")"),"赤血球細胞の形態")</f>
        <v>赤血球細胞の形態</v>
      </c>
      <c r="I4056" s="1" t="str">
        <f>IFERROR(__xludf.DUMMYFUNCTION("GOOGLETRANSLATE(E4056,""EN"",""JA"")"),"赤血球の形態学; 赤血球の形態学; 赤血球の形態学")</f>
        <v>赤血球の形態学; 赤血球の形態学; 赤血球の形態学</v>
      </c>
      <c r="J4056" s="1" t="str">
        <f>IFERROR(__xludf.DUMMYFUNCTION("GOOGLETRANSLATE(F4056,""EN"",""JA"")"),"赤血球の形状と構造の検査または評価。")</f>
        <v>赤血球の形状と構造の検査または評価。</v>
      </c>
      <c r="K4056" s="1" t="str">
        <f>IFERROR(__xludf.DUMMYFUNCTION("GOOGLETRANSLATE(G4056,""EN"",""JA"")"),"赤血球細胞の形態")</f>
        <v>赤血球細胞の形態</v>
      </c>
    </row>
    <row r="4057" ht="13.5" customHeight="1">
      <c r="A4057" s="1" t="s">
        <v>11</v>
      </c>
      <c r="B4057" s="1" t="s">
        <v>20314</v>
      </c>
      <c r="C4057" s="1" t="s">
        <v>20315</v>
      </c>
      <c r="D4057" s="1" t="s">
        <v>20316</v>
      </c>
      <c r="E4057" s="1" t="s">
        <v>20316</v>
      </c>
      <c r="F4057" s="1" t="s">
        <v>20317</v>
      </c>
      <c r="G4057" s="1" t="s">
        <v>20318</v>
      </c>
      <c r="H4057" s="1" t="str">
        <f>IFERROR(__xludf.DUMMYFUNCTION("GOOGLETRANSLATE(D4057,""EN"",""JA"")"),"赤血球膜の硬直性")</f>
        <v>赤血球膜の硬直性</v>
      </c>
      <c r="I4057" s="1" t="str">
        <f>IFERROR(__xludf.DUMMYFUNCTION("GOOGLETRANSLATE(E4057,""EN"",""JA"")"),"赤血球膜の硬直性")</f>
        <v>赤血球膜の硬直性</v>
      </c>
      <c r="J4057" s="1" t="str">
        <f>IFERROR(__xludf.DUMMYFUNCTION("GOOGLETRANSLATE(F4057,""EN"",""JA"")"),"生物標本中の赤血球膜の硬度の評価。")</f>
        <v>生物標本中の赤血球膜の硬度の評価。</v>
      </c>
      <c r="K4057" s="1" t="str">
        <f>IFERROR(__xludf.DUMMYFUNCTION("GOOGLETRANSLATE(G4057,""EN"",""JA"")"),"赤血球膜硬度測定")</f>
        <v>赤血球膜硬度測定</v>
      </c>
    </row>
    <row r="4058" ht="13.5" customHeight="1">
      <c r="A4058" s="1" t="s">
        <v>11</v>
      </c>
      <c r="B4058" s="1" t="s">
        <v>20319</v>
      </c>
      <c r="C4058" s="1" t="s">
        <v>20320</v>
      </c>
      <c r="D4058" s="1" t="s">
        <v>20321</v>
      </c>
      <c r="E4058" s="1" t="s">
        <v>20322</v>
      </c>
      <c r="F4058" s="1" t="s">
        <v>20323</v>
      </c>
      <c r="G4058" s="1" t="s">
        <v>20324</v>
      </c>
      <c r="H4058" s="1" t="str">
        <f>IFERROR(__xludf.DUMMYFUNCTION("GOOGLETRANSLATE(D4058,""EN"",""JA"")"),"有核赤血球")</f>
        <v>有核赤血球</v>
      </c>
      <c r="I4058" s="1" t="str">
        <f>IFERROR(__xludf.DUMMYFUNCTION("GOOGLETRANSLATE(E4058,""EN"",""JA"")"),"有核赤血球; 有核赤血球")</f>
        <v>有核赤血球; 有核赤血球</v>
      </c>
      <c r="J4058" s="1" t="str">
        <f>IFERROR(__xludf.DUMMYFUNCTION("GOOGLETRANSLATE(F4058,""EN"",""JA"")"),"生物標本中の有核赤血球（大きく未熟な有核赤血球）の測定。")</f>
        <v>生物標本中の有核赤血球（大きく未熟な有核赤血球）の測定。</v>
      </c>
      <c r="K4058" s="1" t="str">
        <f>IFERROR(__xludf.DUMMYFUNCTION("GOOGLETRANSLATE(G4058,""EN"",""JA"")"),"有核赤血球数")</f>
        <v>有核赤血球数</v>
      </c>
    </row>
    <row r="4059" ht="13.5" customHeight="1">
      <c r="A4059" s="1" t="s">
        <v>11</v>
      </c>
      <c r="B4059" s="1" t="s">
        <v>20325</v>
      </c>
      <c r="C4059" s="1" t="s">
        <v>20326</v>
      </c>
      <c r="D4059" s="1" t="s">
        <v>20327</v>
      </c>
      <c r="E4059" s="1" t="s">
        <v>20327</v>
      </c>
      <c r="F4059" s="1" t="s">
        <v>20328</v>
      </c>
      <c r="G4059" s="1" t="s">
        <v>20329</v>
      </c>
      <c r="H4059" s="1" t="str">
        <f>IFERROR(__xludf.DUMMYFUNCTION("GOOGLETRANSLATE(D4059,""EN"",""JA"")"),"有核赤血球/白血球")</f>
        <v>有核赤血球/白血球</v>
      </c>
      <c r="I4059" s="1" t="str">
        <f>IFERROR(__xludf.DUMMYFUNCTION("GOOGLETRANSLATE(E4059,""EN"",""JA"")"),"有核赤血球/白血球")</f>
        <v>有核赤血球/白血球</v>
      </c>
      <c r="J4059" s="1" t="str">
        <f>IFERROR(__xludf.DUMMYFUNCTION("GOOGLETRANSLATE(F4059,""EN"",""JA"")"),"生物標本中の有核赤血球と白血球の相対的な測定値（比率またはパーセンテージ）。")</f>
        <v>生物標本中の有核赤血球と白血球の相対的な測定値（比率またはパーセンテージ）。</v>
      </c>
      <c r="K4059" s="1" t="str">
        <f>IFERROR(__xludf.DUMMYFUNCTION("GOOGLETRANSLATE(G4059,""EN"",""JA"")"),"有核赤血球と白血球の比の測定")</f>
        <v>有核赤血球と白血球の比の測定</v>
      </c>
    </row>
    <row r="4060" ht="13.5" customHeight="1">
      <c r="A4060" s="1" t="s">
        <v>11</v>
      </c>
      <c r="B4060" s="1" t="s">
        <v>20330</v>
      </c>
      <c r="C4060" s="1" t="s">
        <v>20331</v>
      </c>
      <c r="D4060" s="1" t="s">
        <v>20332</v>
      </c>
      <c r="E4060" s="1" t="s">
        <v>20333</v>
      </c>
      <c r="F4060" s="1" t="s">
        <v>20334</v>
      </c>
      <c r="G4060" s="1" t="s">
        <v>20335</v>
      </c>
      <c r="H4060" s="1" t="str">
        <f>IFERROR(__xludf.DUMMYFUNCTION("GOOGLETRANSLATE(D4060,""EN"",""JA"")"),"有核赤血球/赤血球")</f>
        <v>有核赤血球/赤血球</v>
      </c>
      <c r="I4060" s="1" t="str">
        <f>IFERROR(__xludf.DUMMYFUNCTION("GOOGLETRANSLATE(E4060,""EN"",""JA"")"),"有核赤血球/赤血球; 有核赤血球/赤血球")</f>
        <v>有核赤血球/赤血球; 有核赤血球/赤血球</v>
      </c>
      <c r="J4060" s="1" t="str">
        <f>IFERROR(__xludf.DUMMYFUNCTION("GOOGLETRANSLATE(F4060,""EN"",""JA"")"),"生物標本中のすべての赤血球に対する有核赤血球（大きく未熟な有核赤血球）の相対的な測定値（比率またはパーセンテージ）。")</f>
        <v>生物標本中のすべての赤血球に対する有核赤血球（大きく未熟な有核赤血球）の相対的な測定値（比率またはパーセンテージ）。</v>
      </c>
      <c r="K4060" s="1" t="str">
        <f>IFERROR(__xludf.DUMMYFUNCTION("GOOGLETRANSLATE(G4060,""EN"",""JA"")"),"有核赤血球と赤血球の比率測定")</f>
        <v>有核赤血球と赤血球の比率測定</v>
      </c>
    </row>
    <row r="4061" ht="13.5" customHeight="1">
      <c r="A4061" s="1" t="s">
        <v>67</v>
      </c>
      <c r="B4061" s="1" t="s">
        <v>20336</v>
      </c>
      <c r="C4061" s="1" t="s">
        <v>20337</v>
      </c>
      <c r="D4061" s="1" t="s">
        <v>20338</v>
      </c>
      <c r="E4061" s="1" t="s">
        <v>20339</v>
      </c>
      <c r="F4061" s="1" t="s">
        <v>20340</v>
      </c>
      <c r="G4061" s="1" t="s">
        <v>20341</v>
      </c>
      <c r="H4061" s="1" t="str">
        <f>IFERROR(__xludf.DUMMYFUNCTION("GOOGLETRANSLATE(D4061,""EN"",""JA"")"),"麻疹抗原")</f>
        <v>麻疹抗原</v>
      </c>
      <c r="I4061" s="1" t="str">
        <f>IFERROR(__xludf.DUMMYFUNCTION("GOOGLETRANSLATE(E4061,""EN"",""JA"")"),"麻疹ウイルス抗原")</f>
        <v>麻疹ウイルス抗原</v>
      </c>
      <c r="J4061" s="1" t="str">
        <f>IFERROR(__xludf.DUMMYFUNCTION("GOOGLETRANSLATE(F4061,""EN"",""JA"")"),"生物標本中の麻疹ウイルス抗原の測定。")</f>
        <v>生物標本中の麻疹ウイルス抗原の測定。</v>
      </c>
      <c r="K4061" s="1" t="str">
        <f>IFERROR(__xludf.DUMMYFUNCTION("GOOGLETRANSLATE(G4061,""EN"",""JA"")"),"麻疹抗原測定")</f>
        <v>麻疹抗原測定</v>
      </c>
    </row>
    <row r="4062" ht="13.5" customHeight="1">
      <c r="A4062" s="1" t="s">
        <v>11</v>
      </c>
      <c r="B4062" s="1" t="s">
        <v>20342</v>
      </c>
      <c r="C4062" s="1" t="s">
        <v>20343</v>
      </c>
      <c r="D4062" s="1" t="s">
        <v>20344</v>
      </c>
      <c r="E4062" s="1" t="s">
        <v>20344</v>
      </c>
      <c r="F4062" s="1" t="s">
        <v>20345</v>
      </c>
      <c r="G4062" s="1" t="s">
        <v>20346</v>
      </c>
      <c r="H4062" s="1" t="str">
        <f>IFERROR(__xludf.DUMMYFUNCTION("GOOGLETRANSLATE(D4062,""EN"",""JA"")"),"レチノール結合タンパク質")</f>
        <v>レチノール結合タンパク質</v>
      </c>
      <c r="I4062" s="1" t="str">
        <f>IFERROR(__xludf.DUMMYFUNCTION("GOOGLETRANSLATE(E4062,""EN"",""JA"")"),"レチノール結合タンパク質")</f>
        <v>レチノール結合タンパク質</v>
      </c>
      <c r="J4062" s="1" t="str">
        <f>IFERROR(__xludf.DUMMYFUNCTION("GOOGLETRANSLATE(F4062,""EN"",""JA"")"),"生物標本中の総レチノール結合タンパク質の測定。")</f>
        <v>生物標本中の総レチノール結合タンパク質の測定。</v>
      </c>
      <c r="K4062" s="1" t="str">
        <f>IFERROR(__xludf.DUMMYFUNCTION("GOOGLETRANSLATE(G4062,""EN"",""JA"")"),"レチノール結合タンパク質測定")</f>
        <v>レチノール結合タンパク質測定</v>
      </c>
    </row>
    <row r="4063" ht="13.5" customHeight="1">
      <c r="A4063" s="1" t="s">
        <v>11</v>
      </c>
      <c r="B4063" s="1" t="s">
        <v>20347</v>
      </c>
      <c r="C4063" s="1" t="s">
        <v>20348</v>
      </c>
      <c r="D4063" s="1" t="s">
        <v>20349</v>
      </c>
      <c r="E4063" s="1" t="s">
        <v>20349</v>
      </c>
      <c r="F4063" s="1" t="s">
        <v>20350</v>
      </c>
      <c r="G4063" s="1" t="s">
        <v>20351</v>
      </c>
      <c r="H4063" s="1" t="str">
        <f>IFERROR(__xludf.DUMMYFUNCTION("GOOGLETRANSLATE(D4063,""EN"",""JA"")"),"レチノール結合タンパク質1")</f>
        <v>レチノール結合タンパク質1</v>
      </c>
      <c r="I4063" s="1" t="str">
        <f>IFERROR(__xludf.DUMMYFUNCTION("GOOGLETRANSLATE(E4063,""EN"",""JA"")"),"レチノール結合タンパク質1")</f>
        <v>レチノール結合タンパク質1</v>
      </c>
      <c r="J4063" s="1" t="str">
        <f>IFERROR(__xludf.DUMMYFUNCTION("GOOGLETRANSLATE(F4063,""EN"",""JA"")"),"生物標本中のレチノール結合タンパク質 1 の測定。")</f>
        <v>生物標本中のレチノール結合タンパク質 1 の測定。</v>
      </c>
      <c r="K4063" s="1" t="str">
        <f>IFERROR(__xludf.DUMMYFUNCTION("GOOGLETRANSLATE(G4063,""EN"",""JA"")"),"レチノール結合タンパク質1の測定")</f>
        <v>レチノール結合タンパク質1の測定</v>
      </c>
    </row>
    <row r="4064" ht="13.5" customHeight="1">
      <c r="A4064" s="1" t="s">
        <v>11</v>
      </c>
      <c r="B4064" s="1" t="s">
        <v>20352</v>
      </c>
      <c r="C4064" s="1" t="s">
        <v>20353</v>
      </c>
      <c r="D4064" s="1" t="s">
        <v>20354</v>
      </c>
      <c r="E4064" s="1" t="s">
        <v>20354</v>
      </c>
      <c r="F4064" s="1" t="s">
        <v>20355</v>
      </c>
      <c r="G4064" s="1" t="s">
        <v>20356</v>
      </c>
      <c r="H4064" s="1" t="str">
        <f>IFERROR(__xludf.DUMMYFUNCTION("GOOGLETRANSLATE(D4064,""EN"",""JA"")"),"レチノール結合タンパク質2")</f>
        <v>レチノール結合タンパク質2</v>
      </c>
      <c r="I4064" s="1" t="str">
        <f>IFERROR(__xludf.DUMMYFUNCTION("GOOGLETRANSLATE(E4064,""EN"",""JA"")"),"レチノール結合タンパク質2")</f>
        <v>レチノール結合タンパク質2</v>
      </c>
      <c r="J4064" s="1" t="str">
        <f>IFERROR(__xludf.DUMMYFUNCTION("GOOGLETRANSLATE(F4064,""EN"",""JA"")"),"生物標本中のレチノール結合タンパク質 2 の測定。")</f>
        <v>生物標本中のレチノール結合タンパク質 2 の測定。</v>
      </c>
      <c r="K4064" s="1" t="str">
        <f>IFERROR(__xludf.DUMMYFUNCTION("GOOGLETRANSLATE(G4064,""EN"",""JA"")"),"レチノール結合タンパク質2の測定")</f>
        <v>レチノール結合タンパク質2の測定</v>
      </c>
    </row>
    <row r="4065" ht="13.5" customHeight="1">
      <c r="A4065" s="1" t="s">
        <v>11</v>
      </c>
      <c r="B4065" s="1" t="s">
        <v>20357</v>
      </c>
      <c r="C4065" s="1" t="s">
        <v>20358</v>
      </c>
      <c r="D4065" s="1" t="s">
        <v>20359</v>
      </c>
      <c r="E4065" s="1" t="s">
        <v>20359</v>
      </c>
      <c r="F4065" s="1" t="s">
        <v>20360</v>
      </c>
      <c r="G4065" s="1" t="s">
        <v>20361</v>
      </c>
      <c r="H4065" s="1" t="str">
        <f>IFERROR(__xludf.DUMMYFUNCTION("GOOGLETRANSLATE(D4065,""EN"",""JA"")"),"レチノール結合タンパク質3")</f>
        <v>レチノール結合タンパク質3</v>
      </c>
      <c r="I4065" s="1" t="str">
        <f>IFERROR(__xludf.DUMMYFUNCTION("GOOGLETRANSLATE(E4065,""EN"",""JA"")"),"レチノール結合タンパク質3")</f>
        <v>レチノール結合タンパク質3</v>
      </c>
      <c r="J4065" s="1" t="str">
        <f>IFERROR(__xludf.DUMMYFUNCTION("GOOGLETRANSLATE(F4065,""EN"",""JA"")"),"生物標本中のレチノール結合タンパク質 3 の測定。")</f>
        <v>生物標本中のレチノール結合タンパク質 3 の測定。</v>
      </c>
      <c r="K4065" s="1" t="str">
        <f>IFERROR(__xludf.DUMMYFUNCTION("GOOGLETRANSLATE(G4065,""EN"",""JA"")"),"レチノール結合タンパク質3の測定")</f>
        <v>レチノール結合タンパク質3の測定</v>
      </c>
    </row>
    <row r="4066" ht="13.5" customHeight="1">
      <c r="A4066" s="1" t="s">
        <v>11</v>
      </c>
      <c r="B4066" s="1" t="s">
        <v>20362</v>
      </c>
      <c r="C4066" s="1" t="s">
        <v>20363</v>
      </c>
      <c r="D4066" s="1" t="s">
        <v>20364</v>
      </c>
      <c r="E4066" s="1" t="s">
        <v>20364</v>
      </c>
      <c r="F4066" s="1" t="s">
        <v>20365</v>
      </c>
      <c r="G4066" s="1" t="s">
        <v>20366</v>
      </c>
      <c r="H4066" s="1" t="str">
        <f>IFERROR(__xludf.DUMMYFUNCTION("GOOGLETRANSLATE(D4066,""EN"",""JA"")"),"レチノール結合タンパク質4")</f>
        <v>レチノール結合タンパク質4</v>
      </c>
      <c r="I4066" s="1" t="str">
        <f>IFERROR(__xludf.DUMMYFUNCTION("GOOGLETRANSLATE(E4066,""EN"",""JA"")"),"レチノール結合タンパク質4")</f>
        <v>レチノール結合タンパク質4</v>
      </c>
      <c r="J4066" s="1" t="str">
        <f>IFERROR(__xludf.DUMMYFUNCTION("GOOGLETRANSLATE(F4066,""EN"",""JA"")"),"生物標本中のレチノール結合タンパク質 4 の測定。")</f>
        <v>生物標本中のレチノール結合タンパク質 4 の測定。</v>
      </c>
      <c r="K4066" s="1" t="str">
        <f>IFERROR(__xludf.DUMMYFUNCTION("GOOGLETRANSLATE(G4066,""EN"",""JA"")"),"レチノール結合タンパク質4の測定")</f>
        <v>レチノール結合タンパク質4の測定</v>
      </c>
    </row>
    <row r="4067" ht="13.5" customHeight="1">
      <c r="A4067" s="1" t="s">
        <v>11</v>
      </c>
      <c r="B4067" s="1" t="s">
        <v>20367</v>
      </c>
      <c r="C4067" s="1" t="s">
        <v>20368</v>
      </c>
      <c r="D4067" s="1" t="s">
        <v>20369</v>
      </c>
      <c r="E4067" s="1" t="s">
        <v>20369</v>
      </c>
      <c r="F4067" s="1" t="s">
        <v>20370</v>
      </c>
      <c r="G4067" s="1" t="s">
        <v>20371</v>
      </c>
      <c r="H4067" s="1" t="str">
        <f>IFERROR(__xludf.DUMMYFUNCTION("GOOGLETRANSLATE(D4067,""EN"",""JA"")"),"レチノール結合タンパク質/クレアチニン")</f>
        <v>レチノール結合タンパク質/クレアチニン</v>
      </c>
      <c r="I4067" s="1" t="str">
        <f>IFERROR(__xludf.DUMMYFUNCTION("GOOGLETRANSLATE(E4067,""EN"",""JA"")"),"レチノール結合タンパク質/クレアチニン")</f>
        <v>レチノール結合タンパク質/クレアチニン</v>
      </c>
      <c r="J4067" s="1" t="str">
        <f>IFERROR(__xludf.DUMMYFUNCTION("GOOGLETRANSLATE(F4067,""EN"",""JA"")"),"生物標本中のレチノール結合タンパク質とクレアチニンの相対的な測定値（比率またはパーセンテージ）。")</f>
        <v>生物標本中のレチノール結合タンパク質とクレアチニンの相対的な測定値（比率またはパーセンテージ）。</v>
      </c>
      <c r="K4067" s="1" t="str">
        <f>IFERROR(__xludf.DUMMYFUNCTION("GOOGLETRANSLATE(G4067,""EN"",""JA"")"),"レチノール結合タンパク質とクレアチニンの比率測定")</f>
        <v>レチノール結合タンパク質とクレアチニンの比率測定</v>
      </c>
    </row>
    <row r="4068" ht="13.5" customHeight="1">
      <c r="A4068" s="1" t="s">
        <v>870</v>
      </c>
      <c r="B4068" s="1" t="s">
        <v>20372</v>
      </c>
      <c r="C4068" s="1" t="s">
        <v>20373</v>
      </c>
      <c r="D4068" s="1" t="s">
        <v>20374</v>
      </c>
      <c r="E4068" s="1" t="s">
        <v>20374</v>
      </c>
      <c r="F4068" s="1" t="s">
        <v>20375</v>
      </c>
      <c r="G4068" s="1" t="s">
        <v>20376</v>
      </c>
      <c r="H4068" s="1" t="str">
        <f>IFERROR(__xludf.DUMMYFUNCTION("GOOGLETRANSLATE(D4068,""EN"",""JA"")"),"アムトレックインフィニティオブス")</f>
        <v>アムトレックインフィニティオブス</v>
      </c>
      <c r="I4068" s="1" t="str">
        <f>IFERROR(__xludf.DUMMYFUNCTION("GOOGLETRANSLATE(E4068,""EN"",""JA"")"),"アムトレックインフィニティオブス")</f>
        <v>アムトレックインフィニティオブス</v>
      </c>
      <c r="J4068" s="1" t="str">
        <f>IFERROR(__xludf.DUMMYFUNCTION("GOOGLETRANSLATE(F4068,""EN"",""JA"")"),"PPSPEC で指定された標本タイプから回収された累積量を無限大に外挿したもので、最後のゼロ以外の濃度の観測値を使用して計算されます。")</f>
        <v>PPSPEC で指定された標本タイプから回収された累積量を無限大に外挿したもので、最後のゼロ以外の濃度の観測値を使用して計算されます。</v>
      </c>
      <c r="K4068" s="1" t="str">
        <f>IFERROR(__xludf.DUMMYFUNCTION("GOOGLETRANSLATE(G4068,""EN"",""JA"")"),"回収量無限大観測")</f>
        <v>回収量無限大観測</v>
      </c>
    </row>
    <row r="4069" ht="13.5" customHeight="1">
      <c r="A4069" s="1" t="s">
        <v>870</v>
      </c>
      <c r="B4069" s="1" t="s">
        <v>20377</v>
      </c>
      <c r="C4069" s="1" t="s">
        <v>20378</v>
      </c>
      <c r="D4069" s="1" t="s">
        <v>20379</v>
      </c>
      <c r="E4069" s="1" t="s">
        <v>20379</v>
      </c>
      <c r="F4069" s="1" t="s">
        <v>20380</v>
      </c>
      <c r="G4069" s="1" t="s">
        <v>20381</v>
      </c>
      <c r="H4069" s="1" t="str">
        <f>IFERROR(__xludf.DUMMYFUNCTION("GOOGLETRANSLATE(D4069,""EN"",""JA"")"),"BMIによるAmt Rec Infinity Obs Norm")</f>
        <v>BMIによるAmt Rec Infinity Obs Norm</v>
      </c>
      <c r="I4069" s="1" t="str">
        <f>IFERROR(__xludf.DUMMYFUNCTION("GOOGLETRANSLATE(E4069,""EN"",""JA"")"),"BMIによるAmt Rec Infinity Obs Norm")</f>
        <v>BMIによるAmt Rec Infinity Obs Norm</v>
      </c>
      <c r="J4069" s="1" t="str">
        <f>IFERROR(__xludf.DUMMYFUNCTION("GOOGLETRANSLATE(F4069,""EN"",""JA"")"),"PPSPEC で指定された検体タイプから回収された累積量を無限大に外挿したもので、最後のゼロ以外の濃度の観測値を使用して計算し、それをボディマス指数で割ったもの。")</f>
        <v>PPSPEC で指定された検体タイプから回収された累積量を無限大に外挿したもので、最後のゼロ以外の濃度の観測値を使用して計算し、それをボディマス指数で割ったもの。</v>
      </c>
      <c r="K4069" s="1" t="str">
        <f>IFERROR(__xludf.DUMMYFUNCTION("GOOGLETRANSLATE(G4069,""EN"",""JA"")"),"ボディマス指数で正規化された、無限大の回復量")</f>
        <v>ボディマス指数で正規化された、無限大の回復量</v>
      </c>
    </row>
    <row r="4070" ht="13.5" customHeight="1">
      <c r="A4070" s="1" t="s">
        <v>870</v>
      </c>
      <c r="B4070" s="1" t="s">
        <v>20382</v>
      </c>
      <c r="C4070" s="1" t="s">
        <v>20383</v>
      </c>
      <c r="D4070" s="1" t="s">
        <v>20384</v>
      </c>
      <c r="E4070" s="1" t="s">
        <v>20384</v>
      </c>
      <c r="F4070" s="1" t="s">
        <v>20385</v>
      </c>
      <c r="G4070" s="1" t="s">
        <v>20386</v>
      </c>
      <c r="H4070" s="1" t="str">
        <f>IFERROR(__xludf.DUMMYFUNCTION("GOOGLETRANSLATE(D4070,""EN"",""JA"")"),"SA による Amt Rec Infinity Obs Norm")</f>
        <v>SA による Amt Rec Infinity Obs Norm</v>
      </c>
      <c r="I4070" s="1" t="str">
        <f>IFERROR(__xludf.DUMMYFUNCTION("GOOGLETRANSLATE(E4070,""EN"",""JA"")"),"SA による Amt Rec Infinity Obs Norm")</f>
        <v>SA による Amt Rec Infinity Obs Norm</v>
      </c>
      <c r="J4070" s="1" t="str">
        <f>IFERROR(__xludf.DUMMYFUNCTION("GOOGLETRANSLATE(F4070,""EN"",""JA"")"),"PPSPEC で指定された標本タイプから回収された累積量を無限大に外挿したもので、最後のゼロ以外の濃度の観測値を使用して計算し、表面積で割ったもの。")</f>
        <v>PPSPEC で指定された標本タイプから回収された累積量を無限大に外挿したもので、最後のゼロ以外の濃度の観測値を使用して計算し、表面積で割ったもの。</v>
      </c>
      <c r="K4070" s="1" t="str">
        <f>IFERROR(__xludf.DUMMYFUNCTION("GOOGLETRANSLATE(G4070,""EN"",""JA"")"),"回収量 無限大 観測値 表面積で正規化")</f>
        <v>回収量 無限大 観測値 表面積で正規化</v>
      </c>
    </row>
    <row r="4071" ht="13.5" customHeight="1">
      <c r="A4071" s="1" t="s">
        <v>870</v>
      </c>
      <c r="B4071" s="1" t="s">
        <v>20387</v>
      </c>
      <c r="C4071" s="1" t="s">
        <v>20388</v>
      </c>
      <c r="D4071" s="1" t="s">
        <v>20389</v>
      </c>
      <c r="E4071" s="1" t="s">
        <v>20389</v>
      </c>
      <c r="F4071" s="1" t="s">
        <v>20390</v>
      </c>
      <c r="G4071" s="1" t="s">
        <v>20391</v>
      </c>
      <c r="H4071" s="1" t="str">
        <f>IFERROR(__xludf.DUMMYFUNCTION("GOOGLETRANSLATE(D4071,""EN"",""JA"")"),"WTによるAmt Rec Infinity Obs Norm")</f>
        <v>WTによるAmt Rec Infinity Obs Norm</v>
      </c>
      <c r="I4071" s="1" t="str">
        <f>IFERROR(__xludf.DUMMYFUNCTION("GOOGLETRANSLATE(E4071,""EN"",""JA"")"),"WTによるAmt Rec Infinity Obs Norm")</f>
        <v>WTによるAmt Rec Infinity Obs Norm</v>
      </c>
      <c r="J4071" s="1" t="str">
        <f>IFERROR(__xludf.DUMMYFUNCTION("GOOGLETRANSLATE(F4071,""EN"",""JA"")"),"PPSPEC で指定された標本タイプから回収された累積量を無限大に外挿したもので、最後のゼロ以外の濃度の観測値を使用して計算し、重量で割った値です。")</f>
        <v>PPSPEC で指定された標本タイプから回収された累積量を無限大に外挿したもので、最後のゼロ以外の濃度の観測値を使用して計算し、重量で割った値です。</v>
      </c>
      <c r="K4071" s="1" t="str">
        <f>IFERROR(__xludf.DUMMYFUNCTION("GOOGLETRANSLATE(G4071,""EN"",""JA"")"),"回収量 無限大 観測値 重量で正規化")</f>
        <v>回収量 無限大 観測値 重量で正規化</v>
      </c>
    </row>
    <row r="4072" ht="13.5" customHeight="1">
      <c r="A4072" s="1" t="s">
        <v>870</v>
      </c>
      <c r="B4072" s="1" t="s">
        <v>20392</v>
      </c>
      <c r="C4072" s="1" t="s">
        <v>20393</v>
      </c>
      <c r="D4072" s="1" t="s">
        <v>20394</v>
      </c>
      <c r="E4072" s="1" t="s">
        <v>20394</v>
      </c>
      <c r="F4072" s="1" t="s">
        <v>20395</v>
      </c>
      <c r="G4072" s="1" t="s">
        <v>20396</v>
      </c>
      <c r="H4072" s="1" t="str">
        <f>IFERROR(__xludf.DUMMYFUNCTION("GOOGLETRANSLATE(D4072,""EN"",""JA"")"),"許容範囲無限予測")</f>
        <v>許容範囲無限予測</v>
      </c>
      <c r="I4072" s="1" t="str">
        <f>IFERROR(__xludf.DUMMYFUNCTION("GOOGLETRANSLATE(E4072,""EN"",""JA"")"),"許容範囲無限予測")</f>
        <v>許容範囲無限予測</v>
      </c>
      <c r="J4072" s="1" t="str">
        <f>IFERROR(__xludf.DUMMYFUNCTION("GOOGLETRANSLATE(F4072,""EN"",""JA"")"),"PPSPEC で指定された検体タイプから回収された累積量を無限大に外挿したもので、最後のゼロ以外の濃度の予測値を使用して計算されます。")</f>
        <v>PPSPEC で指定された検体タイプから回収された累積量を無限大に外挿したもので、最後のゼロ以外の濃度の予測値を使用して計算されます。</v>
      </c>
      <c r="K4072" s="1" t="str">
        <f>IFERROR(__xludf.DUMMYFUNCTION("GOOGLETRANSLATE(G4072,""EN"",""JA"")"),"回収量無限大予測")</f>
        <v>回収量無限大予測</v>
      </c>
    </row>
    <row r="4073" ht="13.5" customHeight="1">
      <c r="A4073" s="1" t="s">
        <v>870</v>
      </c>
      <c r="B4073" s="1" t="s">
        <v>20397</v>
      </c>
      <c r="C4073" s="1" t="s">
        <v>20398</v>
      </c>
      <c r="D4073" s="1" t="s">
        <v>20399</v>
      </c>
      <c r="E4073" s="1" t="s">
        <v>20399</v>
      </c>
      <c r="F4073" s="1" t="s">
        <v>20400</v>
      </c>
      <c r="G4073" s="1" t="s">
        <v>20401</v>
      </c>
      <c r="H4073" s="1" t="str">
        <f>IFERROR(__xludf.DUMMYFUNCTION("GOOGLETRANSLATE(D4073,""EN"",""JA"")"),"BMIによる許容量無限大予測正常値")</f>
        <v>BMIによる許容量無限大予測正常値</v>
      </c>
      <c r="I4073" s="1" t="str">
        <f>IFERROR(__xludf.DUMMYFUNCTION("GOOGLETRANSLATE(E4073,""EN"",""JA"")"),"BMIによる許容量無限大予測正常値")</f>
        <v>BMIによる許容量無限大予測正常値</v>
      </c>
      <c r="J4073" s="1" t="str">
        <f>IFERROR(__xludf.DUMMYFUNCTION("GOOGLETRANSLATE(F4073,""EN"",""JA"")"),"PPSPEC で指定された検体タイプから回収された累積量を無限大に外挿したもので、最後のゼロ以外の濃度の予測値を使用して計算し、それをボディマス指数で割ったもの。")</f>
        <v>PPSPEC で指定された検体タイプから回収された累積量を無限大に外挿したもので、最後のゼロ以外の濃度の予測値を使用して計算し、それをボディマス指数で割ったもの。</v>
      </c>
      <c r="K4073" s="1" t="str">
        <f>IFERROR(__xludf.DUMMYFUNCTION("GOOGLETRANSLATE(G4073,""EN"",""JA"")"),"ボディマス指数で正規化された回復量の無限大予測")</f>
        <v>ボディマス指数で正規化された回復量の無限大予測</v>
      </c>
    </row>
    <row r="4074" ht="13.5" customHeight="1">
      <c r="A4074" s="1" t="s">
        <v>870</v>
      </c>
      <c r="B4074" s="1" t="s">
        <v>20402</v>
      </c>
      <c r="C4074" s="1" t="s">
        <v>20403</v>
      </c>
      <c r="D4074" s="1" t="s">
        <v>20404</v>
      </c>
      <c r="E4074" s="1" t="s">
        <v>20404</v>
      </c>
      <c r="F4074" s="1" t="s">
        <v>20405</v>
      </c>
      <c r="G4074" s="1" t="s">
        <v>20406</v>
      </c>
      <c r="H4074" s="1" t="str">
        <f>IFERROR(__xludf.DUMMYFUNCTION("GOOGLETRANSLATE(D4074,""EN"",""JA"")"),"SAによるAmt Rec Infinity Pred Norm")</f>
        <v>SAによるAmt Rec Infinity Pred Norm</v>
      </c>
      <c r="I4074" s="1" t="str">
        <f>IFERROR(__xludf.DUMMYFUNCTION("GOOGLETRANSLATE(E4074,""EN"",""JA"")"),"SAによるAmt Rec Infinity Pred Norm")</f>
        <v>SAによるAmt Rec Infinity Pred Norm</v>
      </c>
      <c r="J4074" s="1" t="str">
        <f>IFERROR(__xludf.DUMMYFUNCTION("GOOGLETRANSLATE(F4074,""EN"",""JA"")"),"PPSPEC で指定された標本タイプから回収された累積量を無限大に外挿したもので、最後のゼロ以外の濃度の予測値を使用して計算し、表面積で割った値です。")</f>
        <v>PPSPEC で指定された標本タイプから回収された累積量を無限大に外挿したもので、最後のゼロ以外の濃度の予測値を使用して計算し、表面積で割った値です。</v>
      </c>
      <c r="K4074" s="1" t="str">
        <f>IFERROR(__xludf.DUMMYFUNCTION("GOOGLETRANSLATE(G4074,""EN"",""JA"")"),"回収量無限大予測表面積で正規化")</f>
        <v>回収量無限大予測表面積で正規化</v>
      </c>
    </row>
    <row r="4075" ht="13.5" customHeight="1">
      <c r="A4075" s="1" t="s">
        <v>870</v>
      </c>
      <c r="B4075" s="1" t="s">
        <v>20407</v>
      </c>
      <c r="C4075" s="1" t="s">
        <v>20408</v>
      </c>
      <c r="D4075" s="1" t="s">
        <v>20409</v>
      </c>
      <c r="E4075" s="1" t="s">
        <v>20409</v>
      </c>
      <c r="F4075" s="1" t="s">
        <v>20410</v>
      </c>
      <c r="G4075" s="1" t="s">
        <v>20411</v>
      </c>
      <c r="H4075" s="1" t="str">
        <f>IFERROR(__xludf.DUMMYFUNCTION("GOOGLETRANSLATE(D4075,""EN"",""JA"")"),"WTによるAmt Rec Infinity Pred Norm")</f>
        <v>WTによるAmt Rec Infinity Pred Norm</v>
      </c>
      <c r="I4075" s="1" t="str">
        <f>IFERROR(__xludf.DUMMYFUNCTION("GOOGLETRANSLATE(E4075,""EN"",""JA"")"),"WTによるAmt Rec Infinity Pred Norm")</f>
        <v>WTによるAmt Rec Infinity Pred Norm</v>
      </c>
      <c r="J4075" s="1" t="str">
        <f>IFERROR(__xludf.DUMMYFUNCTION("GOOGLETRANSLATE(F4075,""EN"",""JA"")"),"PPSPEC で指定された検体タイプから回収された累積量を無限大に外挿したもので、最後のゼロ以外の濃度の予測値を使用して計算し、重量で割った値です。")</f>
        <v>PPSPEC で指定された検体タイプから回収された累積量を無限大に外挿したもので、最後のゼロ以外の濃度の予測値を使用して計算し、重量で割った値です。</v>
      </c>
      <c r="K4075" s="1" t="str">
        <f>IFERROR(__xludf.DUMMYFUNCTION("GOOGLETRANSLATE(G4075,""EN"",""JA"")"),"回収量無限大予測重量で正規化")</f>
        <v>回収量無限大予測重量で正規化</v>
      </c>
    </row>
    <row r="4076" ht="13.5" customHeight="1">
      <c r="A4076" s="1" t="s">
        <v>870</v>
      </c>
      <c r="B4076" s="1" t="s">
        <v>20412</v>
      </c>
      <c r="C4076" s="1" t="s">
        <v>20413</v>
      </c>
      <c r="D4076" s="1" t="s">
        <v>20414</v>
      </c>
      <c r="E4076" s="1" t="s">
        <v>20414</v>
      </c>
      <c r="F4076" s="1" t="s">
        <v>20415</v>
      </c>
      <c r="G4076" s="1" t="s">
        <v>20416</v>
      </c>
      <c r="H4076" s="1" t="str">
        <f>IFERROR(__xludf.DUMMYFUNCTION("GOOGLETRANSLATE(D4076,""EN"",""JA"")"),"T1からT2への金額受取")</f>
        <v>T1からT2への金額受取</v>
      </c>
      <c r="I4076" s="1" t="str">
        <f>IFERROR(__xludf.DUMMYFUNCTION("GOOGLETRANSLATE(E4076,""EN"",""JA"")"),"T1からT2への金額受取")</f>
        <v>T1からT2への金額受取</v>
      </c>
      <c r="J4076" s="1" t="str">
        <f>IFERROR(__xludf.DUMMYFUNCTION("GOOGLETRANSLATE(F4076,""EN"",""JA"")"),"T1 から T2 までの間隔で PPSPEC で指定された標本タイプから回収された累積量。")</f>
        <v>T1 から T2 までの間隔で PPSPEC で指定された標本タイプから回収された累積量。</v>
      </c>
      <c r="K4076" s="1" t="str">
        <f>IFERROR(__xludf.DUMMYFUNCTION("GOOGLETRANSLATE(G4076,""EN"",""JA"")"),"T1からT2に回収された金額")</f>
        <v>T1からT2に回収された金額</v>
      </c>
    </row>
    <row r="4077" ht="13.5" customHeight="1">
      <c r="A4077" s="1" t="s">
        <v>870</v>
      </c>
      <c r="B4077" s="1" t="s">
        <v>20417</v>
      </c>
      <c r="C4077" s="1" t="s">
        <v>20418</v>
      </c>
      <c r="D4077" s="1" t="s">
        <v>20419</v>
      </c>
      <c r="E4077" s="1" t="s">
        <v>20419</v>
      </c>
      <c r="F4077" s="1" t="s">
        <v>20420</v>
      </c>
      <c r="G4077" s="1" t="s">
        <v>20421</v>
      </c>
      <c r="H4077" s="1" t="str">
        <f>IFERROR(__xludf.DUMMYFUNCTION("GOOGLETRANSLATE(D4077,""EN"",""JA"")"),"BMIによるT1からT2基準値までの回復量")</f>
        <v>BMIによるT1からT2基準値までの回復量</v>
      </c>
      <c r="I4077" s="1" t="str">
        <f>IFERROR(__xludf.DUMMYFUNCTION("GOOGLETRANSLATE(E4077,""EN"",""JA"")"),"BMIによるT1からT2基準値までの回復量")</f>
        <v>BMIによるT1からT2基準値までの回復量</v>
      </c>
      <c r="J4077" s="1" t="str">
        <f>IFERROR(__xludf.DUMMYFUNCTION("GOOGLETRANSLATE(F4077,""EN"",""JA"")"),"PPSPEC で指定された検体タイプから T1 から T2 までの期間に回収された累積量をボディマス指数で割ったもの。")</f>
        <v>PPSPEC で指定された検体タイプから T1 から T2 までの期間に回収された累積量をボディマス指数で割ったもの。</v>
      </c>
      <c r="K4077" s="1" t="str">
        <f>IFERROR(__xludf.DUMMYFUNCTION("GOOGLETRANSLATE(G4077,""EN"",""JA"")"),"T1からT2までの回復量をBMIで正規化した値")</f>
        <v>T1からT2までの回復量をBMIで正規化した値</v>
      </c>
    </row>
    <row r="4078" ht="13.5" customHeight="1">
      <c r="A4078" s="1" t="s">
        <v>870</v>
      </c>
      <c r="B4078" s="1" t="s">
        <v>20422</v>
      </c>
      <c r="C4078" s="1" t="s">
        <v>20423</v>
      </c>
      <c r="D4078" s="1" t="s">
        <v>20424</v>
      </c>
      <c r="E4078" s="1" t="s">
        <v>20424</v>
      </c>
      <c r="F4078" s="1" t="s">
        <v>20425</v>
      </c>
      <c r="G4078" s="1" t="s">
        <v>20426</v>
      </c>
      <c r="H4078" s="1" t="str">
        <f>IFERROR(__xludf.DUMMYFUNCTION("GOOGLETRANSLATE(D4078,""EN"",""JA"")"),"SAによるT1からT2標準までの金額回収")</f>
        <v>SAによるT1からT2標準までの金額回収</v>
      </c>
      <c r="I4078" s="1" t="str">
        <f>IFERROR(__xludf.DUMMYFUNCTION("GOOGLETRANSLATE(E4078,""EN"",""JA"")"),"SAによるT1からT2標準までの金額回収")</f>
        <v>SAによるT1からT2標準までの金額回収</v>
      </c>
      <c r="J4078" s="1" t="str">
        <f>IFERROR(__xludf.DUMMYFUNCTION("GOOGLETRANSLATE(F4078,""EN"",""JA"")"),"PPSPEC で指定された試験片タイプから T1 から T2 までの期間に回収された累積量を表面積で割ったもの。")</f>
        <v>PPSPEC で指定された試験片タイプから T1 から T2 までの期間に回収された累積量を表面積で割ったもの。</v>
      </c>
      <c r="K4078" s="1" t="str">
        <f>IFERROR(__xludf.DUMMYFUNCTION("GOOGLETRANSLATE(G4078,""EN"",""JA"")"),"T1からT2までの回収量を表面積で正規化した値")</f>
        <v>T1からT2までの回収量を表面積で正規化した値</v>
      </c>
    </row>
    <row r="4079" ht="13.5" customHeight="1">
      <c r="A4079" s="1" t="s">
        <v>870</v>
      </c>
      <c r="B4079" s="1" t="s">
        <v>20427</v>
      </c>
      <c r="C4079" s="1" t="s">
        <v>20428</v>
      </c>
      <c r="D4079" s="1" t="s">
        <v>20429</v>
      </c>
      <c r="E4079" s="1" t="s">
        <v>20429</v>
      </c>
      <c r="F4079" s="1" t="s">
        <v>20430</v>
      </c>
      <c r="G4079" s="1" t="s">
        <v>20431</v>
      </c>
      <c r="H4079" s="1" t="str">
        <f>IFERROR(__xludf.DUMMYFUNCTION("GOOGLETRANSLATE(D4079,""EN"",""JA"")"),"WTによるT1からT2標準までの回収量")</f>
        <v>WTによるT1からT2標準までの回収量</v>
      </c>
      <c r="I4079" s="1" t="str">
        <f>IFERROR(__xludf.DUMMYFUNCTION("GOOGLETRANSLATE(E4079,""EN"",""JA"")"),"WTによるT1からT2標準までの回収量")</f>
        <v>WTによるT1からT2標準までの回収量</v>
      </c>
      <c r="J4079" s="1" t="str">
        <f>IFERROR(__xludf.DUMMYFUNCTION("GOOGLETRANSLATE(F4079,""EN"",""JA"")"),"PPSPEC で指定された標本タイプから T1 から T2 までの期間に回収された累積量を重量で割ったもの。")</f>
        <v>PPSPEC で指定された標本タイプから T1 から T2 までの期間に回収された累積量を重量で割ったもの。</v>
      </c>
      <c r="K4079" s="1" t="str">
        <f>IFERROR(__xludf.DUMMYFUNCTION("GOOGLETRANSLATE(G4079,""EN"",""JA"")"),"T1からT2までの回収量を重量で正規化した値")</f>
        <v>T1からT2までの回収量を重量で正規化した値</v>
      </c>
    </row>
    <row r="4080" ht="13.5" customHeight="1">
      <c r="A4080" s="1" t="s">
        <v>870</v>
      </c>
      <c r="B4080" s="1" t="s">
        <v>20432</v>
      </c>
      <c r="C4080" s="1" t="s">
        <v>20433</v>
      </c>
      <c r="D4080" s="1" t="s">
        <v>20434</v>
      </c>
      <c r="E4080" s="1" t="s">
        <v>20434</v>
      </c>
      <c r="F4080" s="1" t="s">
        <v>20435</v>
      </c>
      <c r="G4080" s="1" t="s">
        <v>20436</v>
      </c>
      <c r="H4080" s="1" t="str">
        <f>IFERROR(__xludf.DUMMYFUNCTION("GOOGLETRANSLATE(D4080,""EN"",""JA"")"),"最後の非ゼロコンセンまでの金額記録")</f>
        <v>最後の非ゼロコンセンまでの金額記録</v>
      </c>
      <c r="I4080" s="1" t="str">
        <f>IFERROR(__xludf.DUMMYFUNCTION("GOOGLETRANSLATE(E4080,""EN"",""JA"")"),"最後の非ゼロコンセンまでの金額記録")</f>
        <v>最後の非ゼロコンセンまでの金額記録</v>
      </c>
      <c r="J4080" s="1" t="str">
        <f>IFERROR(__xludf.DUMMYFUNCTION("GOOGLETRANSLATE(F4080,""EN"",""JA"")"),"投与時から最後のゼロ以外の濃度までの、PPSPEC で指定された検体タイプから回収された累積量。")</f>
        <v>投与時から最後のゼロ以外の濃度までの、PPSPEC で指定された検体タイプから回収された累積量。</v>
      </c>
      <c r="K4080" s="1" t="str">
        <f>IFERROR(__xludf.DUMMYFUNCTION("GOOGLETRANSLATE(G4080,""EN"",""JA"")"),"最後の非ゼロ濃度まで回収された量")</f>
        <v>最後の非ゼロ濃度まで回収された量</v>
      </c>
    </row>
    <row r="4081" ht="13.5" customHeight="1">
      <c r="A4081" s="1" t="s">
        <v>870</v>
      </c>
      <c r="B4081" s="1" t="s">
        <v>20437</v>
      </c>
      <c r="C4081" s="1" t="s">
        <v>20438</v>
      </c>
      <c r="D4081" s="1" t="s">
        <v>20439</v>
      </c>
      <c r="E4081" s="1" t="s">
        <v>20439</v>
      </c>
      <c r="F4081" s="1" t="s">
        <v>20440</v>
      </c>
      <c r="G4081" s="1" t="s">
        <v>20441</v>
      </c>
      <c r="H4081" s="1" t="str">
        <f>IFERROR(__xludf.DUMMYFUNCTION("GOOGLETRANSLATE(D4081,""EN"",""JA"")"),"投与間隔を超える摂取量")</f>
        <v>投与間隔を超える摂取量</v>
      </c>
      <c r="I4081" s="1" t="str">
        <f>IFERROR(__xludf.DUMMYFUNCTION("GOOGLETRANSLATE(E4081,""EN"",""JA"")"),"投与間隔を超える摂取量")</f>
        <v>投与間隔を超える摂取量</v>
      </c>
      <c r="J4081" s="1" t="str">
        <f>IFERROR(__xludf.DUMMYFUNCTION("GOOGLETRANSLATE(F4081,""EN"",""JA"")"),"PPSPEC で指定された検体タイプから投与間で回収された累積量 (TAU)。")</f>
        <v>PPSPEC で指定された検体タイプから投与間で回収された累積量 (TAU)。</v>
      </c>
      <c r="K4081" s="1" t="str">
        <f>IFERROR(__xludf.DUMMYFUNCTION("GOOGLETRANSLATE(G4081,""EN"",""JA"")"),"投与間隔中に回復した量")</f>
        <v>投与間隔中に回復した量</v>
      </c>
    </row>
    <row r="4082" ht="13.5" customHeight="1">
      <c r="A4082" s="1" t="s">
        <v>870</v>
      </c>
      <c r="B4082" s="1" t="s">
        <v>20442</v>
      </c>
      <c r="C4082" s="1" t="s">
        <v>20443</v>
      </c>
      <c r="D4082" s="1" t="s">
        <v>20444</v>
      </c>
      <c r="E4082" s="1" t="s">
        <v>20444</v>
      </c>
      <c r="F4082" s="1" t="s">
        <v>20445</v>
      </c>
      <c r="G4082" s="1" t="s">
        <v>20446</v>
      </c>
      <c r="H4082" s="1" t="str">
        <f>IFERROR(__xludf.DUMMYFUNCTION("GOOGLETRANSLATE(D4082,""EN"",""JA"")"),"BMIによる投与間隔基準を超える摂取量")</f>
        <v>BMIによる投与間隔基準を超える摂取量</v>
      </c>
      <c r="I4082" s="1" t="str">
        <f>IFERROR(__xludf.DUMMYFUNCTION("GOOGLETRANSLATE(E4082,""EN"",""JA"")"),"BMIによる投与間隔基準を超える摂取量")</f>
        <v>BMIによる投与間隔基準を超える摂取量</v>
      </c>
      <c r="J4082" s="1" t="str">
        <f>IFERROR(__xludf.DUMMYFUNCTION("GOOGLETRANSLATE(F4082,""EN"",""JA"")"),"PPSPEC で指定された検体タイプから投与量間で回収された累積量 (TAU) をボディマス指数で割ったもの。")</f>
        <v>PPSPEC で指定された検体タイプから投与量間で回収された累積量 (TAU) をボディマス指数で割ったもの。</v>
      </c>
      <c r="K4082" s="1" t="str">
        <f>IFERROR(__xludf.DUMMYFUNCTION("GOOGLETRANSLATE(G4082,""EN"",""JA"")"),"投与間隔中に回復した量をBMIで標準化")</f>
        <v>投与間隔中に回復した量をBMIで標準化</v>
      </c>
    </row>
    <row r="4083" ht="13.5" customHeight="1">
      <c r="A4083" s="1" t="s">
        <v>870</v>
      </c>
      <c r="B4083" s="1" t="s">
        <v>20447</v>
      </c>
      <c r="C4083" s="1" t="s">
        <v>20448</v>
      </c>
      <c r="D4083" s="1" t="s">
        <v>20449</v>
      </c>
      <c r="E4083" s="1" t="s">
        <v>20449</v>
      </c>
      <c r="F4083" s="1" t="s">
        <v>20450</v>
      </c>
      <c r="G4083" s="1" t="s">
        <v>20451</v>
      </c>
      <c r="H4083" s="1" t="str">
        <f>IFERROR(__xludf.DUMMYFUNCTION("GOOGLETRANSLATE(D4083,""EN"",""JA"")"),"SAによる投与間隔基準を超える摂取量")</f>
        <v>SAによる投与間隔基準を超える摂取量</v>
      </c>
      <c r="I4083" s="1" t="str">
        <f>IFERROR(__xludf.DUMMYFUNCTION("GOOGLETRANSLATE(E4083,""EN"",""JA"")"),"SAによる投与間隔基準を超える摂取量")</f>
        <v>SAによる投与間隔基準を超える摂取量</v>
      </c>
      <c r="J4083" s="1" t="str">
        <f>IFERROR(__xludf.DUMMYFUNCTION("GOOGLETRANSLATE(F4083,""EN"",""JA"")"),"PPSPEC で指定された標本タイプから線量間で回収された累積量 (TAU) を表面積で割ったもの。")</f>
        <v>PPSPEC で指定された標本タイプから線量間で回収された累積量 (TAU) を表面積で割ったもの。</v>
      </c>
      <c r="K4083" s="1" t="str">
        <f>IFERROR(__xludf.DUMMYFUNCTION("GOOGLETRANSLATE(G4083,""EN"",""JA"")"),"投与間隔中に回収された量（表面積で正規化）")</f>
        <v>投与間隔中に回収された量（表面積で正規化）</v>
      </c>
    </row>
    <row r="4084" ht="13.5" customHeight="1">
      <c r="A4084" s="1" t="s">
        <v>870</v>
      </c>
      <c r="B4084" s="1" t="s">
        <v>20452</v>
      </c>
      <c r="C4084" s="1" t="s">
        <v>20453</v>
      </c>
      <c r="D4084" s="1" t="s">
        <v>20454</v>
      </c>
      <c r="E4084" s="1" t="s">
        <v>20454</v>
      </c>
      <c r="F4084" s="1" t="s">
        <v>20455</v>
      </c>
      <c r="G4084" s="1" t="s">
        <v>20456</v>
      </c>
      <c r="H4084" s="1" t="str">
        <f>IFERROR(__xludf.DUMMYFUNCTION("GOOGLETRANSLATE(D4084,""EN"",""JA"")"),"WTによる投与間隔基準を超える摂取量")</f>
        <v>WTによる投与間隔基準を超える摂取量</v>
      </c>
      <c r="I4084" s="1" t="str">
        <f>IFERROR(__xludf.DUMMYFUNCTION("GOOGLETRANSLATE(E4084,""EN"",""JA"")"),"WTによる投与間隔基準を超える摂取量")</f>
        <v>WTによる投与間隔基準を超える摂取量</v>
      </c>
      <c r="J4084" s="1" t="str">
        <f>IFERROR(__xludf.DUMMYFUNCTION("GOOGLETRANSLATE(F4084,""EN"",""JA"")"),"PPSPEC で指定された検体タイプから投与量間で回収された累積量 (TAU) を重量で割ったもの。")</f>
        <v>PPSPEC で指定された検体タイプから投与量間で回収された累積量 (TAU) を重量で割ったもの。</v>
      </c>
      <c r="K4084" s="1" t="str">
        <f>IFERROR(__xludf.DUMMYFUNCTION("GOOGLETRANSLATE(G4084,""EN"",""JA"")"),"投与間隔中に回復した量を体重で標準化")</f>
        <v>投与間隔中に回復した量を体重で標準化</v>
      </c>
    </row>
    <row r="4085" ht="13.5" customHeight="1">
      <c r="A4085" s="1" t="s">
        <v>67</v>
      </c>
      <c r="B4085" s="1" t="s">
        <v>20457</v>
      </c>
      <c r="C4085" s="1" t="s">
        <v>20458</v>
      </c>
      <c r="D4085" s="1" t="s">
        <v>20459</v>
      </c>
      <c r="E4085" s="1" t="s">
        <v>20459</v>
      </c>
      <c r="F4085" s="1" t="s">
        <v>20460</v>
      </c>
      <c r="G4085" s="1" t="s">
        <v>20461</v>
      </c>
      <c r="H4085" s="1" t="str">
        <f>IFERROR(__xludf.DUMMYFUNCTION("GOOGLETRANSLATE(D4085,""EN"",""JA"")"),"複製能のあるレンチウイルスRNA")</f>
        <v>複製能のあるレンチウイルスRNA</v>
      </c>
      <c r="I4085" s="1" t="str">
        <f>IFERROR(__xludf.DUMMYFUNCTION("GOOGLETRANSLATE(E4085,""EN"",""JA"")"),"複製能のあるレンチウイルスRNA")</f>
        <v>複製能のあるレンチウイルスRNA</v>
      </c>
      <c r="J4085" s="1" t="str">
        <f>IFERROR(__xludf.DUMMYFUNCTION("GOOGLETRANSLATE(F4085,""EN"",""JA"")"),"生物標本中の複製能のあるウイルスベクターレンチウイルスからの RNA の測定。")</f>
        <v>生物標本中の複製能のあるウイルスベクターレンチウイルスからの RNA の測定。</v>
      </c>
      <c r="K4085" s="1" t="str">
        <f>IFERROR(__xludf.DUMMYFUNCTION("GOOGLETRANSLATE(G4085,""EN"",""JA"")"),"複製能のあるレンチウイルスRNAの測定")</f>
        <v>複製能のあるレンチウイルスRNAの測定</v>
      </c>
    </row>
    <row r="4086" ht="13.5" customHeight="1">
      <c r="A4086" s="1" t="s">
        <v>870</v>
      </c>
      <c r="B4086" s="1" t="s">
        <v>20462</v>
      </c>
      <c r="C4086" s="1" t="s">
        <v>20463</v>
      </c>
      <c r="D4086" s="1" t="s">
        <v>20464</v>
      </c>
      <c r="E4086" s="1" t="s">
        <v>20464</v>
      </c>
      <c r="F4086" s="1" t="s">
        <v>20465</v>
      </c>
      <c r="G4086" s="1" t="s">
        <v>20466</v>
      </c>
      <c r="H4086" s="1" t="str">
        <f>IFERROR(__xludf.DUMMYFUNCTION("GOOGLETRANSLATE(D4086,""EN"",""JA"")"),"無限大観測の記録率")</f>
        <v>無限大観測の記録率</v>
      </c>
      <c r="I4086" s="1" t="str">
        <f>IFERROR(__xludf.DUMMYFUNCTION("GOOGLETRANSLATE(E4086,""EN"",""JA"")"),"無限大観測の記録率")</f>
        <v>無限大観測の記録率</v>
      </c>
      <c r="J4086" s="1" t="str">
        <f>IFERROR(__xludf.DUMMYFUNCTION("GOOGLETRANSLATE(F4086,""EN"",""JA"")"),"PPSPEC で指定された標本タイプから回収された投与量の割合を無限大に外挿したもので、最後のゼロ以外の濃度の観測値を使用して計算されます。")</f>
        <v>PPSPEC で指定された標本タイプから回収された投与量の割合を無限大に外挿したもので、最後のゼロ以外の濃度の観測値を使用して計算されます。</v>
      </c>
      <c r="K4086" s="1" t="str">
        <f>IFERROR(__xludf.DUMMYFUNCTION("GOOGLETRANSLATE(G4086,""EN"",""JA"")"),"回復率無限大観測")</f>
        <v>回復率無限大観測</v>
      </c>
    </row>
    <row r="4087" ht="13.5" customHeight="1">
      <c r="A4087" s="1" t="s">
        <v>870</v>
      </c>
      <c r="B4087" s="1" t="s">
        <v>20467</v>
      </c>
      <c r="C4087" s="1" t="s">
        <v>20468</v>
      </c>
      <c r="D4087" s="1" t="s">
        <v>20469</v>
      </c>
      <c r="E4087" s="1" t="s">
        <v>20469</v>
      </c>
      <c r="F4087" s="1" t="s">
        <v>20470</v>
      </c>
      <c r="G4087" s="1" t="s">
        <v>20471</v>
      </c>
      <c r="H4087" s="1" t="str">
        <f>IFERROR(__xludf.DUMMYFUNCTION("GOOGLETRANSLATE(D4087,""EN"",""JA"")"),"BMIによる正常範囲の無限大観測率")</f>
        <v>BMIによる正常範囲の無限大観測率</v>
      </c>
      <c r="I4087" s="1" t="str">
        <f>IFERROR(__xludf.DUMMYFUNCTION("GOOGLETRANSLATE(E4087,""EN"",""JA"")"),"BMIによる正常範囲の無限大観測率")</f>
        <v>BMIによる正常範囲の無限大観測率</v>
      </c>
      <c r="J4087" s="1" t="str">
        <f>IFERROR(__xludf.DUMMYFUNCTION("GOOGLETRANSLATE(F4087,""EN"",""JA"")"),"PPSPEC で指定された検体タイプから回収された投与量の割合を無限大に外挿したもので、最後のゼロ以外の濃度の観測値を使用して計算し、それをボディマス指数で割ったもの。")</f>
        <v>PPSPEC で指定された検体タイプから回収された投与量の割合を無限大に外挿したもので、最後のゼロ以外の濃度の観測値を使用して計算し、それをボディマス指数で割ったもの。</v>
      </c>
      <c r="K4087" s="1" t="str">
        <f>IFERROR(__xludf.DUMMYFUNCTION("GOOGLETRANSLATE(G4087,""EN"",""JA"")"),"ボディマス指数で正規化された回復率の無限大の観測値")</f>
        <v>ボディマス指数で正規化された回復率の無限大の観測値</v>
      </c>
    </row>
    <row r="4088" ht="13.5" customHeight="1">
      <c r="A4088" s="1" t="s">
        <v>870</v>
      </c>
      <c r="B4088" s="1" t="s">
        <v>20472</v>
      </c>
      <c r="C4088" s="1" t="s">
        <v>20473</v>
      </c>
      <c r="D4088" s="1" t="s">
        <v>20474</v>
      </c>
      <c r="E4088" s="1" t="s">
        <v>20474</v>
      </c>
      <c r="F4088" s="1" t="s">
        <v>20475</v>
      </c>
      <c r="G4088" s="1" t="s">
        <v>20476</v>
      </c>
      <c r="H4088" s="1" t="str">
        <f>IFERROR(__xludf.DUMMYFUNCTION("GOOGLETRANSLATE(D4088,""EN"",""JA"")"),"SA による記録率無限大観測標準")</f>
        <v>SA による記録率無限大観測標準</v>
      </c>
      <c r="I4088" s="1" t="str">
        <f>IFERROR(__xludf.DUMMYFUNCTION("GOOGLETRANSLATE(E4088,""EN"",""JA"")"),"SA による記録率無限大観測標準")</f>
        <v>SA による記録率無限大観測標準</v>
      </c>
      <c r="J4088" s="1" t="str">
        <f>IFERROR(__xludf.DUMMYFUNCTION("GOOGLETRANSLATE(F4088,""EN"",""JA"")"),"PPSPEC で指定された標本タイプから回収された投与量の割合を無限大に外挿したもので、最後のゼロ以外の濃度の観測値を使用して計算し、表面積で割ったもの。")</f>
        <v>PPSPEC で指定された標本タイプから回収された投与量の割合を無限大に外挿したもので、最後のゼロ以外の濃度の観測値を使用して計算し、表面積で割ったもの。</v>
      </c>
      <c r="K4088" s="1" t="str">
        <f>IFERROR(__xludf.DUMMYFUNCTION("GOOGLETRANSLATE(G4088,""EN"",""JA"")"),"回収された無限大のパーセントを表面積で正規化した値")</f>
        <v>回収された無限大のパーセントを表面積で正規化した値</v>
      </c>
    </row>
    <row r="4089" ht="13.5" customHeight="1">
      <c r="A4089" s="1" t="s">
        <v>870</v>
      </c>
      <c r="B4089" s="1" t="s">
        <v>20477</v>
      </c>
      <c r="C4089" s="1" t="s">
        <v>20478</v>
      </c>
      <c r="D4089" s="1" t="s">
        <v>20479</v>
      </c>
      <c r="E4089" s="1" t="s">
        <v>20479</v>
      </c>
      <c r="F4089" s="1" t="s">
        <v>20480</v>
      </c>
      <c r="G4089" s="1" t="s">
        <v>20481</v>
      </c>
      <c r="H4089" s="1" t="str">
        <f>IFERROR(__xludf.DUMMYFUNCTION("GOOGLETRANSLATE(D4089,""EN"",""JA"")"),"WTによる記録無限大観測基準率")</f>
        <v>WTによる記録無限大観測基準率</v>
      </c>
      <c r="I4089" s="1" t="str">
        <f>IFERROR(__xludf.DUMMYFUNCTION("GOOGLETRANSLATE(E4089,""EN"",""JA"")"),"WTによる記録無限大観測基準率")</f>
        <v>WTによる記録無限大観測基準率</v>
      </c>
      <c r="J4089" s="1" t="str">
        <f>IFERROR(__xludf.DUMMYFUNCTION("GOOGLETRANSLATE(F4089,""EN"",""JA"")"),"PPSPEC で指定された標本タイプから回収された投与量の割合を無限大に外挿したもので、最後のゼロ以外の濃度の観測値を使用して計算し、重量で割ったもの。")</f>
        <v>PPSPEC で指定された標本タイプから回収された投与量の割合を無限大に外挿したもので、最後のゼロ以外の濃度の観測値を使用して計算し、重量で割ったもの。</v>
      </c>
      <c r="K4089" s="1" t="str">
        <f>IFERROR(__xludf.DUMMYFUNCTION("GOOGLETRANSLATE(G4089,""EN"",""JA"")"),"重量で正規化された回収率（無限大）")</f>
        <v>重量で正規化された回収率（無限大）</v>
      </c>
    </row>
    <row r="4090" ht="13.5" customHeight="1">
      <c r="A4090" s="1" t="s">
        <v>870</v>
      </c>
      <c r="B4090" s="1" t="s">
        <v>20482</v>
      </c>
      <c r="C4090" s="1" t="s">
        <v>20483</v>
      </c>
      <c r="D4090" s="1" t="s">
        <v>20484</v>
      </c>
      <c r="E4090" s="1" t="s">
        <v>20484</v>
      </c>
      <c r="F4090" s="1" t="s">
        <v>20485</v>
      </c>
      <c r="G4090" s="1" t="s">
        <v>20486</v>
      </c>
      <c r="H4090" s="1" t="str">
        <f>IFERROR(__xludf.DUMMYFUNCTION("GOOGLETRANSLATE(D4090,""EN"",""JA"")"),"無限大予測の許容率")</f>
        <v>無限大予測の許容率</v>
      </c>
      <c r="I4090" s="1" t="str">
        <f>IFERROR(__xludf.DUMMYFUNCTION("GOOGLETRANSLATE(E4090,""EN"",""JA"")"),"無限大予測の許容率")</f>
        <v>無限大予測の許容率</v>
      </c>
      <c r="J4090" s="1" t="str">
        <f>IFERROR(__xludf.DUMMYFUNCTION("GOOGLETRANSLATE(F4090,""EN"",""JA"")"),"PPSPEC で指定された標本タイプから回収された投与量の割合を無限大に外挿したもので、最後のゼロ以外の濃度の予測値を使用して計算されます。")</f>
        <v>PPSPEC で指定された標本タイプから回収された投与量の割合を無限大に外挿したもので、最後のゼロ以外の濃度の予測値を使用して計算されます。</v>
      </c>
      <c r="K4090" s="1" t="str">
        <f>IFERROR(__xludf.DUMMYFUNCTION("GOOGLETRANSLATE(G4090,""EN"",""JA"")"),"回復率無限大予測")</f>
        <v>回復率無限大予測</v>
      </c>
    </row>
    <row r="4091" ht="13.5" customHeight="1">
      <c r="A4091" s="1" t="s">
        <v>870</v>
      </c>
      <c r="B4091" s="1" t="s">
        <v>20487</v>
      </c>
      <c r="C4091" s="1" t="s">
        <v>20488</v>
      </c>
      <c r="D4091" s="1" t="s">
        <v>20489</v>
      </c>
      <c r="E4091" s="1" t="s">
        <v>20489</v>
      </c>
      <c r="F4091" s="1" t="s">
        <v>20490</v>
      </c>
      <c r="G4091" s="1" t="s">
        <v>20491</v>
      </c>
      <c r="H4091" s="1" t="str">
        <f>IFERROR(__xludf.DUMMYFUNCTION("GOOGLETRANSLATE(D4091,""EN"",""JA"")"),"BMIによる回復率無限大予測正常値")</f>
        <v>BMIによる回復率無限大予測正常値</v>
      </c>
      <c r="I4091" s="1" t="str">
        <f>IFERROR(__xludf.DUMMYFUNCTION("GOOGLETRANSLATE(E4091,""EN"",""JA"")"),"BMIによる回復率無限大予測正常値")</f>
        <v>BMIによる回復率無限大予測正常値</v>
      </c>
      <c r="J4091" s="1" t="str">
        <f>IFERROR(__xludf.DUMMYFUNCTION("GOOGLETRANSLATE(F4091,""EN"",""JA"")"),"PPSPEC で指定された検体タイプから回収された投与量の割合を無限大に外挿したもので、最後のゼロ以外の濃度の予測値を使用して計算し、それをボディマス指数で割ったもの。")</f>
        <v>PPSPEC で指定された検体タイプから回収された投与量の割合を無限大に外挿したもので、最後のゼロ以外の濃度の予測値を使用して計算し、それをボディマス指数で割ったもの。</v>
      </c>
      <c r="K4091" s="1" t="str">
        <f>IFERROR(__xludf.DUMMYFUNCTION("GOOGLETRANSLATE(G4091,""EN"",""JA"")"),"ボディマス指数で正規化された回復率無限大予測")</f>
        <v>ボディマス指数で正規化された回復率無限大予測</v>
      </c>
    </row>
    <row r="4092" ht="13.5" customHeight="1">
      <c r="A4092" s="1" t="s">
        <v>870</v>
      </c>
      <c r="B4092" s="1" t="s">
        <v>20492</v>
      </c>
      <c r="C4092" s="1" t="s">
        <v>20493</v>
      </c>
      <c r="D4092" s="1" t="s">
        <v>20494</v>
      </c>
      <c r="E4092" s="1" t="s">
        <v>20494</v>
      </c>
      <c r="F4092" s="1" t="s">
        <v>20495</v>
      </c>
      <c r="G4092" s="1" t="s">
        <v>20496</v>
      </c>
      <c r="H4092" s="1" t="str">
        <f>IFERROR(__xludf.DUMMYFUNCTION("GOOGLETRANSLATE(D4092,""EN"",""JA"")"),"SA による予測正常範囲の無限大の許容率")</f>
        <v>SA による予測正常範囲の無限大の許容率</v>
      </c>
      <c r="I4092" s="1" t="str">
        <f>IFERROR(__xludf.DUMMYFUNCTION("GOOGLETRANSLATE(E4092,""EN"",""JA"")"),"SA による予測正常範囲の無限大の許容率")</f>
        <v>SA による予測正常範囲の無限大の許容率</v>
      </c>
      <c r="J4092" s="1" t="str">
        <f>IFERROR(__xludf.DUMMYFUNCTION("GOOGLETRANSLATE(F4092,""EN"",""JA"")"),"PPSPEC で指定された標本タイプから回収された投与量の割合を無限大に外挿したもので、最後のゼロ以外の濃度の予測値を使用して計算し、表面積で割ったもの。")</f>
        <v>PPSPEC で指定された標本タイプから回収された投与量の割合を無限大に外挿したもので、最後のゼロ以外の濃度の予測値を使用して計算し、表面積で割ったもの。</v>
      </c>
      <c r="K4092" s="1" t="str">
        <f>IFERROR(__xludf.DUMMYFUNCTION("GOOGLETRANSLATE(G4092,""EN"",""JA"")"),"回復率無限大予測値（表面積で正規化）")</f>
        <v>回復率無限大予測値（表面積で正規化）</v>
      </c>
    </row>
    <row r="4093" ht="13.5" customHeight="1">
      <c r="A4093" s="1" t="s">
        <v>870</v>
      </c>
      <c r="B4093" s="1" t="s">
        <v>20497</v>
      </c>
      <c r="C4093" s="1" t="s">
        <v>20498</v>
      </c>
      <c r="D4093" s="1" t="s">
        <v>20499</v>
      </c>
      <c r="E4093" s="1" t="s">
        <v>20499</v>
      </c>
      <c r="F4093" s="1" t="s">
        <v>20500</v>
      </c>
      <c r="G4093" s="1" t="s">
        <v>20501</v>
      </c>
      <c r="H4093" s="1" t="str">
        <f>IFERROR(__xludf.DUMMYFUNCTION("GOOGLETRANSLATE(D4093,""EN"",""JA"")"),"WT別Pct Rec Infinity Pred Norm")</f>
        <v>WT別Pct Rec Infinity Pred Norm</v>
      </c>
      <c r="I4093" s="1" t="str">
        <f>IFERROR(__xludf.DUMMYFUNCTION("GOOGLETRANSLATE(E4093,""EN"",""JA"")"),"WT別Pct Rec Infinity Pred Norm")</f>
        <v>WT別Pct Rec Infinity Pred Norm</v>
      </c>
      <c r="J4093" s="1" t="str">
        <f>IFERROR(__xludf.DUMMYFUNCTION("GOOGLETRANSLATE(F4093,""EN"",""JA"")"),"PPSPEC で指定された標本タイプから回収された投与量の割合を無限大に外挿したもので、最後のゼロ以外の濃度の予測値を使用して計算し、重量で割った値です。")</f>
        <v>PPSPEC で指定された標本タイプから回収された投与量の割合を無限大に外挿したもので、最後のゼロ以外の濃度の予測値を使用して計算し、重量で割った値です。</v>
      </c>
      <c r="K4093" s="1" t="str">
        <f>IFERROR(__xludf.DUMMYFUNCTION("GOOGLETRANSLATE(G4093,""EN"",""JA"")"),"重量で正規化された回復率無限大予測")</f>
        <v>重量で正規化された回復率無限大予測</v>
      </c>
    </row>
    <row r="4094" ht="13.5" customHeight="1">
      <c r="A4094" s="1" t="s">
        <v>870</v>
      </c>
      <c r="B4094" s="1" t="s">
        <v>20502</v>
      </c>
      <c r="C4094" s="1" t="s">
        <v>20503</v>
      </c>
      <c r="D4094" s="1" t="s">
        <v>20504</v>
      </c>
      <c r="E4094" s="1" t="s">
        <v>20504</v>
      </c>
      <c r="F4094" s="1" t="s">
        <v>20505</v>
      </c>
      <c r="G4094" s="1" t="s">
        <v>20506</v>
      </c>
      <c r="H4094" s="1" t="str">
        <f>IFERROR(__xludf.DUMMYFUNCTION("GOOGLETRANSLATE(D4094,""EN"",""JA"")"),"T1からT2までの回収率")</f>
        <v>T1からT2までの回収率</v>
      </c>
      <c r="I4094" s="1" t="str">
        <f>IFERROR(__xludf.DUMMYFUNCTION("GOOGLETRANSLATE(E4094,""EN"",""JA"")"),"T1からT2までの回収率")</f>
        <v>T1からT2までの回収率</v>
      </c>
      <c r="J4094" s="1" t="str">
        <f>IFERROR(__xludf.DUMMYFUNCTION("GOOGLETRANSLATE(F4094,""EN"",""JA"")"),"T1 と T2 の間の間隔で、PPSPEC で指定された標本タイプから回収された投与線量の割合。")</f>
        <v>T1 と T2 の間の間隔で、PPSPEC で指定された標本タイプから回収された投与線量の割合。</v>
      </c>
      <c r="K4094" s="1" t="str">
        <f>IFERROR(__xludf.DUMMYFUNCTION("GOOGLETRANSLATE(G4094,""EN"",""JA"")"),"T1からT2までの回復率")</f>
        <v>T1からT2までの回復率</v>
      </c>
    </row>
    <row r="4095" ht="13.5" customHeight="1">
      <c r="A4095" s="1" t="s">
        <v>870</v>
      </c>
      <c r="B4095" s="1" t="s">
        <v>20507</v>
      </c>
      <c r="C4095" s="1" t="s">
        <v>20508</v>
      </c>
      <c r="D4095" s="1" t="s">
        <v>20509</v>
      </c>
      <c r="E4095" s="1" t="s">
        <v>20509</v>
      </c>
      <c r="F4095" s="1" t="s">
        <v>20510</v>
      </c>
      <c r="G4095" s="1" t="s">
        <v>20511</v>
      </c>
      <c r="H4095" s="1" t="str">
        <f>IFERROR(__xludf.DUMMYFUNCTION("GOOGLETRANSLATE(D4095,""EN"",""JA"")"),"BMI別のT1からT2正常値までの回復率")</f>
        <v>BMI別のT1からT2正常値までの回復率</v>
      </c>
      <c r="I4095" s="1" t="str">
        <f>IFERROR(__xludf.DUMMYFUNCTION("GOOGLETRANSLATE(E4095,""EN"",""JA"")"),"BMI別のT1からT2正常値までの回復率")</f>
        <v>BMI別のT1からT2正常値までの回復率</v>
      </c>
      <c r="J4095" s="1" t="str">
        <f>IFERROR(__xludf.DUMMYFUNCTION("GOOGLETRANSLATE(F4095,""EN"",""JA"")"),"PPSPEC で指定された検体タイプから回収された投与線量の割合を、T1 と T2 の間の間隔で体格指数で割ったもの。")</f>
        <v>PPSPEC で指定された検体タイプから回収された投与線量の割合を、T1 と T2 の間の間隔で体格指数で割ったもの。</v>
      </c>
      <c r="K4095" s="1" t="str">
        <f>IFERROR(__xludf.DUMMYFUNCTION("GOOGLETRANSLATE(G4095,""EN"",""JA"")"),"ボディマス指数で正規化したT1からT2までの回復率")</f>
        <v>ボディマス指数で正規化したT1からT2までの回復率</v>
      </c>
    </row>
    <row r="4096" ht="13.5" customHeight="1">
      <c r="A4096" s="1" t="s">
        <v>870</v>
      </c>
      <c r="B4096" s="1" t="s">
        <v>20512</v>
      </c>
      <c r="C4096" s="1" t="s">
        <v>20513</v>
      </c>
      <c r="D4096" s="1" t="s">
        <v>20514</v>
      </c>
      <c r="E4096" s="1" t="s">
        <v>20514</v>
      </c>
      <c r="F4096" s="1" t="s">
        <v>20515</v>
      </c>
      <c r="G4096" s="1" t="s">
        <v>20516</v>
      </c>
      <c r="H4096" s="1" t="str">
        <f>IFERROR(__xludf.DUMMYFUNCTION("GOOGLETRANSLATE(D4096,""EN"",""JA"")"),"SAによるT1からT2標準までの回復率")</f>
        <v>SAによるT1からT2標準までの回復率</v>
      </c>
      <c r="I4096" s="1" t="str">
        <f>IFERROR(__xludf.DUMMYFUNCTION("GOOGLETRANSLATE(E4096,""EN"",""JA"")"),"SAによるT1からT2標準までの回復率")</f>
        <v>SAによるT1からT2標準までの回復率</v>
      </c>
      <c r="J4096" s="1" t="str">
        <f>IFERROR(__xludf.DUMMYFUNCTION("GOOGLETRANSLATE(F4096,""EN"",""JA"")"),"PPSPEC で指定された標本タイプから回収された投与線量の割合を、T1 と T2 の間の間隔で表面積で割ったもの。")</f>
        <v>PPSPEC で指定された標本タイプから回収された投与線量の割合を、T1 と T2 の間の間隔で表面積で割ったもの。</v>
      </c>
      <c r="K4096" s="1" t="str">
        <f>IFERROR(__xludf.DUMMYFUNCTION("GOOGLETRANSLATE(G4096,""EN"",""JA"")"),"表面積で正規化したT1からT2までの回復率")</f>
        <v>表面積で正規化したT1からT2までの回復率</v>
      </c>
    </row>
    <row r="4097" ht="13.5" customHeight="1">
      <c r="A4097" s="1" t="s">
        <v>870</v>
      </c>
      <c r="B4097" s="1" t="s">
        <v>20517</v>
      </c>
      <c r="C4097" s="1" t="s">
        <v>20518</v>
      </c>
      <c r="D4097" s="1" t="s">
        <v>20519</v>
      </c>
      <c r="E4097" s="1" t="s">
        <v>20519</v>
      </c>
      <c r="F4097" s="1" t="s">
        <v>20520</v>
      </c>
      <c r="G4097" s="1" t="s">
        <v>20521</v>
      </c>
      <c r="H4097" s="1" t="str">
        <f>IFERROR(__xludf.DUMMYFUNCTION("GOOGLETRANSLATE(D4097,""EN"",""JA"")"),"WT別のT1からT2標準値までの回復率")</f>
        <v>WT別のT1からT2標準値までの回復率</v>
      </c>
      <c r="I4097" s="1" t="str">
        <f>IFERROR(__xludf.DUMMYFUNCTION("GOOGLETRANSLATE(E4097,""EN"",""JA"")"),"WT別のT1からT2標準値までの回復率")</f>
        <v>WT別のT1からT2標準値までの回復率</v>
      </c>
      <c r="J4097" s="1" t="str">
        <f>IFERROR(__xludf.DUMMYFUNCTION("GOOGLETRANSLATE(F4097,""EN"",""JA"")"),"PPSPEC で指定された標本タイプから回収された投与線量の割合を、T1 と T2 の間の間隔で重量で割ったもの。")</f>
        <v>PPSPEC で指定された標本タイプから回収された投与線量の割合を、T1 と T2 の間の間隔で重量で割ったもの。</v>
      </c>
      <c r="K4097" s="1" t="str">
        <f>IFERROR(__xludf.DUMMYFUNCTION("GOOGLETRANSLATE(G4097,""EN"",""JA"")"),"重量で正規化したT1からT2までの回復率")</f>
        <v>重量で正規化したT1からT2までの回復率</v>
      </c>
    </row>
    <row r="4098" ht="13.5" customHeight="1">
      <c r="A4098" s="1" t="s">
        <v>870</v>
      </c>
      <c r="B4098" s="1" t="s">
        <v>20522</v>
      </c>
      <c r="C4098" s="1" t="s">
        <v>20523</v>
      </c>
      <c r="D4098" s="1" t="s">
        <v>20524</v>
      </c>
      <c r="E4098" s="1" t="s">
        <v>20524</v>
      </c>
      <c r="F4098" s="1" t="s">
        <v>20525</v>
      </c>
      <c r="G4098" s="1" t="s">
        <v>20526</v>
      </c>
      <c r="H4098" s="1" t="str">
        <f>IFERROR(__xludf.DUMMYFUNCTION("GOOGLETRANSLATE(D4098,""EN"",""JA"")"),"最後の非ゼロコンセンまでの記録率")</f>
        <v>最後の非ゼロコンセンまでの記録率</v>
      </c>
      <c r="I4098" s="1" t="str">
        <f>IFERROR(__xludf.DUMMYFUNCTION("GOOGLETRANSLATE(E4098,""EN"",""JA"")"),"最後の非ゼロコンセンまでの記録率")</f>
        <v>最後の非ゼロコンセンまでの記録率</v>
      </c>
      <c r="J4098" s="1" t="str">
        <f>IFERROR(__xludf.DUMMYFUNCTION("GOOGLETRANSLATE(F4098,""EN"",""JA"")"),"投与時から最後のゼロ以外の濃度までの、PPSPEC で指定された検体タイプから回収された投与量の割合。")</f>
        <v>投与時から最後のゼロ以外の濃度までの、PPSPEC で指定された検体タイプから回収された投与量の割合。</v>
      </c>
      <c r="K4098" s="1" t="str">
        <f>IFERROR(__xludf.DUMMYFUNCTION("GOOGLETRANSLATE(G4098,""EN"",""JA"")"),"最後の非ゼロ濃度までの回収率")</f>
        <v>最後の非ゼロ濃度までの回収率</v>
      </c>
    </row>
    <row r="4099" ht="13.5" customHeight="1">
      <c r="A4099" s="1" t="s">
        <v>870</v>
      </c>
      <c r="B4099" s="1" t="s">
        <v>20527</v>
      </c>
      <c r="C4099" s="1" t="s">
        <v>20528</v>
      </c>
      <c r="D4099" s="1" t="s">
        <v>20529</v>
      </c>
      <c r="E4099" s="1" t="s">
        <v>20529</v>
      </c>
      <c r="F4099" s="1" t="s">
        <v>20530</v>
      </c>
      <c r="G4099" s="1" t="s">
        <v>20531</v>
      </c>
      <c r="H4099" s="1" t="str">
        <f>IFERROR(__xludf.DUMMYFUNCTION("GOOGLETRANSLATE(D4099,""EN"",""JA"")"),"投与間隔超過許容量（％）")</f>
        <v>投与間隔超過許容量（％）</v>
      </c>
      <c r="I4099" s="1" t="str">
        <f>IFERROR(__xludf.DUMMYFUNCTION("GOOGLETRANSLATE(E4099,""EN"",""JA"")"),"投与間隔超過許容量（％）")</f>
        <v>投与間隔超過許容量（％）</v>
      </c>
      <c r="J4099" s="1" t="str">
        <f>IFERROR(__xludf.DUMMYFUNCTION("GOOGLETRANSLATE(F4099,""EN"",""JA"")"),"PPSPEC で指定された検体タイプから回収される投与線量の割合 (投与量間、TAU)。")</f>
        <v>PPSPEC で指定された検体タイプから回収される投与線量の割合 (投与量間、TAU)。</v>
      </c>
      <c r="K4099" s="1" t="str">
        <f>IFERROR(__xludf.DUMMYFUNCTION("GOOGLETRANSLATE(G4099,""EN"",""JA"")"),"投与間隔中の回復率")</f>
        <v>投与間隔中の回復率</v>
      </c>
    </row>
    <row r="4100" ht="13.5" customHeight="1">
      <c r="A4100" s="1" t="s">
        <v>870</v>
      </c>
      <c r="B4100" s="1" t="s">
        <v>20532</v>
      </c>
      <c r="C4100" s="1" t="s">
        <v>20533</v>
      </c>
      <c r="D4100" s="1" t="s">
        <v>20534</v>
      </c>
      <c r="E4100" s="1" t="s">
        <v>20534</v>
      </c>
      <c r="F4100" s="1" t="s">
        <v>20535</v>
      </c>
      <c r="G4100" s="1" t="s">
        <v>20536</v>
      </c>
      <c r="H4100" s="1" t="str">
        <f>IFERROR(__xludf.DUMMYFUNCTION("GOOGLETRANSLATE(D4100,""EN"",""JA"")"),"BMI別投与間隔基準超過摂取率")</f>
        <v>BMI別投与間隔基準超過摂取率</v>
      </c>
      <c r="I4100" s="1" t="str">
        <f>IFERROR(__xludf.DUMMYFUNCTION("GOOGLETRANSLATE(E4100,""EN"",""JA"")"),"BMI別投与間隔基準超過摂取率")</f>
        <v>BMI別投与間隔基準超過摂取率</v>
      </c>
      <c r="J4100" s="1" t="str">
        <f>IFERROR(__xludf.DUMMYFUNCTION("GOOGLETRANSLATE(F4100,""EN"",""JA"")"),"PPSPEC で指定された検体タイプから回収された投与量の割合 (TAU) をボディマス指数で割ったもの。")</f>
        <v>PPSPEC で指定された検体タイプから回収された投与量の割合 (TAU) をボディマス指数で割ったもの。</v>
      </c>
      <c r="K4100" s="1" t="str">
        <f>IFERROR(__xludf.DUMMYFUNCTION("GOOGLETRANSLATE(G4100,""EN"",""JA"")"),"投与間隔中の回復率（BMIで標準化）")</f>
        <v>投与間隔中の回復率（BMIで標準化）</v>
      </c>
    </row>
    <row r="4101" ht="13.5" customHeight="1">
      <c r="A4101" s="1" t="s">
        <v>870</v>
      </c>
      <c r="B4101" s="1" t="s">
        <v>20537</v>
      </c>
      <c r="C4101" s="1" t="s">
        <v>20538</v>
      </c>
      <c r="D4101" s="1" t="s">
        <v>20539</v>
      </c>
      <c r="E4101" s="1" t="s">
        <v>20539</v>
      </c>
      <c r="F4101" s="1" t="s">
        <v>20540</v>
      </c>
      <c r="G4101" s="1" t="s">
        <v>20541</v>
      </c>
      <c r="H4101" s="1" t="str">
        <f>IFERROR(__xludf.DUMMYFUNCTION("GOOGLETRANSLATE(D4101,""EN"",""JA"")"),"SAによる投与間隔基準超過回収率")</f>
        <v>SAによる投与間隔基準超過回収率</v>
      </c>
      <c r="I4101" s="1" t="str">
        <f>IFERROR(__xludf.DUMMYFUNCTION("GOOGLETRANSLATE(E4101,""EN"",""JA"")"),"SAによる投与間隔基準超過回収率")</f>
        <v>SAによる投与間隔基準超過回収率</v>
      </c>
      <c r="J4101" s="1" t="str">
        <f>IFERROR(__xludf.DUMMYFUNCTION("GOOGLETRANSLATE(F4101,""EN"",""JA"")"),"PPSPEC で指定された標本タイプから回収された投与線量の割合 (TAU) を表面積で割ったもの。")</f>
        <v>PPSPEC で指定された標本タイプから回収された投与線量の割合 (TAU) を表面積で割ったもの。</v>
      </c>
      <c r="K4101" s="1" t="str">
        <f>IFERROR(__xludf.DUMMYFUNCTION("GOOGLETRANSLATE(G4101,""EN"",""JA"")"),"投与間隔中に表面積で正規化された回収率")</f>
        <v>投与間隔中に表面積で正規化された回収率</v>
      </c>
    </row>
    <row r="4102" ht="13.5" customHeight="1">
      <c r="A4102" s="1" t="s">
        <v>870</v>
      </c>
      <c r="B4102" s="1" t="s">
        <v>20542</v>
      </c>
      <c r="C4102" s="1" t="s">
        <v>20543</v>
      </c>
      <c r="D4102" s="1" t="s">
        <v>20544</v>
      </c>
      <c r="E4102" s="1" t="s">
        <v>20544</v>
      </c>
      <c r="F4102" s="1" t="s">
        <v>20545</v>
      </c>
      <c r="G4102" s="1" t="s">
        <v>20546</v>
      </c>
      <c r="H4102" s="1" t="str">
        <f>IFERROR(__xludf.DUMMYFUNCTION("GOOGLETRANSLATE(D4102,""EN"",""JA"")"),"体重別投与間隔基準超過摂取率（％）")</f>
        <v>体重別投与間隔基準超過摂取率（％）</v>
      </c>
      <c r="I4102" s="1" t="str">
        <f>IFERROR(__xludf.DUMMYFUNCTION("GOOGLETRANSLATE(E4102,""EN"",""JA"")"),"体重別投与間隔基準超過摂取率（％）")</f>
        <v>体重別投与間隔基準超過摂取率（％）</v>
      </c>
      <c r="J4102" s="1" t="str">
        <f>IFERROR(__xludf.DUMMYFUNCTION("GOOGLETRANSLATE(F4102,""EN"",""JA"")"),"PPSPEC で指定された検体タイプから回収された投与量の割合 (TAU) を重量で割ったもの。")</f>
        <v>PPSPEC で指定された検体タイプから回収された投与量の割合 (TAU) を重量で割ったもの。</v>
      </c>
      <c r="K4102" s="1" t="str">
        <f>IFERROR(__xludf.DUMMYFUNCTION("GOOGLETRANSLATE(G4102,""EN"",""JA"")"),"投与間隔中の回復率（体重で標準化）")</f>
        <v>投与間隔中の回復率（体重で標準化）</v>
      </c>
    </row>
    <row r="4103" ht="13.5" customHeight="1">
      <c r="A4103" s="1" t="s">
        <v>11</v>
      </c>
      <c r="B4103" s="1" t="s">
        <v>20547</v>
      </c>
      <c r="C4103" s="1" t="s">
        <v>20548</v>
      </c>
      <c r="D4103" s="1" t="s">
        <v>20549</v>
      </c>
      <c r="E4103" s="1" t="s">
        <v>20549</v>
      </c>
      <c r="F4103" s="1" t="s">
        <v>20550</v>
      </c>
      <c r="G4103" s="1" t="s">
        <v>20551</v>
      </c>
      <c r="H4103" s="1" t="str">
        <f>IFERROR(__xludf.DUMMYFUNCTION("GOOGLETRANSLATE(D4103,""EN"",""JA"")"),"還元物質")</f>
        <v>還元物質</v>
      </c>
      <c r="I4103" s="1" t="str">
        <f>IFERROR(__xludf.DUMMYFUNCTION("GOOGLETRANSLATE(E4103,""EN"",""JA"")"),"還元物質")</f>
        <v>還元物質</v>
      </c>
      <c r="J4103" s="1" t="str">
        <f>IFERROR(__xludf.DUMMYFUNCTION("GOOGLETRANSLATE(F4103,""EN"",""JA"")"),"生物標本中の還元物質（糖、グルタチオン、クレアチニン、尿酸、アスコルビン酸など）の測定。")</f>
        <v>生物標本中の還元物質（糖、グルタチオン、クレアチニン、尿酸、アスコルビン酸など）の測定。</v>
      </c>
      <c r="K4103" s="1" t="str">
        <f>IFERROR(__xludf.DUMMYFUNCTION("GOOGLETRANSLATE(G4103,""EN"",""JA"")"),"物質測定の削減")</f>
        <v>物質測定の削減</v>
      </c>
    </row>
    <row r="4104" ht="13.5" customHeight="1">
      <c r="A4104" s="1" t="s">
        <v>11</v>
      </c>
      <c r="B4104" s="1" t="s">
        <v>20552</v>
      </c>
      <c r="C4104" s="1" t="s">
        <v>20553</v>
      </c>
      <c r="D4104" s="1" t="s">
        <v>20554</v>
      </c>
      <c r="E4104" s="1" t="s">
        <v>20554</v>
      </c>
      <c r="F4104" s="1" t="s">
        <v>20555</v>
      </c>
      <c r="G4104" s="1" t="s">
        <v>20556</v>
      </c>
      <c r="H4104" s="1" t="str">
        <f>IFERROR(__xludf.DUMMYFUNCTION("GOOGLETRANSLATE(D4104,""EN"",""JA"")"),"糖類を減らす")</f>
        <v>糖類を減らす</v>
      </c>
      <c r="I4104" s="1" t="str">
        <f>IFERROR(__xludf.DUMMYFUNCTION("GOOGLETRANSLATE(E4104,""EN"",""JA"")"),"糖類を減らす")</f>
        <v>糖類を減らす</v>
      </c>
      <c r="J4104" s="1" t="str">
        <f>IFERROR(__xludf.DUMMYFUNCTION("GOOGLETRANSLATE(F4104,""EN"",""JA"")"),"生物標本中の還元糖の測定。")</f>
        <v>生物標本中の還元糖の測定。</v>
      </c>
      <c r="K4104" s="1" t="str">
        <f>IFERROR(__xludf.DUMMYFUNCTION("GOOGLETRANSLATE(G4104,""EN"",""JA"")"),"還元糖測定")</f>
        <v>還元糖測定</v>
      </c>
    </row>
    <row r="4105" ht="13.5" customHeight="1">
      <c r="A4105" s="1" t="s">
        <v>397</v>
      </c>
      <c r="B4105" s="1" t="s">
        <v>20557</v>
      </c>
      <c r="C4105" s="1" t="s">
        <v>20558</v>
      </c>
      <c r="D4105" s="1" t="s">
        <v>20559</v>
      </c>
      <c r="E4105" s="1" t="s">
        <v>20559</v>
      </c>
      <c r="F4105" s="1" t="s">
        <v>20560</v>
      </c>
      <c r="G4105" s="1" t="s">
        <v>20559</v>
      </c>
      <c r="H4105" s="1" t="str">
        <f>IFERROR(__xludf.DUMMYFUNCTION("GOOGLETRANSLATE(D4105,""EN"",""JA"")"),"希少疾患指標")</f>
        <v>希少疾患指標</v>
      </c>
      <c r="I4105" s="1" t="str">
        <f>IFERROR(__xludf.DUMMYFUNCTION("GOOGLETRANSLATE(E4105,""EN"",""JA"")"),"希少疾患指標")</f>
        <v>希少疾患指標</v>
      </c>
      <c r="J4105" s="1" t="str">
        <f>IFERROR(__xludf.DUMMYFUNCTION("GOOGLETRANSLATE(F4105,""EN"",""JA"")"),"研究対象となっている疾患が希少疾患であるかどうかを示す指標。")</f>
        <v>研究対象となっている疾患が希少疾患であるかどうかを示す指標。</v>
      </c>
      <c r="K4105" s="1" t="str">
        <f>IFERROR(__xludf.DUMMYFUNCTION("GOOGLETRANSLATE(G4105,""EN"",""JA"")"),"希少疾患指標")</f>
        <v>希少疾患指標</v>
      </c>
    </row>
    <row r="4106" ht="13.5" customHeight="1">
      <c r="A4106" s="1" t="s">
        <v>1342</v>
      </c>
      <c r="B4106" s="1" t="s">
        <v>20561</v>
      </c>
      <c r="C4106" s="1" t="s">
        <v>20562</v>
      </c>
      <c r="D4106" s="1" t="s">
        <v>20563</v>
      </c>
      <c r="E4106" s="1" t="s">
        <v>20563</v>
      </c>
      <c r="F4106" s="1" t="s">
        <v>20564</v>
      </c>
      <c r="G4106" s="1" t="s">
        <v>20563</v>
      </c>
      <c r="H4106" s="1" t="str">
        <f>IFERROR(__xludf.DUMMYFUNCTION("GOOGLETRANSLATE(D4106,""EN"",""JA"")"),"放射線学的反応")</f>
        <v>放射線学的反応</v>
      </c>
      <c r="I4106" s="1" t="str">
        <f>IFERROR(__xludf.DUMMYFUNCTION("GOOGLETRANSLATE(E4106,""EN"",""JA"")"),"放射線学的反応")</f>
        <v>放射線学的反応</v>
      </c>
      <c r="J4106" s="1" t="str">
        <f>IFERROR(__xludf.DUMMYFUNCTION("GOOGLETRANSLATE(F4106,""EN"",""JA"")"),"治療に対する疾患の放射線学的反応の評価。")</f>
        <v>治療に対する疾患の放射線学的反応の評価。</v>
      </c>
      <c r="K4106" s="1" t="str">
        <f>IFERROR(__xludf.DUMMYFUNCTION("GOOGLETRANSLATE(G4106,""EN"",""JA"")"),"放射線学的反応")</f>
        <v>放射線学的反応</v>
      </c>
    </row>
    <row r="4107" ht="13.5" customHeight="1">
      <c r="A4107" s="1" t="s">
        <v>11</v>
      </c>
      <c r="B4107" s="1" t="s">
        <v>20565</v>
      </c>
      <c r="C4107" s="1" t="s">
        <v>20566</v>
      </c>
      <c r="D4107" s="1" t="s">
        <v>20567</v>
      </c>
      <c r="E4107" s="1" t="s">
        <v>20568</v>
      </c>
      <c r="F4107" s="1" t="s">
        <v>20569</v>
      </c>
      <c r="G4107" s="1" t="s">
        <v>20570</v>
      </c>
      <c r="H4107" s="1" t="str">
        <f>IFERROR(__xludf.DUMMYFUNCTION("GOOGLETRANSLATE(D4107,""EN"",""JA"")"),"赤血球分布幅")</f>
        <v>赤血球分布幅</v>
      </c>
      <c r="I4107" s="1" t="str">
        <f>IFERROR(__xludf.DUMMYFUNCTION("GOOGLETRANSLATE(E4107,""EN"",""JA"")"),"赤血球分布幅; RDW-CV; 赤血球分布幅; 赤血球容積分布幅")</f>
        <v>赤血球分布幅; RDW-CV; 赤血球分布幅; 赤血球容積分布幅</v>
      </c>
      <c r="J4107" s="1" t="str">
        <f>IFERROR(__xludf.DUMMYFUNCTION("GOOGLETRANSLATE(F4107,""EN"",""JA"")"),"生物標本内の赤血球容積の平均分布に対する赤血球容積の標準偏差の相対的な測定値（比率またはパーセンテージ）。")</f>
        <v>生物標本内の赤血球容積の平均分布に対する赤血球容積の標準偏差の相対的な測定値（比率またはパーセンテージ）。</v>
      </c>
      <c r="K4107" s="1" t="str">
        <f>IFERROR(__xludf.DUMMYFUNCTION("GOOGLETRANSLATE(G4107,""EN"",""JA"")"),"赤血球分布幅測定")</f>
        <v>赤血球分布幅測定</v>
      </c>
    </row>
    <row r="4108" ht="13.5" customHeight="1">
      <c r="A4108" s="1" t="s">
        <v>11</v>
      </c>
      <c r="B4108" s="1" t="s">
        <v>20571</v>
      </c>
      <c r="C4108" s="1" t="s">
        <v>20572</v>
      </c>
      <c r="D4108" s="1" t="s">
        <v>20573</v>
      </c>
      <c r="E4108" s="1" t="s">
        <v>20574</v>
      </c>
      <c r="F4108" s="1" t="s">
        <v>20575</v>
      </c>
      <c r="G4108" s="1" t="s">
        <v>20576</v>
      </c>
      <c r="H4108" s="1" t="str">
        <f>IFERROR(__xludf.DUMMYFUNCTION("GOOGLETRANSLATE(D4108,""EN"",""JA"")"),"レットボリューム分布幅")</f>
        <v>レットボリューム分布幅</v>
      </c>
      <c r="I4108" s="1" t="str">
        <f>IFERROR(__xludf.DUMMYFUNCTION("GOOGLETRANSLATE(E4108,""EN"",""JA"")"),"RDWr; Ret 容積分布幅; 網赤血球容積分布幅")</f>
        <v>RDWr; Ret 容積分布幅; 網赤血球容積分布幅</v>
      </c>
      <c r="J4108" s="1" t="str">
        <f>IFERROR(__xludf.DUMMYFUNCTION("GOOGLETRANSLATE(F4108,""EN"",""JA"")"),"生物標本中の網赤血球容積の平均分布に対する網赤血球容積の標準偏差の相対的な測定値（比率またはパーセンテージ）。")</f>
        <v>生物標本中の網赤血球容積の平均分布に対する網赤血球容積の標準偏差の相対的な測定値（比率またはパーセンテージ）。</v>
      </c>
      <c r="K4108" s="1" t="str">
        <f>IFERROR(__xludf.DUMMYFUNCTION("GOOGLETRANSLATE(G4108,""EN"",""JA"")"),"網状赤血球容積分布幅")</f>
        <v>網状赤血球容積分布幅</v>
      </c>
    </row>
    <row r="4109" ht="13.5" customHeight="1">
      <c r="A4109" s="1" t="s">
        <v>11</v>
      </c>
      <c r="B4109" s="1" t="s">
        <v>20577</v>
      </c>
      <c r="C4109" s="1" t="s">
        <v>20578</v>
      </c>
      <c r="D4109" s="1" t="s">
        <v>20579</v>
      </c>
      <c r="E4109" s="1" t="s">
        <v>20580</v>
      </c>
      <c r="F4109" s="1" t="s">
        <v>20581</v>
      </c>
      <c r="G4109" s="1" t="s">
        <v>20582</v>
      </c>
      <c r="H4109" s="1" t="str">
        <f>IFERROR(__xludf.DUMMYFUNCTION("GOOGLETRANSLATE(D4109,""EN"",""JA"")"),"Ret RDW変動係数")</f>
        <v>Ret RDW変動係数</v>
      </c>
      <c r="I4109" s="1" t="str">
        <f>IFERROR(__xludf.DUMMYFUNCTION("GOOGLETRANSLATE(E4109,""EN"",""JA"")"),"RDWr-CV; 網赤血球の赤血球容積分布幅の変動係数; Ret RDW 変動係数; 網赤血球容積分布幅の変動係数")</f>
        <v>RDWr-CV; 網赤血球の赤血球容積分布幅の変動係数; Ret RDW 変動係数; 網赤血球容積分布幅の変動係数</v>
      </c>
      <c r="J4109" s="1" t="str">
        <f>IFERROR(__xludf.DUMMYFUNCTION("GOOGLETRANSLATE(F4109,""EN"",""JA"")"),"網状赤血球集団内の体積分散の測定値。平均網状赤血球体積の標準偏差を平均網状赤血球体積で割り、100 を掛けてパーセンテージに変換して算出されます。")</f>
        <v>網状赤血球集団内の体積分散の測定値。平均網状赤血球体積の標準偏差を平均網状赤血球体積で割り、100 を掛けてパーセンテージに変換して算出されます。</v>
      </c>
      <c r="K4109" s="1" t="str">
        <f>IFERROR(__xludf.DUMMYFUNCTION("GOOGLETRANSLATE(G4109,""EN"",""JA"")"),"網状赤血球容積分布幅変動係数")</f>
        <v>網状赤血球容積分布幅変動係数</v>
      </c>
    </row>
    <row r="4110" ht="13.5" customHeight="1">
      <c r="A4110" s="1" t="s">
        <v>11</v>
      </c>
      <c r="B4110" s="1" t="s">
        <v>20583</v>
      </c>
      <c r="C4110" s="1" t="s">
        <v>20584</v>
      </c>
      <c r="D4110" s="1" t="s">
        <v>20585</v>
      </c>
      <c r="E4110" s="1" t="s">
        <v>20586</v>
      </c>
      <c r="F4110" s="1" t="s">
        <v>20587</v>
      </c>
      <c r="G4110" s="1" t="s">
        <v>20588</v>
      </c>
      <c r="H4110" s="1" t="str">
        <f>IFERROR(__xludf.DUMMYFUNCTION("GOOGLETRANSLATE(D4110,""EN"",""JA"")"),"Ret RDW標準偏差")</f>
        <v>Ret RDW標準偏差</v>
      </c>
      <c r="I4110" s="1" t="str">
        <f>IFERROR(__xludf.DUMMYFUNCTION("GOOGLETRANSLATE(E4110,""EN"",""JA"")"),"RDWr-SD; 網赤血球における赤血球容積分布幅標準偏差; Ret RDW 標準偏差; 網赤血球容積分布幅標準偏差")</f>
        <v>RDWr-SD; 網赤血球における赤血球容積分布幅標準偏差; Ret RDW 標準偏差; 網赤血球容積分布幅標準偏差</v>
      </c>
      <c r="J4110" s="1" t="str">
        <f>IFERROR(__xludf.DUMMYFUNCTION("GOOGLETRANSLATE(F4110,""EN"",""JA"")"),"網状赤血球集団内の体積分散の測定値。20 パーセント頻度レベルでの分布曲線の幅として計算されます。")</f>
        <v>網状赤血球集団内の体積分散の測定値。20 パーセント頻度レベルでの分布曲線の幅として計算されます。</v>
      </c>
      <c r="K4110" s="1" t="str">
        <f>IFERROR(__xludf.DUMMYFUNCTION("GOOGLETRANSLATE(G4110,""EN"",""JA"")"),"網状赤血球容積分布幅標準偏差")</f>
        <v>網状赤血球容積分布幅標準偏差</v>
      </c>
    </row>
    <row r="4111" ht="13.5" customHeight="1">
      <c r="A4111" s="1" t="s">
        <v>11</v>
      </c>
      <c r="B4111" s="1" t="s">
        <v>20589</v>
      </c>
      <c r="C4111" s="1" t="s">
        <v>20590</v>
      </c>
      <c r="D4111" s="1" t="s">
        <v>20591</v>
      </c>
      <c r="E4111" s="1" t="s">
        <v>20592</v>
      </c>
      <c r="F4111" s="1" t="s">
        <v>20593</v>
      </c>
      <c r="G4111" s="1" t="s">
        <v>20594</v>
      </c>
      <c r="H4111" s="1" t="str">
        <f>IFERROR(__xludf.DUMMYFUNCTION("GOOGLETRANSLATE(D4111,""EN"",""JA"")"),"RDW標準偏差")</f>
        <v>RDW標準偏差</v>
      </c>
      <c r="I4111" s="1" t="str">
        <f>IFERROR(__xludf.DUMMYFUNCTION("GOOGLETRANSLATE(E4111,""EN"",""JA"")"),"RDW標準偏差; RDW-SD; 赤血球容積分布幅標準偏差")</f>
        <v>RDW標準偏差; RDW-SD; 赤血球容積分布幅標準偏差</v>
      </c>
      <c r="J4111" s="1" t="str">
        <f>IFERROR(__xludf.DUMMYFUNCTION("GOOGLETRANSLATE(F4111,""EN"",""JA"")"),"赤血球集団内の体積分散の測定値。20 パーセント頻度レベルでの分布曲線の幅として計算されます。")</f>
        <v>赤血球集団内の体積分散の測定値。20 パーセント頻度レベルでの分布曲線の幅として計算されます。</v>
      </c>
      <c r="K4111" s="1" t="str">
        <f>IFERROR(__xludf.DUMMYFUNCTION("GOOGLETRANSLATE(G4111,""EN"",""JA"")"),"赤血球容積分布幅標準偏差")</f>
        <v>赤血球容積分布幅標準偏差</v>
      </c>
    </row>
    <row r="4112" ht="13.5" customHeight="1">
      <c r="A4112" s="1" t="s">
        <v>201</v>
      </c>
      <c r="B4112" s="1" t="s">
        <v>20595</v>
      </c>
      <c r="C4112" s="1" t="s">
        <v>20596</v>
      </c>
      <c r="D4112" s="1" t="s">
        <v>20597</v>
      </c>
      <c r="E4112" s="1" t="s">
        <v>20598</v>
      </c>
      <c r="F4112" s="1" t="s">
        <v>20599</v>
      </c>
      <c r="G4112" s="1" t="s">
        <v>20600</v>
      </c>
      <c r="H4112" s="1" t="str">
        <f>IFERROR(__xludf.DUMMYFUNCTION("GOOGLETRANSLATE(D4112,""EN"",""JA"")"),"レアギン抗体")</f>
        <v>レアギン抗体</v>
      </c>
      <c r="I4112" s="1" t="str">
        <f>IFERROR(__xludf.DUMMYFUNCTION("GOOGLETRANSLATE(E4112,""EN"",""JA"")"),"迅速血漿レアギン検査、レアギン抗体、RPR、VDRL、性病研究検査")</f>
        <v>迅速血漿レアギン検査、レアギン抗体、RPR、VDRL、性病研究検査</v>
      </c>
      <c r="J4112" s="1" t="str">
        <f>IFERROR(__xludf.DUMMYFUNCTION("GOOGLETRANSLATE(F4112,""EN"",""JA"")"),"生物標本中の梅毒トレポネーマによって引き起こされた細胞損傷に反応して生成される非特異的トレポネーマ抗体の測定。")</f>
        <v>生物標本中の梅毒トレポネーマによって引き起こされた細胞損傷に反応して生成される非特異的トレポネーマ抗体の測定。</v>
      </c>
      <c r="K4112" s="1" t="str">
        <f>IFERROR(__xludf.DUMMYFUNCTION("GOOGLETRANSLATE(G4112,""EN"",""JA"")"),"迅速血漿レアギン測定")</f>
        <v>迅速血漿レアギン測定</v>
      </c>
    </row>
    <row r="4113" ht="13.5" customHeight="1">
      <c r="A4113" s="1" t="s">
        <v>1970</v>
      </c>
      <c r="B4113" s="1" t="s">
        <v>20601</v>
      </c>
      <c r="C4113" s="1" t="s">
        <v>20602</v>
      </c>
      <c r="D4113" s="1" t="s">
        <v>20603</v>
      </c>
      <c r="E4113" s="1" t="s">
        <v>20603</v>
      </c>
      <c r="F4113" s="1" t="s">
        <v>20604</v>
      </c>
      <c r="G4113" s="1" t="s">
        <v>20603</v>
      </c>
      <c r="H4113" s="1" t="str">
        <f>IFERROR(__xludf.DUMMYFUNCTION("GOOGLETRANSLATE(D4113,""EN"",""JA"")"),"反応グレード")</f>
        <v>反応グレード</v>
      </c>
      <c r="I4113" s="1" t="str">
        <f>IFERROR(__xludf.DUMMYFUNCTION("GOOGLETRANSLATE(E4113,""EN"",""JA"")"),"反応グレード")</f>
        <v>反応グレード</v>
      </c>
      <c r="J4113" s="1" t="str">
        <f>IFERROR(__xludf.DUMMYFUNCTION("GOOGLETRANSLATE(F4113,""EN"",""JA"")"),"刺激または介入に対する反応の程度を評価するためのスケール上の位置。")</f>
        <v>刺激または介入に対する反応の程度を評価するためのスケール上の位置。</v>
      </c>
      <c r="K4113" s="1" t="str">
        <f>IFERROR(__xludf.DUMMYFUNCTION("GOOGLETRANSLATE(G4113,""EN"",""JA"")"),"反応グレード")</f>
        <v>反応グレード</v>
      </c>
    </row>
    <row r="4114" ht="13.5" customHeight="1">
      <c r="A4114" s="1" t="s">
        <v>1997</v>
      </c>
      <c r="B4114" s="1" t="s">
        <v>20605</v>
      </c>
      <c r="C4114" s="1" t="s">
        <v>20606</v>
      </c>
      <c r="D4114" s="1" t="s">
        <v>20607</v>
      </c>
      <c r="E4114" s="1" t="s">
        <v>20607</v>
      </c>
      <c r="F4114" s="1" t="s">
        <v>20608</v>
      </c>
      <c r="G4114" s="1" t="s">
        <v>20609</v>
      </c>
      <c r="H4114" s="1" t="str">
        <f>IFERROR(__xludf.DUMMYFUNCTION("GOOGLETRANSLATE(D4114,""EN"",""JA"")"),"反応性")</f>
        <v>反応性</v>
      </c>
      <c r="I4114" s="1" t="str">
        <f>IFERROR(__xludf.DUMMYFUNCTION("GOOGLETRANSLATE(E4114,""EN"",""JA"")"),"反応性")</f>
        <v>反応性</v>
      </c>
      <c r="J4114" s="1" t="str">
        <f>IFERROR(__xludf.DUMMYFUNCTION("GOOGLETRANSLATE(F4114,""EN"",""JA"")"),"何らかの刺激に対する反応としての動作の説明。")</f>
        <v>何らかの刺激に対する反応としての動作の説明。</v>
      </c>
      <c r="K4114" s="1" t="str">
        <f>IFERROR(__xludf.DUMMYFUNCTION("GOOGLETRANSLATE(G4114,""EN"",""JA"")"),"反応")</f>
        <v>反応</v>
      </c>
    </row>
    <row r="4115" ht="13.5" customHeight="1">
      <c r="A4115" s="1" t="s">
        <v>1997</v>
      </c>
      <c r="B4115" s="1" t="s">
        <v>20610</v>
      </c>
      <c r="C4115" s="1" t="s">
        <v>20611</v>
      </c>
      <c r="D4115" s="1" t="s">
        <v>20612</v>
      </c>
      <c r="E4115" s="1" t="s">
        <v>20613</v>
      </c>
      <c r="F4115" s="1" t="s">
        <v>20614</v>
      </c>
      <c r="G4115" s="1" t="s">
        <v>20615</v>
      </c>
      <c r="H4115" s="1" t="str">
        <f>IFERROR(__xludf.DUMMYFUNCTION("GOOGLETRANSLATE(D4115,""EN"",""JA"")"),"円柱屈折異常")</f>
        <v>円柱屈折異常</v>
      </c>
      <c r="I4115" s="1" t="str">
        <f>IFERROR(__xludf.DUMMYFUNCTION("GOOGLETRANSLATE(E4115,""EN"",""JA"")"),"円柱屈折異常; 円柱屈折異常")</f>
        <v>円柱屈折異常; 円柱屈折異常</v>
      </c>
      <c r="J4115" s="1" t="str">
        <f>IFERROR(__xludf.DUMMYFUNCTION("GOOGLETRANSLATE(F4115,""EN"",""JA"")"),"円筒子午線と水平子午線の間の光学的パワーの不一致によって網膜への光の反射が最適でなくなることで生じる視力障害の程度の測定値。(NCI)")</f>
        <v>円筒子午線と水平子午線の間の光学的パワーの不一致によって網膜への光の反射が最適でなくなることで生じる視力障害の程度の測定値。(NCI)</v>
      </c>
      <c r="K4115" s="1" t="str">
        <f>IFERROR(__xludf.DUMMYFUNCTION("GOOGLETRANSLATE(G4115,""EN"",""JA"")"),"円柱屈折異常")</f>
        <v>円柱屈折異常</v>
      </c>
    </row>
    <row r="4116" ht="13.5" customHeight="1">
      <c r="A4116" s="1" t="s">
        <v>580</v>
      </c>
      <c r="B4116" s="1" t="s">
        <v>20616</v>
      </c>
      <c r="C4116" s="1" t="s">
        <v>20617</v>
      </c>
      <c r="D4116" s="1" t="s">
        <v>20618</v>
      </c>
      <c r="E4116" s="1" t="s">
        <v>20618</v>
      </c>
      <c r="F4116" s="1" t="s">
        <v>20619</v>
      </c>
      <c r="G4116" s="1" t="s">
        <v>20618</v>
      </c>
      <c r="H4116" s="1" t="str">
        <f>IFERROR(__xludf.DUMMYFUNCTION("GOOGLETRANSLATE(D4116,""EN"",""JA"")"),"呼吸器系検査")</f>
        <v>呼吸器系検査</v>
      </c>
      <c r="I4116" s="1" t="str">
        <f>IFERROR(__xludf.DUMMYFUNCTION("GOOGLETRANSLATE(E4116,""EN"",""JA"")"),"呼吸器系検査")</f>
        <v>呼吸器系検査</v>
      </c>
      <c r="J4116" s="1" t="str">
        <f>IFERROR(__xludf.DUMMYFUNCTION("GOOGLETRANSLATE(F4116,""EN"",""JA"")"),"呼吸器系の観察、評価、または検査。")</f>
        <v>呼吸器系の観察、評価、または検査。</v>
      </c>
      <c r="K4116" s="1" t="str">
        <f>IFERROR(__xludf.DUMMYFUNCTION("GOOGLETRANSLATE(G4116,""EN"",""JA"")"),"呼吸器系検査")</f>
        <v>呼吸器系検査</v>
      </c>
    </row>
    <row r="4117" ht="13.5" customHeight="1">
      <c r="A4117" s="1" t="s">
        <v>176</v>
      </c>
      <c r="B4117" s="1" t="s">
        <v>20620</v>
      </c>
      <c r="C4117" s="1" t="s">
        <v>20621</v>
      </c>
      <c r="D4117" s="1" t="s">
        <v>20622</v>
      </c>
      <c r="E4117" s="1" t="s">
        <v>20622</v>
      </c>
      <c r="F4117" s="1" t="s">
        <v>20623</v>
      </c>
      <c r="G4117" s="1" t="s">
        <v>20624</v>
      </c>
      <c r="H4117" s="1" t="str">
        <f>IFERROR(__xludf.DUMMYFUNCTION("GOOGLETRANSLATE(D4117,""EN"",""JA"")"),"反射")</f>
        <v>反射</v>
      </c>
      <c r="I4117" s="1" t="str">
        <f>IFERROR(__xludf.DUMMYFUNCTION("GOOGLETRANSLATE(E4117,""EN"",""JA"")"),"反射")</f>
        <v>反射</v>
      </c>
      <c r="J4117" s="1" t="str">
        <f>IFERROR(__xludf.DUMMYFUNCTION("GOOGLETRANSLATE(F4117,""EN"",""JA"")"),"刺激に対する自動的、本能的、かつ学習されていない反応を評価するための評価。")</f>
        <v>刺激に対する自動的、本能的、かつ学習されていない反応を評価するための評価。</v>
      </c>
      <c r="K4117" s="1" t="str">
        <f>IFERROR(__xludf.DUMMYFUNCTION("GOOGLETRANSLATE(G4117,""EN"",""JA"")"),"反射評価")</f>
        <v>反射評価</v>
      </c>
    </row>
    <row r="4118" ht="13.5" customHeight="1">
      <c r="A4118" s="1" t="s">
        <v>397</v>
      </c>
      <c r="B4118" s="1" t="s">
        <v>20625</v>
      </c>
      <c r="C4118" s="1" t="s">
        <v>20626</v>
      </c>
      <c r="D4118" s="1" t="s">
        <v>20627</v>
      </c>
      <c r="E4118" s="1" t="s">
        <v>20627</v>
      </c>
      <c r="F4118" s="1" t="s">
        <v>20628</v>
      </c>
      <c r="G4118" s="1" t="s">
        <v>20629</v>
      </c>
      <c r="H4118" s="1" t="str">
        <f>IFERROR(__xludf.DUMMYFUNCTION("GOOGLETRANSLATE(D4118,""EN"",""JA"")"),"レジストリ識別子")</f>
        <v>レジストリ識別子</v>
      </c>
      <c r="I4118" s="1" t="str">
        <f>IFERROR(__xludf.DUMMYFUNCTION("GOOGLETRANSLATE(E4118,""EN"",""JA"")"),"レジストリ識別子")</f>
        <v>レジストリ識別子</v>
      </c>
      <c r="J4118" s="1" t="str">
        <f>IFERROR(__xludf.DUMMYFUNCTION("GOOGLETRANSLATE(F4118,""EN"",""JA"")"),"clinicaltrials.gov、EudraCT、またはその他のレジストリによってプロトコルに割り当てられた識別番号。")</f>
        <v>clinicaltrials.gov、EudraCT、またはその他のレジストリによってプロトコルに割り当てられた識別番号。</v>
      </c>
      <c r="K4118" s="1" t="str">
        <f>IFERROR(__xludf.DUMMYFUNCTION("GOOGLETRANSLATE(G4118,""EN"",""JA"")"),"臨床試験登録識別子")</f>
        <v>臨床試験登録識別子</v>
      </c>
    </row>
    <row r="4119" ht="13.5" customHeight="1">
      <c r="A4119" s="1" t="s">
        <v>580</v>
      </c>
      <c r="B4119" s="1" t="s">
        <v>20630</v>
      </c>
      <c r="C4119" s="1" t="s">
        <v>20631</v>
      </c>
      <c r="D4119" s="1" t="s">
        <v>20632</v>
      </c>
      <c r="E4119" s="1" t="s">
        <v>20632</v>
      </c>
      <c r="F4119" s="1" t="s">
        <v>20633</v>
      </c>
      <c r="G4119" s="1" t="s">
        <v>20632</v>
      </c>
      <c r="H4119" s="1" t="str">
        <f>IFERROR(__xludf.DUMMYFUNCTION("GOOGLETRANSLATE(D4119,""EN"",""JA"")"),"相対的なサイズの変化")</f>
        <v>相対的なサイズの変化</v>
      </c>
      <c r="I4119" s="1" t="str">
        <f>IFERROR(__xludf.DUMMYFUNCTION("GOOGLETRANSLATE(E4119,""EN"",""JA"")"),"相対的なサイズの変化")</f>
        <v>相対的なサイズの変化</v>
      </c>
      <c r="J4119" s="1" t="str">
        <f>IFERROR(__xludf.DUMMYFUNCTION("GOOGLETRANSLATE(F4119,""EN"",""JA"")"),"ベースラインまたは以前の値と比較したサイズの差の評価。")</f>
        <v>ベースラインまたは以前の値と比較したサイズの差の評価。</v>
      </c>
      <c r="K4119" s="1" t="str">
        <f>IFERROR(__xludf.DUMMYFUNCTION("GOOGLETRANSLATE(G4119,""EN"",""JA"")"),"相対的なサイズの変化")</f>
        <v>相対的なサイズの変化</v>
      </c>
    </row>
    <row r="4120" ht="13.5" customHeight="1">
      <c r="A4120" s="1" t="s">
        <v>7030</v>
      </c>
      <c r="B4120" s="1" t="s">
        <v>20634</v>
      </c>
      <c r="C4120" s="1" t="s">
        <v>20635</v>
      </c>
      <c r="D4120" s="1" t="s">
        <v>20636</v>
      </c>
      <c r="E4120" s="1" t="s">
        <v>20636</v>
      </c>
      <c r="F4120" s="1" t="s">
        <v>20637</v>
      </c>
      <c r="G4120" s="1" t="s">
        <v>20636</v>
      </c>
      <c r="H4120" s="1" t="str">
        <f>IFERROR(__xludf.DUMMYFUNCTION("GOOGLETRANSLATE(D4120,""EN"",""JA"")"),"残額")</f>
        <v>残額</v>
      </c>
      <c r="I4120" s="1" t="str">
        <f>IFERROR(__xludf.DUMMYFUNCTION("GOOGLETRANSLATE(E4120,""EN"",""JA"")"),"残額")</f>
        <v>残額</v>
      </c>
      <c r="J4120" s="1" t="str">
        <f>IFERROR(__xludf.DUMMYFUNCTION("GOOGLETRANSLATE(F4120,""EN"",""JA"")"),"投与、消費、または使用後に残る製品の量。")</f>
        <v>投与、消費、または使用後に残る製品の量。</v>
      </c>
      <c r="K4120" s="1" t="str">
        <f>IFERROR(__xludf.DUMMYFUNCTION("GOOGLETRANSLATE(G4120,""EN"",""JA"")"),"残額")</f>
        <v>残額</v>
      </c>
    </row>
    <row r="4121" ht="13.5" customHeight="1">
      <c r="A4121" s="1" t="s">
        <v>176</v>
      </c>
      <c r="B4121" s="1" t="s">
        <v>20638</v>
      </c>
      <c r="C4121" s="1" t="s">
        <v>20639</v>
      </c>
      <c r="D4121" s="1" t="s">
        <v>20640</v>
      </c>
      <c r="E4121" s="1" t="s">
        <v>20640</v>
      </c>
      <c r="F4121" s="1" t="s">
        <v>20641</v>
      </c>
      <c r="G4121" s="1" t="s">
        <v>20642</v>
      </c>
      <c r="H4121" s="1" t="str">
        <f>IFERROR(__xludf.DUMMYFUNCTION("GOOGLETRANSLATE(D4121,""EN"",""JA"")"),"レム睡眠時間")</f>
        <v>レム睡眠時間</v>
      </c>
      <c r="I4121" s="1" t="str">
        <f>IFERROR(__xludf.DUMMYFUNCTION("GOOGLETRANSLATE(E4121,""EN"",""JA"")"),"レム睡眠時間")</f>
        <v>レム睡眠時間</v>
      </c>
      <c r="J4121" s="1" t="str">
        <f>IFERROR(__xludf.DUMMYFUNCTION("GOOGLETRANSLATE(F4121,""EN"",""JA"")"),"個人が急速眼球運動睡眠（REM 睡眠）に費やす時間の合計。")</f>
        <v>個人が急速眼球運動睡眠（REM 睡眠）に費やす時間の合計。</v>
      </c>
      <c r="K4121" s="1" t="str">
        <f>IFERROR(__xludf.DUMMYFUNCTION("GOOGLETRANSLATE(G4121,""EN"",""JA"")"),"レム睡眠相持続時間")</f>
        <v>レム睡眠相持続時間</v>
      </c>
    </row>
    <row r="4122" ht="13.5" customHeight="1">
      <c r="A4122" s="1" t="s">
        <v>176</v>
      </c>
      <c r="B4122" s="1" t="s">
        <v>20643</v>
      </c>
      <c r="C4122" s="1" t="s">
        <v>20644</v>
      </c>
      <c r="D4122" s="1" t="s">
        <v>20645</v>
      </c>
      <c r="E4122" s="1" t="s">
        <v>20645</v>
      </c>
      <c r="F4122" s="1" t="s">
        <v>20646</v>
      </c>
      <c r="G4122" s="1" t="s">
        <v>20647</v>
      </c>
      <c r="H4122" s="1" t="str">
        <f>IFERROR(__xludf.DUMMYFUNCTION("GOOGLETRANSLATE(D4122,""EN"",""JA"")"),"レム睡眠潜時")</f>
        <v>レム睡眠潜時</v>
      </c>
      <c r="I4122" s="1" t="str">
        <f>IFERROR(__xludf.DUMMYFUNCTION("GOOGLETRANSLATE(E4122,""EN"",""JA"")"),"レム睡眠潜時")</f>
        <v>レム睡眠潜時</v>
      </c>
      <c r="J4122" s="1" t="str">
        <f>IFERROR(__xludf.DUMMYFUNCTION("GOOGLETRANSLATE(F4122,""EN"",""JA"")"),"睡眠の開始から最初の急速眼球運動 (REM) サイクルの開始までの時間。")</f>
        <v>睡眠の開始から最初の急速眼球運動 (REM) サイクルの開始までの時間。</v>
      </c>
      <c r="K4122" s="1" t="str">
        <f>IFERROR(__xludf.DUMMYFUNCTION("GOOGLETRANSLATE(G4122,""EN"",""JA"")"),"レム睡眠相潜時")</f>
        <v>レム睡眠相潜時</v>
      </c>
    </row>
    <row r="4123" ht="13.5" customHeight="1">
      <c r="A4123" s="1" t="s">
        <v>176</v>
      </c>
      <c r="B4123" s="1" t="s">
        <v>20648</v>
      </c>
      <c r="C4123" s="1" t="s">
        <v>20649</v>
      </c>
      <c r="D4123" s="1" t="s">
        <v>20650</v>
      </c>
      <c r="E4123" s="1" t="s">
        <v>20650</v>
      </c>
      <c r="F4123" s="1" t="s">
        <v>20651</v>
      </c>
      <c r="G4123" s="1" t="s">
        <v>20652</v>
      </c>
      <c r="H4123" s="1" t="str">
        <f>IFERROR(__xludf.DUMMYFUNCTION("GOOGLETRANSLATE(D4123,""EN"",""JA"")"),"レム睡眠/総睡眠時間")</f>
        <v>レム睡眠/総睡眠時間</v>
      </c>
      <c r="I4123" s="1" t="str">
        <f>IFERROR(__xludf.DUMMYFUNCTION("GOOGLETRANSLATE(E4123,""EN"",""JA"")"),"レム睡眠/総睡眠時間")</f>
        <v>レム睡眠/総睡眠時間</v>
      </c>
      <c r="J4123" s="1" t="str">
        <f>IFERROR(__xludf.DUMMYFUNCTION("GOOGLETRANSLATE(F4123,""EN"",""JA"")"),"総睡眠時間に対するレム睡眠（急速眼球運動睡眠）時間の相対的な測定値（パーセンテージ）。")</f>
        <v>総睡眠時間に対するレム睡眠（急速眼球運動睡眠）時間の相対的な測定値（パーセンテージ）。</v>
      </c>
      <c r="K4123" s="1" t="str">
        <f>IFERROR(__xludf.DUMMYFUNCTION("GOOGLETRANSLATE(G4123,""EN"",""JA"")"),"レム睡眠時間と総睡眠時間の比率測定")</f>
        <v>レム睡眠時間と総睡眠時間の比率測定</v>
      </c>
    </row>
    <row r="4124" ht="13.5" customHeight="1">
      <c r="A4124" s="1" t="s">
        <v>870</v>
      </c>
      <c r="B4124" s="1" t="s">
        <v>20653</v>
      </c>
      <c r="C4124" s="1" t="s">
        <v>20654</v>
      </c>
      <c r="D4124" s="1" t="s">
        <v>20655</v>
      </c>
      <c r="E4124" s="1" t="s">
        <v>20655</v>
      </c>
      <c r="F4124" s="1" t="s">
        <v>20656</v>
      </c>
      <c r="G4124" s="1" t="s">
        <v>20657</v>
      </c>
      <c r="H4124" s="1" t="str">
        <f>IFERROR(__xludf.DUMMYFUNCTION("GOOGLETRANSLATE(D4124,""EN"",""JA"")"),"腎臓CL")</f>
        <v>腎臓CL</v>
      </c>
      <c r="I4124" s="1" t="str">
        <f>IFERROR(__xludf.DUMMYFUNCTION("GOOGLETRANSLATE(E4124,""EN"",""JA"")"),"腎臓CL")</f>
        <v>腎臓CL</v>
      </c>
      <c r="J4124" s="1" t="str">
        <f>IFERROR(__xludf.DUMMYFUNCTION("GOOGLETRANSLATE(F4124,""EN"",""JA"")"),"腎臓による血液中の物質の除去。")</f>
        <v>腎臓による血液中の物質の除去。</v>
      </c>
      <c r="K4124" s="1" t="str">
        <f>IFERROR(__xludf.DUMMYFUNCTION("GOOGLETRANSLATE(G4124,""EN"",""JA"")"),"腎クリアランス")</f>
        <v>腎クリアランス</v>
      </c>
    </row>
    <row r="4125" ht="13.5" customHeight="1">
      <c r="A4125" s="1" t="s">
        <v>870</v>
      </c>
      <c r="B4125" s="1" t="s">
        <v>20658</v>
      </c>
      <c r="C4125" s="1" t="s">
        <v>20659</v>
      </c>
      <c r="D4125" s="1" t="s">
        <v>20660</v>
      </c>
      <c r="E4125" s="1" t="s">
        <v>20660</v>
      </c>
      <c r="F4125" s="1" t="s">
        <v>20661</v>
      </c>
      <c r="G4125" s="1" t="s">
        <v>20662</v>
      </c>
      <c r="H4125" s="1" t="str">
        <f>IFERROR(__xludf.DUMMYFUNCTION("GOOGLETRANSLATE(D4125,""EN"",""JA"")"),"BMIによる腎臓CL正常値")</f>
        <v>BMIによる腎臓CL正常値</v>
      </c>
      <c r="I4125" s="1" t="str">
        <f>IFERROR(__xludf.DUMMYFUNCTION("GOOGLETRANSLATE(E4125,""EN"",""JA"")"),"BMIによる腎臓CL正常値")</f>
        <v>BMIによる腎臓CL正常値</v>
      </c>
      <c r="J4125" s="1" t="str">
        <f>IFERROR(__xludf.DUMMYFUNCTION("GOOGLETRANSLATE(F4125,""EN"",""JA"")"),"腎臓による血液からの物質の除去量をBMIで割ったもの。")</f>
        <v>腎臓による血液からの物質の除去量をBMIで割ったもの。</v>
      </c>
      <c r="K4125" s="1" t="str">
        <f>IFERROR(__xludf.DUMMYFUNCTION("GOOGLETRANSLATE(G4125,""EN"",""JA"")"),"BMIによる腎クリアランスの正常化")</f>
        <v>BMIによる腎クリアランスの正常化</v>
      </c>
    </row>
    <row r="4126" ht="13.5" customHeight="1">
      <c r="A4126" s="1" t="s">
        <v>870</v>
      </c>
      <c r="B4126" s="1" t="s">
        <v>20663</v>
      </c>
      <c r="C4126" s="1" t="s">
        <v>20664</v>
      </c>
      <c r="D4126" s="1" t="s">
        <v>20665</v>
      </c>
      <c r="E4126" s="1" t="s">
        <v>20665</v>
      </c>
      <c r="F4126" s="1" t="s">
        <v>20666</v>
      </c>
      <c r="G4126" s="1" t="s">
        <v>20667</v>
      </c>
      <c r="H4126" s="1" t="str">
        <f>IFERROR(__xludf.DUMMYFUNCTION("GOOGLETRANSLATE(D4126,""EN"",""JA"")"),"用量別の腎臓CL正常値")</f>
        <v>用量別の腎臓CL正常値</v>
      </c>
      <c r="I4126" s="1" t="str">
        <f>IFERROR(__xludf.DUMMYFUNCTION("GOOGLETRANSLATE(E4126,""EN"",""JA"")"),"用量別の腎臓CL正常値")</f>
        <v>用量別の腎臓CL正常値</v>
      </c>
      <c r="J4126" s="1" t="str">
        <f>IFERROR(__xludf.DUMMYFUNCTION("GOOGLETRANSLATE(F4126,""EN"",""JA"")"),"腎臓による血液からの物質の除去量を投与量で割ったもの。")</f>
        <v>腎臓による血液からの物質の除去量を投与量で割ったもの。</v>
      </c>
      <c r="K4126" s="1" t="str">
        <f>IFERROR(__xludf.DUMMYFUNCTION("GOOGLETRANSLATE(G4126,""EN"",""JA"")"),"用量によって正常化された腎クリアランス")</f>
        <v>用量によって正常化された腎クリアランス</v>
      </c>
    </row>
    <row r="4127" ht="13.5" customHeight="1">
      <c r="A4127" s="1" t="s">
        <v>870</v>
      </c>
      <c r="B4127" s="1" t="s">
        <v>20668</v>
      </c>
      <c r="C4127" s="1" t="s">
        <v>20669</v>
      </c>
      <c r="D4127" s="1" t="s">
        <v>20670</v>
      </c>
      <c r="E4127" s="1" t="s">
        <v>20670</v>
      </c>
      <c r="F4127" s="1" t="s">
        <v>20671</v>
      </c>
      <c r="G4127" s="1" t="s">
        <v>20672</v>
      </c>
      <c r="H4127" s="1" t="str">
        <f>IFERROR(__xludf.DUMMYFUNCTION("GOOGLETRANSLATE(D4127,""EN"",""JA"")"),"SAによる腎臓CL正常値")</f>
        <v>SAによる腎臓CL正常値</v>
      </c>
      <c r="I4127" s="1" t="str">
        <f>IFERROR(__xludf.DUMMYFUNCTION("GOOGLETRANSLATE(E4127,""EN"",""JA"")"),"SAによる腎臓CL正常値")</f>
        <v>SAによる腎臓CL正常値</v>
      </c>
      <c r="J4127" s="1" t="str">
        <f>IFERROR(__xludf.DUMMYFUNCTION("GOOGLETRANSLATE(F4127,""EN"",""JA"")"),"腎臓による血液からの物質の排出を表面積で割ったもの。")</f>
        <v>腎臓による血液からの物質の排出を表面積で割ったもの。</v>
      </c>
      <c r="K4127" s="1" t="str">
        <f>IFERROR(__xludf.DUMMYFUNCTION("GOOGLETRANSLATE(G4127,""EN"",""JA"")"),"SAによる腎クリアランスの正常化")</f>
        <v>SAによる腎クリアランスの正常化</v>
      </c>
    </row>
    <row r="4128" ht="13.5" customHeight="1">
      <c r="A4128" s="1" t="s">
        <v>870</v>
      </c>
      <c r="B4128" s="1" t="s">
        <v>20673</v>
      </c>
      <c r="C4128" s="1" t="s">
        <v>20674</v>
      </c>
      <c r="D4128" s="1" t="s">
        <v>20675</v>
      </c>
      <c r="E4128" s="1" t="s">
        <v>20675</v>
      </c>
      <c r="F4128" s="1" t="s">
        <v>20676</v>
      </c>
      <c r="G4128" s="1" t="s">
        <v>20677</v>
      </c>
      <c r="H4128" s="1" t="str">
        <f>IFERROR(__xludf.DUMMYFUNCTION("GOOGLETRANSLATE(D4128,""EN"",""JA"")"),"WTによる腎臓CL正常値")</f>
        <v>WTによる腎臓CL正常値</v>
      </c>
      <c r="I4128" s="1" t="str">
        <f>IFERROR(__xludf.DUMMYFUNCTION("GOOGLETRANSLATE(E4128,""EN"",""JA"")"),"WTによる腎臓CL正常値")</f>
        <v>WTによる腎臓CL正常値</v>
      </c>
      <c r="J4128" s="1" t="str">
        <f>IFERROR(__xludf.DUMMYFUNCTION("GOOGLETRANSLATE(F4128,""EN"",""JA"")"),"腎臓による血液からの物質の排出量を体重で割ったもの。")</f>
        <v>腎臓による血液からの物質の排出量を体重で割ったもの。</v>
      </c>
      <c r="K4128" s="1" t="str">
        <f>IFERROR(__xludf.DUMMYFUNCTION("GOOGLETRANSLATE(G4128,""EN"",""JA"")"),"WTによる腎クリアランス正常化")</f>
        <v>WTによる腎クリアランス正常化</v>
      </c>
    </row>
    <row r="4129" ht="13.5" customHeight="1">
      <c r="A4129" s="1" t="s">
        <v>870</v>
      </c>
      <c r="B4129" s="1" t="s">
        <v>20678</v>
      </c>
      <c r="C4129" s="1" t="s">
        <v>20679</v>
      </c>
      <c r="D4129" s="1" t="s">
        <v>20680</v>
      </c>
      <c r="E4129" s="1" t="s">
        <v>20680</v>
      </c>
      <c r="F4129" s="1" t="s">
        <v>20681</v>
      </c>
      <c r="G4129" s="1" t="s">
        <v>20682</v>
      </c>
      <c r="H4129" s="1" t="str">
        <f>IFERROR(__xludf.DUMMYFUNCTION("GOOGLETRANSLATE(D4129,""EN"",""JA"")"),"腎臓CL（投与量内）")</f>
        <v>腎臓CL（投与量内）</v>
      </c>
      <c r="I4129" s="1" t="str">
        <f>IFERROR(__xludf.DUMMYFUNCTION("GOOGLETRANSLATE(E4129,""EN"",""JA"")"),"腎臓CL（投与量内）")</f>
        <v>腎臓CL（投与量内）</v>
      </c>
      <c r="J4129" s="1" t="str">
        <f>IFERROR(__xludf.DUMMYFUNCTION("GOOGLETRANSLATE(F4129,""EN"",""JA"")"),"AUCTAU を使用して計算される、腎臓による血液からの物質の除去。")</f>
        <v>AUCTAU を使用して計算される、腎臓による血液からの物質の除去。</v>
      </c>
      <c r="K4129" s="1" t="str">
        <f>IFERROR(__xludf.DUMMYFUNCTION("GOOGLETRANSLATE(G4129,""EN"",""JA"")"),"投与間隔ごとの腎クリアランス")</f>
        <v>投与間隔ごとの腎クリアランス</v>
      </c>
    </row>
    <row r="4130" ht="13.5" customHeight="1">
      <c r="A4130" s="1" t="s">
        <v>11</v>
      </c>
      <c r="B4130" s="1" t="s">
        <v>20683</v>
      </c>
      <c r="C4130" s="1" t="s">
        <v>20684</v>
      </c>
      <c r="D4130" s="1" t="s">
        <v>20685</v>
      </c>
      <c r="E4130" s="1" t="s">
        <v>20686</v>
      </c>
      <c r="F4130" s="1" t="s">
        <v>20687</v>
      </c>
      <c r="G4130" s="1" t="s">
        <v>20688</v>
      </c>
      <c r="H4130" s="1" t="str">
        <f>IFERROR(__xludf.DUMMYFUNCTION("GOOGLETRANSLATE(D4130,""EN"",""JA"")"),"レニン")</f>
        <v>レニン</v>
      </c>
      <c r="I4130" s="1" t="str">
        <f>IFERROR(__xludf.DUMMYFUNCTION("GOOGLETRANSLATE(E4130,""EN"",""JA"")"),"活性レニン、アンジオテンシノゲナーゼ、直接レニン、レニン")</f>
        <v>活性レニン、アンジオテンシノゲナーゼ、直接レニン、レニン</v>
      </c>
      <c r="J4130" s="1" t="str">
        <f>IFERROR(__xludf.DUMMYFUNCTION("GOOGLETRANSLATE(F4130,""EN"",""JA"")"),"生物標本中のレニンの測定。")</f>
        <v>生物標本中のレニンの測定。</v>
      </c>
      <c r="K4130" s="1" t="str">
        <f>IFERROR(__xludf.DUMMYFUNCTION("GOOGLETRANSLATE(G4130,""EN"",""JA"")"),"レニン測定")</f>
        <v>レニン測定</v>
      </c>
    </row>
    <row r="4131" ht="13.5" customHeight="1">
      <c r="A4131" s="1" t="s">
        <v>11</v>
      </c>
      <c r="B4131" s="1" t="s">
        <v>20689</v>
      </c>
      <c r="C4131" s="1" t="s">
        <v>20690</v>
      </c>
      <c r="D4131" s="1" t="s">
        <v>20691</v>
      </c>
      <c r="E4131" s="1" t="s">
        <v>20691</v>
      </c>
      <c r="F4131" s="1" t="s">
        <v>20692</v>
      </c>
      <c r="G4131" s="1" t="s">
        <v>20693</v>
      </c>
      <c r="H4131" s="1" t="str">
        <f>IFERROR(__xludf.DUMMYFUNCTION("GOOGLETRANSLATE(D4131,""EN"",""JA"")"),"レニン活性")</f>
        <v>レニン活性</v>
      </c>
      <c r="I4131" s="1" t="str">
        <f>IFERROR(__xludf.DUMMYFUNCTION("GOOGLETRANSLATE(E4131,""EN"",""JA"")"),"レニン活性")</f>
        <v>レニン活性</v>
      </c>
      <c r="J4131" s="1" t="str">
        <f>IFERROR(__xludf.DUMMYFUNCTION("GOOGLETRANSLATE(F4131,""EN"",""JA"")"),"生物標本中のレニン活性の測定。")</f>
        <v>生物標本中のレニン活性の測定。</v>
      </c>
      <c r="K4131" s="1" t="str">
        <f>IFERROR(__xludf.DUMMYFUNCTION("GOOGLETRANSLATE(G4131,""EN"",""JA"")"),"レニン活性測定")</f>
        <v>レニン活性測定</v>
      </c>
    </row>
    <row r="4132" ht="13.5" customHeight="1">
      <c r="A4132" s="1" t="s">
        <v>580</v>
      </c>
      <c r="B4132" s="1" t="s">
        <v>20694</v>
      </c>
      <c r="C4132" s="1" t="s">
        <v>20695</v>
      </c>
      <c r="D4132" s="1" t="s">
        <v>20696</v>
      </c>
      <c r="E4132" s="1" t="s">
        <v>20696</v>
      </c>
      <c r="F4132" s="1" t="s">
        <v>20697</v>
      </c>
      <c r="G4132" s="1" t="s">
        <v>20696</v>
      </c>
      <c r="H4132" s="1" t="str">
        <f>IFERROR(__xludf.DUMMYFUNCTION("GOOGLETRANSLATE(D4132,""EN"",""JA"")"),"呼吸交換比")</f>
        <v>呼吸交換比</v>
      </c>
      <c r="I4132" s="1" t="str">
        <f>IFERROR(__xludf.DUMMYFUNCTION("GOOGLETRANSLATE(E4132,""EN"",""JA"")"),"呼吸交換比")</f>
        <v>呼吸交換比</v>
      </c>
      <c r="J4132" s="1" t="str">
        <f>IFERROR(__xludf.DUMMYFUNCTION("GOOGLETRANSLATE(F4132,""EN"",""JA"")"),"一回の呼吸で生成される二酸化炭素量と消費される酸素量の比率。")</f>
        <v>一回の呼吸で生成される二酸化炭素量と消費される酸素量の比率。</v>
      </c>
      <c r="K4132" s="1" t="str">
        <f>IFERROR(__xludf.DUMMYFUNCTION("GOOGLETRANSLATE(G4132,""EN"",""JA"")"),"呼吸交換比")</f>
        <v>呼吸交換比</v>
      </c>
    </row>
    <row r="4133" ht="13.5" customHeight="1">
      <c r="A4133" s="1" t="s">
        <v>11</v>
      </c>
      <c r="B4133" s="1" t="s">
        <v>20698</v>
      </c>
      <c r="C4133" s="1" t="s">
        <v>20699</v>
      </c>
      <c r="D4133" s="1" t="s">
        <v>20700</v>
      </c>
      <c r="E4133" s="1" t="s">
        <v>20700</v>
      </c>
      <c r="F4133" s="1" t="s">
        <v>20701</v>
      </c>
      <c r="G4133" s="1" t="s">
        <v>20702</v>
      </c>
      <c r="H4133" s="1" t="str">
        <f>IFERROR(__xludf.DUMMYFUNCTION("GOOGLETRANSLATE(D4133,""EN"",""JA"")"),"レジスチン")</f>
        <v>レジスチン</v>
      </c>
      <c r="I4133" s="1" t="str">
        <f>IFERROR(__xludf.DUMMYFUNCTION("GOOGLETRANSLATE(E4133,""EN"",""JA"")"),"レジスチン")</f>
        <v>レジスチン</v>
      </c>
      <c r="J4133" s="1" t="str">
        <f>IFERROR(__xludf.DUMMYFUNCTION("GOOGLETRANSLATE(F4133,""EN"",""JA"")"),"生物標本中のレジスチンの測定。")</f>
        <v>生物標本中のレジスチンの測定。</v>
      </c>
      <c r="K4133" s="1" t="str">
        <f>IFERROR(__xludf.DUMMYFUNCTION("GOOGLETRANSLATE(G4133,""EN"",""JA"")"),"レジスチン測定")</f>
        <v>レジスチン測定</v>
      </c>
    </row>
    <row r="4134" ht="13.5" customHeight="1">
      <c r="A4134" s="1" t="s">
        <v>129</v>
      </c>
      <c r="B4134" s="1" t="s">
        <v>20703</v>
      </c>
      <c r="C4134" s="1" t="s">
        <v>20704</v>
      </c>
      <c r="D4134" s="1" t="s">
        <v>20705</v>
      </c>
      <c r="E4134" s="1" t="s">
        <v>20705</v>
      </c>
      <c r="F4134" s="1" t="s">
        <v>20706</v>
      </c>
      <c r="G4134" s="1" t="s">
        <v>20705</v>
      </c>
      <c r="H4134" s="1" t="str">
        <f>IFERROR(__xludf.DUMMYFUNCTION("GOOGLETRANSLATE(D4134,""EN"",""JA"")"),"呼吸数")</f>
        <v>呼吸数</v>
      </c>
      <c r="I4134" s="1" t="str">
        <f>IFERROR(__xludf.DUMMYFUNCTION("GOOGLETRANSLATE(E4134,""EN"",""JA"")"),"呼吸数")</f>
        <v>呼吸数</v>
      </c>
      <c r="J4134" s="1" t="str">
        <f>IFERROR(__xludf.DUMMYFUNCTION("GOOGLETRANSLATE(F4134,""EN"",""JA"")"),"単位時間あたりに測定される呼吸（吸入と呼気）の速度。通常は 1 分あたりの呼吸数で表されます。（NCI）")</f>
        <v>単位時間あたりに測定される呼吸（吸入と呼気）の速度。通常は 1 分あたりの呼吸数で表されます。（NCI）</v>
      </c>
      <c r="K4134" s="1" t="str">
        <f>IFERROR(__xludf.DUMMYFUNCTION("GOOGLETRANSLATE(G4134,""EN"",""JA"")"),"呼吸数")</f>
        <v>呼吸数</v>
      </c>
    </row>
    <row r="4135" ht="13.5" customHeight="1">
      <c r="A4135" s="1" t="s">
        <v>1997</v>
      </c>
      <c r="B4135" s="1" t="s">
        <v>20707</v>
      </c>
      <c r="C4135" s="1" t="s">
        <v>20708</v>
      </c>
      <c r="D4135" s="1" t="s">
        <v>20709</v>
      </c>
      <c r="E4135" s="1" t="s">
        <v>20710</v>
      </c>
      <c r="F4135" s="1" t="s">
        <v>20711</v>
      </c>
      <c r="G4135" s="1" t="s">
        <v>20709</v>
      </c>
      <c r="H4135" s="1" t="str">
        <f>IFERROR(__xludf.DUMMYFUNCTION("GOOGLETRANSLATE(D4135,""EN"",""JA"")"),"球面屈折異常")</f>
        <v>球面屈折異常</v>
      </c>
      <c r="I4135" s="1" t="str">
        <f>IFERROR(__xludf.DUMMYFUNCTION("GOOGLETRANSLATE(E4135,""EN"",""JA"")"),"球面屈折異常; 球面屈折異常")</f>
        <v>球面屈折異常; 球面屈折異常</v>
      </c>
      <c r="J4135" s="1" t="str">
        <f>IFERROR(__xludf.DUMMYFUNCTION("GOOGLETRANSLATE(F4135,""EN"",""JA"")"),"角膜および/または水晶体の最適な屈折力と眼球の長さの不一致により、網膜への光の反射が最適でなくなることで生じる視力障害の程度を測定する。(NCI)")</f>
        <v>角膜および/または水晶体の最適な屈折力と眼球の長さの不一致により、網膜への光の反射が最適でなくなることで生じる視力障害の程度を測定する。(NCI)</v>
      </c>
      <c r="K4135" s="1" t="str">
        <f>IFERROR(__xludf.DUMMYFUNCTION("GOOGLETRANSLATE(G4135,""EN"",""JA"")"),"球面屈折異常")</f>
        <v>球面屈折異常</v>
      </c>
    </row>
    <row r="4136" ht="13.5" customHeight="1">
      <c r="A4136" s="1" t="s">
        <v>397</v>
      </c>
      <c r="B4136" s="1" t="s">
        <v>20712</v>
      </c>
      <c r="C4136" s="1" t="s">
        <v>20713</v>
      </c>
      <c r="D4136" s="1" t="s">
        <v>20714</v>
      </c>
      <c r="E4136" s="1" t="s">
        <v>20714</v>
      </c>
      <c r="F4136" s="1" t="s">
        <v>20715</v>
      </c>
      <c r="G4136" s="1" t="s">
        <v>20714</v>
      </c>
      <c r="H4136" s="1" t="str">
        <f>IFERROR(__xludf.DUMMYFUNCTION("GOOGLETRANSLATE(D4136,""EN"",""JA"")"),"再提出レター")</f>
        <v>再提出レター</v>
      </c>
      <c r="I4136" s="1" t="str">
        <f>IFERROR(__xludf.DUMMYFUNCTION("GOOGLETRANSLATE(E4136,""EN"",""JA"")"),"再提出レター")</f>
        <v>再提出レター</v>
      </c>
      <c r="J4136" s="1" t="str">
        <f>IFERROR(__xludf.DUMMYFUNCTION("GOOGLETRANSLATE(F4136,""EN"",""JA"")"),"トライアルの再送信の増分順序を表すアルファベット文字。")</f>
        <v>トライアルの再送信の増分順序を表すアルファベット文字。</v>
      </c>
      <c r="K4136" s="1" t="str">
        <f>IFERROR(__xludf.DUMMYFUNCTION("GOOGLETRANSLATE(G4136,""EN"",""JA"")"),"再提出レター")</f>
        <v>再提出レター</v>
      </c>
    </row>
    <row r="4137" ht="13.5" customHeight="1">
      <c r="A4137" s="1" t="s">
        <v>7030</v>
      </c>
      <c r="B4137" s="1" t="s">
        <v>20716</v>
      </c>
      <c r="C4137" s="1" t="s">
        <v>20717</v>
      </c>
      <c r="D4137" s="1" t="s">
        <v>20718</v>
      </c>
      <c r="E4137" s="1" t="s">
        <v>20718</v>
      </c>
      <c r="F4137" s="1" t="s">
        <v>20719</v>
      </c>
      <c r="G4137" s="1" t="s">
        <v>20718</v>
      </c>
      <c r="H4137" s="1" t="str">
        <f>IFERROR(__xludf.DUMMYFUNCTION("GOOGLETRANSLATE(D4137,""EN"",""JA"")"),"返金額")</f>
        <v>返金額</v>
      </c>
      <c r="I4137" s="1" t="str">
        <f>IFERROR(__xludf.DUMMYFUNCTION("GOOGLETRANSLATE(E4137,""EN"",""JA"")"),"返金額")</f>
        <v>返金額</v>
      </c>
      <c r="J4137" s="1" t="str">
        <f>IFERROR(__xludf.DUMMYFUNCTION("GOOGLETRANSLATE(F4137,""EN"",""JA"")"),"返品された製品の数量。(NCI)")</f>
        <v>返品された製品の数量。(NCI)</v>
      </c>
      <c r="K4137" s="1" t="str">
        <f>IFERROR(__xludf.DUMMYFUNCTION("GOOGLETRANSLATE(G4137,""EN"",""JA"")"),"返金額")</f>
        <v>返金額</v>
      </c>
    </row>
    <row r="4138" ht="13.5" customHeight="1">
      <c r="A4138" s="1" t="s">
        <v>11</v>
      </c>
      <c r="B4138" s="1" t="s">
        <v>20720</v>
      </c>
      <c r="C4138" s="1" t="s">
        <v>20721</v>
      </c>
      <c r="D4138" s="1" t="s">
        <v>20722</v>
      </c>
      <c r="E4138" s="1" t="s">
        <v>20722</v>
      </c>
      <c r="F4138" s="1" t="s">
        <v>20723</v>
      </c>
      <c r="G4138" s="1" t="s">
        <v>20724</v>
      </c>
      <c r="H4138" s="1" t="str">
        <f>IFERROR(__xludf.DUMMYFUNCTION("GOOGLETRANSLATE(D4138,""EN"",""JA"")"),"HCT補正網状赤血球/赤血球")</f>
        <v>HCT補正網状赤血球/赤血球</v>
      </c>
      <c r="I4138" s="1" t="str">
        <f>IFERROR(__xludf.DUMMYFUNCTION("GOOGLETRANSLATE(E4138,""EN"",""JA"")"),"HCT補正網状赤血球/赤血球")</f>
        <v>HCT補正網状赤血球/赤血球</v>
      </c>
      <c r="J4138" s="1" t="str">
        <f>IFERROR(__xludf.DUMMYFUNCTION("GOOGLETRANSLATE(F4138,""EN"",""JA"")"),"生物標本中の赤血球に対するヘマトクリット補正網状赤血球の相対的な測定値（比率またはパーセンテージ）。")</f>
        <v>生物標本中の赤血球に対するヘマトクリット補正網状赤血球の相対的な測定値（比率またはパーセンテージ）。</v>
      </c>
      <c r="K4138" s="1" t="str">
        <f>IFERROR(__xludf.DUMMYFUNCTION("GOOGLETRANSLATE(G4138,""EN"",""JA"")"),"ヘマトクリット補正網状赤血球対赤血球比測定")</f>
        <v>ヘマトクリット補正網状赤血球対赤血球比測定</v>
      </c>
    </row>
    <row r="4139" ht="13.5" customHeight="1">
      <c r="A4139" s="1" t="s">
        <v>11</v>
      </c>
      <c r="B4139" s="1" t="s">
        <v>20725</v>
      </c>
      <c r="C4139" s="1" t="s">
        <v>20726</v>
      </c>
      <c r="D4139" s="1" t="s">
        <v>20727</v>
      </c>
      <c r="E4139" s="1" t="s">
        <v>20727</v>
      </c>
      <c r="F4139" s="1" t="s">
        <v>20728</v>
      </c>
      <c r="G4139" s="1" t="s">
        <v>20729</v>
      </c>
      <c r="H4139" s="1" t="str">
        <f>IFERROR(__xludf.DUMMYFUNCTION("GOOGLETRANSLATE(D4139,""EN"",""JA"")"),"網状赤血球")</f>
        <v>網状赤血球</v>
      </c>
      <c r="I4139" s="1" t="str">
        <f>IFERROR(__xludf.DUMMYFUNCTION("GOOGLETRANSLATE(E4139,""EN"",""JA"")"),"網状赤血球")</f>
        <v>網状赤血球</v>
      </c>
      <c r="J4139" s="1" t="str">
        <f>IFERROR(__xludf.DUMMYFUNCTION("GOOGLETRANSLATE(F4139,""EN"",""JA"")"),"生物標本中の網状赤血球の測定。")</f>
        <v>生物標本中の網状赤血球の測定。</v>
      </c>
      <c r="K4139" s="1" t="str">
        <f>IFERROR(__xludf.DUMMYFUNCTION("GOOGLETRANSLATE(G4139,""EN"",""JA"")"),"網状赤血球数")</f>
        <v>網状赤血球数</v>
      </c>
    </row>
    <row r="4140" ht="13.5" customHeight="1">
      <c r="A4140" s="1" t="s">
        <v>134</v>
      </c>
      <c r="B4140" s="1" t="s">
        <v>20730</v>
      </c>
      <c r="C4140" s="1" t="s">
        <v>20731</v>
      </c>
      <c r="D4140" s="1" t="s">
        <v>20732</v>
      </c>
      <c r="E4140" s="1" t="s">
        <v>20732</v>
      </c>
      <c r="F4140" s="1" t="s">
        <v>20733</v>
      </c>
      <c r="G4140" s="1" t="s">
        <v>20734</v>
      </c>
      <c r="H4140" s="1" t="str">
        <f>IFERROR(__xludf.DUMMYFUNCTION("GOOGLETRANSLATE(D4140,""EN"",""JA"")"),"網状赤血球/総細胞")</f>
        <v>網状赤血球/総細胞</v>
      </c>
      <c r="I4140" s="1" t="str">
        <f>IFERROR(__xludf.DUMMYFUNCTION("GOOGLETRANSLATE(E4140,""EN"",""JA"")"),"網状赤血球/総細胞")</f>
        <v>網状赤血球/総細胞</v>
      </c>
      <c r="J4140" s="1" t="str">
        <f>IFERROR(__xludf.DUMMYFUNCTION("GOOGLETRANSLATE(F4140,""EN"",""JA"")"),"生物標本中の網状赤血球と総細胞の相対的な測定値（比率またはパーセンテージ）。")</f>
        <v>生物標本中の網状赤血球と総細胞の相対的な測定値（比率またはパーセンテージ）。</v>
      </c>
      <c r="K4140" s="1" t="str">
        <f>IFERROR(__xludf.DUMMYFUNCTION("GOOGLETRANSLATE(G4140,""EN"",""JA"")"),"網状赤血球と全細胞比の測定")</f>
        <v>網状赤血球と全細胞比の測定</v>
      </c>
    </row>
    <row r="4141" ht="13.5" customHeight="1">
      <c r="A4141" s="1" t="s">
        <v>11</v>
      </c>
      <c r="B4141" s="1" t="s">
        <v>20730</v>
      </c>
      <c r="C4141" s="1" t="s">
        <v>20731</v>
      </c>
      <c r="D4141" s="1" t="s">
        <v>20732</v>
      </c>
      <c r="E4141" s="1" t="s">
        <v>20732</v>
      </c>
      <c r="F4141" s="1" t="s">
        <v>20733</v>
      </c>
      <c r="G4141" s="1" t="s">
        <v>20734</v>
      </c>
      <c r="H4141" s="1" t="str">
        <f>IFERROR(__xludf.DUMMYFUNCTION("GOOGLETRANSLATE(D4141,""EN"",""JA"")"),"網状赤血球/総細胞")</f>
        <v>網状赤血球/総細胞</v>
      </c>
      <c r="I4141" s="1" t="str">
        <f>IFERROR(__xludf.DUMMYFUNCTION("GOOGLETRANSLATE(E4141,""EN"",""JA"")"),"網状赤血球/総細胞")</f>
        <v>網状赤血球/総細胞</v>
      </c>
      <c r="J4141" s="1" t="str">
        <f>IFERROR(__xludf.DUMMYFUNCTION("GOOGLETRANSLATE(F4141,""EN"",""JA"")"),"生物標本中の網状赤血球と総細胞の相対的な測定値（比率またはパーセンテージ）。")</f>
        <v>生物標本中の網状赤血球と総細胞の相対的な測定値（比率またはパーセンテージ）。</v>
      </c>
      <c r="K4141" s="1" t="str">
        <f>IFERROR(__xludf.DUMMYFUNCTION("GOOGLETRANSLATE(G4141,""EN"",""JA"")"),"網状赤血球と全細胞比の測定")</f>
        <v>網状赤血球と全細胞比の測定</v>
      </c>
    </row>
    <row r="4142" ht="13.5" customHeight="1">
      <c r="A4142" s="1" t="s">
        <v>11</v>
      </c>
      <c r="B4142" s="1" t="s">
        <v>20735</v>
      </c>
      <c r="C4142" s="1" t="s">
        <v>20736</v>
      </c>
      <c r="D4142" s="1" t="s">
        <v>20737</v>
      </c>
      <c r="E4142" s="1" t="s">
        <v>20738</v>
      </c>
      <c r="F4142" s="1" t="s">
        <v>20739</v>
      </c>
      <c r="G4142" s="1" t="s">
        <v>20740</v>
      </c>
      <c r="H4142" s="1" t="str">
        <f>IFERROR(__xludf.DUMMYFUNCTION("GOOGLETRANSLATE(D4142,""EN"",""JA"")"),"網状赤血球ヘモグロビン含量")</f>
        <v>網状赤血球ヘモグロビン含量</v>
      </c>
      <c r="I4142" s="1" t="str">
        <f>IFERROR(__xludf.DUMMYFUNCTION("GOOGLETRANSLATE(E4142,""EN"",""JA"")"),"CHr; 網赤血球ヘモグロビン含量; 網赤血球ヘモグロビン含量")</f>
        <v>CHr; 網赤血球ヘモグロビン含量; 網赤血球ヘモグロビン含量</v>
      </c>
      <c r="J4142" s="1" t="str">
        <f>IFERROR(__xludf.DUMMYFUNCTION("GOOGLETRANSLATE(F4142,""EN"",""JA"")"),"網状赤血球あたりのヘモグロビンの平均総量の測定値。")</f>
        <v>網状赤血球あたりのヘモグロビンの平均総量の測定値。</v>
      </c>
      <c r="K4142" s="1" t="str">
        <f>IFERROR(__xludf.DUMMYFUNCTION("GOOGLETRANSLATE(G4142,""EN"",""JA"")"),"網状赤血球ヘモグロビン含有量")</f>
        <v>網状赤血球ヘモグロビン含有量</v>
      </c>
    </row>
    <row r="4143" ht="13.5" customHeight="1">
      <c r="A4143" s="1" t="s">
        <v>11</v>
      </c>
      <c r="B4143" s="1" t="s">
        <v>20741</v>
      </c>
      <c r="C4143" s="1" t="s">
        <v>20742</v>
      </c>
      <c r="D4143" s="1" t="s">
        <v>20743</v>
      </c>
      <c r="E4143" s="1" t="s">
        <v>20743</v>
      </c>
      <c r="F4143" s="1" t="s">
        <v>20744</v>
      </c>
      <c r="G4143" s="1" t="s">
        <v>20745</v>
      </c>
      <c r="H4143" s="1" t="str">
        <f>IFERROR(__xludf.DUMMYFUNCTION("GOOGLETRANSLATE(D4143,""EN"",""JA"")"),"高吸収網状赤血球")</f>
        <v>高吸収網状赤血球</v>
      </c>
      <c r="I4143" s="1" t="str">
        <f>IFERROR(__xludf.DUMMYFUNCTION("GOOGLETRANSLATE(E4143,""EN"",""JA"")"),"高吸収網状赤血球")</f>
        <v>高吸収網状赤血球</v>
      </c>
      <c r="J4143" s="1" t="str">
        <f>IFERROR(__xludf.DUMMYFUNCTION("GOOGLETRANSLATE(F4143,""EN"",""JA"")"),"生物標本中の高吸収網状赤血球の測定。")</f>
        <v>生物標本中の高吸収網状赤血球の測定。</v>
      </c>
      <c r="K4143" s="1" t="str">
        <f>IFERROR(__xludf.DUMMYFUNCTION("GOOGLETRANSLATE(G4143,""EN"",""JA"")"),"高吸収網状赤血球測定")</f>
        <v>高吸収網状赤血球測定</v>
      </c>
    </row>
    <row r="4144" ht="13.5" customHeight="1">
      <c r="A4144" s="1" t="s">
        <v>11</v>
      </c>
      <c r="B4144" s="1" t="s">
        <v>20746</v>
      </c>
      <c r="C4144" s="1" t="s">
        <v>20747</v>
      </c>
      <c r="D4144" s="1" t="s">
        <v>20748</v>
      </c>
      <c r="E4144" s="1" t="s">
        <v>20748</v>
      </c>
      <c r="F4144" s="1" t="s">
        <v>20749</v>
      </c>
      <c r="G4144" s="1" t="s">
        <v>20750</v>
      </c>
      <c r="H4144" s="1" t="str">
        <f>IFERROR(__xludf.DUMMYFUNCTION("GOOGLETRANSLATE(D4144,""EN"",""JA"")"),"ヘマトクリット補正網状赤血球")</f>
        <v>ヘマトクリット補正網状赤血球</v>
      </c>
      <c r="I4144" s="1" t="str">
        <f>IFERROR(__xludf.DUMMYFUNCTION("GOOGLETRANSLATE(E4144,""EN"",""JA"")"),"ヘマトクリット補正網状赤血球")</f>
        <v>ヘマトクリット補正網状赤血球</v>
      </c>
      <c r="J4144" s="1" t="str">
        <f>IFERROR(__xludf.DUMMYFUNCTION("GOOGLETRANSLATE(F4144,""EN"",""JA"")"),"生物標本中のヘマトクリット補正網状赤血球の測定。")</f>
        <v>生物標本中のヘマトクリット補正網状赤血球の測定。</v>
      </c>
      <c r="K4144" s="1" t="str">
        <f>IFERROR(__xludf.DUMMYFUNCTION("GOOGLETRANSLATE(G4144,""EN"",""JA"")"),"ヘマトクリット補正網状赤血球数")</f>
        <v>ヘマトクリット補正網状赤血球数</v>
      </c>
    </row>
    <row r="4145" ht="13.5" customHeight="1">
      <c r="A4145" s="1" t="s">
        <v>11</v>
      </c>
      <c r="B4145" s="1" t="s">
        <v>20751</v>
      </c>
      <c r="C4145" s="1" t="s">
        <v>20752</v>
      </c>
      <c r="D4145" s="1" t="s">
        <v>20753</v>
      </c>
      <c r="E4145" s="1" t="s">
        <v>20753</v>
      </c>
      <c r="F4145" s="1" t="s">
        <v>20754</v>
      </c>
      <c r="G4145" s="1" t="s">
        <v>20755</v>
      </c>
      <c r="H4145" s="1" t="str">
        <f>IFERROR(__xludf.DUMMYFUNCTION("GOOGLETRANSLATE(D4145,""EN"",""JA"")"),"高吸収網状赤血球")</f>
        <v>高吸収網状赤血球</v>
      </c>
      <c r="I4145" s="1" t="str">
        <f>IFERROR(__xludf.DUMMYFUNCTION("GOOGLETRANSLATE(E4145,""EN"",""JA"")"),"高吸収網状赤血球")</f>
        <v>高吸収網状赤血球</v>
      </c>
      <c r="J4145" s="1" t="str">
        <f>IFERROR(__xludf.DUMMYFUNCTION("GOOGLETRANSLATE(F4145,""EN"",""JA"")"),"生物標本中の網状赤血球全体に対する高吸収網状赤血球の相対的な測定値（比率またはパーセンテージ）。")</f>
        <v>生物標本中の網状赤血球全体に対する高吸収網状赤血球の相対的な測定値（比率またはパーセンテージ）。</v>
      </c>
      <c r="K4145" s="1" t="str">
        <f>IFERROR(__xludf.DUMMYFUNCTION("GOOGLETRANSLATE(G4145,""EN"",""JA"")"),"高吸収網状赤血球と総網状赤血球の比率測定")</f>
        <v>高吸収網状赤血球と総網状赤血球の比率測定</v>
      </c>
    </row>
    <row r="4146" ht="13.5" customHeight="1">
      <c r="A4146" s="1" t="s">
        <v>11</v>
      </c>
      <c r="B4146" s="1" t="s">
        <v>20756</v>
      </c>
      <c r="C4146" s="1" t="s">
        <v>20757</v>
      </c>
      <c r="D4146" s="1" t="s">
        <v>20758</v>
      </c>
      <c r="E4146" s="1" t="s">
        <v>20758</v>
      </c>
      <c r="F4146" s="1" t="s">
        <v>20759</v>
      </c>
      <c r="G4146" s="1" t="s">
        <v>20760</v>
      </c>
      <c r="H4146" s="1" t="str">
        <f>IFERROR(__xludf.DUMMYFUNCTION("GOOGLETRANSLATE(D4146,""EN"",""JA"")"),"低吸収網状赤血球")</f>
        <v>低吸収網状赤血球</v>
      </c>
      <c r="I4146" s="1" t="str">
        <f>IFERROR(__xludf.DUMMYFUNCTION("GOOGLETRANSLATE(E4146,""EN"",""JA"")"),"低吸収網状赤血球")</f>
        <v>低吸収網状赤血球</v>
      </c>
      <c r="J4146" s="1" t="str">
        <f>IFERROR(__xludf.DUMMYFUNCTION("GOOGLETRANSLATE(F4146,""EN"",""JA"")"),"生物標本中の低吸収網状赤血球の測定。")</f>
        <v>生物標本中の低吸収網状赤血球の測定。</v>
      </c>
      <c r="K4146" s="1" t="str">
        <f>IFERROR(__xludf.DUMMYFUNCTION("GOOGLETRANSLATE(G4146,""EN"",""JA"")"),"低吸収網状赤血球測定")</f>
        <v>低吸収網状赤血球測定</v>
      </c>
    </row>
    <row r="4147" ht="13.5" customHeight="1">
      <c r="A4147" s="1" t="s">
        <v>11</v>
      </c>
      <c r="B4147" s="1" t="s">
        <v>20761</v>
      </c>
      <c r="C4147" s="1" t="s">
        <v>20762</v>
      </c>
      <c r="D4147" s="1" t="s">
        <v>20763</v>
      </c>
      <c r="E4147" s="1" t="s">
        <v>20763</v>
      </c>
      <c r="F4147" s="1" t="s">
        <v>20764</v>
      </c>
      <c r="G4147" s="1" t="s">
        <v>20765</v>
      </c>
      <c r="H4147" s="1" t="str">
        <f>IFERROR(__xludf.DUMMYFUNCTION("GOOGLETRANSLATE(D4147,""EN"",""JA"")"),"低吸収網状赤血球")</f>
        <v>低吸収網状赤血球</v>
      </c>
      <c r="I4147" s="1" t="str">
        <f>IFERROR(__xludf.DUMMYFUNCTION("GOOGLETRANSLATE(E4147,""EN"",""JA"")"),"低吸収網状赤血球")</f>
        <v>低吸収網状赤血球</v>
      </c>
      <c r="J4147" s="1" t="str">
        <f>IFERROR(__xludf.DUMMYFUNCTION("GOOGLETRANSLATE(F4147,""EN"",""JA"")"),"生物標本中の網状赤血球の総数に対する低吸収網状赤血球の相対的な測定値（比率またはパーセンテージ）。")</f>
        <v>生物標本中の網状赤血球の総数に対する低吸収網状赤血球の相対的な測定値（比率またはパーセンテージ）。</v>
      </c>
      <c r="K4147" s="1" t="str">
        <f>IFERROR(__xludf.DUMMYFUNCTION("GOOGLETRANSLATE(G4147,""EN"",""JA"")"),"低吸収網状赤血球と総網状赤血球の比率測定")</f>
        <v>低吸収網状赤血球と総網状赤血球の比率測定</v>
      </c>
    </row>
    <row r="4148" ht="13.5" customHeight="1">
      <c r="A4148" s="1" t="s">
        <v>11</v>
      </c>
      <c r="B4148" s="1" t="s">
        <v>20766</v>
      </c>
      <c r="C4148" s="1" t="s">
        <v>20767</v>
      </c>
      <c r="D4148" s="1" t="s">
        <v>20768</v>
      </c>
      <c r="E4148" s="1" t="s">
        <v>20768</v>
      </c>
      <c r="F4148" s="1" t="s">
        <v>20769</v>
      </c>
      <c r="G4148" s="1" t="s">
        <v>20770</v>
      </c>
      <c r="H4148" s="1" t="str">
        <f>IFERROR(__xludf.DUMMYFUNCTION("GOOGLETRANSLATE(D4148,""EN"",""JA"")"),"中吸収網状赤血球")</f>
        <v>中吸収網状赤血球</v>
      </c>
      <c r="I4148" s="1" t="str">
        <f>IFERROR(__xludf.DUMMYFUNCTION("GOOGLETRANSLATE(E4148,""EN"",""JA"")"),"中吸収網状赤血球")</f>
        <v>中吸収網状赤血球</v>
      </c>
      <c r="J4148" s="1" t="str">
        <f>IFERROR(__xludf.DUMMYFUNCTION("GOOGLETRANSLATE(F4148,""EN"",""JA"")"),"生物標本中の中吸収網状赤血球の測定。")</f>
        <v>生物標本中の中吸収網状赤血球の測定。</v>
      </c>
      <c r="K4148" s="1" t="str">
        <f>IFERROR(__xludf.DUMMYFUNCTION("GOOGLETRANSLATE(G4148,""EN"",""JA"")"),"中吸収網状赤血球測定")</f>
        <v>中吸収網状赤血球測定</v>
      </c>
    </row>
    <row r="4149" ht="13.5" customHeight="1">
      <c r="A4149" s="1" t="s">
        <v>11</v>
      </c>
      <c r="B4149" s="1" t="s">
        <v>20771</v>
      </c>
      <c r="C4149" s="1" t="s">
        <v>20772</v>
      </c>
      <c r="D4149" s="1" t="s">
        <v>20773</v>
      </c>
      <c r="E4149" s="1" t="s">
        <v>20773</v>
      </c>
      <c r="F4149" s="1" t="s">
        <v>20774</v>
      </c>
      <c r="G4149" s="1" t="s">
        <v>20775</v>
      </c>
      <c r="H4149" s="1" t="str">
        <f>IFERROR(__xludf.DUMMYFUNCTION("GOOGLETRANSLATE(D4149,""EN"",""JA"")"),"中吸収網状赤血球")</f>
        <v>中吸収網状赤血球</v>
      </c>
      <c r="I4149" s="1" t="str">
        <f>IFERROR(__xludf.DUMMYFUNCTION("GOOGLETRANSLATE(E4149,""EN"",""JA"")"),"中吸収網状赤血球")</f>
        <v>中吸収網状赤血球</v>
      </c>
      <c r="J4149" s="1" t="str">
        <f>IFERROR(__xludf.DUMMYFUNCTION("GOOGLETRANSLATE(F4149,""EN"",""JA"")"),"生物標本中の網状赤血球の総数に対する中吸収網状赤血球の相対的な測定値（比率またはパーセンテージ）。")</f>
        <v>生物標本中の網状赤血球の総数に対する中吸収網状赤血球の相対的な測定値（比率またはパーセンテージ）。</v>
      </c>
      <c r="K4149" s="1" t="str">
        <f>IFERROR(__xludf.DUMMYFUNCTION("GOOGLETRANSLATE(G4149,""EN"",""JA"")"),"中吸収網状赤血球と総網状赤血球の比測定")</f>
        <v>中吸収網状赤血球と総網状赤血球の比測定</v>
      </c>
    </row>
    <row r="4150" ht="13.5" customHeight="1">
      <c r="A4150" s="1" t="s">
        <v>11</v>
      </c>
      <c r="B4150" s="1" t="s">
        <v>20776</v>
      </c>
      <c r="C4150" s="1" t="s">
        <v>20777</v>
      </c>
      <c r="D4150" s="1" t="s">
        <v>20778</v>
      </c>
      <c r="E4150" s="1" t="s">
        <v>20779</v>
      </c>
      <c r="F4150" s="1" t="s">
        <v>20780</v>
      </c>
      <c r="G4150" s="1" t="s">
        <v>20781</v>
      </c>
      <c r="H4150" s="1" t="str">
        <f>IFERROR(__xludf.DUMMYFUNCTION("GOOGLETRANSLATE(D4150,""EN"",""JA"")"),"レチノイン酸")</f>
        <v>レチノイン酸</v>
      </c>
      <c r="I4150" s="1" t="str">
        <f>IFERROR(__xludf.DUMMYFUNCTION("GOOGLETRANSLATE(E4150,""EN"",""JA"")"),"レチノイン酸")</f>
        <v>レチノイン酸</v>
      </c>
      <c r="J4150" s="1" t="str">
        <f>IFERROR(__xludf.DUMMYFUNCTION("GOOGLETRANSLATE(F4150,""EN"",""JA"")"),"生物標本中のレチノイン酸の測定。")</f>
        <v>生物標本中のレチノイン酸の測定。</v>
      </c>
      <c r="K4150" s="1" t="str">
        <f>IFERROR(__xludf.DUMMYFUNCTION("GOOGLETRANSLATE(G4150,""EN"",""JA"")"),"レチノイン酸測定")</f>
        <v>レチノイン酸測定</v>
      </c>
    </row>
    <row r="4151" ht="13.5" customHeight="1">
      <c r="A4151" s="1" t="s">
        <v>11</v>
      </c>
      <c r="B4151" s="1" t="s">
        <v>20782</v>
      </c>
      <c r="C4151" s="1" t="s">
        <v>20783</v>
      </c>
      <c r="D4151" s="1" t="s">
        <v>20784</v>
      </c>
      <c r="E4151" s="1" t="s">
        <v>20784</v>
      </c>
      <c r="F4151" s="1" t="s">
        <v>20785</v>
      </c>
      <c r="G4151" s="1" t="s">
        <v>20786</v>
      </c>
      <c r="H4151" s="1" t="str">
        <f>IFERROR(__xludf.DUMMYFUNCTION("GOOGLETRANSLATE(D4151,""EN"",""JA"")"),"網状赤血球/赤血球")</f>
        <v>網状赤血球/赤血球</v>
      </c>
      <c r="I4151" s="1" t="str">
        <f>IFERROR(__xludf.DUMMYFUNCTION("GOOGLETRANSLATE(E4151,""EN"",""JA"")"),"網状赤血球/赤血球")</f>
        <v>網状赤血球/赤血球</v>
      </c>
      <c r="J4151" s="1" t="str">
        <f>IFERROR(__xludf.DUMMYFUNCTION("GOOGLETRANSLATE(F4151,""EN"",""JA"")"),"生物標本中の赤血球に対する網状赤血球の相対的な測定値（比率またはパーセンテージ）。")</f>
        <v>生物標本中の赤血球に対する網状赤血球の相対的な測定値（比率またはパーセンテージ）。</v>
      </c>
      <c r="K4151" s="1" t="str">
        <f>IFERROR(__xludf.DUMMYFUNCTION("GOOGLETRANSLATE(G4151,""EN"",""JA"")"),"網状赤血球と赤血球の比")</f>
        <v>網状赤血球と赤血球の比</v>
      </c>
    </row>
    <row r="4152" ht="13.5" customHeight="1">
      <c r="A4152" s="1" t="s">
        <v>11</v>
      </c>
      <c r="B4152" s="1" t="s">
        <v>20787</v>
      </c>
      <c r="C4152" s="1" t="s">
        <v>20788</v>
      </c>
      <c r="D4152" s="1" t="s">
        <v>20789</v>
      </c>
      <c r="E4152" s="1" t="s">
        <v>20790</v>
      </c>
      <c r="F4152" s="1" t="s">
        <v>20791</v>
      </c>
      <c r="G4152" s="1" t="s">
        <v>20792</v>
      </c>
      <c r="H4152" s="1" t="str">
        <f>IFERROR(__xludf.DUMMYFUNCTION("GOOGLETRANSLATE(D4152,""EN"",""JA"")"),"レチニルパルミテート")</f>
        <v>レチニルパルミテート</v>
      </c>
      <c r="I4152" s="1" t="str">
        <f>IFERROR(__xludf.DUMMYFUNCTION("GOOGLETRANSLATE(E4152,""EN"",""JA"")"),"レチノールパルミテート、レチニルパルミテート、ビタミンAパルミテート")</f>
        <v>レチノールパルミテート、レチニルパルミテート、ビタミンAパルミテート</v>
      </c>
      <c r="J4152" s="1" t="str">
        <f>IFERROR(__xludf.DUMMYFUNCTION("GOOGLETRANSLATE(F4152,""EN"",""JA"")"),"生物標本中の内因性レチニルパルミテートビタミンAの測定。")</f>
        <v>生物標本中の内因性レチニルパルミテートビタミンAの測定。</v>
      </c>
      <c r="K4152" s="1" t="str">
        <f>IFERROR(__xludf.DUMMYFUNCTION("GOOGLETRANSLATE(G4152,""EN"",""JA"")"),"レチニルパルミテート測定")</f>
        <v>レチニルパルミテート測定</v>
      </c>
    </row>
    <row r="4153" ht="13.5" customHeight="1">
      <c r="A4153" s="1" t="s">
        <v>201</v>
      </c>
      <c r="B4153" s="1" t="s">
        <v>20793</v>
      </c>
      <c r="C4153" s="1" t="s">
        <v>20794</v>
      </c>
      <c r="D4153" s="1" t="s">
        <v>20795</v>
      </c>
      <c r="E4153" s="1" t="s">
        <v>20795</v>
      </c>
      <c r="F4153" s="1" t="s">
        <v>20796</v>
      </c>
      <c r="G4153" s="1" t="s">
        <v>20797</v>
      </c>
      <c r="H4153" s="1" t="str">
        <f>IFERROR(__xludf.DUMMYFUNCTION("GOOGLETRANSLATE(D4153,""EN"",""JA"")"),"自己抗体、リウマチ因子")</f>
        <v>自己抗体、リウマチ因子</v>
      </c>
      <c r="I4153" s="1" t="str">
        <f>IFERROR(__xludf.DUMMYFUNCTION("GOOGLETRANSLATE(E4153,""EN"",""JA"")"),"自己抗体、リウマチ因子")</f>
        <v>自己抗体、リウマチ因子</v>
      </c>
      <c r="J4153" s="1" t="str">
        <f>IFERROR(__xludf.DUMMYFUNCTION("GOOGLETRANSLATE(F4153,""EN"",""JA"")"),"生物学的標本中のリウマチ因子自己抗体の測定。")</f>
        <v>生物学的標本中のリウマチ因子自己抗体の測定。</v>
      </c>
      <c r="K4153" s="1" t="str">
        <f>IFERROR(__xludf.DUMMYFUNCTION("GOOGLETRANSLATE(G4153,""EN"",""JA"")"),"リウマトイド因子自己抗体測定")</f>
        <v>リウマトイド因子自己抗体測定</v>
      </c>
    </row>
    <row r="4154" ht="13.5" customHeight="1">
      <c r="A4154" s="1" t="s">
        <v>201</v>
      </c>
      <c r="B4154" s="1" t="s">
        <v>20798</v>
      </c>
      <c r="C4154" s="1" t="s">
        <v>20799</v>
      </c>
      <c r="D4154" s="1" t="s">
        <v>20800</v>
      </c>
      <c r="E4154" s="1" t="s">
        <v>20800</v>
      </c>
      <c r="F4154" s="1" t="s">
        <v>20801</v>
      </c>
      <c r="G4154" s="1" t="s">
        <v>20802</v>
      </c>
      <c r="H4154" s="1" t="str">
        <f>IFERROR(__xludf.DUMMYFUNCTION("GOOGLETRANSLATE(D4154,""EN"",""JA"")"),"IgA自己抗体、リウマチ因子")</f>
        <v>IgA自己抗体、リウマチ因子</v>
      </c>
      <c r="I4154" s="1" t="str">
        <f>IFERROR(__xludf.DUMMYFUNCTION("GOOGLETRANSLATE(E4154,""EN"",""JA"")"),"IgA自己抗体、リウマチ因子")</f>
        <v>IgA自己抗体、リウマチ因子</v>
      </c>
      <c r="J4154" s="1" t="str">
        <f>IFERROR(__xludf.DUMMYFUNCTION("GOOGLETRANSLATE(F4154,""EN"",""JA"")"),"生物学的標本中のリウマチ因子 IgA 自己抗体の測定。")</f>
        <v>生物学的標本中のリウマチ因子 IgA 自己抗体の測定。</v>
      </c>
      <c r="K4154" s="1" t="str">
        <f>IFERROR(__xludf.DUMMYFUNCTION("GOOGLETRANSLATE(G4154,""EN"",""JA"")"),"リウマトイド因子IgA自己抗体測定")</f>
        <v>リウマトイド因子IgA自己抗体測定</v>
      </c>
    </row>
    <row r="4155" ht="13.5" customHeight="1">
      <c r="A4155" s="1" t="s">
        <v>201</v>
      </c>
      <c r="B4155" s="1" t="s">
        <v>20803</v>
      </c>
      <c r="C4155" s="1" t="s">
        <v>20804</v>
      </c>
      <c r="D4155" s="1" t="s">
        <v>20805</v>
      </c>
      <c r="E4155" s="1" t="s">
        <v>20805</v>
      </c>
      <c r="F4155" s="1" t="s">
        <v>20806</v>
      </c>
      <c r="G4155" s="1" t="s">
        <v>20807</v>
      </c>
      <c r="H4155" s="1" t="str">
        <f>IFERROR(__xludf.DUMMYFUNCTION("GOOGLETRANSLATE(D4155,""EN"",""JA"")"),"IgG自己抗体、リウマチ因子")</f>
        <v>IgG自己抗体、リウマチ因子</v>
      </c>
      <c r="I4155" s="1" t="str">
        <f>IFERROR(__xludf.DUMMYFUNCTION("GOOGLETRANSLATE(E4155,""EN"",""JA"")"),"IgG自己抗体、リウマチ因子")</f>
        <v>IgG自己抗体、リウマチ因子</v>
      </c>
      <c r="J4155" s="1" t="str">
        <f>IFERROR(__xludf.DUMMYFUNCTION("GOOGLETRANSLATE(F4155,""EN"",""JA"")"),"生物学的標本中のリウマチ因子IgG自己抗体の測定。")</f>
        <v>生物学的標本中のリウマチ因子IgG自己抗体の測定。</v>
      </c>
      <c r="K4155" s="1" t="str">
        <f>IFERROR(__xludf.DUMMYFUNCTION("GOOGLETRANSLATE(G4155,""EN"",""JA"")"),"リウマトイド因子IgG自己抗体測定")</f>
        <v>リウマトイド因子IgG自己抗体測定</v>
      </c>
    </row>
    <row r="4156" ht="13.5" customHeight="1">
      <c r="A4156" s="1" t="s">
        <v>201</v>
      </c>
      <c r="B4156" s="1" t="s">
        <v>20808</v>
      </c>
      <c r="C4156" s="1" t="s">
        <v>20809</v>
      </c>
      <c r="D4156" s="1" t="s">
        <v>20810</v>
      </c>
      <c r="E4156" s="1" t="s">
        <v>20810</v>
      </c>
      <c r="F4156" s="1" t="s">
        <v>20811</v>
      </c>
      <c r="G4156" s="1" t="s">
        <v>20812</v>
      </c>
      <c r="H4156" s="1" t="str">
        <f>IFERROR(__xludf.DUMMYFUNCTION("GOOGLETRANSLATE(D4156,""EN"",""JA"")"),"IgM自己抗体、リウマチ因子")</f>
        <v>IgM自己抗体、リウマチ因子</v>
      </c>
      <c r="I4156" s="1" t="str">
        <f>IFERROR(__xludf.DUMMYFUNCTION("GOOGLETRANSLATE(E4156,""EN"",""JA"")"),"IgM自己抗体、リウマチ因子")</f>
        <v>IgM自己抗体、リウマチ因子</v>
      </c>
      <c r="J4156" s="1" t="str">
        <f>IFERROR(__xludf.DUMMYFUNCTION("GOOGLETRANSLATE(F4156,""EN"",""JA"")"),"生物学的標本中のリウマチ因子 IgM 自己抗体の測定。")</f>
        <v>生物学的標本中のリウマチ因子 IgM 自己抗体の測定。</v>
      </c>
      <c r="K4156" s="1" t="str">
        <f>IFERROR(__xludf.DUMMYFUNCTION("GOOGLETRANSLATE(G4156,""EN"",""JA"")"),"リウマトイド因子IgM自己抗体測定")</f>
        <v>リウマトイド因子IgM自己抗体測定</v>
      </c>
    </row>
    <row r="4157" ht="13.5" customHeight="1">
      <c r="A4157" s="1" t="s">
        <v>90</v>
      </c>
      <c r="B4157" s="1" t="s">
        <v>20813</v>
      </c>
      <c r="C4157" s="1" t="s">
        <v>20814</v>
      </c>
      <c r="D4157" s="1" t="s">
        <v>20815</v>
      </c>
      <c r="E4157" s="1" t="s">
        <v>20815</v>
      </c>
      <c r="F4157" s="1" t="s">
        <v>20816</v>
      </c>
      <c r="G4157" s="1" t="s">
        <v>20815</v>
      </c>
      <c r="H4157" s="1" t="str">
        <f>IFERROR(__xludf.DUMMYFUNCTION("GOOGLETRANSLATE(D4157,""EN"",""JA"")"),"反射の大きさ")</f>
        <v>反射の大きさ</v>
      </c>
      <c r="I4157" s="1" t="str">
        <f>IFERROR(__xludf.DUMMYFUNCTION("GOOGLETRANSLATE(E4157,""EN"",""JA"")"),"反射の大きさ")</f>
        <v>反射の大きさ</v>
      </c>
      <c r="J4157" s="1" t="str">
        <f>IFERROR(__xludf.DUMMYFUNCTION("GOOGLETRANSLATE(F4157,""EN"",""JA"")"),"反射波と前方波の振幅比。（橋本J他、J Hypertens. 2008年5月;26(5):1017-24）")</f>
        <v>反射波と前方波の振幅比。（橋本J他、J Hypertens. 2008年5月;26(5):1017-24）</v>
      </c>
      <c r="K4157" s="1" t="str">
        <f>IFERROR(__xludf.DUMMYFUNCTION("GOOGLETRANSLATE(G4157,""EN"",""JA"")"),"反射の大きさ")</f>
        <v>反射の大きさ</v>
      </c>
    </row>
    <row r="4158" ht="13.5" customHeight="1">
      <c r="A4158" s="1" t="s">
        <v>90</v>
      </c>
      <c r="B4158" s="1" t="s">
        <v>20817</v>
      </c>
      <c r="C4158" s="1" t="s">
        <v>20818</v>
      </c>
      <c r="D4158" s="1" t="s">
        <v>20819</v>
      </c>
      <c r="E4158" s="1" t="s">
        <v>20819</v>
      </c>
      <c r="F4158" s="1" t="s">
        <v>20820</v>
      </c>
      <c r="G4158" s="1" t="s">
        <v>20819</v>
      </c>
      <c r="H4158" s="1" t="str">
        <f>IFERROR(__xludf.DUMMYFUNCTION("GOOGLETRANSLATE(D4158,""EN"",""JA"")"),"反射波の振幅")</f>
        <v>反射波の振幅</v>
      </c>
      <c r="I4158" s="1" t="str">
        <f>IFERROR(__xludf.DUMMYFUNCTION("GOOGLETRANSLATE(E4158,""EN"",""JA"")"),"反射波の振幅")</f>
        <v>反射波の振幅</v>
      </c>
      <c r="J4158" s="1" t="str">
        <f>IFERROR(__xludf.DUMMYFUNCTION("GOOGLETRANSLATE(F4158,""EN"",""JA"")"),"中心弾性動脈がより多くの筋肉動脈と合流するインピーダンス不整合部位で反射される多数の波の合計。")</f>
        <v>中心弾性動脈がより多くの筋肉動脈と合流するインピーダンス不整合部位で反射される多数の波の合計。</v>
      </c>
      <c r="K4158" s="1" t="str">
        <f>IFERROR(__xludf.DUMMYFUNCTION("GOOGLETRANSLATE(G4158,""EN"",""JA"")"),"反射波の振幅")</f>
        <v>反射波の振幅</v>
      </c>
    </row>
    <row r="4159" ht="13.5" customHeight="1">
      <c r="A4159" s="1" t="s">
        <v>11</v>
      </c>
      <c r="B4159" s="1" t="s">
        <v>20821</v>
      </c>
      <c r="C4159" s="1" t="s">
        <v>20822</v>
      </c>
      <c r="D4159" s="1" t="s">
        <v>20823</v>
      </c>
      <c r="E4159" s="1" t="s">
        <v>20823</v>
      </c>
      <c r="F4159" s="1" t="s">
        <v>20824</v>
      </c>
      <c r="G4159" s="1" t="s">
        <v>20825</v>
      </c>
      <c r="H4159" s="1" t="str">
        <f>IFERROR(__xludf.DUMMYFUNCTION("GOOGLETRANSLATE(D4159,""EN"",""JA"")"),"Rh因子")</f>
        <v>Rh因子</v>
      </c>
      <c r="I4159" s="1" t="str">
        <f>IFERROR(__xludf.DUMMYFUNCTION("GOOGLETRANSLATE(E4159,""EN"",""JA"")"),"Rh因子")</f>
        <v>Rh因子</v>
      </c>
      <c r="J4159" s="1" t="str">
        <f>IFERROR(__xludf.DUMMYFUNCTION("GOOGLETRANSLATE(F4159,""EN"",""JA"")"),"生物学的標本中の非特定Rh因子抗原の測定。")</f>
        <v>生物学的標本中の非特定Rh因子抗原の測定。</v>
      </c>
      <c r="K4159" s="1" t="str">
        <f>IFERROR(__xludf.DUMMYFUNCTION("GOOGLETRANSLATE(G4159,""EN"",""JA"")"),"Rh因子測定")</f>
        <v>Rh因子測定</v>
      </c>
    </row>
    <row r="4160" ht="13.5" customHeight="1">
      <c r="A4160" s="1" t="s">
        <v>11</v>
      </c>
      <c r="B4160" s="1" t="s">
        <v>20826</v>
      </c>
      <c r="C4160" s="1" t="s">
        <v>20827</v>
      </c>
      <c r="D4160" s="1" t="s">
        <v>20828</v>
      </c>
      <c r="E4160" s="1" t="s">
        <v>20828</v>
      </c>
      <c r="F4160" s="1" t="s">
        <v>20829</v>
      </c>
      <c r="G4160" s="1" t="s">
        <v>20830</v>
      </c>
      <c r="H4160" s="1" t="str">
        <f>IFERROR(__xludf.DUMMYFUNCTION("GOOGLETRANSLATE(D4160,""EN"",""JA"")"),"RhD因子")</f>
        <v>RhD因子</v>
      </c>
      <c r="I4160" s="1" t="str">
        <f>IFERROR(__xludf.DUMMYFUNCTION("GOOGLETRANSLATE(E4160,""EN"",""JA"")"),"RhD因子")</f>
        <v>RhD因子</v>
      </c>
      <c r="J4160" s="1" t="str">
        <f>IFERROR(__xludf.DUMMYFUNCTION("GOOGLETRANSLATE(F4160,""EN"",""JA"")"),"生物学的標本中の Rh 因子 D 抗原の測定。")</f>
        <v>生物学的標本中の Rh 因子 D 抗原の測定。</v>
      </c>
      <c r="K4160" s="1" t="str">
        <f>IFERROR(__xludf.DUMMYFUNCTION("GOOGLETRANSLATE(G4160,""EN"",""JA"")"),"RhD係数測定")</f>
        <v>RhD係数測定</v>
      </c>
    </row>
    <row r="4161" ht="13.5" customHeight="1">
      <c r="A4161" s="1" t="s">
        <v>1168</v>
      </c>
      <c r="B4161" s="1" t="s">
        <v>20831</v>
      </c>
      <c r="C4161" s="1" t="s">
        <v>20832</v>
      </c>
      <c r="D4161" s="1" t="s">
        <v>20833</v>
      </c>
      <c r="E4161" s="1" t="s">
        <v>20833</v>
      </c>
      <c r="F4161" s="1" t="s">
        <v>20834</v>
      </c>
      <c r="G4161" s="1" t="s">
        <v>20835</v>
      </c>
      <c r="H4161" s="1" t="str">
        <f>IFERROR(__xludf.DUMMYFUNCTION("GOOGLETRANSLATE(D4161,""EN"",""JA"")"),"リズム 特に指定なし")</f>
        <v>リズム 特に指定なし</v>
      </c>
      <c r="I4161" s="1" t="str">
        <f>IFERROR(__xludf.DUMMYFUNCTION("GOOGLETRANSLATE(E4161,""EN"",""JA"")"),"リズム 特に指定なし")</f>
        <v>リズム 特に指定なし</v>
      </c>
      <c r="J4161" s="1" t="str">
        <f>IFERROR(__xludf.DUMMYFUNCTION("GOOGLETRANSLATE(F4161,""EN"",""JA"")"),"他に指定されていない心臓リズムの心電図評価。")</f>
        <v>他に指定されていない心臓リズムの心電図評価。</v>
      </c>
      <c r="K4161" s="1" t="str">
        <f>IFERROR(__xludf.DUMMYFUNCTION("GOOGLETRANSLATE(G4161,""EN"",""JA"")"),"リズム（特に指定なし）心電図評価")</f>
        <v>リズム（特に指定なし）心電図評価</v>
      </c>
    </row>
    <row r="4162" ht="13.5" customHeight="1">
      <c r="A4162" s="1" t="s">
        <v>1168</v>
      </c>
      <c r="B4162" s="1" t="s">
        <v>20831</v>
      </c>
      <c r="C4162" s="1" t="s">
        <v>20832</v>
      </c>
      <c r="D4162" s="1" t="s">
        <v>20833</v>
      </c>
      <c r="E4162" s="1" t="s">
        <v>20833</v>
      </c>
      <c r="F4162" s="1" t="s">
        <v>20834</v>
      </c>
      <c r="G4162" s="1" t="s">
        <v>20835</v>
      </c>
      <c r="H4162" s="1" t="str">
        <f>IFERROR(__xludf.DUMMYFUNCTION("GOOGLETRANSLATE(D4162,""EN"",""JA"")"),"リズム 特に指定なし")</f>
        <v>リズム 特に指定なし</v>
      </c>
      <c r="I4162" s="1" t="str">
        <f>IFERROR(__xludf.DUMMYFUNCTION("GOOGLETRANSLATE(E4162,""EN"",""JA"")"),"リズム 特に指定なし")</f>
        <v>リズム 特に指定なし</v>
      </c>
      <c r="J4162" s="1" t="str">
        <f>IFERROR(__xludf.DUMMYFUNCTION("GOOGLETRANSLATE(F4162,""EN"",""JA"")"),"他に指定されていない心臓リズムの心電図評価。")</f>
        <v>他に指定されていない心臓リズムの心電図評価。</v>
      </c>
      <c r="K4162" s="1" t="str">
        <f>IFERROR(__xludf.DUMMYFUNCTION("GOOGLETRANSLATE(G4162,""EN"",""JA"")"),"リズム（特に指定なし）心電図評価")</f>
        <v>リズム（特に指定なし）心電図評価</v>
      </c>
    </row>
    <row r="4163" ht="13.5" customHeight="1">
      <c r="A4163" s="1" t="s">
        <v>1168</v>
      </c>
      <c r="B4163" s="1" t="s">
        <v>20831</v>
      </c>
      <c r="C4163" s="1" t="s">
        <v>20832</v>
      </c>
      <c r="D4163" s="1" t="s">
        <v>20833</v>
      </c>
      <c r="E4163" s="1" t="s">
        <v>20833</v>
      </c>
      <c r="F4163" s="1" t="s">
        <v>20834</v>
      </c>
      <c r="G4163" s="1" t="s">
        <v>20835</v>
      </c>
      <c r="H4163" s="1" t="str">
        <f>IFERROR(__xludf.DUMMYFUNCTION("GOOGLETRANSLATE(D4163,""EN"",""JA"")"),"リズム 特に指定なし")</f>
        <v>リズム 特に指定なし</v>
      </c>
      <c r="I4163" s="1" t="str">
        <f>IFERROR(__xludf.DUMMYFUNCTION("GOOGLETRANSLATE(E4163,""EN"",""JA"")"),"リズム 特に指定なし")</f>
        <v>リズム 特に指定なし</v>
      </c>
      <c r="J4163" s="1" t="str">
        <f>IFERROR(__xludf.DUMMYFUNCTION("GOOGLETRANSLATE(F4163,""EN"",""JA"")"),"他に指定されていない心臓リズムの心電図評価。")</f>
        <v>他に指定されていない心臓リズムの心電図評価。</v>
      </c>
      <c r="K4163" s="1" t="str">
        <f>IFERROR(__xludf.DUMMYFUNCTION("GOOGLETRANSLATE(G4163,""EN"",""JA"")"),"リズム（特に指定なし）心電図評価")</f>
        <v>リズム（特に指定なし）心電図評価</v>
      </c>
    </row>
    <row r="4164" ht="13.5" customHeight="1">
      <c r="A4164" s="1" t="s">
        <v>1168</v>
      </c>
      <c r="B4164" s="1" t="s">
        <v>20831</v>
      </c>
      <c r="C4164" s="1" t="s">
        <v>20832</v>
      </c>
      <c r="D4164" s="1" t="s">
        <v>20833</v>
      </c>
      <c r="E4164" s="1" t="s">
        <v>20833</v>
      </c>
      <c r="F4164" s="1" t="s">
        <v>20834</v>
      </c>
      <c r="G4164" s="1" t="s">
        <v>20835</v>
      </c>
      <c r="H4164" s="1" t="str">
        <f>IFERROR(__xludf.DUMMYFUNCTION("GOOGLETRANSLATE(D4164,""EN"",""JA"")"),"リズム 特に指定なし")</f>
        <v>リズム 特に指定なし</v>
      </c>
      <c r="I4164" s="1" t="str">
        <f>IFERROR(__xludf.DUMMYFUNCTION("GOOGLETRANSLATE(E4164,""EN"",""JA"")"),"リズム 特に指定なし")</f>
        <v>リズム 特に指定なし</v>
      </c>
      <c r="J4164" s="1" t="str">
        <f>IFERROR(__xludf.DUMMYFUNCTION("GOOGLETRANSLATE(F4164,""EN"",""JA"")"),"他に指定されていない心臓リズムの心電図評価。")</f>
        <v>他に指定されていない心臓リズムの心電図評価。</v>
      </c>
      <c r="K4164" s="1" t="str">
        <f>IFERROR(__xludf.DUMMYFUNCTION("GOOGLETRANSLATE(G4164,""EN"",""JA"")"),"リズム（特に指定なし）心電図評価")</f>
        <v>リズム（特に指定なし）心電図評価</v>
      </c>
    </row>
    <row r="4165" ht="13.5" customHeight="1">
      <c r="A4165" s="1" t="s">
        <v>67</v>
      </c>
      <c r="B4165" s="1" t="s">
        <v>20836</v>
      </c>
      <c r="C4165" s="1" t="s">
        <v>20837</v>
      </c>
      <c r="D4165" s="1" t="s">
        <v>20838</v>
      </c>
      <c r="E4165" s="1" t="s">
        <v>20838</v>
      </c>
      <c r="F4165" s="1" t="s">
        <v>20839</v>
      </c>
      <c r="G4165" s="1" t="s">
        <v>20840</v>
      </c>
      <c r="H4165" s="1" t="str">
        <f>IFERROR(__xludf.DUMMYFUNCTION("GOOGLETRANSLATE(D4165,""EN"",""JA"")"),"リケッチアDNA")</f>
        <v>リケッチアDNA</v>
      </c>
      <c r="I4165" s="1" t="str">
        <f>IFERROR(__xludf.DUMMYFUNCTION("GOOGLETRANSLATE(E4165,""EN"",""JA"")"),"リケッチアDNA")</f>
        <v>リケッチアDNA</v>
      </c>
      <c r="J4165" s="1" t="str">
        <f>IFERROR(__xludf.DUMMYFUNCTION("GOOGLETRANSLATE(F4165,""EN"",""JA"")"),"生物標本中のリケッチア属の任意のメンバーの DNA の測定。")</f>
        <v>生物標本中のリケッチア属の任意のメンバーの DNA の測定。</v>
      </c>
      <c r="K4165" s="1" t="str">
        <f>IFERROR(__xludf.DUMMYFUNCTION("GOOGLETRANSLATE(G4165,""EN"",""JA"")"),"リケッチアDNA測定")</f>
        <v>リケッチアDNA測定</v>
      </c>
    </row>
    <row r="4166" ht="13.5" customHeight="1">
      <c r="A4166" s="1" t="s">
        <v>601</v>
      </c>
      <c r="B4166" s="1" t="s">
        <v>20841</v>
      </c>
      <c r="C4166" s="1" t="s">
        <v>20842</v>
      </c>
      <c r="D4166" s="1" t="s">
        <v>20843</v>
      </c>
      <c r="E4166" s="1" t="s">
        <v>20843</v>
      </c>
      <c r="F4166" s="1" t="s">
        <v>20844</v>
      </c>
      <c r="G4166" s="1" t="s">
        <v>20843</v>
      </c>
      <c r="H4166" s="1" t="str">
        <f>IFERROR(__xludf.DUMMYFUNCTION("GOOGLETRANSLATE(D4166,""EN"",""JA"")"),"高リスク人口の一員")</f>
        <v>高リスク人口の一員</v>
      </c>
      <c r="I4166" s="1" t="str">
        <f>IFERROR(__xludf.DUMMYFUNCTION("GOOGLETRANSLATE(E4166,""EN"",""JA"")"),"高リスク人口の一員")</f>
        <v>高リスク人口の一員</v>
      </c>
      <c r="J4166" s="1" t="str">
        <f>IFERROR(__xludf.DUMMYFUNCTION("GOOGLETRANSLATE(F4166,""EN"",""JA"")"),"対象者が、病気や障害を発症する可能性が高い集団に属していることを示す兆候。")</f>
        <v>対象者が、病気や障害を発症する可能性が高い集団に属していることを示す兆候。</v>
      </c>
      <c r="K4166" s="1" t="str">
        <f>IFERROR(__xludf.DUMMYFUNCTION("GOOGLETRANSLATE(G4166,""EN"",""JA"")"),"高リスク人口の一員")</f>
        <v>高リスク人口の一員</v>
      </c>
    </row>
    <row r="4167" ht="13.5" customHeight="1">
      <c r="A4167" s="1" t="s">
        <v>601</v>
      </c>
      <c r="B4167" s="1" t="s">
        <v>20845</v>
      </c>
      <c r="C4167" s="1" t="s">
        <v>20846</v>
      </c>
      <c r="D4167" s="1" t="s">
        <v>20847</v>
      </c>
      <c r="E4167" s="1" t="s">
        <v>20847</v>
      </c>
      <c r="F4167" s="1" t="s">
        <v>20848</v>
      </c>
      <c r="G4167" s="1" t="s">
        <v>20847</v>
      </c>
      <c r="H4167" s="1" t="str">
        <f>IFERROR(__xludf.DUMMYFUNCTION("GOOGLETRANSLATE(D4167,""EN"",""JA"")"),"社会的リスク要因")</f>
        <v>社会的リスク要因</v>
      </c>
      <c r="I4167" s="1" t="str">
        <f>IFERROR(__xludf.DUMMYFUNCTION("GOOGLETRANSLATE(E4167,""EN"",""JA"")"),"社会的リスク要因")</f>
        <v>社会的リスク要因</v>
      </c>
      <c r="J4167" s="1" t="str">
        <f>IFERROR(__xludf.DUMMYFUNCTION("GOOGLETRANSLATE(F4167,""EN"",""JA"")"),"感染や病気の可能性を高めることが知られている、対象者の個人的な行動、ライフスタイル、環境などの社会的要因。")</f>
        <v>感染や病気の可能性を高めることが知られている、対象者の個人的な行動、ライフスタイル、環境などの社会的要因。</v>
      </c>
      <c r="K4167" s="1" t="str">
        <f>IFERROR(__xludf.DUMMYFUNCTION("GOOGLETRANSLATE(G4167,""EN"",""JA"")"),"社会的リスク要因")</f>
        <v>社会的リスク要因</v>
      </c>
    </row>
    <row r="4168" ht="13.5" customHeight="1">
      <c r="A4168" s="1" t="s">
        <v>11</v>
      </c>
      <c r="B4168" s="1" t="s">
        <v>20849</v>
      </c>
      <c r="C4168" s="1" t="s">
        <v>20850</v>
      </c>
      <c r="D4168" s="1" t="s">
        <v>20851</v>
      </c>
      <c r="E4168" s="1" t="s">
        <v>20851</v>
      </c>
      <c r="F4168" s="1" t="s">
        <v>20852</v>
      </c>
      <c r="G4168" s="1" t="s">
        <v>20853</v>
      </c>
      <c r="H4168" s="1" t="str">
        <f>IFERROR(__xludf.DUMMYFUNCTION("GOOGLETRANSLATE(D4168,""EN"",""JA"")"),"リタリン酸")</f>
        <v>リタリン酸</v>
      </c>
      <c r="I4168" s="1" t="str">
        <f>IFERROR(__xludf.DUMMYFUNCTION("GOOGLETRANSLATE(E4168,""EN"",""JA"")"),"リタリン酸")</f>
        <v>リタリン酸</v>
      </c>
      <c r="J4168" s="1" t="str">
        <f>IFERROR(__xludf.DUMMYFUNCTION("GOOGLETRANSLATE(F4168,""EN"",""JA"")"),"生物標本中のリタリン酸の測定。")</f>
        <v>生物標本中のリタリン酸の測定。</v>
      </c>
      <c r="K4168" s="1" t="str">
        <f>IFERROR(__xludf.DUMMYFUNCTION("GOOGLETRANSLATE(G4168,""EN"",""JA"")"),"リタリン酸測定")</f>
        <v>リタリン酸測定</v>
      </c>
    </row>
    <row r="4169" ht="13.5" customHeight="1">
      <c r="A4169" s="1" t="s">
        <v>11</v>
      </c>
      <c r="B4169" s="1" t="s">
        <v>20854</v>
      </c>
      <c r="C4169" s="1" t="s">
        <v>20855</v>
      </c>
      <c r="D4169" s="1" t="s">
        <v>20856</v>
      </c>
      <c r="E4169" s="1" t="s">
        <v>20856</v>
      </c>
      <c r="F4169" s="1" t="s">
        <v>20857</v>
      </c>
      <c r="G4169" s="1" t="s">
        <v>20858</v>
      </c>
      <c r="H4169" s="1" t="str">
        <f>IFERROR(__xludf.DUMMYFUNCTION("GOOGLETRANSLATE(D4169,""EN"",""JA"")"),"RLPコレステロール")</f>
        <v>RLPコレステロール</v>
      </c>
      <c r="I4169" s="1" t="str">
        <f>IFERROR(__xludf.DUMMYFUNCTION("GOOGLETRANSLATE(E4169,""EN"",""JA"")"),"RLPコレステロール")</f>
        <v>RLPコレステロール</v>
      </c>
      <c r="J4169" s="1" t="str">
        <f>IFERROR(__xludf.DUMMYFUNCTION("GOOGLETRANSLATE(F4169,""EN"",""JA"")"),"生物標本中のコレステロール残留物のような粒子の測定。")</f>
        <v>生物標本中のコレステロール残留物のような粒子の測定。</v>
      </c>
      <c r="K4169" s="1" t="str">
        <f>IFERROR(__xludf.DUMMYFUNCTION("GOOGLETRANSLATE(G4169,""EN"",""JA"")"),"残渣様粒子コレステロール測定")</f>
        <v>残渣様粒子コレステロール測定</v>
      </c>
    </row>
    <row r="4170" ht="13.5" customHeight="1">
      <c r="A4170" s="1" t="s">
        <v>397</v>
      </c>
      <c r="B4170" s="1" t="s">
        <v>20859</v>
      </c>
      <c r="C4170" s="1" t="s">
        <v>20860</v>
      </c>
      <c r="D4170" s="1" t="s">
        <v>20861</v>
      </c>
      <c r="E4170" s="1" t="s">
        <v>20861</v>
      </c>
      <c r="F4170" s="1" t="s">
        <v>20862</v>
      </c>
      <c r="G4170" s="1" t="s">
        <v>20861</v>
      </c>
      <c r="H4170" s="1" t="str">
        <f>IFERROR(__xludf.DUMMYFUNCTION("GOOGLETRANSLATE(D4170,""EN"",""JA"")"),"再発基準")</f>
        <v>再発基準</v>
      </c>
      <c r="I4170" s="1" t="str">
        <f>IFERROR(__xludf.DUMMYFUNCTION("GOOGLETRANSLATE(E4170,""EN"",""JA"")"),"再発基準")</f>
        <v>再発基準</v>
      </c>
      <c r="J4170" s="1" t="str">
        <f>IFERROR(__xludf.DUMMYFUNCTION("GOOGLETRANSLATE(F4170,""EN"",""JA"")"),"病気の再発に関する判断をするための基準。")</f>
        <v>病気の再発に関する判断をするための基準。</v>
      </c>
      <c r="K4170" s="1" t="str">
        <f>IFERROR(__xludf.DUMMYFUNCTION("GOOGLETRANSLATE(G4170,""EN"",""JA"")"),"再発基準")</f>
        <v>再発基準</v>
      </c>
    </row>
    <row r="4171" ht="13.5" customHeight="1">
      <c r="A4171" s="1" t="s">
        <v>11</v>
      </c>
      <c r="B4171" s="1" t="s">
        <v>20863</v>
      </c>
      <c r="C4171" s="1" t="s">
        <v>20864</v>
      </c>
      <c r="D4171" s="1" t="s">
        <v>20865</v>
      </c>
      <c r="E4171" s="1" t="s">
        <v>20865</v>
      </c>
      <c r="F4171" s="1" t="s">
        <v>20866</v>
      </c>
      <c r="G4171" s="1" t="s">
        <v>20867</v>
      </c>
      <c r="H4171" s="1" t="str">
        <f>IFERROR(__xludf.DUMMYFUNCTION("GOOGLETRANSLATE(D4171,""EN"",""JA"")"),"残留リポタンパク質")</f>
        <v>残留リポタンパク質</v>
      </c>
      <c r="I4171" s="1" t="str">
        <f>IFERROR(__xludf.DUMMYFUNCTION("GOOGLETRANSLATE(E4171,""EN"",""JA"")"),"残留リポタンパク質")</f>
        <v>残留リポタンパク質</v>
      </c>
      <c r="J4171" s="1" t="str">
        <f>IFERROR(__xludf.DUMMYFUNCTION("GOOGLETRANSLATE(F4171,""EN"",""JA"")"),"生物標本中の残留リポタンパク質の測定。")</f>
        <v>生物標本中の残留リポタンパク質の測定。</v>
      </c>
      <c r="K4171" s="1" t="str">
        <f>IFERROR(__xludf.DUMMYFUNCTION("GOOGLETRANSLATE(G4171,""EN"",""JA"")"),"残留リポタンパク質測定")</f>
        <v>残留リポタンパク質測定</v>
      </c>
    </row>
    <row r="4172" ht="13.5" customHeight="1">
      <c r="A4172" s="1" t="s">
        <v>11</v>
      </c>
      <c r="B4172" s="1" t="s">
        <v>20868</v>
      </c>
      <c r="C4172" s="1" t="s">
        <v>20869</v>
      </c>
      <c r="D4172" s="1" t="s">
        <v>20870</v>
      </c>
      <c r="E4172" s="1" t="s">
        <v>20870</v>
      </c>
      <c r="F4172" s="1" t="s">
        <v>20871</v>
      </c>
      <c r="G4172" s="1" t="s">
        <v>20872</v>
      </c>
      <c r="H4172" s="1" t="str">
        <f>IFERROR(__xludf.DUMMYFUNCTION("GOOGLETRANSLATE(D4172,""EN"",""JA"")"),"リボ核酸")</f>
        <v>リボ核酸</v>
      </c>
      <c r="I4172" s="1" t="str">
        <f>IFERROR(__xludf.DUMMYFUNCTION("GOOGLETRANSLATE(E4172,""EN"",""JA"")"),"リボ核酸")</f>
        <v>リボ核酸</v>
      </c>
      <c r="J4172" s="1" t="str">
        <f>IFERROR(__xludf.DUMMYFUNCTION("GOOGLETRANSLATE(F4172,""EN"",""JA"")"),"生物学的標本内の標的リボ核酸 (RNA) の測定。")</f>
        <v>生物学的標本内の標的リボ核酸 (RNA) の測定。</v>
      </c>
      <c r="K4172" s="1" t="str">
        <f>IFERROR(__xludf.DUMMYFUNCTION("GOOGLETRANSLATE(G4172,""EN"",""JA"")"),"リボ核酸測定")</f>
        <v>リボ核酸測定</v>
      </c>
    </row>
    <row r="4173" ht="13.5" customHeight="1">
      <c r="A4173" s="1" t="s">
        <v>870</v>
      </c>
      <c r="B4173" s="1" t="s">
        <v>20873</v>
      </c>
      <c r="C4173" s="1" t="s">
        <v>20874</v>
      </c>
      <c r="D4173" s="1" t="s">
        <v>20875</v>
      </c>
      <c r="E4173" s="1" t="s">
        <v>20875</v>
      </c>
      <c r="F4173" s="1" t="s">
        <v>20876</v>
      </c>
      <c r="G4173" s="1" t="s">
        <v>20877</v>
      </c>
      <c r="H4173" s="1" t="str">
        <f>IFERROR(__xludf.DUMMYFUNCTION("GOOGLETRANSLATE(D4173,""EN"",""JA"")"),"T1からT2までの腎臓CL")</f>
        <v>T1からT2までの腎臓CL</v>
      </c>
      <c r="I4173" s="1" t="str">
        <f>IFERROR(__xludf.DUMMYFUNCTION("GOOGLETRANSLATE(E4173,""EN"",""JA"")"),"T1からT2までの腎臓CL")</f>
        <v>T1からT2までの腎臓CL</v>
      </c>
      <c r="J4173" s="1" t="str">
        <f>IFERROR(__xludf.DUMMYFUNCTION("GOOGLETRANSLATE(F4173,""EN"",""JA"")"),"T1 から T2 までの間に腎臓によって血液から物質が除去されること。")</f>
        <v>T1 から T2 までの間に腎臓によって血液から物質が除去されること。</v>
      </c>
      <c r="K4173" s="1" t="str">
        <f>IFERROR(__xludf.DUMMYFUNCTION("GOOGLETRANSLATE(G4173,""EN"",""JA"")"),"T1からT2までの腎クリアランス")</f>
        <v>T1からT2までの腎クリアランス</v>
      </c>
    </row>
    <row r="4174" ht="13.5" customHeight="1">
      <c r="A4174" s="1" t="s">
        <v>870</v>
      </c>
      <c r="B4174" s="1" t="s">
        <v>20878</v>
      </c>
      <c r="C4174" s="1" t="s">
        <v>20879</v>
      </c>
      <c r="D4174" s="1" t="s">
        <v>20880</v>
      </c>
      <c r="E4174" s="1" t="s">
        <v>20880</v>
      </c>
      <c r="F4174" s="1" t="s">
        <v>20881</v>
      </c>
      <c r="G4174" s="1" t="s">
        <v>20882</v>
      </c>
      <c r="H4174" s="1" t="str">
        <f>IFERROR(__xludf.DUMMYFUNCTION("GOOGLETRANSLATE(D4174,""EN"",""JA"")"),"BMIによるT1からT2までの腎臓CL正常値")</f>
        <v>BMIによるT1からT2までの腎臓CL正常値</v>
      </c>
      <c r="I4174" s="1" t="str">
        <f>IFERROR(__xludf.DUMMYFUNCTION("GOOGLETRANSLATE(E4174,""EN"",""JA"")"),"BMIによるT1からT2までの腎臓CL正常値")</f>
        <v>BMIによるT1からT2までの腎臓CL正常値</v>
      </c>
      <c r="J4174" s="1" t="str">
        <f>IFERROR(__xludf.DUMMYFUNCTION("GOOGLETRANSLATE(F4174,""EN"",""JA"")"),"T1 から T2 までの間隔で腎臓によって血液から物質が除去される量をボディマス指数で割ったもの。")</f>
        <v>T1 から T2 までの間隔で腎臓によって血液から物質が除去される量をボディマス指数で割ったもの。</v>
      </c>
      <c r="K4174" s="1" t="str">
        <f>IFERROR(__xludf.DUMMYFUNCTION("GOOGLETRANSLATE(G4174,""EN"",""JA"")"),"体格指数（BMI）で標準化したT1からT2までの腎クリアランス")</f>
        <v>体格指数（BMI）で標準化したT1からT2までの腎クリアランス</v>
      </c>
    </row>
    <row r="4175" ht="13.5" customHeight="1">
      <c r="A4175" s="1" t="s">
        <v>870</v>
      </c>
      <c r="B4175" s="1" t="s">
        <v>20883</v>
      </c>
      <c r="C4175" s="1" t="s">
        <v>20884</v>
      </c>
      <c r="D4175" s="1" t="s">
        <v>20885</v>
      </c>
      <c r="E4175" s="1" t="s">
        <v>20885</v>
      </c>
      <c r="F4175" s="1" t="s">
        <v>20886</v>
      </c>
      <c r="G4175" s="1" t="s">
        <v>20887</v>
      </c>
      <c r="H4175" s="1" t="str">
        <f>IFERROR(__xludf.DUMMYFUNCTION("GOOGLETRANSLATE(D4175,""EN"",""JA"")"),"用量によるT1からT2までの腎臓CL正常値")</f>
        <v>用量によるT1からT2までの腎臓CL正常値</v>
      </c>
      <c r="I4175" s="1" t="str">
        <f>IFERROR(__xludf.DUMMYFUNCTION("GOOGLETRANSLATE(E4175,""EN"",""JA"")"),"用量によるT1からT2までの腎臓CL正常値")</f>
        <v>用量によるT1からT2までの腎臓CL正常値</v>
      </c>
      <c r="J4175" s="1" t="str">
        <f>IFERROR(__xludf.DUMMYFUNCTION("GOOGLETRANSLATE(F4175,""EN"",""JA"")"),"T1 から T2 までの間隔で腎臓によって血液から除去される物質の量を投与量で割ったもの。")</f>
        <v>T1 から T2 までの間隔で腎臓によって血液から除去される物質の量を投与量で割ったもの。</v>
      </c>
      <c r="K4175" s="1" t="str">
        <f>IFERROR(__xludf.DUMMYFUNCTION("GOOGLETRANSLATE(G4175,""EN"",""JA"")"),"用量別に標準化したT1からT2までの腎クリアランス")</f>
        <v>用量別に標準化したT1からT2までの腎クリアランス</v>
      </c>
    </row>
    <row r="4176" ht="13.5" customHeight="1">
      <c r="A4176" s="1" t="s">
        <v>870</v>
      </c>
      <c r="B4176" s="1" t="s">
        <v>20888</v>
      </c>
      <c r="C4176" s="1" t="s">
        <v>20889</v>
      </c>
      <c r="D4176" s="1" t="s">
        <v>20890</v>
      </c>
      <c r="E4176" s="1" t="s">
        <v>20890</v>
      </c>
      <c r="F4176" s="1" t="s">
        <v>20891</v>
      </c>
      <c r="G4176" s="1" t="s">
        <v>20892</v>
      </c>
      <c r="H4176" s="1" t="str">
        <f>IFERROR(__xludf.DUMMYFUNCTION("GOOGLETRANSLATE(D4176,""EN"",""JA"")"),"SAによるT1からT2までの腎臓CL正常")</f>
        <v>SAによるT1からT2までの腎臓CL正常</v>
      </c>
      <c r="I4176" s="1" t="str">
        <f>IFERROR(__xludf.DUMMYFUNCTION("GOOGLETRANSLATE(E4176,""EN"",""JA"")"),"SAによるT1からT2までの腎臓CL正常")</f>
        <v>SAによるT1からT2までの腎臓CL正常</v>
      </c>
      <c r="J4176" s="1" t="str">
        <f>IFERROR(__xludf.DUMMYFUNCTION("GOOGLETRANSLATE(F4176,""EN"",""JA"")"),"T1 から T2 までの間隔で腎臓によって血液から除去される物質を表面積で割ったもの。")</f>
        <v>T1 から T2 までの間隔で腎臓によって血液から除去される物質を表面積で割ったもの。</v>
      </c>
      <c r="K4176" s="1" t="str">
        <f>IFERROR(__xludf.DUMMYFUNCTION("GOOGLETRANSLATE(G4176,""EN"",""JA"")"),"T1からT2までの腎クリアランス（表面積で正規化）")</f>
        <v>T1からT2までの腎クリアランス（表面積で正規化）</v>
      </c>
    </row>
    <row r="4177" ht="13.5" customHeight="1">
      <c r="A4177" s="1" t="s">
        <v>870</v>
      </c>
      <c r="B4177" s="1" t="s">
        <v>20893</v>
      </c>
      <c r="C4177" s="1" t="s">
        <v>20894</v>
      </c>
      <c r="D4177" s="1" t="s">
        <v>20895</v>
      </c>
      <c r="E4177" s="1" t="s">
        <v>20895</v>
      </c>
      <c r="F4177" s="1" t="s">
        <v>20896</v>
      </c>
      <c r="G4177" s="1" t="s">
        <v>20897</v>
      </c>
      <c r="H4177" s="1" t="str">
        <f>IFERROR(__xludf.DUMMYFUNCTION("GOOGLETRANSLATE(D4177,""EN"",""JA"")"),"WTによるT1からT2までの腎臓CL正常値")</f>
        <v>WTによるT1からT2までの腎臓CL正常値</v>
      </c>
      <c r="I4177" s="1" t="str">
        <f>IFERROR(__xludf.DUMMYFUNCTION("GOOGLETRANSLATE(E4177,""EN"",""JA"")"),"WTによるT1からT2までの腎臓CL正常値")</f>
        <v>WTによるT1からT2までの腎臓CL正常値</v>
      </c>
      <c r="J4177" s="1" t="str">
        <f>IFERROR(__xludf.DUMMYFUNCTION("GOOGLETRANSLATE(F4177,""EN"",""JA"")"),"T1からT2までの間隔で腎臓によって血液から除去される物質の量を重量で割ったもの。")</f>
        <v>T1からT2までの間隔で腎臓によって血液から除去される物質の量を重量で割ったもの。</v>
      </c>
      <c r="K4177" s="1" t="str">
        <f>IFERROR(__xludf.DUMMYFUNCTION("GOOGLETRANSLATE(G4177,""EN"",""JA"")"),"体重で標準化したT1からT2までの腎クリアランス")</f>
        <v>体重で標準化したT1からT2までの腎クリアランス</v>
      </c>
    </row>
    <row r="4178" ht="13.5" customHeight="1">
      <c r="A4178" s="1" t="s">
        <v>870</v>
      </c>
      <c r="B4178" s="1" t="s">
        <v>20898</v>
      </c>
      <c r="C4178" s="1" t="s">
        <v>20899</v>
      </c>
      <c r="D4178" s="1" t="s">
        <v>20900</v>
      </c>
      <c r="E4178" s="1" t="s">
        <v>20900</v>
      </c>
      <c r="F4178" s="1" t="s">
        <v>20901</v>
      </c>
      <c r="G4178" s="1" t="s">
        <v>20902</v>
      </c>
      <c r="H4178" s="1" t="str">
        <f>IFERROR(__xludf.DUMMYFUNCTION("GOOGLETRANSLATE(D4178,""EN"",""JA"")"),"BMIによる投与量内標準値に対する腎臓CL")</f>
        <v>BMIによる投与量内標準値に対する腎臓CL</v>
      </c>
      <c r="I4178" s="1" t="str">
        <f>IFERROR(__xludf.DUMMYFUNCTION("GOOGLETRANSLATE(E4178,""EN"",""JA"")"),"BMIによる投与量内標準値に対する腎臓CL")</f>
        <v>BMIによる投与量内標準値に対する腎臓CL</v>
      </c>
      <c r="J4178" s="1" t="str">
        <f>IFERROR(__xludf.DUMMYFUNCTION("GOOGLETRANSLATE(F4178,""EN"",""JA"")"),"AUCTAU を使用して計算された腎臓による血液からの物質の除去率をボディマス指数で割ったもの。")</f>
        <v>AUCTAU を使用して計算された腎臓による血液からの物質の除去率をボディマス指数で割ったもの。</v>
      </c>
      <c r="K4178" s="1" t="str">
        <f>IFERROR(__xludf.DUMMYFUNCTION("GOOGLETRANSLATE(G4178,""EN"",""JA"")"),"ボディマス指数で標準化した投与間隔における腎クリアランス")</f>
        <v>ボディマス指数で標準化した投与間隔における腎クリアランス</v>
      </c>
    </row>
    <row r="4179" ht="13.5" customHeight="1">
      <c r="A4179" s="1" t="s">
        <v>870</v>
      </c>
      <c r="B4179" s="1" t="s">
        <v>20903</v>
      </c>
      <c r="C4179" s="1" t="s">
        <v>20904</v>
      </c>
      <c r="D4179" s="1" t="s">
        <v>20905</v>
      </c>
      <c r="E4179" s="1" t="s">
        <v>20905</v>
      </c>
      <c r="F4179" s="1" t="s">
        <v>20906</v>
      </c>
      <c r="G4179" s="1" t="s">
        <v>20907</v>
      </c>
      <c r="H4179" s="1" t="str">
        <f>IFERROR(__xludf.DUMMYFUNCTION("GOOGLETRANSLATE(D4179,""EN"",""JA"")"),"投与量による腎臓CLの正常範囲")</f>
        <v>投与量による腎臓CLの正常範囲</v>
      </c>
      <c r="I4179" s="1" t="str">
        <f>IFERROR(__xludf.DUMMYFUNCTION("GOOGLETRANSLATE(E4179,""EN"",""JA"")"),"投与量による腎臓CLの正常範囲")</f>
        <v>投与量による腎臓CLの正常範囲</v>
      </c>
      <c r="J4179" s="1" t="str">
        <f>IFERROR(__xludf.DUMMYFUNCTION("GOOGLETRANSLATE(F4179,""EN"",""JA"")"),"AUCTAU を使用して計算された、腎臓による血液からの物質の除去量を投与量で割った値。")</f>
        <v>AUCTAU を使用して計算された、腎臓による血液からの物質の除去量を投与量で割った値。</v>
      </c>
      <c r="K4179" s="1" t="str">
        <f>IFERROR(__xludf.DUMMYFUNCTION("GOOGLETRANSLATE(G4179,""EN"",""JA"")"),"投与量別に標準化した投与間隔ごとの腎クリアランス")</f>
        <v>投与量別に標準化した投与間隔ごとの腎クリアランス</v>
      </c>
    </row>
    <row r="4180" ht="13.5" customHeight="1">
      <c r="A4180" s="1" t="s">
        <v>870</v>
      </c>
      <c r="B4180" s="1" t="s">
        <v>20908</v>
      </c>
      <c r="C4180" s="1" t="s">
        <v>20909</v>
      </c>
      <c r="D4180" s="1" t="s">
        <v>20910</v>
      </c>
      <c r="E4180" s="1" t="s">
        <v>20910</v>
      </c>
      <c r="F4180" s="1" t="s">
        <v>20911</v>
      </c>
      <c r="G4180" s="1" t="s">
        <v>20912</v>
      </c>
      <c r="H4180" s="1" t="str">
        <f>IFERROR(__xludf.DUMMYFUNCTION("GOOGLETRANSLATE(D4180,""EN"",""JA"")"),"SAによる用量内規準の腎臓CL")</f>
        <v>SAによる用量内規準の腎臓CL</v>
      </c>
      <c r="I4180" s="1" t="str">
        <f>IFERROR(__xludf.DUMMYFUNCTION("GOOGLETRANSLATE(E4180,""EN"",""JA"")"),"SAによる用量内規準の腎臓CL")</f>
        <v>SAによる用量内規準の腎臓CL</v>
      </c>
      <c r="J4180" s="1" t="str">
        <f>IFERROR(__xludf.DUMMYFUNCTION("GOOGLETRANSLATE(F4180,""EN"",""JA"")"),"AUCTAU を使用して計算された腎臓による血液からの物質の除去率を表面積で割ったもの。")</f>
        <v>AUCTAU を使用して計算された腎臓による血液からの物質の除去率を表面積で割ったもの。</v>
      </c>
      <c r="K4180" s="1" t="str">
        <f>IFERROR(__xludf.DUMMYFUNCTION("GOOGLETRANSLATE(G4180,""EN"",""JA"")"),"投与間隔ごとの腎クリアランス（表面積で正規化）")</f>
        <v>投与間隔ごとの腎クリアランス（表面積で正規化）</v>
      </c>
    </row>
    <row r="4181" ht="13.5" customHeight="1">
      <c r="A4181" s="1" t="s">
        <v>870</v>
      </c>
      <c r="B4181" s="1" t="s">
        <v>20913</v>
      </c>
      <c r="C4181" s="1" t="s">
        <v>20914</v>
      </c>
      <c r="D4181" s="1" t="s">
        <v>20915</v>
      </c>
      <c r="E4181" s="1" t="s">
        <v>20915</v>
      </c>
      <c r="F4181" s="1" t="s">
        <v>20916</v>
      </c>
      <c r="G4181" s="1" t="s">
        <v>20917</v>
      </c>
      <c r="H4181" s="1" t="str">
        <f>IFERROR(__xludf.DUMMYFUNCTION("GOOGLETRANSLATE(D4181,""EN"",""JA"")"),"WTによる用量内規準の腎臓CL")</f>
        <v>WTによる用量内規準の腎臓CL</v>
      </c>
      <c r="I4181" s="1" t="str">
        <f>IFERROR(__xludf.DUMMYFUNCTION("GOOGLETRANSLATE(E4181,""EN"",""JA"")"),"WTによる用量内規準の腎臓CL")</f>
        <v>WTによる用量内規準の腎臓CL</v>
      </c>
      <c r="J4181" s="1" t="str">
        <f>IFERROR(__xludf.DUMMYFUNCTION("GOOGLETRANSLATE(F4181,""EN"",""JA"")"),"AUCTAU を使用して計算された腎臓による血液からの物質の除去量を体重で割った値。")</f>
        <v>AUCTAU を使用して計算された腎臓による血液からの物質の除去量を体重で割った値。</v>
      </c>
      <c r="K4181" s="1" t="str">
        <f>IFERROR(__xludf.DUMMYFUNCTION("GOOGLETRANSLATE(G4181,""EN"",""JA"")"),"体重で標準化した投与間隔における腎クリアランス")</f>
        <v>体重で標準化した投与間隔における腎クリアランス</v>
      </c>
    </row>
    <row r="4182" ht="13.5" customHeight="1">
      <c r="A4182" s="1" t="s">
        <v>870</v>
      </c>
      <c r="B4182" s="1" t="s">
        <v>20918</v>
      </c>
      <c r="C4182" s="1" t="s">
        <v>20919</v>
      </c>
      <c r="D4182" s="1" t="s">
        <v>20920</v>
      </c>
      <c r="E4182" s="1" t="s">
        <v>20920</v>
      </c>
      <c r="F4182" s="1" t="s">
        <v>20921</v>
      </c>
      <c r="G4182" s="1" t="s">
        <v>20922</v>
      </c>
      <c r="H4182" s="1" t="str">
        <f>IFERROR(__xludf.DUMMYFUNCTION("GOOGLETRANSLATE(D4182,""EN"",""JA"")"),"非結合薬物の腎臓CL")</f>
        <v>非結合薬物の腎臓CL</v>
      </c>
      <c r="I4182" s="1" t="str">
        <f>IFERROR(__xludf.DUMMYFUNCTION("GOOGLETRANSLATE(E4182,""EN"",""JA"")"),"非結合薬物の腎臓CL")</f>
        <v>非結合薬物の腎臓CL</v>
      </c>
      <c r="J4182" s="1" t="str">
        <f>IFERROR(__xludf.DUMMYFUNCTION("GOOGLETRANSLATE(F4182,""EN"",""JA"")"),"腎臓によるクリアランス全体のうち、薬物の非結合部分の割合。")</f>
        <v>腎臓によるクリアランス全体のうち、薬物の非結合部分の割合。</v>
      </c>
      <c r="K4182" s="1" t="str">
        <f>IFERROR(__xludf.DUMMYFUNCTION("GOOGLETRANSLATE(G4182,""EN"",""JA"")"),"非結合薬物の腎クリアランス")</f>
        <v>非結合薬物の腎クリアランス</v>
      </c>
    </row>
    <row r="4183" ht="13.5" customHeight="1">
      <c r="A4183" s="1" t="s">
        <v>90</v>
      </c>
      <c r="B4183" s="1" t="s">
        <v>20923</v>
      </c>
      <c r="C4183" s="1" t="s">
        <v>20924</v>
      </c>
      <c r="D4183" s="1" t="s">
        <v>20925</v>
      </c>
      <c r="E4183" s="1" t="s">
        <v>20925</v>
      </c>
      <c r="F4183" s="1" t="s">
        <v>20926</v>
      </c>
      <c r="G4183" s="1" t="s">
        <v>20925</v>
      </c>
      <c r="H4183" s="1" t="str">
        <f>IFERROR(__xludf.DUMMYFUNCTION("GOOGLETRANSLATE(D4183,""EN"",""JA"")"),"CS/LVリードが植え込まれない理由")</f>
        <v>CS/LVリードが植え込まれない理由</v>
      </c>
      <c r="I4183" s="1" t="str">
        <f>IFERROR(__xludf.DUMMYFUNCTION("GOOGLETRANSLATE(E4183,""EN"",""JA"")"),"CS/LVリードが植え込まれない理由")</f>
        <v>CS/LVリードが植え込まれない理由</v>
      </c>
      <c r="J4183" s="1" t="str">
        <f>IFERROR(__xludf.DUMMYFUNCTION("GOOGLETRANSLATE(F4183,""EN"",""JA"")"),"CS/LV リードが被験者に埋め込まれなかった理由の説明。")</f>
        <v>CS/LV リードが被験者に埋め込まれなかった理由の説明。</v>
      </c>
      <c r="K4183" s="1" t="str">
        <f>IFERROR(__xludf.DUMMYFUNCTION("GOOGLETRANSLATE(G4183,""EN"",""JA"")"),"CS/LVリードが植え込まれない理由")</f>
        <v>CS/LVリードが植え込まれない理由</v>
      </c>
    </row>
    <row r="4184" ht="13.5" customHeight="1">
      <c r="A4184" s="1" t="s">
        <v>3094</v>
      </c>
      <c r="B4184" s="1" t="s">
        <v>20927</v>
      </c>
      <c r="C4184" s="1" t="s">
        <v>20928</v>
      </c>
      <c r="D4184" s="1" t="s">
        <v>20929</v>
      </c>
      <c r="E4184" s="1" t="s">
        <v>20929</v>
      </c>
      <c r="F4184" s="1" t="s">
        <v>20930</v>
      </c>
      <c r="G4184" s="1" t="s">
        <v>20929</v>
      </c>
      <c r="H4184" s="1" t="str">
        <f>IFERROR(__xludf.DUMMYFUNCTION("GOOGLETRANSLATE(D4184,""EN"",""JA"")"),"腎動脈の数")</f>
        <v>腎動脈の数</v>
      </c>
      <c r="I4184" s="1" t="str">
        <f>IFERROR(__xludf.DUMMYFUNCTION("GOOGLETRANSLATE(E4184,""EN"",""JA"")"),"腎動脈の数")</f>
        <v>腎動脈の数</v>
      </c>
      <c r="J4184" s="1" t="str">
        <f>IFERROR(__xludf.DUMMYFUNCTION("GOOGLETRANSLATE(F4184,""EN"",""JA"")"),"腎動脈の総数の測定値。")</f>
        <v>腎動脈の総数の測定値。</v>
      </c>
      <c r="K4184" s="1" t="str">
        <f>IFERROR(__xludf.DUMMYFUNCTION("GOOGLETRANSLATE(G4184,""EN"",""JA"")"),"腎動脈の数")</f>
        <v>腎動脈の数</v>
      </c>
    </row>
    <row r="4185" ht="13.5" customHeight="1">
      <c r="A4185" s="1" t="s">
        <v>3094</v>
      </c>
      <c r="B4185" s="1" t="s">
        <v>20931</v>
      </c>
      <c r="C4185" s="1" t="s">
        <v>20932</v>
      </c>
      <c r="D4185" s="1" t="s">
        <v>20933</v>
      </c>
      <c r="E4185" s="1" t="s">
        <v>20933</v>
      </c>
      <c r="F4185" s="1" t="s">
        <v>20934</v>
      </c>
      <c r="G4185" s="1" t="s">
        <v>20933</v>
      </c>
      <c r="H4185" s="1" t="str">
        <f>IFERROR(__xludf.DUMMYFUNCTION("GOOGLETRANSLATE(D4185,""EN"",""JA"")"),"腎静脈の数")</f>
        <v>腎静脈の数</v>
      </c>
      <c r="I4185" s="1" t="str">
        <f>IFERROR(__xludf.DUMMYFUNCTION("GOOGLETRANSLATE(E4185,""EN"",""JA"")"),"腎静脈の数")</f>
        <v>腎静脈の数</v>
      </c>
      <c r="J4185" s="1" t="str">
        <f>IFERROR(__xludf.DUMMYFUNCTION("GOOGLETRANSLATE(F4185,""EN"",""JA"")"),"腎静脈の総数を測定します。")</f>
        <v>腎静脈の総数を測定します。</v>
      </c>
      <c r="K4185" s="1" t="str">
        <f>IFERROR(__xludf.DUMMYFUNCTION("GOOGLETRANSLATE(G4185,""EN"",""JA"")"),"腎静脈の数")</f>
        <v>腎静脈の数</v>
      </c>
    </row>
    <row r="4186" ht="13.5" customHeight="1">
      <c r="A4186" s="1" t="s">
        <v>11</v>
      </c>
      <c r="B4186" s="1" t="s">
        <v>20935</v>
      </c>
      <c r="C4186" s="1" t="s">
        <v>20936</v>
      </c>
      <c r="D4186" s="1" t="s">
        <v>20937</v>
      </c>
      <c r="E4186" s="1" t="s">
        <v>20937</v>
      </c>
      <c r="F4186" s="1" t="s">
        <v>20938</v>
      </c>
      <c r="G4186" s="1" t="s">
        <v>20939</v>
      </c>
      <c r="H4186" s="1" t="str">
        <f>IFERROR(__xludf.DUMMYFUNCTION("GOOGLETRANSLATE(D4186,""EN"",""JA"")"),"活性酸素代謝物")</f>
        <v>活性酸素代謝物</v>
      </c>
      <c r="I4186" s="1" t="str">
        <f>IFERROR(__xludf.DUMMYFUNCTION("GOOGLETRANSLATE(E4186,""EN"",""JA"")"),"活性酸素代謝物")</f>
        <v>活性酸素代謝物</v>
      </c>
      <c r="J4186" s="1" t="str">
        <f>IFERROR(__xludf.DUMMYFUNCTION("GOOGLETRANSLATE(F4186,""EN"",""JA"")"),"生物標本中の活性酸素代謝物の測定。")</f>
        <v>生物標本中の活性酸素代謝物の測定。</v>
      </c>
      <c r="K4186" s="1" t="str">
        <f>IFERROR(__xludf.DUMMYFUNCTION("GOOGLETRANSLATE(G4186,""EN"",""JA"")"),"活性酸素代謝物測定")</f>
        <v>活性酸素代謝物測定</v>
      </c>
    </row>
    <row r="4187" ht="13.5" customHeight="1">
      <c r="A4187" s="1" t="s">
        <v>1034</v>
      </c>
      <c r="B4187" s="1" t="s">
        <v>20940</v>
      </c>
      <c r="C4187" s="1" t="s">
        <v>20941</v>
      </c>
      <c r="D4187" s="1" t="s">
        <v>20942</v>
      </c>
      <c r="E4187" s="1" t="s">
        <v>20942</v>
      </c>
      <c r="F4187" s="1" t="s">
        <v>20943</v>
      </c>
      <c r="G4187" s="1" t="s">
        <v>20942</v>
      </c>
      <c r="H4187" s="1" t="str">
        <f>IFERROR(__xludf.DUMMYFUNCTION("GOOGLETRANSLATE(D4187,""EN"",""JA"")"),"可動域、外転")</f>
        <v>可動域、外転</v>
      </c>
      <c r="I4187" s="1" t="str">
        <f>IFERROR(__xludf.DUMMYFUNCTION("GOOGLETRANSLATE(E4187,""EN"",""JA"")"),"可動域、外転")</f>
        <v>可動域、外転</v>
      </c>
      <c r="J4187" s="1" t="str">
        <f>IFERROR(__xludf.DUMMYFUNCTION("GOOGLETRANSLATE(F4187,""EN"",""JA"")"),"関節の柔軟性を評価する指標で、身体の正中線から身体の一部がどれだけ離れるかを度数で測定します。(NCI)")</f>
        <v>関節の柔軟性を評価する指標で、身体の正中線から身体の一部がどれだけ離れるかを度数で測定します。(NCI)</v>
      </c>
      <c r="K4187" s="1" t="str">
        <f>IFERROR(__xludf.DUMMYFUNCTION("GOOGLETRANSLATE(G4187,""EN"",""JA"")"),"可動域、外転")</f>
        <v>可動域、外転</v>
      </c>
    </row>
    <row r="4188" ht="13.5" customHeight="1">
      <c r="A4188" s="1" t="s">
        <v>1034</v>
      </c>
      <c r="B4188" s="1" t="s">
        <v>20944</v>
      </c>
      <c r="C4188" s="1" t="s">
        <v>20945</v>
      </c>
      <c r="D4188" s="1" t="s">
        <v>20946</v>
      </c>
      <c r="E4188" s="1" t="s">
        <v>20946</v>
      </c>
      <c r="F4188" s="1" t="s">
        <v>20947</v>
      </c>
      <c r="G4188" s="1" t="s">
        <v>20946</v>
      </c>
      <c r="H4188" s="1" t="str">
        <f>IFERROR(__xludf.DUMMYFUNCTION("GOOGLETRANSLATE(D4188,""EN"",""JA"")"),"可動域、背屈")</f>
        <v>可動域、背屈</v>
      </c>
      <c r="I4188" s="1" t="str">
        <f>IFERROR(__xludf.DUMMYFUNCTION("GOOGLETRANSLATE(E4188,""EN"",""JA"")"),"可動域、背屈")</f>
        <v>可動域、背屈</v>
      </c>
      <c r="J4188" s="1" t="str">
        <f>IFERROR(__xludf.DUMMYFUNCTION("GOOGLETRANSLATE(F4188,""EN"",""JA"")"),"関節の柔軟性を評価する指標で、体の一部の背面方向への曲がり具合を度数で測定します。(NCI)")</f>
        <v>関節の柔軟性を評価する指標で、体の一部の背面方向への曲がり具合を度数で測定します。(NCI)</v>
      </c>
      <c r="K4188" s="1" t="str">
        <f>IFERROR(__xludf.DUMMYFUNCTION("GOOGLETRANSLATE(G4188,""EN"",""JA"")"),"可動域、背屈")</f>
        <v>可動域、背屈</v>
      </c>
    </row>
    <row r="4189" ht="13.5" customHeight="1">
      <c r="A4189" s="1" t="s">
        <v>1034</v>
      </c>
      <c r="B4189" s="1" t="s">
        <v>20948</v>
      </c>
      <c r="C4189" s="1" t="s">
        <v>20949</v>
      </c>
      <c r="D4189" s="1" t="s">
        <v>20950</v>
      </c>
      <c r="E4189" s="1" t="s">
        <v>20950</v>
      </c>
      <c r="F4189" s="1" t="s">
        <v>20951</v>
      </c>
      <c r="G4189" s="1" t="s">
        <v>20950</v>
      </c>
      <c r="H4189" s="1" t="str">
        <f>IFERROR(__xludf.DUMMYFUNCTION("GOOGLETRANSLATE(D4189,""EN"",""JA"")"),"可動域、伸展")</f>
        <v>可動域、伸展</v>
      </c>
      <c r="I4189" s="1" t="str">
        <f>IFERROR(__xludf.DUMMYFUNCTION("GOOGLETRANSLATE(E4189,""EN"",""JA"")"),"可動域、伸展")</f>
        <v>可動域、伸展</v>
      </c>
      <c r="J4189" s="1" t="str">
        <f>IFERROR(__xludf.DUMMYFUNCTION("GOOGLETRANSLATE(F4189,""EN"",""JA"")"),"身体の各部位間の関節の伸展（曲げ伸ばし）運動を度数で測定する関節の柔軟性の評価。(NCI)")</f>
        <v>身体の各部位間の関節の伸展（曲げ伸ばし）運動を度数で測定する関節の柔軟性の評価。(NCI)</v>
      </c>
      <c r="K4189" s="1" t="str">
        <f>IFERROR(__xludf.DUMMYFUNCTION("GOOGLETRANSLATE(G4189,""EN"",""JA"")"),"可動域、伸展")</f>
        <v>可動域、伸展</v>
      </c>
    </row>
    <row r="4190" ht="13.5" customHeight="1">
      <c r="A4190" s="1" t="s">
        <v>176</v>
      </c>
      <c r="B4190" s="1" t="s">
        <v>20952</v>
      </c>
      <c r="C4190" s="1" t="s">
        <v>20953</v>
      </c>
      <c r="D4190" s="1" t="s">
        <v>20954</v>
      </c>
      <c r="E4190" s="1" t="s">
        <v>20954</v>
      </c>
      <c r="F4190" s="1" t="s">
        <v>20955</v>
      </c>
      <c r="G4190" s="1" t="s">
        <v>20954</v>
      </c>
      <c r="H4190" s="1" t="str">
        <f>IFERROR(__xludf.DUMMYFUNCTION("GOOGLETRANSLATE(D4190,""EN"",""JA"")"),"探索反射")</f>
        <v>探索反射</v>
      </c>
      <c r="I4190" s="1" t="str">
        <f>IFERROR(__xludf.DUMMYFUNCTION("GOOGLETRANSLATE(E4190,""EN"",""JA"")"),"探索反射")</f>
        <v>探索反射</v>
      </c>
      <c r="J4190" s="1" t="str">
        <f>IFERROR(__xludf.DUMMYFUNCTION("GOOGLETRANSLATE(F4190,""EN"",""JA"")"),"頬を触られたときに乳首を探す新生児の無意識の原始的反応。")</f>
        <v>頬を触られたときに乳首を探す新生児の無意識の原始的反応。</v>
      </c>
      <c r="K4190" s="1" t="str">
        <f>IFERROR(__xludf.DUMMYFUNCTION("GOOGLETRANSLATE(G4190,""EN"",""JA"")"),"探索反射")</f>
        <v>探索反射</v>
      </c>
    </row>
    <row r="4191" ht="13.5" customHeight="1">
      <c r="A4191" s="1" t="s">
        <v>67</v>
      </c>
      <c r="B4191" s="1" t="s">
        <v>20956</v>
      </c>
      <c r="C4191" s="1" t="s">
        <v>20957</v>
      </c>
      <c r="D4191" s="1" t="s">
        <v>20958</v>
      </c>
      <c r="E4191" s="1" t="s">
        <v>20958</v>
      </c>
      <c r="F4191" s="1" t="s">
        <v>20959</v>
      </c>
      <c r="G4191" s="1" t="s">
        <v>20960</v>
      </c>
      <c r="H4191" s="1" t="str">
        <f>IFERROR(__xludf.DUMMYFUNCTION("GOOGLETRANSLATE(D4191,""EN"",""JA"")"),"ラウルテラ・オルニチノリティカ")</f>
        <v>ラウルテラ・オルニチノリティカ</v>
      </c>
      <c r="I4191" s="1" t="str">
        <f>IFERROR(__xludf.DUMMYFUNCTION("GOOGLETRANSLATE(E4191,""EN"",""JA"")"),"ラウルテラ・オルニチノリティカ")</f>
        <v>ラウルテラ・オルニチノリティカ</v>
      </c>
      <c r="J4191" s="1" t="str">
        <f>IFERROR(__xludf.DUMMYFUNCTION("GOOGLETRANSLATE(F4191,""EN"",""JA"")"),"生物標本中のRaoultella ornithinolyticaの測定。")</f>
        <v>生物標本中のRaoultella ornithinolyticaの測定。</v>
      </c>
      <c r="K4191" s="1" t="str">
        <f>IFERROR(__xludf.DUMMYFUNCTION("GOOGLETRANSLATE(G4191,""EN"",""JA"")"),"ラウルテラ・オルニチノリティカ測定")</f>
        <v>ラウルテラ・オルニチノリティカ測定</v>
      </c>
    </row>
    <row r="4192" ht="13.5" customHeight="1">
      <c r="A4192" s="1" t="s">
        <v>134</v>
      </c>
      <c r="B4192" s="1" t="s">
        <v>20961</v>
      </c>
      <c r="C4192" s="1" t="s">
        <v>20962</v>
      </c>
      <c r="D4192" s="1" t="s">
        <v>20963</v>
      </c>
      <c r="E4192" s="1" t="s">
        <v>20964</v>
      </c>
      <c r="F4192" s="1" t="s">
        <v>20965</v>
      </c>
      <c r="G4192" s="1" t="s">
        <v>20966</v>
      </c>
      <c r="H4192" s="1" t="str">
        <f>IFERROR(__xludf.DUMMYFUNCTION("GOOGLETRANSLATE(D4192,""EN"",""JA"")"),"ROS1タンパク質")</f>
        <v>ROS1タンパク質</v>
      </c>
      <c r="I4192" s="1" t="str">
        <f>IFERROR(__xludf.DUMMYFUNCTION("GOOGLETRANSLATE(E4192,""EN"",""JA"")"),"ROSプロトオンコゲン1タンパク質; ROS1タンパク質")</f>
        <v>ROSプロトオンコゲン1タンパク質; ROS1タンパク質</v>
      </c>
      <c r="J4192" s="1" t="str">
        <f>IFERROR(__xludf.DUMMYFUNCTION("GOOGLETRANSLATE(F4192,""EN"",""JA"")"),"生物標本中の ROS プロトオンコゲン 1 タンパク質の測定。")</f>
        <v>生物標本中の ROS プロトオンコゲン 1 タンパク質の測定。</v>
      </c>
      <c r="K4192" s="1" t="str">
        <f>IFERROR(__xludf.DUMMYFUNCTION("GOOGLETRANSLATE(G4192,""EN"",""JA"")"),"ROS1タンパク質測定")</f>
        <v>ROS1タンパク質測定</v>
      </c>
    </row>
    <row r="4193" ht="13.5" customHeight="1">
      <c r="A4193" s="1" t="s">
        <v>67</v>
      </c>
      <c r="B4193" s="1" t="s">
        <v>20967</v>
      </c>
      <c r="C4193" s="1" t="s">
        <v>20968</v>
      </c>
      <c r="D4193" s="1" t="s">
        <v>20969</v>
      </c>
      <c r="E4193" s="1" t="s">
        <v>20969</v>
      </c>
      <c r="F4193" s="1" t="s">
        <v>20970</v>
      </c>
      <c r="G4193" s="1" t="s">
        <v>20971</v>
      </c>
      <c r="H4193" s="1" t="str">
        <f>IFERROR(__xludf.DUMMYFUNCTION("GOOGLETRANSLATE(D4193,""EN"",""JA"")"),"ロタウイルス抗原")</f>
        <v>ロタウイルス抗原</v>
      </c>
      <c r="I4193" s="1" t="str">
        <f>IFERROR(__xludf.DUMMYFUNCTION("GOOGLETRANSLATE(E4193,""EN"",""JA"")"),"ロタウイルス抗原")</f>
        <v>ロタウイルス抗原</v>
      </c>
      <c r="J4193" s="1" t="str">
        <f>IFERROR(__xludf.DUMMYFUNCTION("GOOGLETRANSLATE(F4193,""EN"",""JA"")"),"生物標本中のロタウイルス属の任意のウイルスの抗原の測定。")</f>
        <v>生物標本中のロタウイルス属の任意のウイルスの抗原の測定。</v>
      </c>
      <c r="K4193" s="1" t="str">
        <f>IFERROR(__xludf.DUMMYFUNCTION("GOOGLETRANSLATE(G4193,""EN"",""JA"")"),"ロタウイルス抗原測定")</f>
        <v>ロタウイルス抗原測定</v>
      </c>
    </row>
    <row r="4194" ht="13.5" customHeight="1">
      <c r="A4194" s="1" t="s">
        <v>67</v>
      </c>
      <c r="B4194" s="1" t="s">
        <v>20972</v>
      </c>
      <c r="C4194" s="1" t="s">
        <v>20973</v>
      </c>
      <c r="D4194" s="1" t="s">
        <v>20974</v>
      </c>
      <c r="E4194" s="1" t="s">
        <v>20974</v>
      </c>
      <c r="F4194" s="1" t="s">
        <v>20975</v>
      </c>
      <c r="G4194" s="1" t="s">
        <v>20976</v>
      </c>
      <c r="H4194" s="1" t="str">
        <f>IFERROR(__xludf.DUMMYFUNCTION("GOOGLETRANSLATE(D4194,""EN"",""JA"")"),"ロタウイルス")</f>
        <v>ロタウイルス</v>
      </c>
      <c r="I4194" s="1" t="str">
        <f>IFERROR(__xludf.DUMMYFUNCTION("GOOGLETRANSLATE(E4194,""EN"",""JA"")"),"ロタウイルス")</f>
        <v>ロタウイルス</v>
      </c>
      <c r="J4194" s="1" t="str">
        <f>IFERROR(__xludf.DUMMYFUNCTION("GOOGLETRANSLATE(F4194,""EN"",""JA"")"),"生物標本において、種レベルには割り当てられていないが、ロタウイルス属レベルに割り当てられている生物の測定値。")</f>
        <v>生物標本において、種レベルには割り当てられていないが、ロタウイルス属レベルに割り当てられている生物の測定値。</v>
      </c>
      <c r="K4194" s="1" t="str">
        <f>IFERROR(__xludf.DUMMYFUNCTION("GOOGLETRANSLATE(G4194,""EN"",""JA"")"),"ロタウイルス測定")</f>
        <v>ロタウイルス測定</v>
      </c>
    </row>
    <row r="4195" ht="13.5" customHeight="1">
      <c r="A4195" s="1" t="s">
        <v>67</v>
      </c>
      <c r="B4195" s="1" t="s">
        <v>20977</v>
      </c>
      <c r="C4195" s="1" t="s">
        <v>20978</v>
      </c>
      <c r="D4195" s="1" t="s">
        <v>20979</v>
      </c>
      <c r="E4195" s="1" t="s">
        <v>20979</v>
      </c>
      <c r="F4195" s="1" t="s">
        <v>20980</v>
      </c>
      <c r="G4195" s="1" t="s">
        <v>20981</v>
      </c>
      <c r="H4195" s="1" t="str">
        <f>IFERROR(__xludf.DUMMYFUNCTION("GOOGLETRANSLATE(D4195,""EN"",""JA"")"),"ロタウイルスRNA")</f>
        <v>ロタウイルスRNA</v>
      </c>
      <c r="I4195" s="1" t="str">
        <f>IFERROR(__xludf.DUMMYFUNCTION("GOOGLETRANSLATE(E4195,""EN"",""JA"")"),"ロタウイルスRNA")</f>
        <v>ロタウイルスRNA</v>
      </c>
      <c r="J4195" s="1" t="str">
        <f>IFERROR(__xludf.DUMMYFUNCTION("GOOGLETRANSLATE(F4195,""EN"",""JA"")"),"生物標本中のロタウイルス属の任意のメンバーの RNA の測定。")</f>
        <v>生物標本中のロタウイルス属の任意のメンバーの RNA の測定。</v>
      </c>
      <c r="K4195" s="1" t="str">
        <f>IFERROR(__xludf.DUMMYFUNCTION("GOOGLETRANSLATE(G4195,""EN"",""JA"")"),"ロタウイルスRNA測定")</f>
        <v>ロタウイルスRNA測定</v>
      </c>
    </row>
    <row r="4196" ht="13.5" customHeight="1">
      <c r="A4196" s="1" t="s">
        <v>11</v>
      </c>
      <c r="B4196" s="1" t="s">
        <v>20982</v>
      </c>
      <c r="C4196" s="1" t="s">
        <v>20983</v>
      </c>
      <c r="D4196" s="1" t="s">
        <v>20984</v>
      </c>
      <c r="E4196" s="1" t="s">
        <v>20984</v>
      </c>
      <c r="F4196" s="1" t="s">
        <v>20985</v>
      </c>
      <c r="G4196" s="1" t="s">
        <v>20986</v>
      </c>
      <c r="H4196" s="1" t="str">
        <f>IFERROR(__xludf.DUMMYFUNCTION("GOOGLETRANSLATE(D4196,""EN"",""JA"")"),"ルーロー層")</f>
        <v>ルーロー層</v>
      </c>
      <c r="I4196" s="1" t="str">
        <f>IFERROR(__xludf.DUMMYFUNCTION("GOOGLETRANSLATE(E4196,""EN"",""JA"")"),"ルーロー層")</f>
        <v>ルーロー層</v>
      </c>
      <c r="J4196" s="1" t="str">
        <f>IFERROR(__xludf.DUMMYFUNCTION("GOOGLETRANSLATE(F4196,""EN"",""JA"")"),"生物標本内の積み重ねられた赤血球の測定。")</f>
        <v>生物標本内の積み重ねられた赤血球の測定。</v>
      </c>
      <c r="K4196" s="1" t="str">
        <f>IFERROR(__xludf.DUMMYFUNCTION("GOOGLETRANSLATE(G4196,""EN"",""JA"")"),"ルーロー形成カウント")</f>
        <v>ルーロー形成カウント</v>
      </c>
    </row>
    <row r="4197" ht="13.5" customHeight="1">
      <c r="A4197" s="1" t="s">
        <v>11</v>
      </c>
      <c r="B4197" s="1" t="s">
        <v>20987</v>
      </c>
      <c r="C4197" s="1" t="s">
        <v>20988</v>
      </c>
      <c r="D4197" s="1" t="s">
        <v>20989</v>
      </c>
      <c r="E4197" s="1" t="s">
        <v>20989</v>
      </c>
      <c r="F4197" s="1" t="s">
        <v>20990</v>
      </c>
      <c r="G4197" s="1" t="s">
        <v>20991</v>
      </c>
      <c r="H4197" s="1" t="str">
        <f>IFERROR(__xludf.DUMMYFUNCTION("GOOGLETRANSLATE(D4197,""EN"",""JA"")"),"丸い細胞")</f>
        <v>丸い細胞</v>
      </c>
      <c r="I4197" s="1" t="str">
        <f>IFERROR(__xludf.DUMMYFUNCTION("GOOGLETRANSLATE(E4197,""EN"",""JA"")"),"丸い細胞")</f>
        <v>丸い細胞</v>
      </c>
      <c r="J4197" s="1" t="str">
        <f>IFERROR(__xludf.DUMMYFUNCTION("GOOGLETRANSLATE(F4197,""EN"",""JA"")"),"生物標本中の円形細胞（主に白血球と未熟な精子形成細胞で構成される円形の細胞）の測定。")</f>
        <v>生物標本中の円形細胞（主に白血球と未熟な精子形成細胞で構成される円形の細胞）の測定。</v>
      </c>
      <c r="K4197" s="1" t="str">
        <f>IFERROR(__xludf.DUMMYFUNCTION("GOOGLETRANSLATE(G4197,""EN"",""JA"")"),"円形細胞数")</f>
        <v>円形細胞数</v>
      </c>
    </row>
    <row r="4198" ht="13.5" customHeight="1">
      <c r="A4198" s="1" t="s">
        <v>397</v>
      </c>
      <c r="B4198" s="1" t="s">
        <v>20992</v>
      </c>
      <c r="C4198" s="1" t="s">
        <v>20993</v>
      </c>
      <c r="D4198" s="1" t="s">
        <v>20994</v>
      </c>
      <c r="E4198" s="1" t="s">
        <v>20994</v>
      </c>
      <c r="F4198" s="1" t="s">
        <v>20995</v>
      </c>
      <c r="G4198" s="1" t="s">
        <v>20994</v>
      </c>
      <c r="H4198" s="1" t="str">
        <f>IFERROR(__xludf.DUMMYFUNCTION("GOOGLETRANSLATE(D4198,""EN"",""JA"")"),"投与経路")</f>
        <v>投与経路</v>
      </c>
      <c r="I4198" s="1" t="str">
        <f>IFERROR(__xludf.DUMMYFUNCTION("GOOGLETRANSLATE(E4198,""EN"",""JA"")"),"投与経路")</f>
        <v>投与経路</v>
      </c>
      <c r="J4198" s="1" t="str">
        <f>IFERROR(__xludf.DUMMYFUNCTION("GOOGLETRANSLATE(F4198,""EN"",""JA"")"),"医薬品が体内に取り込まれる、または接触する方法。(CDISC 用語集)")</f>
        <v>医薬品が体内に取り込まれる、または接触する方法。(CDISC 用語集)</v>
      </c>
      <c r="K4198" s="1" t="str">
        <f>IFERROR(__xludf.DUMMYFUNCTION("GOOGLETRANSLATE(G4198,""EN"",""JA"")"),"投与経路")</f>
        <v>投与経路</v>
      </c>
    </row>
    <row r="4199" ht="13.5" customHeight="1">
      <c r="A4199" s="1" t="s">
        <v>11</v>
      </c>
      <c r="B4199" s="1" t="s">
        <v>20996</v>
      </c>
      <c r="C4199" s="1" t="s">
        <v>20997</v>
      </c>
      <c r="D4199" s="1" t="s">
        <v>20998</v>
      </c>
      <c r="E4199" s="1" t="s">
        <v>20998</v>
      </c>
      <c r="F4199" s="1" t="s">
        <v>20999</v>
      </c>
      <c r="G4199" s="1" t="s">
        <v>21000</v>
      </c>
      <c r="H4199" s="1" t="str">
        <f>IFERROR(__xludf.DUMMYFUNCTION("GOOGLETRANSLATE(D4199,""EN"",""JA"")"),"腎乳頭抗原1")</f>
        <v>腎乳頭抗原1</v>
      </c>
      <c r="I4199" s="1" t="str">
        <f>IFERROR(__xludf.DUMMYFUNCTION("GOOGLETRANSLATE(E4199,""EN"",""JA"")"),"腎乳頭抗原1")</f>
        <v>腎乳頭抗原1</v>
      </c>
      <c r="J4199" s="1" t="str">
        <f>IFERROR(__xludf.DUMMYFUNCTION("GOOGLETRANSLATE(F4199,""EN"",""JA"")"),"生物学的標本中の腎乳頭抗原 1 の測定。")</f>
        <v>生物学的標本中の腎乳頭抗原 1 の測定。</v>
      </c>
      <c r="K4199" s="1" t="str">
        <f>IFERROR(__xludf.DUMMYFUNCTION("GOOGLETRANSLATE(G4199,""EN"",""JA"")"),"腎乳頭抗原1測定")</f>
        <v>腎乳頭抗原1測定</v>
      </c>
    </row>
    <row r="4200" ht="13.5" customHeight="1">
      <c r="A4200" s="1" t="s">
        <v>160</v>
      </c>
      <c r="B4200" s="1" t="s">
        <v>21001</v>
      </c>
      <c r="C4200" s="1" t="s">
        <v>21002</v>
      </c>
      <c r="D4200" s="1" t="s">
        <v>21003</v>
      </c>
      <c r="E4200" s="1" t="s">
        <v>21003</v>
      </c>
      <c r="F4200" s="1" t="s">
        <v>21004</v>
      </c>
      <c r="G4200" s="1" t="s">
        <v>21003</v>
      </c>
      <c r="H4200" s="1" t="str">
        <f>IFERROR(__xludf.DUMMYFUNCTION("GOOGLETRANSLATE(D4200,""EN"",""JA"")"),"生殖器系検査")</f>
        <v>生殖器系検査</v>
      </c>
      <c r="I4200" s="1" t="str">
        <f>IFERROR(__xludf.DUMMYFUNCTION("GOOGLETRANSLATE(E4200,""EN"",""JA"")"),"生殖器系検査")</f>
        <v>生殖器系検査</v>
      </c>
      <c r="J4200" s="1" t="str">
        <f>IFERROR(__xludf.DUMMYFUNCTION("GOOGLETRANSLATE(F4200,""EN"",""JA"")"),"生殖器系の観察、評価、または検査。")</f>
        <v>生殖器系の観察、評価、または検査。</v>
      </c>
      <c r="K4200" s="1" t="str">
        <f>IFERROR(__xludf.DUMMYFUNCTION("GOOGLETRANSLATE(G4200,""EN"",""JA"")"),"生殖器系検査")</f>
        <v>生殖器系検査</v>
      </c>
    </row>
    <row r="4201" ht="13.5" customHeight="1">
      <c r="A4201" s="1" t="s">
        <v>11</v>
      </c>
      <c r="B4201" s="1" t="s">
        <v>21005</v>
      </c>
      <c r="C4201" s="1" t="s">
        <v>21006</v>
      </c>
      <c r="D4201" s="1" t="s">
        <v>21007</v>
      </c>
      <c r="E4201" s="1" t="s">
        <v>21008</v>
      </c>
      <c r="F4201" s="1" t="s">
        <v>21009</v>
      </c>
      <c r="G4201" s="1" t="s">
        <v>21010</v>
      </c>
      <c r="H4201" s="1" t="str">
        <f>IFERROR(__xludf.DUMMYFUNCTION("GOOGLETRANSLATE(D4201,""EN"",""JA"")"),"レプチラーゼ活性実測値/対照値")</f>
        <v>レプチラーゼ活性実測値/対照値</v>
      </c>
      <c r="I4201" s="1" t="str">
        <f>IFERROR(__xludf.DUMMYFUNCTION("GOOGLETRANSLATE(E4201,""EN"",""JA"")"),"レプチラーゼ活性実測値/対照値; レプチラーゼ活性実測値/正常値; レプチラーゼ活性実測値/レプチラーゼ活性対照値")</f>
        <v>レプチラーゼ活性実測値/対照値; レプチラーゼ活性実測値/正常値; レプチラーゼ活性実測値/レプチラーゼ活性対照値</v>
      </c>
      <c r="J4201" s="1" t="str">
        <f>IFERROR(__xludf.DUMMYFUNCTION("GOOGLETRANSLATE(F4201,""EN"",""JA"")"),"被験者の検体中のレプチラーゼ依存性凝固の生物学的活性を、対照検体中の同じ活性と比較した相対的な測定値 (比率またはパーセンテージ)。")</f>
        <v>被験者の検体中のレプチラーゼ依存性凝固の生物学的活性を、対照検体中の同じ活性と比較した相対的な測定値 (比率またはパーセンテージ)。</v>
      </c>
      <c r="K4201" s="1" t="str">
        <f>IFERROR(__xludf.DUMMYFUNCTION("GOOGLETRANSLATE(G4201,""EN"",""JA"")"),"レプチラーゼ活性実測値と対照値比の測定")</f>
        <v>レプチラーゼ活性実測値と対照値比の測定</v>
      </c>
    </row>
    <row r="4202" ht="13.5" customHeight="1">
      <c r="A4202" s="1" t="s">
        <v>11</v>
      </c>
      <c r="B4202" s="1" t="s">
        <v>21011</v>
      </c>
      <c r="C4202" s="1" t="s">
        <v>21012</v>
      </c>
      <c r="D4202" s="1" t="s">
        <v>21013</v>
      </c>
      <c r="E4202" s="1" t="s">
        <v>21013</v>
      </c>
      <c r="F4202" s="1" t="s">
        <v>21014</v>
      </c>
      <c r="G4202" s="1" t="s">
        <v>21015</v>
      </c>
      <c r="H4202" s="1" t="str">
        <f>IFERROR(__xludf.DUMMYFUNCTION("GOOGLETRANSLATE(D4202,""EN"",""JA"")"),"レプティラーゼタイム")</f>
        <v>レプティラーゼタイム</v>
      </c>
      <c r="I4202" s="1" t="str">
        <f>IFERROR(__xludf.DUMMYFUNCTION("GOOGLETRANSLATE(E4202,""EN"",""JA"")"),"レプティラーゼタイム")</f>
        <v>レプティラーゼタイム</v>
      </c>
      <c r="J4202" s="1" t="str">
        <f>IFERROR(__xludf.DUMMYFUNCTION("GOOGLETRANSLATE(F4202,""EN"",""JA"")"),"活性酵素レプチラーゼを添加した後、血漿サンプルが凝固するまでにかかる時間を測定します。")</f>
        <v>活性酵素レプチラーゼを添加した後、血漿サンプルが凝固するまでにかかる時間を測定します。</v>
      </c>
      <c r="K4202" s="1" t="str">
        <f>IFERROR(__xludf.DUMMYFUNCTION("GOOGLETRANSLATE(G4202,""EN"",""JA"")"),"レプチラーゼ時間測定")</f>
        <v>レプチラーゼ時間測定</v>
      </c>
    </row>
    <row r="4203" ht="13.5" customHeight="1">
      <c r="A4203" s="1" t="s">
        <v>1168</v>
      </c>
      <c r="B4203" s="1" t="s">
        <v>21016</v>
      </c>
      <c r="C4203" s="1" t="s">
        <v>21017</v>
      </c>
      <c r="D4203" s="1" t="s">
        <v>21018</v>
      </c>
      <c r="E4203" s="1" t="s">
        <v>21018</v>
      </c>
      <c r="F4203" s="1" t="s">
        <v>21019</v>
      </c>
      <c r="G4203" s="1" t="s">
        <v>21020</v>
      </c>
      <c r="H4203" s="1" t="str">
        <f>IFERROR(__xludf.DUMMYFUNCTION("GOOGLETRANSLATE(D4203,""EN"",""JA"")"),"RR間隔、集計")</f>
        <v>RR間隔、集計</v>
      </c>
      <c r="I4203" s="1" t="str">
        <f>IFERROR(__xludf.DUMMYFUNCTION("GOOGLETRANSLATE(E4203,""EN"",""JA"")"),"RR間隔、集計")</f>
        <v>RR間隔、集計</v>
      </c>
      <c r="J4203" s="1" t="str">
        <f>IFERROR(__xludf.DUMMYFUNCTION("GOOGLETRANSLATE(F4203,""EN"",""JA"")"),"1回の心電図における複数の心拍のRR間隔の測定に基づく集計RR値。集計方法は様々ですが、通常は平均値などの中心傾向を示す指標が用いられます。")</f>
        <v>1回の心電図における複数の心拍のRR間隔の測定に基づく集計RR値。集計方法は様々ですが、通常は平均値などの中心傾向を示す指標が用いられます。</v>
      </c>
      <c r="K4203" s="1" t="str">
        <f>IFERROR(__xludf.DUMMYFUNCTION("GOOGLETRANSLATE(G4203,""EN"",""JA"")"),"総RR間隔")</f>
        <v>総RR間隔</v>
      </c>
    </row>
    <row r="4204" ht="13.5" customHeight="1">
      <c r="A4204" s="1" t="s">
        <v>1168</v>
      </c>
      <c r="B4204" s="1" t="s">
        <v>21021</v>
      </c>
      <c r="C4204" s="1" t="s">
        <v>21022</v>
      </c>
      <c r="D4204" s="1" t="s">
        <v>21023</v>
      </c>
      <c r="E4204" s="1" t="s">
        <v>21023</v>
      </c>
      <c r="F4204" s="1" t="s">
        <v>21024</v>
      </c>
      <c r="G4204" s="1" t="s">
        <v>21025</v>
      </c>
      <c r="H4204" s="1" t="str">
        <f>IFERROR(__xludf.DUMMYFUNCTION("GOOGLETRANSLATE(D4204,""EN"",""JA"")"),"概要（最大）RR期間")</f>
        <v>概要（最大）RR期間</v>
      </c>
      <c r="I4204" s="1" t="str">
        <f>IFERROR(__xludf.DUMMYFUNCTION("GOOGLETRANSLATE(E4204,""EN"",""JA"")"),"概要（最大）RR期間")</f>
        <v>概要（最大）RR期間</v>
      </c>
      <c r="J4204" s="1" t="str">
        <f>IFERROR(__xludf.DUMMYFUNCTION("GOOGLETRANSLATE(F4204,""EN"",""JA"")"),"特定の RR 間隔における R 波の連続ピーク間の最大持続時間 (時間)。(NCI)")</f>
        <v>特定の RR 間隔における R 波の連続ピーク間の最大持続時間 (時間)。(NCI)</v>
      </c>
      <c r="K4204" s="1" t="str">
        <f>IFERROR(__xludf.DUMMYFUNCTION("GOOGLETRANSLATE(G4204,""EN"",""JA"")"),"最大RR期間")</f>
        <v>最大RR期間</v>
      </c>
    </row>
    <row r="4205" ht="13.5" customHeight="1">
      <c r="A4205" s="1" t="s">
        <v>1168</v>
      </c>
      <c r="B4205" s="1" t="s">
        <v>21026</v>
      </c>
      <c r="C4205" s="1" t="s">
        <v>21027</v>
      </c>
      <c r="D4205" s="1" t="s">
        <v>21028</v>
      </c>
      <c r="E4205" s="1" t="s">
        <v>21028</v>
      </c>
      <c r="F4205" s="1" t="s">
        <v>21029</v>
      </c>
      <c r="G4205" s="1" t="s">
        <v>21030</v>
      </c>
      <c r="H4205" s="1" t="str">
        <f>IFERROR(__xludf.DUMMYFUNCTION("GOOGLETRANSLATE(D4205,""EN"",""JA"")"),"概要（分）RR期間")</f>
        <v>概要（分）RR期間</v>
      </c>
      <c r="I4205" s="1" t="str">
        <f>IFERROR(__xludf.DUMMYFUNCTION("GOOGLETRANSLATE(E4205,""EN"",""JA"")"),"概要（分）RR期間")</f>
        <v>概要（分）RR期間</v>
      </c>
      <c r="J4205" s="1" t="str">
        <f>IFERROR(__xludf.DUMMYFUNCTION("GOOGLETRANSLATE(F4205,""EN"",""JA"")"),"特定の RR 間隔における R 波の連続ピーク間の最小持続時間 (時間)。(NCI)")</f>
        <v>特定の RR 間隔における R 波の連続ピーク間の最小持続時間 (時間)。(NCI)</v>
      </c>
      <c r="K4205" s="1" t="str">
        <f>IFERROR(__xludf.DUMMYFUNCTION("GOOGLETRANSLATE(G4205,""EN"",""JA"")"),"最小RR期間")</f>
        <v>最小RR期間</v>
      </c>
    </row>
    <row r="4206" ht="13.5" customHeight="1">
      <c r="A4206" s="1" t="s">
        <v>67</v>
      </c>
      <c r="B4206" s="1" t="s">
        <v>21031</v>
      </c>
      <c r="C4206" s="1" t="s">
        <v>21032</v>
      </c>
      <c r="D4206" s="1" t="s">
        <v>21033</v>
      </c>
      <c r="E4206" s="1" t="s">
        <v>21034</v>
      </c>
      <c r="F4206" s="1" t="s">
        <v>21035</v>
      </c>
      <c r="G4206" s="1" t="s">
        <v>21036</v>
      </c>
      <c r="H4206" s="1" t="str">
        <f>IFERROR(__xludf.DUMMYFUNCTION("GOOGLETRANSLATE(D4206,""EN"",""JA"")"),"ロタウイルスA RNA")</f>
        <v>ロタウイルスA RNA</v>
      </c>
      <c r="I4206" s="1" t="str">
        <f>IFERROR(__xludf.DUMMYFUNCTION("GOOGLETRANSLATE(E4206,""EN"",""JA"")"),"ロタウイルスA RNA; ロタウイルスA群RNA")</f>
        <v>ロタウイルスA RNA; ロタウイルスA群RNA</v>
      </c>
      <c r="J4206" s="1" t="str">
        <f>IFERROR(__xludf.DUMMYFUNCTION("GOOGLETRANSLATE(F4206,""EN"",""JA"")"),"生物標本中のロタウイルス A RNA の測定。")</f>
        <v>生物標本中のロタウイルス A RNA の測定。</v>
      </c>
      <c r="K4206" s="1" t="str">
        <f>IFERROR(__xludf.DUMMYFUNCTION("GOOGLETRANSLATE(G4206,""EN"",""JA"")"),"ロタウイルスA RNA測定")</f>
        <v>ロタウイルスA RNA測定</v>
      </c>
    </row>
    <row r="4207" ht="13.5" customHeight="1">
      <c r="A4207" s="1" t="s">
        <v>580</v>
      </c>
      <c r="B4207" s="1" t="s">
        <v>21037</v>
      </c>
      <c r="C4207" s="1" t="s">
        <v>21038</v>
      </c>
      <c r="D4207" s="1" t="s">
        <v>21039</v>
      </c>
      <c r="E4207" s="1" t="s">
        <v>21039</v>
      </c>
      <c r="F4207" s="1" t="s">
        <v>21040</v>
      </c>
      <c r="G4207" s="1" t="s">
        <v>21039</v>
      </c>
      <c r="H4207" s="1" t="str">
        <f>IFERROR(__xludf.DUMMYFUNCTION("GOOGLETRANSLATE(D4207,""EN"",""JA"")"),"全呼吸器系抵抗")</f>
        <v>全呼吸器系抵抗</v>
      </c>
      <c r="I4207" s="1" t="str">
        <f>IFERROR(__xludf.DUMMYFUNCTION("GOOGLETRANSLATE(E4207,""EN"",""JA"")"),"全呼吸器系抵抗")</f>
        <v>全呼吸器系抵抗</v>
      </c>
      <c r="J4207" s="1" t="str">
        <f>IFERROR(__xludf.DUMMYFUNCTION("GOOGLETRANSLATE(F4207,""EN"",""JA"")"),"気道抵抗、肺と胸壁の組織抵抗など、気道開口部から肺胞へのガスの流れに影響を与えるすべての要因に基づいて計算された値。(NCI)")</f>
        <v>気道抵抗、肺と胸壁の組織抵抗など、気道開口部から肺胞へのガスの流れに影響を与えるすべての要因に基づいて計算された値。(NCI)</v>
      </c>
      <c r="K4207" s="1" t="str">
        <f>IFERROR(__xludf.DUMMYFUNCTION("GOOGLETRANSLATE(G4207,""EN"",""JA"")"),"全呼吸器系抵抗")</f>
        <v>全呼吸器系抵抗</v>
      </c>
    </row>
    <row r="4208" ht="13.5" customHeight="1">
      <c r="A4208" s="1" t="s">
        <v>1168</v>
      </c>
      <c r="B4208" s="1" t="s">
        <v>21041</v>
      </c>
      <c r="C4208" s="1" t="s">
        <v>21042</v>
      </c>
      <c r="D4208" s="1" t="s">
        <v>21043</v>
      </c>
      <c r="E4208" s="1" t="s">
        <v>21043</v>
      </c>
      <c r="F4208" s="1" t="s">
        <v>21044</v>
      </c>
      <c r="G4208" s="1" t="s">
        <v>21045</v>
      </c>
      <c r="H4208" s="1" t="str">
        <f>IFERROR(__xludf.DUMMYFUNCTION("GOOGLETRANSLATE(D4208,""EN"",""JA"")"),"RR間隔、単一測定")</f>
        <v>RR間隔、単一測定</v>
      </c>
      <c r="I4208" s="1" t="str">
        <f>IFERROR(__xludf.DUMMYFUNCTION("GOOGLETRANSLATE(E4208,""EN"",""JA"")"),"RR間隔、単一測定")</f>
        <v>RR間隔、単一測定</v>
      </c>
      <c r="J4208" s="1" t="str">
        <f>IFERROR(__xludf.DUMMYFUNCTION("GOOGLETRANSLATE(F4208,""EN"",""JA"")"),"連続する2つのR波間の間隔を測定する心電図検査。R波が存在しない場合は、連続する2つの心拍におけるQRS波群の最も識別しやすい成分間の間隔を測定することができる。")</f>
        <v>連続する2つのR波間の間隔を測定する心電図検査。R波が存在しない場合は、連続する2つの心拍におけるQRS波群の最も識別しやすい成分間の間隔を測定することができる。</v>
      </c>
      <c r="K4208" s="1" t="str">
        <f>IFERROR(__xludf.DUMMYFUNCTION("GOOGLETRANSLATE(G4208,""EN"",""JA"")"),"RR間隔単一測定")</f>
        <v>RR間隔単一測定</v>
      </c>
    </row>
    <row r="4209" ht="13.5" customHeight="1">
      <c r="A4209" s="1" t="s">
        <v>1168</v>
      </c>
      <c r="B4209" s="1" t="s">
        <v>21046</v>
      </c>
      <c r="C4209" s="1" t="s">
        <v>21047</v>
      </c>
      <c r="D4209" s="1" t="s">
        <v>21048</v>
      </c>
      <c r="E4209" s="1" t="s">
        <v>21048</v>
      </c>
      <c r="F4209" s="1" t="s">
        <v>21049</v>
      </c>
      <c r="G4209" s="1" t="s">
        <v>21050</v>
      </c>
      <c r="H4209" s="1" t="str">
        <f>IFERROR(__xludf.DUMMYFUNCTION("GOOGLETRANSLATE(D4209,""EN"",""JA"")"),"RS波振幅、集計")</f>
        <v>RS波振幅、集計</v>
      </c>
      <c r="I4209" s="1" t="str">
        <f>IFERROR(__xludf.DUMMYFUNCTION("GOOGLETRANSLATE(E4209,""EN"",""JA"")"),"RS波振幅、集計")</f>
        <v>RS波振幅、集計</v>
      </c>
      <c r="J4209" s="1" t="str">
        <f>IFERROR(__xludf.DUMMYFUNCTION("GOOGLETRANSLATE(F4209,""EN"",""JA"")"),"単一の心電図から得られた複数の心拍の測定値に基づく、RS波の振幅値の集計値。集計方法は様々ですが、通常は平均値などの中心傾向を示す指標が用いられます。")</f>
        <v>単一の心電図から得られた複数の心拍の測定値に基づく、RS波の振幅値の集計値。集計方法は様々ですが、通常は平均値などの中心傾向を示す指標が用いられます。</v>
      </c>
      <c r="K4209" s="1" t="str">
        <f>IFERROR(__xludf.DUMMYFUNCTION("GOOGLETRANSLATE(G4209,""EN"",""JA"")"),"RS波振幅集計")</f>
        <v>RS波振幅集計</v>
      </c>
    </row>
    <row r="4210" ht="13.5" customHeight="1">
      <c r="A4210" s="1" t="s">
        <v>11</v>
      </c>
      <c r="B4210" s="1" t="s">
        <v>21051</v>
      </c>
      <c r="C4210" s="1" t="s">
        <v>21052</v>
      </c>
      <c r="D4210" s="1" t="s">
        <v>21053</v>
      </c>
      <c r="E4210" s="1" t="s">
        <v>21054</v>
      </c>
      <c r="F4210" s="1" t="s">
        <v>21055</v>
      </c>
      <c r="G4210" s="1" t="s">
        <v>21056</v>
      </c>
      <c r="H4210" s="1" t="str">
        <f>IFERROR(__xludf.DUMMYFUNCTION("GOOGLETRANSLATE(D4210,""EN"",""JA"")"),"サイトメガロウイルス誘導遺伝子5タンパク質")</f>
        <v>サイトメガロウイルス誘導遺伝子5タンパク質</v>
      </c>
      <c r="I4210" s="1" t="str">
        <f>IFERROR(__xludf.DUMMYFUNCTION("GOOGLETRANSLATE(E4210,""EN"",""JA"")"),"サイトメガロウイルス誘導遺伝子5タンパク質；ラジカルS-アデノシルメチオニンドメイン含有タンパク質2")</f>
        <v>サイトメガロウイルス誘導遺伝子5タンパク質；ラジカルS-アデノシルメチオニンドメイン含有タンパク質2</v>
      </c>
      <c r="J4210" s="1" t="str">
        <f>IFERROR(__xludf.DUMMYFUNCTION("GOOGLETRANSLATE(F4210,""EN"",""JA"")"),"生物標本中のサイトメガロウイルス誘導遺伝子 5 タンパク質の測定。")</f>
        <v>生物標本中のサイトメガロウイルス誘導遺伝子 5 タンパク質の測定。</v>
      </c>
      <c r="K4210" s="1" t="str">
        <f>IFERROR(__xludf.DUMMYFUNCTION("GOOGLETRANSLATE(G4210,""EN"",""JA"")"),"サイトメガロウイルス誘導遺伝子5タンパク質測定")</f>
        <v>サイトメガロウイルス誘導遺伝子5タンパク質測定</v>
      </c>
    </row>
    <row r="4211" ht="13.5" customHeight="1">
      <c r="A4211" s="1" t="s">
        <v>1168</v>
      </c>
      <c r="B4211" s="1" t="s">
        <v>21057</v>
      </c>
      <c r="C4211" s="1" t="s">
        <v>21058</v>
      </c>
      <c r="D4211" s="1" t="s">
        <v>21059</v>
      </c>
      <c r="E4211" s="1" t="s">
        <v>21059</v>
      </c>
      <c r="F4211" s="1" t="s">
        <v>21060</v>
      </c>
      <c r="G4211" s="1" t="s">
        <v>21061</v>
      </c>
      <c r="H4211" s="1" t="str">
        <f>IFERROR(__xludf.DUMMYFUNCTION("GOOGLETRANSLATE(D4211,""EN"",""JA"")"),"RS波振幅、単一拍")</f>
        <v>RS波振幅、単一拍</v>
      </c>
      <c r="I4211" s="1" t="str">
        <f>IFERROR(__xludf.DUMMYFUNCTION("GOOGLETRANSLATE(E4211,""EN"",""JA"")"),"RS波振幅、単一拍")</f>
        <v>RS波振幅、単一拍</v>
      </c>
      <c r="J4211" s="1" t="str">
        <f>IFERROR(__xludf.DUMMYFUNCTION("GOOGLETRANSLATE(F4211,""EN"",""JA"")"),"特定の 1 つの誘導または誘導セットの 1 回の心拍から得られる R 波と S 波の振幅の合計の心電図測定値。")</f>
        <v>特定の 1 つの誘導または誘導セットの 1 回の心拍から得られる R 波と S 波の振幅の合計の心電図測定値。</v>
      </c>
      <c r="K4211" s="1" t="str">
        <f>IFERROR(__xludf.DUMMYFUNCTION("GOOGLETRANSLATE(G4211,""EN"",""JA"")"),"RS波振幅単一ビート")</f>
        <v>RS波振幅単一ビート</v>
      </c>
    </row>
    <row r="4212" ht="13.5" customHeight="1">
      <c r="A4212" s="1" t="s">
        <v>11</v>
      </c>
      <c r="B4212" s="1" t="s">
        <v>21062</v>
      </c>
      <c r="C4212" s="1" t="s">
        <v>21063</v>
      </c>
      <c r="D4212" s="1" t="s">
        <v>21064</v>
      </c>
      <c r="E4212" s="1" t="s">
        <v>21065</v>
      </c>
      <c r="F4212" s="1" t="s">
        <v>21066</v>
      </c>
      <c r="G4212" s="1" t="s">
        <v>21067</v>
      </c>
      <c r="H4212" s="1" t="str">
        <f>IFERROR(__xludf.DUMMYFUNCTION("GOOGLETRANSLATE(D4212,""EN"",""JA"")"),"リスペリドン+9-ヒドロキシリスペリドン")</f>
        <v>リスペリドン+9-ヒドロキシリスペリドン</v>
      </c>
      <c r="I4212" s="1" t="str">
        <f>IFERROR(__xludf.DUMMYFUNCTION("GOOGLETRANSLATE(E4212,""EN"",""JA"")"),"リスペリドン+9-ヒドロキシリスペリドン; リスペリドン+パリペリドン")</f>
        <v>リスペリドン+9-ヒドロキシリスペリドン; リスペリドン+パリペリドン</v>
      </c>
      <c r="J4212" s="1" t="str">
        <f>IFERROR(__xludf.DUMMYFUNCTION("GOOGLETRANSLATE(F4212,""EN"",""JA"")"),"生物学的標本中のリスペリドンおよび 9-ヒドロキシリスペリドンの測定。")</f>
        <v>生物学的標本中のリスペリドンおよび 9-ヒドロキシリスペリドンの測定。</v>
      </c>
      <c r="K4212" s="1" t="str">
        <f>IFERROR(__xludf.DUMMYFUNCTION("GOOGLETRANSLATE(G4212,""EN"",""JA"")"),"リスペリドンおよび9-ヒドロキシリスペリドンの測定")</f>
        <v>リスペリドンおよび9-ヒドロキシリスペリドンの測定</v>
      </c>
    </row>
    <row r="4213" ht="13.5" customHeight="1">
      <c r="A4213" s="1" t="s">
        <v>11</v>
      </c>
      <c r="B4213" s="1" t="s">
        <v>21068</v>
      </c>
      <c r="C4213" s="1" t="s">
        <v>21069</v>
      </c>
      <c r="D4213" s="1" t="s">
        <v>21070</v>
      </c>
      <c r="E4213" s="1" t="s">
        <v>21070</v>
      </c>
      <c r="F4213" s="1" t="s">
        <v>21071</v>
      </c>
      <c r="G4213" s="1" t="s">
        <v>21072</v>
      </c>
      <c r="H4213" s="1" t="str">
        <f>IFERROR(__xludf.DUMMYFUNCTION("GOOGLETRANSLATE(D4213,""EN"",""JA"")"),"リスペリドン")</f>
        <v>リスペリドン</v>
      </c>
      <c r="I4213" s="1" t="str">
        <f>IFERROR(__xludf.DUMMYFUNCTION("GOOGLETRANSLATE(E4213,""EN"",""JA"")"),"リスペリドン")</f>
        <v>リスペリドン</v>
      </c>
      <c r="J4213" s="1" t="str">
        <f>IFERROR(__xludf.DUMMYFUNCTION("GOOGLETRANSLATE(F4213,""EN"",""JA"")"),"生物標本中のリスペリドンの測定。")</f>
        <v>生物標本中のリスペリドンの測定。</v>
      </c>
      <c r="K4213" s="1" t="str">
        <f>IFERROR(__xludf.DUMMYFUNCTION("GOOGLETRANSLATE(G4213,""EN"",""JA"")"),"リスペリドン測定")</f>
        <v>リスペリドン測定</v>
      </c>
    </row>
    <row r="4214" ht="13.5" customHeight="1">
      <c r="A4214" s="1" t="s">
        <v>67</v>
      </c>
      <c r="B4214" s="1" t="s">
        <v>21073</v>
      </c>
      <c r="C4214" s="1" t="s">
        <v>21074</v>
      </c>
      <c r="D4214" s="1" t="s">
        <v>21075</v>
      </c>
      <c r="E4214" s="1" t="s">
        <v>21075</v>
      </c>
      <c r="F4214" s="1" t="s">
        <v>21076</v>
      </c>
      <c r="G4214" s="1" t="s">
        <v>21077</v>
      </c>
      <c r="H4214" s="1" t="str">
        <f>IFERROR(__xludf.DUMMYFUNCTION("GOOGLETRANSLATE(D4214,""EN"",""JA"")"),"RSウイルス")</f>
        <v>RSウイルス</v>
      </c>
      <c r="I4214" s="1" t="str">
        <f>IFERROR(__xludf.DUMMYFUNCTION("GOOGLETRANSLATE(E4214,""EN"",""JA"")"),"RSウイルス")</f>
        <v>RSウイルス</v>
      </c>
      <c r="J4214" s="1" t="str">
        <f>IFERROR(__xludf.DUMMYFUNCTION("GOOGLETRANSLATE(F4214,""EN"",""JA"")"),"生物標本中のRSウイルスの測定。")</f>
        <v>生物標本中のRSウイルスの測定。</v>
      </c>
      <c r="K4214" s="1" t="str">
        <f>IFERROR(__xludf.DUMMYFUNCTION("GOOGLETRANSLATE(G4214,""EN"",""JA"")"),"呼吸器合胞体ウイルス測定")</f>
        <v>呼吸器合胞体ウイルス測定</v>
      </c>
    </row>
    <row r="4215" ht="13.5" customHeight="1">
      <c r="A4215" s="1" t="s">
        <v>67</v>
      </c>
      <c r="B4215" s="1" t="s">
        <v>21078</v>
      </c>
      <c r="C4215" s="1" t="s">
        <v>21079</v>
      </c>
      <c r="D4215" s="1" t="s">
        <v>21080</v>
      </c>
      <c r="E4215" s="1" t="s">
        <v>21080</v>
      </c>
      <c r="F4215" s="1" t="s">
        <v>21081</v>
      </c>
      <c r="G4215" s="1" t="s">
        <v>21082</v>
      </c>
      <c r="H4215" s="1" t="str">
        <f>IFERROR(__xludf.DUMMYFUNCTION("GOOGLETRANSLATE(D4215,""EN"",""JA"")"),"呼吸器合胞体ウイルスA型")</f>
        <v>呼吸器合胞体ウイルスA型</v>
      </c>
      <c r="I4215" s="1" t="str">
        <f>IFERROR(__xludf.DUMMYFUNCTION("GOOGLETRANSLATE(E4215,""EN"",""JA"")"),"呼吸器合胞体ウイルスA型")</f>
        <v>呼吸器合胞体ウイルスA型</v>
      </c>
      <c r="J4215" s="1" t="str">
        <f>IFERROR(__xludf.DUMMYFUNCTION("GOOGLETRANSLATE(F4215,""EN"",""JA"")"),"生物標本中のRSウイルスA型の測定。")</f>
        <v>生物標本中のRSウイルスA型の測定。</v>
      </c>
      <c r="K4215" s="1" t="str">
        <f>IFERROR(__xludf.DUMMYFUNCTION("GOOGLETRANSLATE(G4215,""EN"",""JA"")"),"RSウイルスA型測定")</f>
        <v>RSウイルスA型測定</v>
      </c>
    </row>
    <row r="4216" ht="13.5" customHeight="1">
      <c r="A4216" s="1" t="s">
        <v>67</v>
      </c>
      <c r="B4216" s="1" t="s">
        <v>21083</v>
      </c>
      <c r="C4216" s="1" t="s">
        <v>21084</v>
      </c>
      <c r="D4216" s="1" t="s">
        <v>21085</v>
      </c>
      <c r="E4216" s="1" t="s">
        <v>21086</v>
      </c>
      <c r="F4216" s="1" t="s">
        <v>21087</v>
      </c>
      <c r="G4216" s="1" t="s">
        <v>21088</v>
      </c>
      <c r="H4216" s="1" t="str">
        <f>IFERROR(__xludf.DUMMYFUNCTION("GOOGLETRANSLATE(D4216,""EN"",""JA"")"),"RSウイルス抗原")</f>
        <v>RSウイルス抗原</v>
      </c>
      <c r="I4216" s="1" t="str">
        <f>IFERROR(__xludf.DUMMYFUNCTION("GOOGLETRANSLATE(E4216,""EN"",""JA"")"),"RSウイルス抗原; RSウイルス抗原")</f>
        <v>RSウイルス抗原; RSウイルス抗原</v>
      </c>
      <c r="J4216" s="1" t="str">
        <f>IFERROR(__xludf.DUMMYFUNCTION("GOOGLETRANSLATE(F4216,""EN"",""JA"")"),"生物学的標本中のRSウイルス抗原の測定。")</f>
        <v>生物学的標本中のRSウイルス抗原の測定。</v>
      </c>
      <c r="K4216" s="1" t="str">
        <f>IFERROR(__xludf.DUMMYFUNCTION("GOOGLETRANSLATE(G4216,""EN"",""JA"")"),"RSウイルス抗原測定")</f>
        <v>RSウイルス抗原測定</v>
      </c>
    </row>
    <row r="4217" ht="13.5" customHeight="1">
      <c r="A4217" s="1" t="s">
        <v>67</v>
      </c>
      <c r="B4217" s="1" t="s">
        <v>21089</v>
      </c>
      <c r="C4217" s="1" t="s">
        <v>21090</v>
      </c>
      <c r="D4217" s="1" t="s">
        <v>21091</v>
      </c>
      <c r="E4217" s="1" t="s">
        <v>21092</v>
      </c>
      <c r="F4217" s="1" t="s">
        <v>21093</v>
      </c>
      <c r="G4217" s="1" t="s">
        <v>21094</v>
      </c>
      <c r="H4217" s="1" t="str">
        <f>IFERROR(__xludf.DUMMYFUNCTION("GOOGLETRANSLATE(D4217,""EN"",""JA"")"),"RSV A型核酸")</f>
        <v>RSV A型核酸</v>
      </c>
      <c r="I4217" s="1" t="str">
        <f>IFERROR(__xludf.DUMMYFUNCTION("GOOGLETRANSLATE(E4217,""EN"",""JA"")"),"RSウイルスA型核酸; RSウイルスA型核酸")</f>
        <v>RSウイルスA型核酸; RSウイルスA型核酸</v>
      </c>
      <c r="J4217" s="1" t="str">
        <f>IFERROR(__xludf.DUMMYFUNCTION("GOOGLETRANSLATE(F4217,""EN"",""JA"")"),"生物標本中のRSウイルスA型核酸の測定。")</f>
        <v>生物標本中のRSウイルスA型核酸の測定。</v>
      </c>
      <c r="K4217" s="1" t="str">
        <f>IFERROR(__xludf.DUMMYFUNCTION("GOOGLETRANSLATE(G4217,""EN"",""JA"")"),"ヒトRSウイルスA型核酸測定")</f>
        <v>ヒトRSウイルスA型核酸測定</v>
      </c>
    </row>
    <row r="4218" ht="13.5" customHeight="1">
      <c r="A4218" s="1" t="s">
        <v>67</v>
      </c>
      <c r="B4218" s="1" t="s">
        <v>21095</v>
      </c>
      <c r="C4218" s="1" t="s">
        <v>21096</v>
      </c>
      <c r="D4218" s="1" t="s">
        <v>21097</v>
      </c>
      <c r="E4218" s="1" t="s">
        <v>21098</v>
      </c>
      <c r="F4218" s="1" t="s">
        <v>21099</v>
      </c>
      <c r="G4218" s="1" t="s">
        <v>21100</v>
      </c>
      <c r="H4218" s="1" t="str">
        <f>IFERROR(__xludf.DUMMYFUNCTION("GOOGLETRANSLATE(D4218,""EN"",""JA"")"),"呼吸器合胞体ウイルスA型RNA")</f>
        <v>呼吸器合胞体ウイルスA型RNA</v>
      </c>
      <c r="I4218" s="1" t="str">
        <f>IFERROR(__xludf.DUMMYFUNCTION("GOOGLETRANSLATE(E4218,""EN"",""JA"")"),"呼吸器合胞体ウイルスA型RNA; RSV A型RNA")</f>
        <v>呼吸器合胞体ウイルスA型RNA; RSV A型RNA</v>
      </c>
      <c r="J4218" s="1" t="str">
        <f>IFERROR(__xludf.DUMMYFUNCTION("GOOGLETRANSLATE(F4218,""EN"",""JA"")"),"生物標本中のRSウイルスA型RNAの測定。")</f>
        <v>生物標本中のRSウイルスA型RNAの測定。</v>
      </c>
      <c r="K4218" s="1" t="str">
        <f>IFERROR(__xludf.DUMMYFUNCTION("GOOGLETRANSLATE(G4218,""EN"",""JA"")"),"RSウイルスA型RNA測定")</f>
        <v>RSウイルスA型RNA測定</v>
      </c>
    </row>
    <row r="4219" ht="13.5" customHeight="1">
      <c r="A4219" s="1" t="s">
        <v>67</v>
      </c>
      <c r="B4219" s="1" t="s">
        <v>21101</v>
      </c>
      <c r="C4219" s="1" t="s">
        <v>21102</v>
      </c>
      <c r="D4219" s="1" t="s">
        <v>21103</v>
      </c>
      <c r="E4219" s="1" t="s">
        <v>21103</v>
      </c>
      <c r="F4219" s="1" t="s">
        <v>21104</v>
      </c>
      <c r="G4219" s="1" t="s">
        <v>21105</v>
      </c>
      <c r="H4219" s="1" t="str">
        <f>IFERROR(__xludf.DUMMYFUNCTION("GOOGLETRANSLATE(D4219,""EN"",""JA"")"),"呼吸器合胞体ウイルスB型")</f>
        <v>呼吸器合胞体ウイルスB型</v>
      </c>
      <c r="I4219" s="1" t="str">
        <f>IFERROR(__xludf.DUMMYFUNCTION("GOOGLETRANSLATE(E4219,""EN"",""JA"")"),"呼吸器合胞体ウイルスB型")</f>
        <v>呼吸器合胞体ウイルスB型</v>
      </c>
      <c r="J4219" s="1" t="str">
        <f>IFERROR(__xludf.DUMMYFUNCTION("GOOGLETRANSLATE(F4219,""EN"",""JA"")"),"生物標本中のRSウイルスB型の測定。")</f>
        <v>生物標本中のRSウイルスB型の測定。</v>
      </c>
      <c r="K4219" s="1" t="str">
        <f>IFERROR(__xludf.DUMMYFUNCTION("GOOGLETRANSLATE(G4219,""EN"",""JA"")"),"呼吸器合胞体ウイルスB型測定")</f>
        <v>呼吸器合胞体ウイルスB型測定</v>
      </c>
    </row>
    <row r="4220" ht="13.5" customHeight="1">
      <c r="A4220" s="1" t="s">
        <v>67</v>
      </c>
      <c r="B4220" s="1" t="s">
        <v>21106</v>
      </c>
      <c r="C4220" s="1" t="s">
        <v>21107</v>
      </c>
      <c r="D4220" s="1" t="s">
        <v>21108</v>
      </c>
      <c r="E4220" s="1" t="s">
        <v>21109</v>
      </c>
      <c r="F4220" s="1" t="s">
        <v>21110</v>
      </c>
      <c r="G4220" s="1" t="s">
        <v>21111</v>
      </c>
      <c r="H4220" s="1" t="str">
        <f>IFERROR(__xludf.DUMMYFUNCTION("GOOGLETRANSLATE(D4220,""EN"",""JA"")"),"RSV B型核酸")</f>
        <v>RSV B型核酸</v>
      </c>
      <c r="I4220" s="1" t="str">
        <f>IFERROR(__xludf.DUMMYFUNCTION("GOOGLETRANSLATE(E4220,""EN"",""JA"")"),"RSウイルスB型核酸; RSウイルスB型核酸")</f>
        <v>RSウイルスB型核酸; RSウイルスB型核酸</v>
      </c>
      <c r="J4220" s="1" t="str">
        <f>IFERROR(__xludf.DUMMYFUNCTION("GOOGLETRANSLATE(F4220,""EN"",""JA"")"),"生物標本中のRSウイルスB型核酸の測定。")</f>
        <v>生物標本中のRSウイルスB型核酸の測定。</v>
      </c>
      <c r="K4220" s="1" t="str">
        <f>IFERROR(__xludf.DUMMYFUNCTION("GOOGLETRANSLATE(G4220,""EN"",""JA"")"),"ヒトRSウイルスB型核酸測定")</f>
        <v>ヒトRSウイルスB型核酸測定</v>
      </c>
    </row>
    <row r="4221" ht="13.5" customHeight="1">
      <c r="A4221" s="1" t="s">
        <v>67</v>
      </c>
      <c r="B4221" s="1" t="s">
        <v>21112</v>
      </c>
      <c r="C4221" s="1" t="s">
        <v>21113</v>
      </c>
      <c r="D4221" s="1" t="s">
        <v>21114</v>
      </c>
      <c r="E4221" s="1" t="s">
        <v>21115</v>
      </c>
      <c r="F4221" s="1" t="s">
        <v>21116</v>
      </c>
      <c r="G4221" s="1" t="s">
        <v>21117</v>
      </c>
      <c r="H4221" s="1" t="str">
        <f>IFERROR(__xludf.DUMMYFUNCTION("GOOGLETRANSLATE(D4221,""EN"",""JA"")"),"呼吸器合胞体ウイルスB型RNA")</f>
        <v>呼吸器合胞体ウイルスB型RNA</v>
      </c>
      <c r="I4221" s="1" t="str">
        <f>IFERROR(__xludf.DUMMYFUNCTION("GOOGLETRANSLATE(E4221,""EN"",""JA"")"),"RSウイルスB型RNA; RSV B型RNA")</f>
        <v>RSウイルスB型RNA; RSV B型RNA</v>
      </c>
      <c r="J4221" s="1" t="str">
        <f>IFERROR(__xludf.DUMMYFUNCTION("GOOGLETRANSLATE(F4221,""EN"",""JA"")"),"生物標本中のRSウイルスB型RNAの測定。")</f>
        <v>生物標本中のRSウイルスB型RNAの測定。</v>
      </c>
      <c r="K4221" s="1" t="str">
        <f>IFERROR(__xludf.DUMMYFUNCTION("GOOGLETRANSLATE(G4221,""EN"",""JA"")"),"RSウイルスB型RNA測定")</f>
        <v>RSウイルスB型RNA測定</v>
      </c>
    </row>
    <row r="4222" ht="13.5" customHeight="1">
      <c r="A4222" s="1" t="s">
        <v>67</v>
      </c>
      <c r="B4222" s="1" t="s">
        <v>21118</v>
      </c>
      <c r="C4222" s="1" t="s">
        <v>21119</v>
      </c>
      <c r="D4222" s="1" t="s">
        <v>21120</v>
      </c>
      <c r="E4222" s="1" t="s">
        <v>21120</v>
      </c>
      <c r="F4222" s="1" t="s">
        <v>21121</v>
      </c>
      <c r="G4222" s="1" t="s">
        <v>21122</v>
      </c>
      <c r="H4222" s="1" t="str">
        <f>IFERROR(__xludf.DUMMYFUNCTION("GOOGLETRANSLATE(D4222,""EN"",""JA"")"),"呼吸器合胞体ウイルスRNA")</f>
        <v>呼吸器合胞体ウイルスRNA</v>
      </c>
      <c r="I4222" s="1" t="str">
        <f>IFERROR(__xludf.DUMMYFUNCTION("GOOGLETRANSLATE(E4222,""EN"",""JA"")"),"呼吸器合胞体ウイルスRNA")</f>
        <v>呼吸器合胞体ウイルスRNA</v>
      </c>
      <c r="J4222" s="1" t="str">
        <f>IFERROR(__xludf.DUMMYFUNCTION("GOOGLETRANSLATE(F4222,""EN"",""JA"")"),"生物標本中のRSウイルスRNAの測定。")</f>
        <v>生物標本中のRSウイルスRNAの測定。</v>
      </c>
      <c r="K4222" s="1" t="str">
        <f>IFERROR(__xludf.DUMMYFUNCTION("GOOGLETRANSLATE(G4222,""EN"",""JA"")"),"RSウイルスRNA測定")</f>
        <v>RSウイルスRNA測定</v>
      </c>
    </row>
    <row r="4223" ht="13.5" customHeight="1">
      <c r="A4223" s="1" t="s">
        <v>11</v>
      </c>
      <c r="B4223" s="1" t="s">
        <v>21123</v>
      </c>
      <c r="C4223" s="1" t="s">
        <v>21124</v>
      </c>
      <c r="D4223" s="1" t="s">
        <v>21125</v>
      </c>
      <c r="E4223" s="1" t="s">
        <v>21125</v>
      </c>
      <c r="F4223" s="1" t="s">
        <v>21126</v>
      </c>
      <c r="G4223" s="1" t="s">
        <v>21127</v>
      </c>
      <c r="H4223" s="1" t="str">
        <f>IFERROR(__xludf.DUMMYFUNCTION("GOOGLETRANSLATE(D4223,""EN"",""JA"")"),"トリヨードチロニン、逆")</f>
        <v>トリヨードチロニン、逆</v>
      </c>
      <c r="I4223" s="1" t="str">
        <f>IFERROR(__xludf.DUMMYFUNCTION("GOOGLETRANSLATE(E4223,""EN"",""JA"")"),"トリヨードチロニン、逆")</f>
        <v>トリヨードチロニン、逆</v>
      </c>
      <c r="J4223" s="1" t="str">
        <f>IFERROR(__xludf.DUMMYFUNCTION("GOOGLETRANSLATE(F4223,""EN"",""JA"")"),"生物標本中の逆トリヨードチロニンの測定。")</f>
        <v>生物標本中の逆トリヨードチロニンの測定。</v>
      </c>
      <c r="K4223" s="1" t="str">
        <f>IFERROR(__xludf.DUMMYFUNCTION("GOOGLETRANSLATE(G4223,""EN"",""JA"")"),"逆トリヨードチロニン測定")</f>
        <v>逆トリヨードチロニン測定</v>
      </c>
    </row>
    <row r="4224" ht="13.5" customHeight="1">
      <c r="A4224" s="1" t="s">
        <v>134</v>
      </c>
      <c r="B4224" s="1" t="s">
        <v>21128</v>
      </c>
      <c r="C4224" s="1" t="s">
        <v>21129</v>
      </c>
      <c r="D4224" s="1" t="s">
        <v>21130</v>
      </c>
      <c r="E4224" s="1" t="s">
        <v>21130</v>
      </c>
      <c r="F4224" s="1" t="s">
        <v>21131</v>
      </c>
      <c r="G4224" s="1" t="s">
        <v>21132</v>
      </c>
      <c r="H4224" s="1" t="str">
        <f>IFERROR(__xludf.DUMMYFUNCTION("GOOGLETRANSLATE(D4224,""EN"",""JA"")"),"網状線維症")</f>
        <v>網状線維症</v>
      </c>
      <c r="I4224" s="1" t="str">
        <f>IFERROR(__xludf.DUMMYFUNCTION("GOOGLETRANSLATE(E4224,""EN"",""JA"")"),"網状線維症")</f>
        <v>網状線維症</v>
      </c>
      <c r="J4224" s="1" t="str">
        <f>IFERROR(__xludf.DUMMYFUNCTION("GOOGLETRANSLATE(F4224,""EN"",""JA"")"),"生物標本における網状線維症の評価。")</f>
        <v>生物標本における網状線維症の評価。</v>
      </c>
      <c r="K4224" s="1" t="str">
        <f>IFERROR(__xludf.DUMMYFUNCTION("GOOGLETRANSLATE(G4224,""EN"",""JA"")"),"網状線維症の評価")</f>
        <v>網状線維症の評価</v>
      </c>
    </row>
    <row r="4225" ht="13.5" customHeight="1">
      <c r="A4225" s="1" t="s">
        <v>397</v>
      </c>
      <c r="B4225" s="1" t="s">
        <v>21133</v>
      </c>
      <c r="C4225" s="1" t="s">
        <v>21134</v>
      </c>
      <c r="D4225" s="1" t="s">
        <v>21135</v>
      </c>
      <c r="E4225" s="1" t="s">
        <v>21135</v>
      </c>
      <c r="F4225" s="1" t="s">
        <v>21136</v>
      </c>
      <c r="G4225" s="1" t="s">
        <v>21135</v>
      </c>
      <c r="H4225" s="1" t="str">
        <f>IFERROR(__xludf.DUMMYFUNCTION("GOOGLETRANSLATE(D4225,""EN"",""JA"")"),"保管された生体試料の説明")</f>
        <v>保管された生体試料の説明</v>
      </c>
      <c r="I4225" s="1" t="str">
        <f>IFERROR(__xludf.DUMMYFUNCTION("GOOGLETRANSLATE(E4225,""EN"",""JA"")"),"保管された生体試料の説明")</f>
        <v>保管された生体試料の説明</v>
      </c>
      <c r="J4225" s="1" t="str">
        <f>IFERROR(__xludf.DUMMYFUNCTION("GOOGLETRANSLATE(F4225,""EN"",""JA"")"),"予備サンプルとして保持される標本の種類のテキストによる説明。")</f>
        <v>予備サンプルとして保持される標本の種類のテキストによる説明。</v>
      </c>
      <c r="K4225" s="1" t="str">
        <f>IFERROR(__xludf.DUMMYFUNCTION("GOOGLETRANSLATE(G4225,""EN"",""JA"")"),"保管された生体試料の説明")</f>
        <v>保管された生体試料の説明</v>
      </c>
    </row>
    <row r="4226" ht="13.5" customHeight="1">
      <c r="A4226" s="1" t="s">
        <v>11</v>
      </c>
      <c r="B4226" s="1" t="s">
        <v>21137</v>
      </c>
      <c r="C4226" s="1" t="s">
        <v>21138</v>
      </c>
      <c r="D4226" s="1" t="s">
        <v>21139</v>
      </c>
      <c r="E4226" s="1" t="s">
        <v>21140</v>
      </c>
      <c r="F4226" s="1" t="s">
        <v>21141</v>
      </c>
      <c r="G4226" s="1" t="s">
        <v>21142</v>
      </c>
      <c r="H4226" s="1" t="str">
        <f>IFERROR(__xludf.DUMMYFUNCTION("GOOGLETRANSLATE(D4226,""EN"",""JA"")"),"ルブリサイト")</f>
        <v>ルブリサイト</v>
      </c>
      <c r="I4226" s="1" t="str">
        <f>IFERROR(__xludf.DUMMYFUNCTION("GOOGLETRANSLATE(E4226,""EN"",""JA"")"),"多染性赤芽球; 多染性正芽球; 赤芽球")</f>
        <v>多染性赤芽球; 多染性正芽球; 赤芽球</v>
      </c>
      <c r="J4226" s="1" t="str">
        <f>IFERROR(__xludf.DUMMYFUNCTION("GOOGLETRANSLATE(F4226,""EN"",""JA"")"),"生物標本中の赤血球数の測定。")</f>
        <v>生物標本中の赤血球数の測定。</v>
      </c>
      <c r="K4226" s="1" t="str">
        <f>IFERROR(__xludf.DUMMYFUNCTION("GOOGLETRANSLATE(G4226,""EN"",""JA"")"),"赤血球数")</f>
        <v>赤血球数</v>
      </c>
    </row>
    <row r="4227" ht="13.5" customHeight="1">
      <c r="A4227" s="1" t="s">
        <v>11</v>
      </c>
      <c r="B4227" s="1" t="s">
        <v>21143</v>
      </c>
      <c r="C4227" s="1" t="s">
        <v>21144</v>
      </c>
      <c r="D4227" s="1" t="s">
        <v>21145</v>
      </c>
      <c r="E4227" s="1" t="s">
        <v>21145</v>
      </c>
      <c r="F4227" s="1" t="s">
        <v>21146</v>
      </c>
      <c r="G4227" s="1" t="s">
        <v>21147</v>
      </c>
      <c r="H4227" s="1" t="str">
        <f>IFERROR(__xludf.DUMMYFUNCTION("GOOGLETRANSLATE(D4227,""EN"",""JA"")"),"赤血球/総細胞")</f>
        <v>赤血球/総細胞</v>
      </c>
      <c r="I4227" s="1" t="str">
        <f>IFERROR(__xludf.DUMMYFUNCTION("GOOGLETRANSLATE(E4227,""EN"",""JA"")"),"赤血球/総細胞")</f>
        <v>赤血球/総細胞</v>
      </c>
      <c r="J4227" s="1" t="str">
        <f>IFERROR(__xludf.DUMMYFUNCTION("GOOGLETRANSLATE(F4227,""EN"",""JA"")"),"生物標本中の赤血球と総細胞の相対的な測定値（比率またはパーセンテージ）。")</f>
        <v>生物標本中の赤血球と総細胞の相対的な測定値（比率またはパーセンテージ）。</v>
      </c>
      <c r="K4227" s="1" t="str">
        <f>IFERROR(__xludf.DUMMYFUNCTION("GOOGLETRANSLATE(G4227,""EN"",""JA"")"),"ルブリサイト対総細胞比測定")</f>
        <v>ルブリサイト対総細胞比測定</v>
      </c>
    </row>
    <row r="4228" ht="13.5" customHeight="1">
      <c r="A4228" s="1" t="s">
        <v>580</v>
      </c>
      <c r="B4228" s="1" t="s">
        <v>21148</v>
      </c>
      <c r="C4228" s="1" t="s">
        <v>21149</v>
      </c>
      <c r="D4228" s="1" t="s">
        <v>21150</v>
      </c>
      <c r="E4228" s="1" t="s">
        <v>21150</v>
      </c>
      <c r="F4228" s="1" t="s">
        <v>21151</v>
      </c>
      <c r="G4228" s="1" t="s">
        <v>21150</v>
      </c>
      <c r="H4228" s="1" t="str">
        <f>IFERROR(__xludf.DUMMYFUNCTION("GOOGLETRANSLATE(D4228,""EN"",""JA"")"),"残留量")</f>
        <v>残留量</v>
      </c>
      <c r="I4228" s="1" t="str">
        <f>IFERROR(__xludf.DUMMYFUNCTION("GOOGLETRANSLATE(E4228,""EN"",""JA"")"),"残留量")</f>
        <v>残留量</v>
      </c>
      <c r="J4228" s="1" t="str">
        <f>IFERROR(__xludf.DUMMYFUNCTION("GOOGLETRANSLATE(F4228,""EN"",""JA"")"),"最大限に息を吐き出した後に肺に残る空気の量。")</f>
        <v>最大限に息を吐き出した後に肺に残る空気の量。</v>
      </c>
      <c r="K4228" s="1" t="str">
        <f>IFERROR(__xludf.DUMMYFUNCTION("GOOGLETRANSLATE(G4228,""EN"",""JA"")"),"残留量")</f>
        <v>残留量</v>
      </c>
    </row>
    <row r="4229" ht="13.5" customHeight="1">
      <c r="A4229" s="1" t="s">
        <v>90</v>
      </c>
      <c r="B4229" s="1" t="s">
        <v>21152</v>
      </c>
      <c r="C4229" s="1" t="s">
        <v>21153</v>
      </c>
      <c r="D4229" s="1" t="s">
        <v>21154</v>
      </c>
      <c r="E4229" s="1" t="s">
        <v>21154</v>
      </c>
      <c r="F4229" s="1" t="s">
        <v>21155</v>
      </c>
      <c r="G4229" s="1" t="s">
        <v>21154</v>
      </c>
      <c r="H4229" s="1" t="str">
        <f>IFERROR(__xludf.DUMMYFUNCTION("GOOGLETRANSLATE(D4229,""EN"",""JA"")"),"右室駆出率")</f>
        <v>右室駆出率</v>
      </c>
      <c r="I4229" s="1" t="str">
        <f>IFERROR(__xludf.DUMMYFUNCTION("GOOGLETRANSLATE(E4229,""EN"",""JA"")"),"右室駆出率")</f>
        <v>右室駆出率</v>
      </c>
      <c r="J4229" s="1" t="str">
        <f>IFERROR(__xludf.DUMMYFUNCTION("GOOGLETRANSLATE(F4229,""EN"",""JA"")"),"視覚的な推定または計算によって測定できる、収縮期中に駆出される右室拡張期末容積のパーセンテージまたは分数。")</f>
        <v>視覚的な推定または計算によって測定できる、収縮期中に駆出される右室拡張期末容積のパーセンテージまたは分数。</v>
      </c>
      <c r="K4229" s="1" t="str">
        <f>IFERROR(__xludf.DUMMYFUNCTION("GOOGLETRANSLATE(G4229,""EN"",""JA"")"),"右室駆出率")</f>
        <v>右室駆出率</v>
      </c>
    </row>
    <row r="4230" ht="13.5" customHeight="1">
      <c r="A4230" s="1" t="s">
        <v>90</v>
      </c>
      <c r="B4230" s="1" t="s">
        <v>21156</v>
      </c>
      <c r="C4230" s="1" t="s">
        <v>21157</v>
      </c>
      <c r="D4230" s="1" t="s">
        <v>21158</v>
      </c>
      <c r="E4230" s="1" t="s">
        <v>21159</v>
      </c>
      <c r="F4230" s="1" t="s">
        <v>21160</v>
      </c>
      <c r="G4230" s="1" t="s">
        <v>21161</v>
      </c>
      <c r="H4230" s="1" t="str">
        <f>IFERROR(__xludf.DUMMYFUNCTION("GOOGLETRANSLATE(D4230,""EN"",""JA"")"),"右室駆出率、Cal")</f>
        <v>右室駆出率、Cal</v>
      </c>
      <c r="I4230" s="1" t="str">
        <f>IFERROR(__xludf.DUMMYFUNCTION("GOOGLETRANSLATE(E4230,""EN"",""JA"")"),"右室駆出率、Cal; 右室駆出率、計算値")</f>
        <v>右室駆出率、Cal; 右室駆出率、計算値</v>
      </c>
      <c r="J4230" s="1" t="str">
        <f>IFERROR(__xludf.DUMMYFUNCTION("GOOGLETRANSLATE(F4230,""EN"",""JA"")"),"右心室収縮期に右心室から駆出される血液量の計算されたパーセントまたは分数。右心室の一回拍出量を右心室拡張末期容積で割って計算されます。")</f>
        <v>右心室収縮期に右心室から駆出される血液量の計算されたパーセントまたは分数。右心室の一回拍出量を右心室拡張末期容積で割って計算されます。</v>
      </c>
      <c r="K4230" s="1" t="str">
        <f>IFERROR(__xludf.DUMMYFUNCTION("GOOGLETRANSLATE(G4230,""EN"",""JA"")"),"右室駆出率の計算値")</f>
        <v>右室駆出率の計算値</v>
      </c>
    </row>
    <row r="4231" ht="13.5" customHeight="1">
      <c r="A4231" s="1" t="s">
        <v>90</v>
      </c>
      <c r="B4231" s="1" t="s">
        <v>21162</v>
      </c>
      <c r="C4231" s="1" t="s">
        <v>21163</v>
      </c>
      <c r="D4231" s="1" t="s">
        <v>21164</v>
      </c>
      <c r="E4231" s="1" t="s">
        <v>21165</v>
      </c>
      <c r="F4231" s="1" t="s">
        <v>21166</v>
      </c>
      <c r="G4231" s="1" t="s">
        <v>21167</v>
      </c>
      <c r="H4231" s="1" t="str">
        <f>IFERROR(__xludf.DUMMYFUNCTION("GOOGLETRANSLATE(D4231,""EN"",""JA"")"),"右心室駆出率、Est")</f>
        <v>右心室駆出率、Est</v>
      </c>
      <c r="I4231" s="1" t="str">
        <f>IFERROR(__xludf.DUMMYFUNCTION("GOOGLETRANSLATE(E4231,""EN"",""JA"")"),"右室駆出率（推定）; 右室駆出率（推定）")</f>
        <v>右室駆出率（推定）; 右室駆出率（推定）</v>
      </c>
      <c r="J4231" s="1" t="str">
        <f>IFERROR(__xludf.DUMMYFUNCTION("GOOGLETRANSLATE(F4231,""EN"",""JA"")"),"右心室収縮期に右心室から排出される血液量の割合または分率を視覚的に推定します。")</f>
        <v>右心室収縮期に右心室から排出される血液量の割合または分率を視覚的に推定します。</v>
      </c>
      <c r="K4231" s="1" t="str">
        <f>IFERROR(__xludf.DUMMYFUNCTION("GOOGLETRANSLATE(G4231,""EN"",""JA"")"),"推定右室駆出率")</f>
        <v>推定右室駆出率</v>
      </c>
    </row>
    <row r="4232" ht="13.5" customHeight="1">
      <c r="A4232" s="1" t="s">
        <v>67</v>
      </c>
      <c r="B4232" s="1" t="s">
        <v>21168</v>
      </c>
      <c r="C4232" s="1" t="s">
        <v>21169</v>
      </c>
      <c r="D4232" s="1" t="s">
        <v>21170</v>
      </c>
      <c r="E4232" s="1" t="s">
        <v>21170</v>
      </c>
      <c r="F4232" s="1" t="s">
        <v>21171</v>
      </c>
      <c r="G4232" s="1" t="s">
        <v>21172</v>
      </c>
      <c r="H4232" s="1" t="str">
        <f>IFERROR(__xludf.DUMMYFUNCTION("GOOGLETRANSLATE(D4232,""EN"",""JA"")"),"ヒトライノウイルス/エンテロウイルス")</f>
        <v>ヒトライノウイルス/エンテロウイルス</v>
      </c>
      <c r="I4232" s="1" t="str">
        <f>IFERROR(__xludf.DUMMYFUNCTION("GOOGLETRANSLATE(E4232,""EN"",""JA"")"),"ヒトライノウイルス/エンテロウイルス")</f>
        <v>ヒトライノウイルス/エンテロウイルス</v>
      </c>
      <c r="J4232" s="1" t="str">
        <f>IFERROR(__xludf.DUMMYFUNCTION("GOOGLETRANSLATE(F4232,""EN"",""JA"")"),"生物学的標本中のヒトライノウイルスおよび/またはヒトエンテロウイルスの測定。")</f>
        <v>生物学的標本中のヒトライノウイルスおよび/またはヒトエンテロウイルスの測定。</v>
      </c>
      <c r="K4232" s="1" t="str">
        <f>IFERROR(__xludf.DUMMYFUNCTION("GOOGLETRANSLATE(G4232,""EN"",""JA"")"),"ヒトライノウイルスおよび/またはエンテロウイルスの測定")</f>
        <v>ヒトライノウイルスおよび/またはエンテロウイルスの測定</v>
      </c>
    </row>
    <row r="4233" ht="13.5" customHeight="1">
      <c r="A4233" s="1" t="s">
        <v>67</v>
      </c>
      <c r="B4233" s="1" t="s">
        <v>21173</v>
      </c>
      <c r="C4233" s="1" t="s">
        <v>21174</v>
      </c>
      <c r="D4233" s="1" t="s">
        <v>21175</v>
      </c>
      <c r="E4233" s="1" t="s">
        <v>21176</v>
      </c>
      <c r="F4233" s="1" t="s">
        <v>21177</v>
      </c>
      <c r="G4233" s="1" t="s">
        <v>21178</v>
      </c>
      <c r="H4233" s="1" t="str">
        <f>IFERROR(__xludf.DUMMYFUNCTION("GOOGLETRANSLATE(D4233,""EN"",""JA"")"),"ヒトライノウイルス/エンテロウイルス核酸")</f>
        <v>ヒトライノウイルス/エンテロウイルス核酸</v>
      </c>
      <c r="I4233" s="1" t="str">
        <f>IFERROR(__xludf.DUMMYFUNCTION("GOOGLETRANSLATE(E4233,""EN"",""JA"")"),"ヒトライノウイルス/エンテロウイルス核酸; ヒトライノウイルス/エンテロウイルス核酸")</f>
        <v>ヒトライノウイルス/エンテロウイルス核酸; ヒトライノウイルス/エンテロウイルス核酸</v>
      </c>
      <c r="J4233" s="1" t="str">
        <f>IFERROR(__xludf.DUMMYFUNCTION("GOOGLETRANSLATE(F4233,""EN"",""JA"")"),"生物学的標本中のヒトライノウイルス種および/またはヒエンテロウイルス種のいずれかの核酸の測定。")</f>
        <v>生物学的標本中のヒトライノウイルス種および/またはヒエンテロウイルス種のいずれかの核酸の測定。</v>
      </c>
      <c r="K4233" s="1" t="str">
        <f>IFERROR(__xludf.DUMMYFUNCTION("GOOGLETRANSLATE(G4233,""EN"",""JA"")"),"ヒトライノウイルスおよび/またはエンテロウイルスの核酸測定")</f>
        <v>ヒトライノウイルスおよび/またはエンテロウイルスの核酸測定</v>
      </c>
    </row>
    <row r="4234" ht="13.5" customHeight="1">
      <c r="A4234" s="1" t="s">
        <v>67</v>
      </c>
      <c r="B4234" s="1" t="s">
        <v>21179</v>
      </c>
      <c r="C4234" s="1" t="s">
        <v>21180</v>
      </c>
      <c r="D4234" s="1" t="s">
        <v>21181</v>
      </c>
      <c r="E4234" s="1" t="s">
        <v>21181</v>
      </c>
      <c r="F4234" s="1" t="s">
        <v>21182</v>
      </c>
      <c r="G4234" s="1" t="s">
        <v>21183</v>
      </c>
      <c r="H4234" s="1" t="str">
        <f>IFERROR(__xludf.DUMMYFUNCTION("GOOGLETRANSLATE(D4234,""EN"",""JA"")"),"ヒトライノウイルス/エンテロウイルスRNA")</f>
        <v>ヒトライノウイルス/エンテロウイルスRNA</v>
      </c>
      <c r="I4234" s="1" t="str">
        <f>IFERROR(__xludf.DUMMYFUNCTION("GOOGLETRANSLATE(E4234,""EN"",""JA"")"),"ヒトライノウイルス/エンテロウイルスRNA")</f>
        <v>ヒトライノウイルス/エンテロウイルスRNA</v>
      </c>
      <c r="J4234" s="1" t="str">
        <f>IFERROR(__xludf.DUMMYFUNCTION("GOOGLETRANSLATE(F4234,""EN"",""JA"")"),"生物学的標本中のヒトライノウイルス種および/またはヒエンテロウイルス種の RNA の測定。")</f>
        <v>生物学的標本中のヒトライノウイルス種および/またはヒエンテロウイルス種の RNA の測定。</v>
      </c>
      <c r="K4234" s="1" t="str">
        <f>IFERROR(__xludf.DUMMYFUNCTION("GOOGLETRANSLATE(G4234,""EN"",""JA"")"),"ヒトライノウイルスおよび/またはエンテロウイルスRNA測定")</f>
        <v>ヒトライノウイルスおよび/またはエンテロウイルスRNA測定</v>
      </c>
    </row>
    <row r="4235" ht="13.5" customHeight="1">
      <c r="A4235" s="1" t="s">
        <v>580</v>
      </c>
      <c r="B4235" s="1" t="s">
        <v>21184</v>
      </c>
      <c r="C4235" s="1" t="s">
        <v>21185</v>
      </c>
      <c r="D4235" s="1" t="s">
        <v>21186</v>
      </c>
      <c r="E4235" s="1" t="s">
        <v>21186</v>
      </c>
      <c r="F4235" s="1" t="s">
        <v>21187</v>
      </c>
      <c r="G4235" s="1" t="s">
        <v>21186</v>
      </c>
      <c r="H4235" s="1" t="str">
        <f>IFERROR(__xludf.DUMMYFUNCTION("GOOGLETRANSLATE(D4235,""EN"",""JA"")"),"予測残留量の割合")</f>
        <v>予測残留量の割合</v>
      </c>
      <c r="I4235" s="1" t="str">
        <f>IFERROR(__xludf.DUMMYFUNCTION("GOOGLETRANSLATE(E4235,""EN"",""JA"")"),"予測残留量の割合")</f>
        <v>予測残留量の割合</v>
      </c>
      <c r="J4235" s="1" t="str">
        <f>IFERROR(__xludf.DUMMYFUNCTION("GOOGLETRANSLATE(F4235,""EN"",""JA"")"),"最大限に呼気した後に肺に残る空気の量を、予測される正常値の割合として表します。")</f>
        <v>最大限に呼気した後に肺に残る空気の量を、予測される正常値の割合として表します。</v>
      </c>
      <c r="K4235" s="1" t="str">
        <f>IFERROR(__xludf.DUMMYFUNCTION("GOOGLETRANSLATE(G4235,""EN"",""JA"")"),"予測残留量の割合")</f>
        <v>予測残留量の割合</v>
      </c>
    </row>
    <row r="4236" ht="13.5" customHeight="1">
      <c r="A4236" s="1" t="s">
        <v>1168</v>
      </c>
      <c r="B4236" s="1" t="s">
        <v>21188</v>
      </c>
      <c r="C4236" s="1" t="s">
        <v>21189</v>
      </c>
      <c r="D4236" s="1" t="s">
        <v>21190</v>
      </c>
      <c r="E4236" s="1" t="s">
        <v>21190</v>
      </c>
      <c r="F4236" s="1" t="s">
        <v>21191</v>
      </c>
      <c r="G4236" s="1" t="s">
        <v>21192</v>
      </c>
      <c r="H4236" s="1" t="str">
        <f>IFERROR(__xludf.DUMMYFUNCTION("GOOGLETRANSLATE(D4236,""EN"",""JA"")"),"R波振幅、全体")</f>
        <v>R波振幅、全体</v>
      </c>
      <c r="I4236" s="1" t="str">
        <f>IFERROR(__xludf.DUMMYFUNCTION("GOOGLETRANSLATE(E4236,""EN"",""JA"")"),"R波振幅、全体")</f>
        <v>R波振幅、全体</v>
      </c>
      <c r="J4236" s="1" t="str">
        <f>IFERROR(__xludf.DUMMYFUNCTION("GOOGLETRANSLATE(F4236,""EN"",""JA"")"),"1回の心電図における複数の心拍におけるR波振幅の測定に基づく、R波振幅の集計値。集計方法は様々ですが、通常は平均値などの中心傾向を示す指標が用いられます。")</f>
        <v>1回の心電図における複数の心拍におけるR波振幅の測定に基づく、R波振幅の集計値。集計方法は様々ですが、通常は平均値などの中心傾向を示す指標が用いられます。</v>
      </c>
      <c r="K4236" s="1" t="str">
        <f>IFERROR(__xludf.DUMMYFUNCTION("GOOGLETRANSLATE(G4236,""EN"",""JA"")"),"R波振幅総計")</f>
        <v>R波振幅総計</v>
      </c>
    </row>
    <row r="4237" ht="13.5" customHeight="1">
      <c r="A4237" s="1" t="s">
        <v>1168</v>
      </c>
      <c r="B4237" s="1" t="s">
        <v>21193</v>
      </c>
      <c r="C4237" s="1" t="s">
        <v>21194</v>
      </c>
      <c r="D4237" s="1" t="s">
        <v>21195</v>
      </c>
      <c r="E4237" s="1" t="s">
        <v>21195</v>
      </c>
      <c r="F4237" s="1" t="s">
        <v>21196</v>
      </c>
      <c r="G4237" s="1" t="s">
        <v>21197</v>
      </c>
      <c r="H4237" s="1" t="str">
        <f>IFERROR(__xludf.DUMMYFUNCTION("GOOGLETRANSLATE(D4237,""EN"",""JA"")"),"R波振幅、1拍")</f>
        <v>R波振幅、1拍</v>
      </c>
      <c r="I4237" s="1" t="str">
        <f>IFERROR(__xludf.DUMMYFUNCTION("GOOGLETRANSLATE(E4237,""EN"",""JA"")"),"R波振幅、1拍")</f>
        <v>R波振幅、1拍</v>
      </c>
      <c r="J4237" s="1" t="str">
        <f>IFERROR(__xludf.DUMMYFUNCTION("GOOGLETRANSLATE(F4237,""EN"",""JA"")"),"心電図において、1回または複数回の誘導を用いて、等電位基線からR波のピークまでのR波の平均振幅（通常はmm単位）を測定する。記録ゲインに基づいて、この測定値は")</f>
        <v>心電図において、1回または複数回の誘導を用いて、等電位基線からR波のピークまでのR波の平均振幅（通常はmm単位）を測定する。記録ゲインに基づいて、この測定値は</v>
      </c>
      <c r="K4237" s="1" t="str">
        <f>IFERROR(__xludf.DUMMYFUNCTION("GOOGLETRANSLATE(G4237,""EN"",""JA"")"),"R波振幅単一拍")</f>
        <v>R波振幅単一拍</v>
      </c>
    </row>
    <row r="4238" ht="13.5" customHeight="1">
      <c r="A4238" s="1" t="s">
        <v>397</v>
      </c>
      <c r="B4238" s="1" t="s">
        <v>21198</v>
      </c>
      <c r="C4238" s="1" t="s">
        <v>21199</v>
      </c>
      <c r="D4238" s="1" t="s">
        <v>21200</v>
      </c>
      <c r="E4238" s="1" t="s">
        <v>21200</v>
      </c>
      <c r="F4238" s="1" t="s">
        <v>21201</v>
      </c>
      <c r="G4238" s="1" t="s">
        <v>21202</v>
      </c>
      <c r="H4238" s="1" t="str">
        <f>IFERROR(__xludf.DUMMYFUNCTION("GOOGLETRANSLATE(D4238,""EN"",""JA"")"),"研究指標のXMLコピーの要求")</f>
        <v>研究指標のXMLコピーの要求</v>
      </c>
      <c r="I4238" s="1" t="str">
        <f>IFERROR(__xludf.DUMMYFUNCTION("GOOGLETRANSLATE(E4238,""EN"",""JA"")"),"研究指標のXMLコピーの要求")</f>
        <v>研究指標のXMLコピーの要求</v>
      </c>
      <c r="J4238" s="1" t="str">
        <f>IFERROR(__xludf.DUMMYFUNCTION("GOOGLETRANSLATE(F4238,""EN"",""JA"")"),"登録者が、EudraCT に保存された研究の XML コピーを受け取ることを希望するかどうかを示します。")</f>
        <v>登録者が、EudraCT に保存された研究の XML コピーを受け取ることを希望するかどうかを示します。</v>
      </c>
      <c r="K4238" s="1" t="str">
        <f>IFERROR(__xludf.DUMMYFUNCTION("GOOGLETRANSLATE(G4238,""EN"",""JA"")"),"調査はXMLインジケーターとして保存されました")</f>
        <v>調査はXMLインジケーターとして保存されました</v>
      </c>
    </row>
    <row r="4239" ht="13.5" customHeight="1">
      <c r="A4239" s="1" t="s">
        <v>134</v>
      </c>
      <c r="B4239" s="1" t="s">
        <v>21203</v>
      </c>
      <c r="C4239" s="1" t="s">
        <v>21204</v>
      </c>
      <c r="D4239" s="1" t="s">
        <v>21205</v>
      </c>
      <c r="E4239" s="1" t="s">
        <v>21205</v>
      </c>
      <c r="F4239" s="1" t="s">
        <v>21206</v>
      </c>
      <c r="G4239" s="1" t="s">
        <v>21207</v>
      </c>
      <c r="H4239" s="1" t="str">
        <f>IFERROR(__xludf.DUMMYFUNCTION("GOOGLETRANSLATE(D4239,""EN"",""JA"")"),"S100カルシウム結合タンパク質")</f>
        <v>S100カルシウム結合タンパク質</v>
      </c>
      <c r="I4239" s="1" t="str">
        <f>IFERROR(__xludf.DUMMYFUNCTION("GOOGLETRANSLATE(E4239,""EN"",""JA"")"),"S100カルシウム結合タンパク質")</f>
        <v>S100カルシウム結合タンパク質</v>
      </c>
      <c r="J4239" s="1" t="str">
        <f>IFERROR(__xludf.DUMMYFUNCTION("GOOGLETRANSLATE(F4239,""EN"",""JA"")"),"生物標本中のカルシウム結合タンパク質の S100 ファミリーの測定。")</f>
        <v>生物標本中のカルシウム結合タンパク質の S100 ファミリーの測定。</v>
      </c>
      <c r="K4239" s="1" t="str">
        <f>IFERROR(__xludf.DUMMYFUNCTION("GOOGLETRANSLATE(G4239,""EN"",""JA"")"),"S100カルシウム結合タンパク質測定")</f>
        <v>S100カルシウム結合タンパク質測定</v>
      </c>
    </row>
    <row r="4240" ht="13.5" customHeight="1">
      <c r="A4240" s="1" t="s">
        <v>134</v>
      </c>
      <c r="B4240" s="1" t="s">
        <v>21208</v>
      </c>
      <c r="C4240" s="1" t="s">
        <v>21209</v>
      </c>
      <c r="D4240" s="1" t="s">
        <v>21210</v>
      </c>
      <c r="E4240" s="1" t="s">
        <v>21210</v>
      </c>
      <c r="F4240" s="1" t="s">
        <v>21211</v>
      </c>
      <c r="G4240" s="1" t="s">
        <v>21212</v>
      </c>
      <c r="H4240" s="1" t="str">
        <f>IFERROR(__xludf.DUMMYFUNCTION("GOOGLETRANSLATE(D4240,""EN"",""JA"")"),"S100 カルシウム結合タンパク質A7")</f>
        <v>S100 カルシウム結合タンパク質A7</v>
      </c>
      <c r="I4240" s="1" t="str">
        <f>IFERROR(__xludf.DUMMYFUNCTION("GOOGLETRANSLATE(E4240,""EN"",""JA"")"),"S100 カルシウム結合タンパク質A7")</f>
        <v>S100 カルシウム結合タンパク質A7</v>
      </c>
      <c r="J4240" s="1" t="str">
        <f>IFERROR(__xludf.DUMMYFUNCTION("GOOGLETRANSLATE(F4240,""EN"",""JA"")"),"生物標本中の S100 カルシウム結合タンパク質 A7 の測定。")</f>
        <v>生物標本中の S100 カルシウム結合タンパク質 A7 の測定。</v>
      </c>
      <c r="K4240" s="1" t="str">
        <f>IFERROR(__xludf.DUMMYFUNCTION("GOOGLETRANSLATE(G4240,""EN"",""JA"")"),"S100カルシウム結合タンパク質A7測定")</f>
        <v>S100カルシウム結合タンパク質A7測定</v>
      </c>
    </row>
    <row r="4241" ht="13.5" customHeight="1">
      <c r="A4241" s="1" t="s">
        <v>11</v>
      </c>
      <c r="B4241" s="1" t="s">
        <v>21213</v>
      </c>
      <c r="C4241" s="1" t="s">
        <v>21214</v>
      </c>
      <c r="D4241" s="1" t="s">
        <v>21215</v>
      </c>
      <c r="E4241" s="1" t="s">
        <v>21215</v>
      </c>
      <c r="F4241" s="1" t="s">
        <v>21216</v>
      </c>
      <c r="G4241" s="1" t="s">
        <v>21217</v>
      </c>
      <c r="H4241" s="1" t="str">
        <f>IFERROR(__xludf.DUMMYFUNCTION("GOOGLETRANSLATE(D4241,""EN"",""JA"")"),"S100カルシウム結合タンパク質A8")</f>
        <v>S100カルシウム結合タンパク質A8</v>
      </c>
      <c r="I4241" s="1" t="str">
        <f>IFERROR(__xludf.DUMMYFUNCTION("GOOGLETRANSLATE(E4241,""EN"",""JA"")"),"S100カルシウム結合タンパク質A8")</f>
        <v>S100カルシウム結合タンパク質A8</v>
      </c>
      <c r="J4241" s="1" t="str">
        <f>IFERROR(__xludf.DUMMYFUNCTION("GOOGLETRANSLATE(F4241,""EN"",""JA"")"),"生物標本中の S100 カルシウム結合タンパク質 A8 の測定。")</f>
        <v>生物標本中の S100 カルシウム結合タンパク質 A8 の測定。</v>
      </c>
      <c r="K4241" s="1" t="str">
        <f>IFERROR(__xludf.DUMMYFUNCTION("GOOGLETRANSLATE(G4241,""EN"",""JA"")"),"S100カルシウム結合タンパク質A8測定")</f>
        <v>S100カルシウム結合タンパク質A8測定</v>
      </c>
    </row>
    <row r="4242" ht="13.5" customHeight="1">
      <c r="A4242" s="1" t="s">
        <v>134</v>
      </c>
      <c r="B4242" s="1" t="s">
        <v>21218</v>
      </c>
      <c r="C4242" s="1" t="s">
        <v>21219</v>
      </c>
      <c r="D4242" s="1" t="s">
        <v>21220</v>
      </c>
      <c r="E4242" s="1" t="s">
        <v>21220</v>
      </c>
      <c r="F4242" s="1" t="s">
        <v>21221</v>
      </c>
      <c r="G4242" s="1" t="s">
        <v>21222</v>
      </c>
      <c r="H4242" s="1" t="str">
        <f>IFERROR(__xludf.DUMMYFUNCTION("GOOGLETRANSLATE(D4242,""EN"",""JA"")"),"S100カルシウム結合タンパク質B")</f>
        <v>S100カルシウム結合タンパク質B</v>
      </c>
      <c r="I4242" s="1" t="str">
        <f>IFERROR(__xludf.DUMMYFUNCTION("GOOGLETRANSLATE(E4242,""EN"",""JA"")"),"S100カルシウム結合タンパク質B")</f>
        <v>S100カルシウム結合タンパク質B</v>
      </c>
      <c r="J4242" s="1" t="str">
        <f>IFERROR(__xludf.DUMMYFUNCTION("GOOGLETRANSLATE(F4242,""EN"",""JA"")"),"生物標本中の S100 カルシウム結合タンパク質 B の測定値。")</f>
        <v>生物標本中の S100 カルシウム結合タンパク質 B の測定値。</v>
      </c>
      <c r="K4242" s="1" t="str">
        <f>IFERROR(__xludf.DUMMYFUNCTION("GOOGLETRANSLATE(G4242,""EN"",""JA"")"),"S100カルシウム結合タンパク質B測定")</f>
        <v>S100カルシウム結合タンパク質B測定</v>
      </c>
    </row>
    <row r="4243" ht="13.5" customHeight="1">
      <c r="A4243" s="1" t="s">
        <v>11</v>
      </c>
      <c r="B4243" s="1" t="s">
        <v>21218</v>
      </c>
      <c r="C4243" s="1" t="s">
        <v>21219</v>
      </c>
      <c r="D4243" s="1" t="s">
        <v>21220</v>
      </c>
      <c r="E4243" s="1" t="s">
        <v>21220</v>
      </c>
      <c r="F4243" s="1" t="s">
        <v>21221</v>
      </c>
      <c r="G4243" s="1" t="s">
        <v>21222</v>
      </c>
      <c r="H4243" s="1" t="str">
        <f>IFERROR(__xludf.DUMMYFUNCTION("GOOGLETRANSLATE(D4243,""EN"",""JA"")"),"S100カルシウム結合タンパク質B")</f>
        <v>S100カルシウム結合タンパク質B</v>
      </c>
      <c r="I4243" s="1" t="str">
        <f>IFERROR(__xludf.DUMMYFUNCTION("GOOGLETRANSLATE(E4243,""EN"",""JA"")"),"S100カルシウム結合タンパク質B")</f>
        <v>S100カルシウム結合タンパク質B</v>
      </c>
      <c r="J4243" s="1" t="str">
        <f>IFERROR(__xludf.DUMMYFUNCTION("GOOGLETRANSLATE(F4243,""EN"",""JA"")"),"生物標本中の S100 カルシウム結合タンパク質 B の測定値。")</f>
        <v>生物標本中の S100 カルシウム結合タンパク質 B の測定値。</v>
      </c>
      <c r="K4243" s="1" t="str">
        <f>IFERROR(__xludf.DUMMYFUNCTION("GOOGLETRANSLATE(G4243,""EN"",""JA"")"),"S100カルシウム結合タンパク質B測定")</f>
        <v>S100カルシウム結合タンパク質B測定</v>
      </c>
    </row>
    <row r="4244" ht="13.5" customHeight="1">
      <c r="A4244" s="1" t="s">
        <v>11</v>
      </c>
      <c r="B4244" s="1" t="s">
        <v>21223</v>
      </c>
      <c r="C4244" s="1" t="s">
        <v>21224</v>
      </c>
      <c r="D4244" s="1" t="s">
        <v>21225</v>
      </c>
      <c r="E4244" s="1" t="s">
        <v>21226</v>
      </c>
      <c r="F4244" s="1" t="s">
        <v>21227</v>
      </c>
      <c r="G4244" s="1" t="s">
        <v>21228</v>
      </c>
      <c r="H4244" s="1" t="str">
        <f>IFERROR(__xludf.DUMMYFUNCTION("GOOGLETRANSLATE(D4244,""EN"",""JA"")"),"リン酸化S6リボソームタンパク質")</f>
        <v>リン酸化S6リボソームタンパク質</v>
      </c>
      <c r="I4244" s="1" t="str">
        <f>IFERROR(__xludf.DUMMYFUNCTION("GOOGLETRANSLATE(E4244,""EN"",""JA"")"),"リン酸化S6リボソームタンパク質; 40Sリボソームサブユニットのリン酸化S6タンパク質")</f>
        <v>リン酸化S6リボソームタンパク質; 40Sリボソームサブユニットのリン酸化S6タンパク質</v>
      </c>
      <c r="J4244" s="1" t="str">
        <f>IFERROR(__xludf.DUMMYFUNCTION("GOOGLETRANSLATE(F4244,""EN"",""JA"")"),"生物標本中の 40S リボソームサブユニットのリン酸化 S6 タンパク質の測定。")</f>
        <v>生物標本中の 40S リボソームサブユニットのリン酸化 S6 タンパク質の測定。</v>
      </c>
      <c r="K4244" s="1" t="str">
        <f>IFERROR(__xludf.DUMMYFUNCTION("GOOGLETRANSLATE(G4244,""EN"",""JA"")"),"リン酸化された40Sリボソームタンパク質S6の測定")</f>
        <v>リン酸化された40Sリボソームタンパク質S6の測定</v>
      </c>
    </row>
    <row r="4245" ht="13.5" customHeight="1">
      <c r="A4245" s="1" t="s">
        <v>11</v>
      </c>
      <c r="B4245" s="1" t="s">
        <v>21229</v>
      </c>
      <c r="C4245" s="1" t="s">
        <v>21230</v>
      </c>
      <c r="D4245" s="1" t="s">
        <v>21231</v>
      </c>
      <c r="E4245" s="1" t="s">
        <v>21232</v>
      </c>
      <c r="F4245" s="1" t="s">
        <v>21233</v>
      </c>
      <c r="G4245" s="1" t="s">
        <v>21234</v>
      </c>
      <c r="H4245" s="1" t="str">
        <f>IFERROR(__xludf.DUMMYFUNCTION("GOOGLETRANSLATE(D4245,""EN"",""JA"")"),"血清アミロイドA1")</f>
        <v>血清アミロイドA1</v>
      </c>
      <c r="I4245" s="1" t="str">
        <f>IFERROR(__xludf.DUMMYFUNCTION("GOOGLETRANSLATE(E4245,""EN"",""JA"")"),"PIG4; SAA1; 血清アミロイドA-1タンパク質; 血清アミロイドA1")</f>
        <v>PIG4; SAA1; 血清アミロイドA-1タンパク質; 血清アミロイドA1</v>
      </c>
      <c r="J4245" s="1" t="str">
        <f>IFERROR(__xludf.DUMMYFUNCTION("GOOGLETRANSLATE(F4245,""EN"",""JA"")"),"生物標本中の血清アミロイド A1 の測定。")</f>
        <v>生物標本中の血清アミロイド A1 の測定。</v>
      </c>
      <c r="K4245" s="1" t="str">
        <f>IFERROR(__xludf.DUMMYFUNCTION("GOOGLETRANSLATE(G4245,""EN"",""JA"")"),"血清アミロイドA1測定")</f>
        <v>血清アミロイドA1測定</v>
      </c>
    </row>
    <row r="4246" ht="13.5" customHeight="1">
      <c r="A4246" s="1" t="s">
        <v>11</v>
      </c>
      <c r="B4246" s="1" t="s">
        <v>21235</v>
      </c>
      <c r="C4246" s="1" t="s">
        <v>21236</v>
      </c>
      <c r="D4246" s="1" t="s">
        <v>21237</v>
      </c>
      <c r="E4246" s="1" t="s">
        <v>21238</v>
      </c>
      <c r="F4246" s="1" t="s">
        <v>21239</v>
      </c>
      <c r="G4246" s="1" t="s">
        <v>21240</v>
      </c>
      <c r="H4246" s="1" t="str">
        <f>IFERROR(__xludf.DUMMYFUNCTION("GOOGLETRANSLATE(D4246,""EN"",""JA"")"),"血清-腹水アルブミン勾配")</f>
        <v>血清-腹水アルブミン勾配</v>
      </c>
      <c r="I4246" s="1" t="str">
        <f>IFERROR(__xludf.DUMMYFUNCTION("GOOGLETRANSLATE(E4246,""EN"",""JA"")"),"サーグ;血清-腹水アルブミン勾配")</f>
        <v>サーグ;血清-腹水アルブミン勾配</v>
      </c>
      <c r="J4246" s="1" t="str">
        <f>IFERROR(__xludf.DUMMYFUNCTION("GOOGLETRANSLATE(F4246,""EN"",""JA"")"),"血清中のアルブミンから腹水中のアルブミンの量を差し引いて計算される、血清-腹水アルブミン勾配の測定値。")</f>
        <v>血清中のアルブミンから腹水中のアルブミンの量を差し引いて計算される、血清-腹水アルブミン勾配の測定値。</v>
      </c>
      <c r="K4246" s="1" t="str">
        <f>IFERROR(__xludf.DUMMYFUNCTION("GOOGLETRANSLATE(G4246,""EN"",""JA"")"),"血清-腹水アルブミン勾配測定")</f>
        <v>血清-腹水アルブミン勾配測定</v>
      </c>
    </row>
    <row r="4247" ht="13.5" customHeight="1">
      <c r="A4247" s="1" t="s">
        <v>129</v>
      </c>
      <c r="B4247" s="1" t="s">
        <v>21241</v>
      </c>
      <c r="C4247" s="1" t="s">
        <v>21242</v>
      </c>
      <c r="D4247" s="1" t="s">
        <v>21243</v>
      </c>
      <c r="E4247" s="1" t="s">
        <v>21243</v>
      </c>
      <c r="F4247" s="1" t="s">
        <v>21244</v>
      </c>
      <c r="G4247" s="1" t="s">
        <v>21243</v>
      </c>
      <c r="H4247" s="1" t="str">
        <f>IFERROR(__xludf.DUMMYFUNCTION("GOOGLETRANSLATE(D4247,""EN"",""JA"")"),"腹部矢状径")</f>
        <v>腹部矢状径</v>
      </c>
      <c r="I4247" s="1" t="str">
        <f>IFERROR(__xludf.DUMMYFUNCTION("GOOGLETRANSLATE(E4247,""EN"",""JA"")"),"腹部矢状径")</f>
        <v>腹部矢状径</v>
      </c>
      <c r="J4247" s="1" t="str">
        <f>IFERROR(__xludf.DUMMYFUNCTION("GOOGLETRANSLATE(F4247,""EN"",""JA"")"),"内臓肥満、すなわち腹部脂肪の標準的な指標で、患者の背中から上腹部にかけて、胸郭の下部と骨盤上部の間を測ります。この測定は、患者が立位または仰臥位の状態で行うことができます。")</f>
        <v>内臓肥満、すなわち腹部脂肪の標準的な指標で、患者の背中から上腹部にかけて、胸郭の下部と骨盤上部の間を測ります。この測定は、患者が立位または仰臥位の状態で行うことができます。</v>
      </c>
      <c r="K4247" s="1" t="str">
        <f>IFERROR(__xludf.DUMMYFUNCTION("GOOGLETRANSLATE(G4247,""EN"",""JA"")"),"腹部矢状径")</f>
        <v>腹部矢状径</v>
      </c>
    </row>
    <row r="4248" ht="13.5" customHeight="1">
      <c r="A4248" s="1" t="s">
        <v>67</v>
      </c>
      <c r="B4248" s="1" t="s">
        <v>21245</v>
      </c>
      <c r="C4248" s="1" t="s">
        <v>21246</v>
      </c>
      <c r="D4248" s="1" t="s">
        <v>21247</v>
      </c>
      <c r="E4248" s="1" t="s">
        <v>21247</v>
      </c>
      <c r="F4248" s="1" t="s">
        <v>21248</v>
      </c>
      <c r="G4248" s="1" t="s">
        <v>21249</v>
      </c>
      <c r="H4248" s="1" t="str">
        <f>IFERROR(__xludf.DUMMYFUNCTION("GOOGLETRANSLATE(D4248,""EN"",""JA"")"),"ストレプトコッカス・アガラクティエ")</f>
        <v>ストレプトコッカス・アガラクティエ</v>
      </c>
      <c r="I4248" s="1" t="str">
        <f>IFERROR(__xludf.DUMMYFUNCTION("GOOGLETRANSLATE(E4248,""EN"",""JA"")"),"ストレプトコッカス・アガラクティエ")</f>
        <v>ストレプトコッカス・アガラクティエ</v>
      </c>
      <c r="J4248" s="1" t="str">
        <f>IFERROR(__xludf.DUMMYFUNCTION("GOOGLETRANSLATE(F4248,""EN"",""JA"")"),"生物標本中の Streptococcus agalactiae の測定。")</f>
        <v>生物標本中の Streptococcus agalactiae の測定。</v>
      </c>
      <c r="K4248" s="1" t="str">
        <f>IFERROR(__xludf.DUMMYFUNCTION("GOOGLETRANSLATE(G4248,""EN"",""JA"")"),"Streptococcus agalactiaeの測定")</f>
        <v>Streptococcus agalactiaeの測定</v>
      </c>
    </row>
    <row r="4249" ht="13.5" customHeight="1">
      <c r="A4249" s="1" t="s">
        <v>67</v>
      </c>
      <c r="B4249" s="1" t="s">
        <v>21250</v>
      </c>
      <c r="C4249" s="1" t="s">
        <v>21251</v>
      </c>
      <c r="D4249" s="1" t="s">
        <v>21252</v>
      </c>
      <c r="E4249" s="1" t="s">
        <v>21253</v>
      </c>
      <c r="F4249" s="1" t="s">
        <v>21254</v>
      </c>
      <c r="G4249" s="1" t="s">
        <v>21255</v>
      </c>
      <c r="H4249" s="1" t="str">
        <f>IFERROR(__xludf.DUMMYFUNCTION("GOOGLETRANSLATE(D4249,""EN"",""JA"")"),"ストレプトコッカス・アガラクティエ抗原")</f>
        <v>ストレプトコッカス・アガラクティエ抗原</v>
      </c>
      <c r="I4249" s="1" t="str">
        <f>IFERROR(__xludf.DUMMYFUNCTION("GOOGLETRANSLATE(E4249,""EN"",""JA"")"),"Streptococcus agalactiae抗原; Streptococcus Group B抗原")</f>
        <v>Streptococcus agalactiae抗原; Streptococcus Group B抗原</v>
      </c>
      <c r="J4249" s="1" t="str">
        <f>IFERROR(__xludf.DUMMYFUNCTION("GOOGLETRANSLATE(F4249,""EN"",""JA"")"),"生物標本中の Streptococcus agalactiae 抗原の測定。")</f>
        <v>生物標本中の Streptococcus agalactiae 抗原の測定。</v>
      </c>
      <c r="K4249" s="1" t="str">
        <f>IFERROR(__xludf.DUMMYFUNCTION("GOOGLETRANSLATE(G4249,""EN"",""JA"")"),"Streptococcus agalactiae抗原測定")</f>
        <v>Streptococcus agalactiae抗原測定</v>
      </c>
    </row>
    <row r="4250" ht="13.5" customHeight="1">
      <c r="A4250" s="1" t="s">
        <v>67</v>
      </c>
      <c r="B4250" s="1" t="s">
        <v>21256</v>
      </c>
      <c r="C4250" s="1" t="s">
        <v>21257</v>
      </c>
      <c r="D4250" s="1" t="s">
        <v>21258</v>
      </c>
      <c r="E4250" s="1" t="s">
        <v>21258</v>
      </c>
      <c r="F4250" s="1" t="s">
        <v>21259</v>
      </c>
      <c r="G4250" s="1" t="s">
        <v>21260</v>
      </c>
      <c r="H4250" s="1" t="str">
        <f>IFERROR(__xludf.DUMMYFUNCTION("GOOGLETRANSLATE(D4250,""EN"",""JA"")"),"ストレプトコッカス・アガラクティエDNA")</f>
        <v>ストレプトコッカス・アガラクティエDNA</v>
      </c>
      <c r="I4250" s="1" t="str">
        <f>IFERROR(__xludf.DUMMYFUNCTION("GOOGLETRANSLATE(E4250,""EN"",""JA"")"),"ストレプトコッカス・アガラクティエDNA")</f>
        <v>ストレプトコッカス・アガラクティエDNA</v>
      </c>
      <c r="J4250" s="1" t="str">
        <f>IFERROR(__xludf.DUMMYFUNCTION("GOOGLETRANSLATE(F4250,""EN"",""JA"")"),"生物標本中の Streptococcus agalactiae DNA の測定。")</f>
        <v>生物標本中の Streptococcus agalactiae DNA の測定。</v>
      </c>
      <c r="K4250" s="1" t="str">
        <f>IFERROR(__xludf.DUMMYFUNCTION("GOOGLETRANSLATE(G4250,""EN"",""JA"")"),"ストレプトコッカス・アガラクティエDNA測定")</f>
        <v>ストレプトコッカス・アガラクティエDNA測定</v>
      </c>
    </row>
    <row r="4251" ht="13.5" customHeight="1">
      <c r="A4251" s="1" t="s">
        <v>11</v>
      </c>
      <c r="B4251" s="1" t="s">
        <v>21261</v>
      </c>
      <c r="C4251" s="1" t="s">
        <v>21262</v>
      </c>
      <c r="D4251" s="1" t="s">
        <v>21263</v>
      </c>
      <c r="E4251" s="1" t="s">
        <v>21264</v>
      </c>
      <c r="F4251" s="1" t="s">
        <v>21265</v>
      </c>
      <c r="G4251" s="1" t="s">
        <v>21266</v>
      </c>
      <c r="H4251" s="1" t="str">
        <f>IFERROR(__xludf.DUMMYFUNCTION("GOOGLETRANSLATE(D4251,""EN"",""JA"")"),"S-アデノシルホモシステイン")</f>
        <v>S-アデノシルホモシステイン</v>
      </c>
      <c r="I4251" s="1" t="str">
        <f>IFERROR(__xludf.DUMMYFUNCTION("GOOGLETRANSLATE(E4251,""EN"",""JA"")"),"S-アデノシル-L-ホモシステイン; S-アデノシルホモシステイン; SAH")</f>
        <v>S-アデノシル-L-ホモシステイン; S-アデノシルホモシステイン; SAH</v>
      </c>
      <c r="J4251" s="1" t="str">
        <f>IFERROR(__xludf.DUMMYFUNCTION("GOOGLETRANSLATE(F4251,""EN"",""JA"")"),"生物標本中の S-アデノシルホモシステインの測定。")</f>
        <v>生物標本中の S-アデノシルホモシステインの測定。</v>
      </c>
      <c r="K4251" s="1" t="str">
        <f>IFERROR(__xludf.DUMMYFUNCTION("GOOGLETRANSLATE(G4251,""EN"",""JA"")"),"S-アデノシルホモシステイン測定")</f>
        <v>S-アデノシルホモシステイン測定</v>
      </c>
    </row>
    <row r="4252" ht="13.5" customHeight="1">
      <c r="A4252" s="1" t="s">
        <v>11</v>
      </c>
      <c r="B4252" s="1" t="s">
        <v>21267</v>
      </c>
      <c r="C4252" s="1" t="s">
        <v>21268</v>
      </c>
      <c r="D4252" s="1" t="s">
        <v>21269</v>
      </c>
      <c r="E4252" s="1" t="s">
        <v>21269</v>
      </c>
      <c r="F4252" s="1" t="s">
        <v>21270</v>
      </c>
      <c r="G4252" s="1" t="s">
        <v>21271</v>
      </c>
      <c r="H4252" s="1" t="str">
        <f>IFERROR(__xludf.DUMMYFUNCTION("GOOGLETRANSLATE(D4252,""EN"",""JA"")"),"サリチル酸塩")</f>
        <v>サリチル酸塩</v>
      </c>
      <c r="I4252" s="1" t="str">
        <f>IFERROR(__xludf.DUMMYFUNCTION("GOOGLETRANSLATE(E4252,""EN"",""JA"")"),"サリチル酸塩")</f>
        <v>サリチル酸塩</v>
      </c>
      <c r="J4252" s="1" t="str">
        <f>IFERROR(__xludf.DUMMYFUNCTION("GOOGLETRANSLATE(F4252,""EN"",""JA"")"),"生物標本中のサリチル酸塩の測定。")</f>
        <v>生物標本中のサリチル酸塩の測定。</v>
      </c>
      <c r="K4252" s="1" t="str">
        <f>IFERROR(__xludf.DUMMYFUNCTION("GOOGLETRANSLATE(G4252,""EN"",""JA"")"),"サリチル酸塩測定")</f>
        <v>サリチル酸塩測定</v>
      </c>
    </row>
    <row r="4253" ht="13.5" customHeight="1">
      <c r="A4253" s="1" t="s">
        <v>580</v>
      </c>
      <c r="B4253" s="1" t="s">
        <v>21272</v>
      </c>
      <c r="C4253" s="1" t="s">
        <v>21273</v>
      </c>
      <c r="D4253" s="1" t="s">
        <v>21274</v>
      </c>
      <c r="E4253" s="1" t="s">
        <v>21274</v>
      </c>
      <c r="F4253" s="1" t="s">
        <v>21275</v>
      </c>
      <c r="G4253" s="1" t="s">
        <v>21274</v>
      </c>
      <c r="H4253" s="1" t="str">
        <f>IFERROR(__xludf.DUMMYFUNCTION("GOOGLETRANSLATE(D4253,""EN"",""JA"")"),"サラザール・ノウルズの式のパラメータA")</f>
        <v>サラザール・ノウルズの式のパラメータA</v>
      </c>
      <c r="I4253" s="1" t="str">
        <f>IFERROR(__xludf.DUMMYFUNCTION("GOOGLETRANSLATE(E4253,""EN"",""JA"")"),"サラザール・ノウルズの式のパラメータA")</f>
        <v>サラザール・ノウルズの式のパラメータA</v>
      </c>
      <c r="J4253" s="1" t="str">
        <f>IFERROR(__xludf.DUMMYFUNCTION("GOOGLETRANSLATE(F4253,""EN"",""JA"")"),"サラザール・ノウルズ方程式によって記述される指数関数の表現と、被験者の吸気能力の推定値。")</f>
        <v>サラザール・ノウルズ方程式によって記述される指数関数の表現と、被験者の吸気能力の推定値。</v>
      </c>
      <c r="K4253" s="1" t="str">
        <f>IFERROR(__xludf.DUMMYFUNCTION("GOOGLETRANSLATE(G4253,""EN"",""JA"")"),"サラザール・ノウルズの式のパラメータA")</f>
        <v>サラザール・ノウルズの式のパラメータA</v>
      </c>
    </row>
    <row r="4254" ht="13.5" customHeight="1">
      <c r="A4254" s="1" t="s">
        <v>580</v>
      </c>
      <c r="B4254" s="1" t="s">
        <v>21276</v>
      </c>
      <c r="C4254" s="1" t="s">
        <v>21277</v>
      </c>
      <c r="D4254" s="1" t="s">
        <v>21278</v>
      </c>
      <c r="E4254" s="1" t="s">
        <v>21278</v>
      </c>
      <c r="F4254" s="1" t="s">
        <v>21279</v>
      </c>
      <c r="G4254" s="1" t="s">
        <v>21278</v>
      </c>
      <c r="H4254" s="1" t="str">
        <f>IFERROR(__xludf.DUMMYFUNCTION("GOOGLETRANSLATE(D4254,""EN"",""JA"")"),"サラザール・ノウルズ方程式のパラメータB")</f>
        <v>サラザール・ノウルズ方程式のパラメータB</v>
      </c>
      <c r="I4254" s="1" t="str">
        <f>IFERROR(__xludf.DUMMYFUNCTION("GOOGLETRANSLATE(E4254,""EN"",""JA"")"),"サラザール・ノウルズ方程式のパラメータB")</f>
        <v>サラザール・ノウルズ方程式のパラメータB</v>
      </c>
      <c r="J4254" s="1" t="str">
        <f>IFERROR(__xludf.DUMMYFUNCTION("GOOGLETRANSLATE(F4254,""EN"",""JA"")"),"全肺容量の容積と肺内圧ゼロの仮定容積の差。")</f>
        <v>全肺容量の容積と肺内圧ゼロの仮定容積の差。</v>
      </c>
      <c r="K4254" s="1" t="str">
        <f>IFERROR(__xludf.DUMMYFUNCTION("GOOGLETRANSLATE(G4254,""EN"",""JA"")"),"サラザール・ノウルズ方程式のパラメータB")</f>
        <v>サラザール・ノウルズ方程式のパラメータB</v>
      </c>
    </row>
    <row r="4255" ht="13.5" customHeight="1">
      <c r="A4255" s="1" t="s">
        <v>580</v>
      </c>
      <c r="B4255" s="1" t="s">
        <v>21280</v>
      </c>
      <c r="C4255" s="1" t="s">
        <v>21281</v>
      </c>
      <c r="D4255" s="1" t="s">
        <v>21282</v>
      </c>
      <c r="E4255" s="1" t="s">
        <v>21282</v>
      </c>
      <c r="F4255" s="1" t="s">
        <v>21283</v>
      </c>
      <c r="G4255" s="1" t="s">
        <v>21284</v>
      </c>
      <c r="H4255" s="1" t="str">
        <f>IFERROR(__xludf.DUMMYFUNCTION("GOOGLETRANSLATE(D4255,""EN"",""JA"")"),"サラザール・ノウルズ方程式、K")</f>
        <v>サラザール・ノウルズ方程式、K</v>
      </c>
      <c r="I4255" s="1" t="str">
        <f>IFERROR(__xludf.DUMMYFUNCTION("GOOGLETRANSLATE(E4255,""EN"",""JA"")"),"サラザール・ノウルズ方程式、K")</f>
        <v>サラザール・ノウルズ方程式、K</v>
      </c>
      <c r="J4255" s="1" t="str">
        <f>IFERROR(__xludf.DUMMYFUNCTION("GOOGLETRANSLATE(F4255,""EN"",""JA"")"),"圧力-容積曲線の収縮肢の上部部分の曲率の反映。")</f>
        <v>圧力-容積曲線の収縮肢の上部部分の曲率の反映。</v>
      </c>
      <c r="K4255" s="1" t="str">
        <f>IFERROR(__xludf.DUMMYFUNCTION("GOOGLETRANSLATE(G4255,""EN"",""JA"")"),"サラザール・ノウルズ方程式、Kパラメータ")</f>
        <v>サラザール・ノウルズ方程式、Kパラメータ</v>
      </c>
    </row>
    <row r="4256" ht="13.5" customHeight="1">
      <c r="A4256" s="1" t="s">
        <v>67</v>
      </c>
      <c r="B4256" s="1" t="s">
        <v>21285</v>
      </c>
      <c r="C4256" s="1" t="s">
        <v>21286</v>
      </c>
      <c r="D4256" s="1" t="s">
        <v>21287</v>
      </c>
      <c r="E4256" s="1" t="s">
        <v>21287</v>
      </c>
      <c r="F4256" s="1" t="s">
        <v>21288</v>
      </c>
      <c r="G4256" s="1" t="s">
        <v>21289</v>
      </c>
      <c r="H4256" s="1" t="str">
        <f>IFERROR(__xludf.DUMMYFUNCTION("GOOGLETRANSLATE(D4256,""EN"",""JA"")"),"サルモネラ抗原")</f>
        <v>サルモネラ抗原</v>
      </c>
      <c r="I4256" s="1" t="str">
        <f>IFERROR(__xludf.DUMMYFUNCTION("GOOGLETRANSLATE(E4256,""EN"",""JA"")"),"サルモネラ抗原")</f>
        <v>サルモネラ抗原</v>
      </c>
      <c r="J4256" s="1" t="str">
        <f>IFERROR(__xludf.DUMMYFUNCTION("GOOGLETRANSLATE(F4256,""EN"",""JA"")"),"生物標本中のサルモネラ属の任意の菌の抗原の測定。")</f>
        <v>生物標本中のサルモネラ属の任意の菌の抗原の測定。</v>
      </c>
      <c r="K4256" s="1" t="str">
        <f>IFERROR(__xludf.DUMMYFUNCTION("GOOGLETRANSLATE(G4256,""EN"",""JA"")"),"サルモネラ抗原測定")</f>
        <v>サルモネラ抗原測定</v>
      </c>
    </row>
    <row r="4257" ht="13.5" customHeight="1">
      <c r="A4257" s="1" t="s">
        <v>67</v>
      </c>
      <c r="B4257" s="1" t="s">
        <v>21290</v>
      </c>
      <c r="C4257" s="1" t="s">
        <v>21291</v>
      </c>
      <c r="D4257" s="1" t="s">
        <v>21292</v>
      </c>
      <c r="E4257" s="1" t="s">
        <v>21292</v>
      </c>
      <c r="F4257" s="1" t="s">
        <v>21293</v>
      </c>
      <c r="G4257" s="1" t="s">
        <v>21294</v>
      </c>
      <c r="H4257" s="1" t="str">
        <f>IFERROR(__xludf.DUMMYFUNCTION("GOOGLETRANSLATE(D4257,""EN"",""JA"")"),"サルモネラDNA")</f>
        <v>サルモネラDNA</v>
      </c>
      <c r="I4257" s="1" t="str">
        <f>IFERROR(__xludf.DUMMYFUNCTION("GOOGLETRANSLATE(E4257,""EN"",""JA"")"),"サルモネラDNA")</f>
        <v>サルモネラDNA</v>
      </c>
      <c r="J4257" s="1" t="str">
        <f>IFERROR(__xludf.DUMMYFUNCTION("GOOGLETRANSLATE(F4257,""EN"",""JA"")"),"生物標本中のサルモネラ属の任意の菌の DNA の測定。")</f>
        <v>生物標本中のサルモネラ属の任意の菌の DNA の測定。</v>
      </c>
      <c r="K4257" s="1" t="str">
        <f>IFERROR(__xludf.DUMMYFUNCTION("GOOGLETRANSLATE(G4257,""EN"",""JA"")"),"サルモネラDNA測定")</f>
        <v>サルモネラDNA測定</v>
      </c>
    </row>
    <row r="4258" ht="13.5" customHeight="1">
      <c r="A4258" s="1" t="s">
        <v>67</v>
      </c>
      <c r="B4258" s="1" t="s">
        <v>21295</v>
      </c>
      <c r="C4258" s="1" t="s">
        <v>21296</v>
      </c>
      <c r="D4258" s="1" t="s">
        <v>21297</v>
      </c>
      <c r="E4258" s="1" t="s">
        <v>21297</v>
      </c>
      <c r="F4258" s="1" t="s">
        <v>21298</v>
      </c>
      <c r="G4258" s="1" t="s">
        <v>21299</v>
      </c>
      <c r="H4258" s="1" t="str">
        <f>IFERROR(__xludf.DUMMYFUNCTION("GOOGLETRANSLATE(D4258,""EN"",""JA"")"),"サルモネラ")</f>
        <v>サルモネラ</v>
      </c>
      <c r="I4258" s="1" t="str">
        <f>IFERROR(__xludf.DUMMYFUNCTION("GOOGLETRANSLATE(E4258,""EN"",""JA"")"),"サルモネラ")</f>
        <v>サルモネラ</v>
      </c>
      <c r="J4258" s="1" t="str">
        <f>IFERROR(__xludf.DUMMYFUNCTION("GOOGLETRANSLATE(F4258,""EN"",""JA"")"),"生物標本において、種レベルには割り当てられていないが、サルモネラ属レベルに割り当てられている生物の測定値。")</f>
        <v>生物標本において、種レベルには割り当てられていないが、サルモネラ属レベルに割り当てられている生物の測定値。</v>
      </c>
      <c r="K4258" s="1" t="str">
        <f>IFERROR(__xludf.DUMMYFUNCTION("GOOGLETRANSLATE(G4258,""EN"",""JA"")"),"サルモネラ測定")</f>
        <v>サルモネラ測定</v>
      </c>
    </row>
    <row r="4259" ht="13.5" customHeight="1">
      <c r="A4259" s="1" t="s">
        <v>601</v>
      </c>
      <c r="B4259" s="1" t="s">
        <v>21300</v>
      </c>
      <c r="C4259" s="1" t="s">
        <v>21301</v>
      </c>
      <c r="D4259" s="1" t="s">
        <v>21302</v>
      </c>
      <c r="E4259" s="1" t="s">
        <v>21302</v>
      </c>
      <c r="F4259" s="1" t="s">
        <v>21303</v>
      </c>
      <c r="G4259" s="1" t="s">
        <v>21302</v>
      </c>
      <c r="H4259" s="1" t="str">
        <f>IFERROR(__xludf.DUMMYFUNCTION("GOOGLETRANSLATE(D4259,""EN"",""JA"")"),"従業員の給与タイプ")</f>
        <v>従業員の給与タイプ</v>
      </c>
      <c r="I4259" s="1" t="str">
        <f>IFERROR(__xludf.DUMMYFUNCTION("GOOGLETRANSLATE(E4259,""EN"",""JA"")"),"従業員の給与タイプ")</f>
        <v>従業員の給与タイプ</v>
      </c>
      <c r="J4259" s="1" t="str">
        <f>IFERROR(__xludf.DUMMYFUNCTION("GOOGLETRANSLATE(F4259,""EN"",""JA"")"),"雇用主が従業員の給与または賃金を計算する際に使用する方法を指定するコード。例：時給、年俸、歩合制など。")</f>
        <v>雇用主が従業員の給与または賃金を計算する際に使用する方法を指定するコード。例：時給、年俸、歩合制など。</v>
      </c>
      <c r="K4259" s="1" t="str">
        <f>IFERROR(__xludf.DUMMYFUNCTION("GOOGLETRANSLATE(G4259,""EN"",""JA"")"),"従業員の給与タイプ")</f>
        <v>従業員の給与タイプ</v>
      </c>
    </row>
    <row r="4260" ht="13.5" customHeight="1">
      <c r="A4260" s="1" t="s">
        <v>11</v>
      </c>
      <c r="B4260" s="1" t="s">
        <v>21304</v>
      </c>
      <c r="C4260" s="1" t="s">
        <v>21305</v>
      </c>
      <c r="D4260" s="1" t="s">
        <v>21306</v>
      </c>
      <c r="E4260" s="1" t="s">
        <v>21307</v>
      </c>
      <c r="F4260" s="1" t="s">
        <v>21308</v>
      </c>
      <c r="G4260" s="1" t="s">
        <v>21309</v>
      </c>
      <c r="H4260" s="1" t="str">
        <f>IFERROR(__xludf.DUMMYFUNCTION("GOOGLETRANSLATE(D4260,""EN"",""JA"")"),"S-アデノシルメチオニン")</f>
        <v>S-アデノシルメチオニン</v>
      </c>
      <c r="I4260" s="1" t="str">
        <f>IFERROR(__xludf.DUMMYFUNCTION("GOOGLETRANSLATE(E4260,""EN"",""JA"")"),"S-アデノシル-L-メチオニン; S-アデノシルメチオニン; SAM-e; SAMe; SAMMY")</f>
        <v>S-アデノシル-L-メチオニン; S-アデノシルメチオニン; SAM-e; SAMe; SAMMY</v>
      </c>
      <c r="J4260" s="1" t="str">
        <f>IFERROR(__xludf.DUMMYFUNCTION("GOOGLETRANSLATE(F4260,""EN"",""JA"")"),"生物標本中の S-アデノシルメチオニンの測定。")</f>
        <v>生物標本中の S-アデノシルメチオニンの測定。</v>
      </c>
      <c r="K4260" s="1" t="str">
        <f>IFERROR(__xludf.DUMMYFUNCTION("GOOGLETRANSLATE(G4260,""EN"",""JA"")"),"S-アデノシルメチオニン測定")</f>
        <v>S-アデノシルメチオニン測定</v>
      </c>
    </row>
    <row r="4261" ht="13.5" customHeight="1">
      <c r="A4261" s="1" t="s">
        <v>90</v>
      </c>
      <c r="B4261" s="1" t="s">
        <v>21310</v>
      </c>
      <c r="C4261" s="1" t="s">
        <v>21311</v>
      </c>
      <c r="D4261" s="1" t="s">
        <v>21312</v>
      </c>
      <c r="E4261" s="1" t="s">
        <v>21313</v>
      </c>
      <c r="F4261" s="1" t="s">
        <v>21314</v>
      </c>
      <c r="G4261" s="1" t="s">
        <v>21312</v>
      </c>
      <c r="H4261" s="1" t="str">
        <f>IFERROR(__xludf.DUMMYFUNCTION("GOOGLETRANSLATE(D4261,""EN"",""JA"")"),"収縮期前方運動指標")</f>
        <v>収縮期前方運動指標</v>
      </c>
      <c r="I4261" s="1" t="str">
        <f>IFERROR(__xludf.DUMMYFUNCTION("GOOGLETRANSLATE(E4261,""EN"",""JA"")"),"SAMインジケーター; 収縮期前方運動インジケーター")</f>
        <v>SAMインジケーター; 収縮期前方運動インジケーター</v>
      </c>
      <c r="J4261" s="1" t="str">
        <f>IFERROR(__xludf.DUMMYFUNCTION("GOOGLETRANSLATE(F4261,""EN"",""JA"")"),"心臓弁とその関連構造の収縮期前方運動があるかどうかを示します。")</f>
        <v>心臓弁とその関連構造の収縮期前方運動があるかどうかを示します。</v>
      </c>
      <c r="K4261" s="1" t="str">
        <f>IFERROR(__xludf.DUMMYFUNCTION("GOOGLETRANSLATE(G4261,""EN"",""JA"")"),"収縮期前方運動指標")</f>
        <v>収縮期前方運動指標</v>
      </c>
    </row>
    <row r="4262" ht="13.5" customHeight="1">
      <c r="A4262" s="1" t="s">
        <v>90</v>
      </c>
      <c r="B4262" s="1" t="s">
        <v>21315</v>
      </c>
      <c r="C4262" s="1" t="s">
        <v>21316</v>
      </c>
      <c r="D4262" s="1" t="s">
        <v>21317</v>
      </c>
      <c r="E4262" s="1" t="s">
        <v>21318</v>
      </c>
      <c r="F4262" s="1" t="s">
        <v>21319</v>
      </c>
      <c r="G4262" s="1" t="s">
        <v>21317</v>
      </c>
      <c r="H4262" s="1" t="str">
        <f>IFERROR(__xludf.DUMMYFUNCTION("GOOGLETRANSLATE(D4262,""EN"",""JA"")"),"収縮期前方運動重症度")</f>
        <v>収縮期前方運動重症度</v>
      </c>
      <c r="I4262" s="1" t="str">
        <f>IFERROR(__xludf.DUMMYFUNCTION("GOOGLETRANSLATE(E4262,""EN"",""JA"")"),"SAM重症度; 収縮期前方運動重症度")</f>
        <v>SAM重症度; 収縮期前方運動重症度</v>
      </c>
      <c r="J4262" s="1" t="str">
        <f>IFERROR(__xludf.DUMMYFUNCTION("GOOGLETRANSLATE(F4262,""EN"",""JA"")"),"心臓弁とその関連構造の収縮期前方運動の重症度の評価。")</f>
        <v>心臓弁とその関連構造の収縮期前方運動の重症度の評価。</v>
      </c>
      <c r="K4262" s="1" t="str">
        <f>IFERROR(__xludf.DUMMYFUNCTION("GOOGLETRANSLATE(G4262,""EN"",""JA"")"),"収縮期前方運動重症度")</f>
        <v>収縮期前方運動重症度</v>
      </c>
    </row>
    <row r="4263" ht="13.5" customHeight="1">
      <c r="A4263" s="1" t="s">
        <v>67</v>
      </c>
      <c r="B4263" s="1" t="s">
        <v>21320</v>
      </c>
      <c r="C4263" s="1" t="s">
        <v>21321</v>
      </c>
      <c r="D4263" s="1" t="s">
        <v>21322</v>
      </c>
      <c r="E4263" s="1" t="s">
        <v>21322</v>
      </c>
      <c r="F4263" s="1" t="s">
        <v>21323</v>
      </c>
      <c r="G4263" s="1" t="s">
        <v>21324</v>
      </c>
      <c r="H4263" s="1" t="str">
        <f>IFERROR(__xludf.DUMMYFUNCTION("GOOGLETRANSLATE(D4263,""EN"",""JA"")"),"連鎖球菌アンギノサス")</f>
        <v>連鎖球菌アンギノサス</v>
      </c>
      <c r="I4263" s="1" t="str">
        <f>IFERROR(__xludf.DUMMYFUNCTION("GOOGLETRANSLATE(E4263,""EN"",""JA"")"),"連鎖球菌アンギノサス")</f>
        <v>連鎖球菌アンギノサス</v>
      </c>
      <c r="J4263" s="1" t="str">
        <f>IFERROR(__xludf.DUMMYFUNCTION("GOOGLETRANSLATE(F4263,""EN"",""JA"")"),"生物標本中の Streptococcus anginosus の測定。")</f>
        <v>生物標本中の Streptococcus anginosus の測定。</v>
      </c>
      <c r="K4263" s="1" t="str">
        <f>IFERROR(__xludf.DUMMYFUNCTION("GOOGLETRANSLATE(G4263,""EN"",""JA"")"),"Streptococcus anginosusの測定")</f>
        <v>Streptococcus anginosusの測定</v>
      </c>
    </row>
    <row r="4264" ht="13.5" customHeight="1">
      <c r="A4264" s="1" t="s">
        <v>67</v>
      </c>
      <c r="B4264" s="1" t="s">
        <v>21325</v>
      </c>
      <c r="C4264" s="1" t="s">
        <v>21326</v>
      </c>
      <c r="D4264" s="1" t="s">
        <v>21327</v>
      </c>
      <c r="E4264" s="1" t="s">
        <v>21327</v>
      </c>
      <c r="F4264" s="1" t="s">
        <v>21328</v>
      </c>
      <c r="G4264" s="1" t="s">
        <v>21329</v>
      </c>
      <c r="H4264" s="1" t="str">
        <f>IFERROR(__xludf.DUMMYFUNCTION("GOOGLETRANSLATE(D4264,""EN"",""JA"")"),"連鎖球菌アンギノサス群")</f>
        <v>連鎖球菌アンギノサス群</v>
      </c>
      <c r="I4264" s="1" t="str">
        <f>IFERROR(__xludf.DUMMYFUNCTION("GOOGLETRANSLATE(E4264,""EN"",""JA"")"),"連鎖球菌アンギノサス群")</f>
        <v>連鎖球菌アンギノサス群</v>
      </c>
      <c r="J4264" s="1" t="str">
        <f>IFERROR(__xludf.DUMMYFUNCTION("GOOGLETRANSLATE(F4264,""EN"",""JA"")"),"生物標本中の Streptococcus anginosus グループの測定。")</f>
        <v>生物標本中の Streptococcus anginosus グループの測定。</v>
      </c>
      <c r="K4264" s="1" t="str">
        <f>IFERROR(__xludf.DUMMYFUNCTION("GOOGLETRANSLATE(G4264,""EN"",""JA"")"),"Streptococcus anginosusグループ測定")</f>
        <v>Streptococcus anginosusグループ測定</v>
      </c>
    </row>
    <row r="4265" ht="13.5" customHeight="1">
      <c r="A4265" s="1" t="s">
        <v>129</v>
      </c>
      <c r="B4265" s="1" t="s">
        <v>21330</v>
      </c>
      <c r="C4265" s="1" t="s">
        <v>21331</v>
      </c>
      <c r="D4265" s="1" t="s">
        <v>21332</v>
      </c>
      <c r="E4265" s="1" t="s">
        <v>21332</v>
      </c>
      <c r="F4265" s="1" t="s">
        <v>21333</v>
      </c>
      <c r="G4265" s="1" t="s">
        <v>21332</v>
      </c>
      <c r="H4265" s="1" t="str">
        <f>IFERROR(__xludf.DUMMYFUNCTION("GOOGLETRANSLATE(D4265,""EN"",""JA"")"),"酸素飽和度/吸入酸素分率")</f>
        <v>酸素飽和度/吸入酸素分率</v>
      </c>
      <c r="I4265" s="1" t="str">
        <f>IFERROR(__xludf.DUMMYFUNCTION("GOOGLETRANSLATE(E4265,""EN"",""JA"")"),"酸素飽和度/吸入酸素分率")</f>
        <v>酸素飽和度/吸入酸素分率</v>
      </c>
      <c r="J4265" s="1" t="str">
        <f>IFERROR(__xludf.DUMMYFUNCTION("GOOGLETRANSLATE(F4265,""EN"",""JA"")"),"吸入ガス中の酸素の体積分率に対する血液量の酸素ヘモグロビン飽和度の相対測定値（比率またはパーセンテージ）。")</f>
        <v>吸入ガス中の酸素の体積分率に対する血液量の酸素ヘモグロビン飽和度の相対測定値（比率またはパーセンテージ）。</v>
      </c>
      <c r="K4265" s="1" t="str">
        <f>IFERROR(__xludf.DUMMYFUNCTION("GOOGLETRANSLATE(G4265,""EN"",""JA"")"),"酸素飽和度/吸入酸素分率")</f>
        <v>酸素飽和度/吸入酸素分率</v>
      </c>
    </row>
    <row r="4266" ht="13.5" customHeight="1">
      <c r="A4266" s="1" t="s">
        <v>580</v>
      </c>
      <c r="B4266" s="1" t="s">
        <v>21330</v>
      </c>
      <c r="C4266" s="1" t="s">
        <v>21331</v>
      </c>
      <c r="D4266" s="1" t="s">
        <v>21332</v>
      </c>
      <c r="E4266" s="1" t="s">
        <v>21332</v>
      </c>
      <c r="F4266" s="1" t="s">
        <v>21333</v>
      </c>
      <c r="G4266" s="1" t="s">
        <v>21332</v>
      </c>
      <c r="H4266" s="1" t="str">
        <f>IFERROR(__xludf.DUMMYFUNCTION("GOOGLETRANSLATE(D4266,""EN"",""JA"")"),"酸素飽和度/吸入酸素分率")</f>
        <v>酸素飽和度/吸入酸素分率</v>
      </c>
      <c r="I4266" s="1" t="str">
        <f>IFERROR(__xludf.DUMMYFUNCTION("GOOGLETRANSLATE(E4266,""EN"",""JA"")"),"酸素飽和度/吸入酸素分率")</f>
        <v>酸素飽和度/吸入酸素分率</v>
      </c>
      <c r="J4266" s="1" t="str">
        <f>IFERROR(__xludf.DUMMYFUNCTION("GOOGLETRANSLATE(F4266,""EN"",""JA"")"),"吸入ガス中の酸素の体積分率に対する血液量の酸素ヘモグロビン飽和度の相対測定値（比率またはパーセンテージ）。")</f>
        <v>吸入ガス中の酸素の体積分率に対する血液量の酸素ヘモグロビン飽和度の相対測定値（比率またはパーセンテージ）。</v>
      </c>
      <c r="K4266" s="1" t="str">
        <f>IFERROR(__xludf.DUMMYFUNCTION("GOOGLETRANSLATE(G4266,""EN"",""JA"")"),"酸素飽和度/吸入酸素分率")</f>
        <v>酸素飽和度/吸入酸素分率</v>
      </c>
    </row>
    <row r="4267" ht="13.5" customHeight="1">
      <c r="A4267" s="1" t="s">
        <v>11</v>
      </c>
      <c r="B4267" s="1" t="s">
        <v>21330</v>
      </c>
      <c r="C4267" s="1" t="s">
        <v>21331</v>
      </c>
      <c r="D4267" s="1" t="s">
        <v>21332</v>
      </c>
      <c r="E4267" s="1" t="s">
        <v>21332</v>
      </c>
      <c r="F4267" s="1" t="s">
        <v>21333</v>
      </c>
      <c r="G4267" s="1" t="s">
        <v>21332</v>
      </c>
      <c r="H4267" s="1" t="str">
        <f>IFERROR(__xludf.DUMMYFUNCTION("GOOGLETRANSLATE(D4267,""EN"",""JA"")"),"酸素飽和度/吸入酸素分率")</f>
        <v>酸素飽和度/吸入酸素分率</v>
      </c>
      <c r="I4267" s="1" t="str">
        <f>IFERROR(__xludf.DUMMYFUNCTION("GOOGLETRANSLATE(E4267,""EN"",""JA"")"),"酸素飽和度/吸入酸素分率")</f>
        <v>酸素飽和度/吸入酸素分率</v>
      </c>
      <c r="J4267" s="1" t="str">
        <f>IFERROR(__xludf.DUMMYFUNCTION("GOOGLETRANSLATE(F4267,""EN"",""JA"")"),"吸入ガス中の酸素の体積分率に対する血液量の酸素ヘモグロビン飽和度の相対測定値（比率またはパーセンテージ）。")</f>
        <v>吸入ガス中の酸素の体積分率に対する血液量の酸素ヘモグロビン飽和度の相対測定値（比率またはパーセンテージ）。</v>
      </c>
      <c r="K4267" s="1" t="str">
        <f>IFERROR(__xludf.DUMMYFUNCTION("GOOGLETRANSLATE(G4267,""EN"",""JA"")"),"酸素飽和度/吸入酸素分率")</f>
        <v>酸素飽和度/吸入酸素分率</v>
      </c>
    </row>
    <row r="4268" ht="13.5" customHeight="1">
      <c r="A4268" s="1" t="s">
        <v>67</v>
      </c>
      <c r="B4268" s="1" t="s">
        <v>21334</v>
      </c>
      <c r="C4268" s="1" t="s">
        <v>21335</v>
      </c>
      <c r="D4268" s="1" t="s">
        <v>21336</v>
      </c>
      <c r="E4268" s="1" t="s">
        <v>21336</v>
      </c>
      <c r="F4268" s="1" t="s">
        <v>21337</v>
      </c>
      <c r="G4268" s="1" t="s">
        <v>21338</v>
      </c>
      <c r="H4268" s="1" t="str">
        <f>IFERROR(__xludf.DUMMYFUNCTION("GOOGLETRANSLATE(D4268,""EN"",""JA"")"),"SARS-CoV-1/SARS-CoV-2抗原")</f>
        <v>SARS-CoV-1/SARS-CoV-2抗原</v>
      </c>
      <c r="I4268" s="1" t="str">
        <f>IFERROR(__xludf.DUMMYFUNCTION("GOOGLETRANSLATE(E4268,""EN"",""JA"")"),"SARS-CoV-1/SARS-CoV-2抗原")</f>
        <v>SARS-CoV-1/SARS-CoV-2抗原</v>
      </c>
      <c r="J4268" s="1" t="str">
        <f>IFERROR(__xludf.DUMMYFUNCTION("GOOGLETRANSLATE(F4268,""EN"",""JA"")"),"生物学的標本中の SARS-CoV-1 および/または SARS-CoV-2 の抗原の測定。")</f>
        <v>生物学的標本中の SARS-CoV-1 および/または SARS-CoV-2 の抗原の測定。</v>
      </c>
      <c r="K4268" s="1" t="str">
        <f>IFERROR(__xludf.DUMMYFUNCTION("GOOGLETRANSLATE(G4268,""EN"",""JA"")"),"SARS-CoV-1/SARS-CoV-2 抗原測定")</f>
        <v>SARS-CoV-1/SARS-CoV-2 抗原測定</v>
      </c>
    </row>
    <row r="4269" ht="13.5" customHeight="1">
      <c r="A4269" s="1" t="s">
        <v>67</v>
      </c>
      <c r="B4269" s="1" t="s">
        <v>21339</v>
      </c>
      <c r="C4269" s="1" t="s">
        <v>21340</v>
      </c>
      <c r="D4269" s="1" t="s">
        <v>21341</v>
      </c>
      <c r="E4269" s="1" t="s">
        <v>21341</v>
      </c>
      <c r="F4269" s="1" t="s">
        <v>21342</v>
      </c>
      <c r="G4269" s="1" t="s">
        <v>21343</v>
      </c>
      <c r="H4269" s="1" t="str">
        <f>IFERROR(__xludf.DUMMYFUNCTION("GOOGLETRANSLATE(D4269,""EN"",""JA"")"),"SARS-CoV-2抗原")</f>
        <v>SARS-CoV-2抗原</v>
      </c>
      <c r="I4269" s="1" t="str">
        <f>IFERROR(__xludf.DUMMYFUNCTION("GOOGLETRANSLATE(E4269,""EN"",""JA"")"),"SARS-CoV-2抗原")</f>
        <v>SARS-CoV-2抗原</v>
      </c>
      <c r="J4269" s="1" t="str">
        <f>IFERROR(__xludf.DUMMYFUNCTION("GOOGLETRANSLATE(F4269,""EN"",""JA"")"),"生物学的標本中の SARS-CoV-2 抗原の測定。")</f>
        <v>生物学的標本中の SARS-CoV-2 抗原の測定。</v>
      </c>
      <c r="K4269" s="1" t="str">
        <f>IFERROR(__xludf.DUMMYFUNCTION("GOOGLETRANSLATE(G4269,""EN"",""JA"")"),"SARS-CoV-2抗原測定")</f>
        <v>SARS-CoV-2抗原測定</v>
      </c>
    </row>
    <row r="4270" ht="13.5" customHeight="1">
      <c r="A4270" s="1" t="s">
        <v>67</v>
      </c>
      <c r="B4270" s="1" t="s">
        <v>21344</v>
      </c>
      <c r="C4270" s="1" t="s">
        <v>21345</v>
      </c>
      <c r="D4270" s="1" t="s">
        <v>21346</v>
      </c>
      <c r="E4270" s="1" t="s">
        <v>21347</v>
      </c>
      <c r="F4270" s="1" t="s">
        <v>21348</v>
      </c>
      <c r="G4270" s="1" t="s">
        <v>21349</v>
      </c>
      <c r="H4270" s="1" t="str">
        <f>IFERROR(__xludf.DUMMYFUNCTION("GOOGLETRANSLATE(D4270,""EN"",""JA"")"),"SARS-CoV-2 ヌクレオカプシドタンパク質抗原")</f>
        <v>SARS-CoV-2 ヌクレオカプシドタンパク質抗原</v>
      </c>
      <c r="I4270" s="1" t="str">
        <f>IFERROR(__xludf.DUMMYFUNCTION("GOOGLETRANSLATE(E4270,""EN"",""JA"")"),"SARS-CoV-2 Nタンパク質抗原")</f>
        <v>SARS-CoV-2 Nタンパク質抗原</v>
      </c>
      <c r="J4270" s="1" t="str">
        <f>IFERROR(__xludf.DUMMYFUNCTION("GOOGLETRANSLATE(F4270,""EN"",""JA"")"),"生物標本中の SARS-CoV-2 ヌクレオカプシドタンパク質抗原の測定。")</f>
        <v>生物標本中の SARS-CoV-2 ヌクレオカプシドタンパク質抗原の測定。</v>
      </c>
      <c r="K4270" s="1" t="str">
        <f>IFERROR(__xludf.DUMMYFUNCTION("GOOGLETRANSLATE(G4270,""EN"",""JA"")"),"SARS-CoV-2 ヌクレオカプシドタンパク質抗原測定")</f>
        <v>SARS-CoV-2 ヌクレオカプシドタンパク質抗原測定</v>
      </c>
    </row>
    <row r="4271" ht="13.5" customHeight="1">
      <c r="A4271" s="1" t="s">
        <v>67</v>
      </c>
      <c r="B4271" s="1" t="s">
        <v>21350</v>
      </c>
      <c r="C4271" s="1" t="s">
        <v>21351</v>
      </c>
      <c r="D4271" s="1" t="s">
        <v>21352</v>
      </c>
      <c r="E4271" s="1" t="s">
        <v>21352</v>
      </c>
      <c r="F4271" s="1" t="s">
        <v>21353</v>
      </c>
      <c r="G4271" s="1" t="s">
        <v>21354</v>
      </c>
      <c r="H4271" s="1" t="str">
        <f>IFERROR(__xludf.DUMMYFUNCTION("GOOGLETRANSLATE(D4271,""EN"",""JA"")"),"SARS-CoV-2 RNA")</f>
        <v>SARS-CoV-2 RNA</v>
      </c>
      <c r="I4271" s="1" t="str">
        <f>IFERROR(__xludf.DUMMYFUNCTION("GOOGLETRANSLATE(E4271,""EN"",""JA"")"),"SARS-CoV-2 RNA")</f>
        <v>SARS-CoV-2 RNA</v>
      </c>
      <c r="J4271" s="1" t="str">
        <f>IFERROR(__xludf.DUMMYFUNCTION("GOOGLETRANSLATE(F4271,""EN"",""JA"")"),"生物標本中の SARS-CoV-2 RNA の測定。")</f>
        <v>生物標本中の SARS-CoV-2 RNA の測定。</v>
      </c>
      <c r="K4271" s="1" t="str">
        <f>IFERROR(__xludf.DUMMYFUNCTION("GOOGLETRANSLATE(G4271,""EN"",""JA"")"),"SARS-CoV-2 RNA測定")</f>
        <v>SARS-CoV-2 RNA測定</v>
      </c>
    </row>
    <row r="4272" ht="13.5" customHeight="1">
      <c r="A4272" s="1" t="s">
        <v>67</v>
      </c>
      <c r="B4272" s="1" t="s">
        <v>21355</v>
      </c>
      <c r="C4272" s="1" t="s">
        <v>21356</v>
      </c>
      <c r="D4272" s="1" t="s">
        <v>21357</v>
      </c>
      <c r="E4272" s="1" t="s">
        <v>21358</v>
      </c>
      <c r="F4272" s="1" t="s">
        <v>21359</v>
      </c>
      <c r="G4272" s="1" t="s">
        <v>21360</v>
      </c>
      <c r="H4272" s="1" t="str">
        <f>IFERROR(__xludf.DUMMYFUNCTION("GOOGLETRANSLATE(D4272,""EN"",""JA"")"),"SARS-CoV-2 SRNA")</f>
        <v>SARS-CoV-2 SRNA</v>
      </c>
      <c r="I4272" s="1" t="str">
        <f>IFERROR(__xludf.DUMMYFUNCTION("GOOGLETRANSLATE(E4272,""EN"",""JA"")"),"SARS-CoV-2 S 遺伝子; SARS-CoV-2 S RNA; SARS-CoV-2 スパイク RNA")</f>
        <v>SARS-CoV-2 S 遺伝子; SARS-CoV-2 S RNA; SARS-CoV-2 スパイク RNA</v>
      </c>
      <c r="J4272" s="1" t="str">
        <f>IFERROR(__xludf.DUMMYFUNCTION("GOOGLETRANSLATE(F4272,""EN"",""JA"")"),"生物標本中の SARS-CoV-2 S RNA の測定。")</f>
        <v>生物標本中の SARS-CoV-2 S RNA の測定。</v>
      </c>
      <c r="K4272" s="1" t="str">
        <f>IFERROR(__xludf.DUMMYFUNCTION("GOOGLETRANSLATE(G4272,""EN"",""JA"")"),"SARS-CoV-2 S RNA測定")</f>
        <v>SARS-CoV-2 S RNA測定</v>
      </c>
    </row>
    <row r="4273" ht="13.5" customHeight="1">
      <c r="A4273" s="1" t="s">
        <v>11</v>
      </c>
      <c r="B4273" s="1" t="s">
        <v>21361</v>
      </c>
      <c r="C4273" s="1" t="s">
        <v>21362</v>
      </c>
      <c r="D4273" s="1" t="s">
        <v>21363</v>
      </c>
      <c r="E4273" s="1" t="s">
        <v>21364</v>
      </c>
      <c r="F4273" s="1" t="s">
        <v>21365</v>
      </c>
      <c r="G4273" s="1" t="s">
        <v>21366</v>
      </c>
      <c r="H4273" s="1" t="str">
        <f>IFERROR(__xludf.DUMMYFUNCTION("GOOGLETRANSLATE(D4273,""EN"",""JA"")"),"サルコシン")</f>
        <v>サルコシン</v>
      </c>
      <c r="I4273" s="1" t="str">
        <f>IFERROR(__xludf.DUMMYFUNCTION("GOOGLETRANSLATE(E4273,""EN"",""JA"")"),"N-メチルグリシン; サルコシン")</f>
        <v>N-メチルグリシン; サルコシン</v>
      </c>
      <c r="J4273" s="1" t="str">
        <f>IFERROR(__xludf.DUMMYFUNCTION("GOOGLETRANSLATE(F4273,""EN"",""JA"")"),"生物標本中のサルコシンの測定。")</f>
        <v>生物標本中のサルコシンの測定。</v>
      </c>
      <c r="K4273" s="1" t="str">
        <f>IFERROR(__xludf.DUMMYFUNCTION("GOOGLETRANSLATE(G4273,""EN"",""JA"")"),"サルコシン測定")</f>
        <v>サルコシン測定</v>
      </c>
    </row>
    <row r="4274" ht="13.5" customHeight="1">
      <c r="A4274" s="1" t="s">
        <v>67</v>
      </c>
      <c r="B4274" s="1" t="s">
        <v>21367</v>
      </c>
      <c r="C4274" s="1" t="s">
        <v>21368</v>
      </c>
      <c r="D4274" s="1" t="s">
        <v>21369</v>
      </c>
      <c r="E4274" s="1" t="s">
        <v>21369</v>
      </c>
      <c r="F4274" s="1" t="s">
        <v>21370</v>
      </c>
      <c r="G4274" s="1" t="s">
        <v>21371</v>
      </c>
      <c r="H4274" s="1" t="str">
        <f>IFERROR(__xludf.DUMMYFUNCTION("GOOGLETRANSLATE(D4274,""EN"",""JA"")"),"SARS関連コロナウイルスRNA/MERS RNA")</f>
        <v>SARS関連コロナウイルスRNA/MERS RNA</v>
      </c>
      <c r="I4274" s="1" t="str">
        <f>IFERROR(__xludf.DUMMYFUNCTION("GOOGLETRANSLATE(E4274,""EN"",""JA"")"),"SARS関連コロナウイルスRNA/MERS RNA")</f>
        <v>SARS関連コロナウイルスRNA/MERS RNA</v>
      </c>
      <c r="J4274" s="1" t="str">
        <f>IFERROR(__xludf.DUMMYFUNCTION("GOOGLETRANSLATE(F4274,""EN"",""JA"")"),"生物学的標本中のSARS-CoV、SARS-CoV-2、その他のSARS様コロナウイルス、および/またはMERS-CoVを含むがこれらに限定されない、SARS関連および/またはMERSコロナウイルスRNAの測定。")</f>
        <v>生物学的標本中のSARS-CoV、SARS-CoV-2、その他のSARS様コロナウイルス、および/またはMERS-CoVを含むがこれらに限定されない、SARS関連および/またはMERSコロナウイルスRNAの測定。</v>
      </c>
      <c r="K4274" s="1" t="str">
        <f>IFERROR(__xludf.DUMMYFUNCTION("GOOGLETRANSLATE(G4274,""EN"",""JA"")"),"SARS関連コロナウイルスRNA/MERS RNA測定")</f>
        <v>SARS関連コロナウイルスRNA/MERS RNA測定</v>
      </c>
    </row>
    <row r="4275" ht="13.5" customHeight="1">
      <c r="A4275" s="1" t="s">
        <v>67</v>
      </c>
      <c r="B4275" s="1" t="s">
        <v>21372</v>
      </c>
      <c r="C4275" s="1" t="s">
        <v>21373</v>
      </c>
      <c r="D4275" s="1" t="s">
        <v>21374</v>
      </c>
      <c r="E4275" s="1" t="s">
        <v>21375</v>
      </c>
      <c r="F4275" s="1" t="s">
        <v>21376</v>
      </c>
      <c r="G4275" s="1" t="s">
        <v>21377</v>
      </c>
      <c r="H4275" s="1" t="str">
        <f>IFERROR(__xludf.DUMMYFUNCTION("GOOGLETRANSLATE(D4275,""EN"",""JA"")"),"重症急性呼吸器症候群（REL）コロナウイルス")</f>
        <v>重症急性呼吸器症候群（REL）コロナウイルス</v>
      </c>
      <c r="I4275" s="1" t="str">
        <f>IFERROR(__xludf.DUMMYFUNCTION("GOOGLETRANSLATE(E4275,""EN"",""JA"")"),"SARS-CoV; SARS-CoV-1; 重症急性呼吸器症候群関連コロナウイルス")</f>
        <v>SARS-CoV; SARS-CoV-1; 重症急性呼吸器症候群関連コロナウイルス</v>
      </c>
      <c r="J4275" s="1" t="str">
        <f>IFERROR(__xludf.DUMMYFUNCTION("GOOGLETRANSLATE(F4275,""EN"",""JA"")"),"生物標本中の重症急性呼吸器症候群関連コロナウイルスの測定。")</f>
        <v>生物標本中の重症急性呼吸器症候群関連コロナウイルスの測定。</v>
      </c>
      <c r="K4275" s="1" t="str">
        <f>IFERROR(__xludf.DUMMYFUNCTION("GOOGLETRANSLATE(G4275,""EN"",""JA"")"),"重症急性呼吸器症候群関連コロナウイルス測定")</f>
        <v>重症急性呼吸器症候群関連コロナウイルス測定</v>
      </c>
    </row>
    <row r="4276" ht="13.5" customHeight="1">
      <c r="A4276" s="1" t="s">
        <v>67</v>
      </c>
      <c r="B4276" s="1" t="s">
        <v>21378</v>
      </c>
      <c r="C4276" s="1" t="s">
        <v>21379</v>
      </c>
      <c r="D4276" s="1" t="s">
        <v>21380</v>
      </c>
      <c r="E4276" s="1" t="s">
        <v>21381</v>
      </c>
      <c r="F4276" s="1" t="s">
        <v>21382</v>
      </c>
      <c r="G4276" s="1" t="s">
        <v>21383</v>
      </c>
      <c r="H4276" s="1" t="str">
        <f>IFERROR(__xludf.DUMMYFUNCTION("GOOGLETRANSLATE(D4276,""EN"",""JA"")"),"重症急性呼吸器症候群コロナウイルス2")</f>
        <v>重症急性呼吸器症候群コロナウイルス2</v>
      </c>
      <c r="I4276" s="1" t="str">
        <f>IFERROR(__xludf.DUMMYFUNCTION("GOOGLETRANSLATE(E4276,""EN"",""JA"")"),"SARS-CoV-2; 重症急性呼吸器症候群コロナウイルス2; 重症急性呼吸器症候群コロナウイルス2")</f>
        <v>SARS-CoV-2; 重症急性呼吸器症候群コロナウイルス2; 重症急性呼吸器症候群コロナウイルス2</v>
      </c>
      <c r="J4276" s="1" t="str">
        <f>IFERROR(__xludf.DUMMYFUNCTION("GOOGLETRANSLATE(F4276,""EN"",""JA"")"),"生物標本中の重症急性呼吸器症候群コロナウイルス2の測定。")</f>
        <v>生物標本中の重症急性呼吸器症候群コロナウイルス2の測定。</v>
      </c>
      <c r="K4276" s="1" t="str">
        <f>IFERROR(__xludf.DUMMYFUNCTION("GOOGLETRANSLATE(G4276,""EN"",""JA"")"),"重症急性呼吸器症候群コロナウイルス2の測定")</f>
        <v>重症急性呼吸器症候群コロナウイルス2の測定</v>
      </c>
    </row>
    <row r="4277" ht="13.5" customHeight="1">
      <c r="A4277" s="1" t="s">
        <v>67</v>
      </c>
      <c r="B4277" s="1" t="s">
        <v>21384</v>
      </c>
      <c r="C4277" s="1" t="s">
        <v>21385</v>
      </c>
      <c r="D4277" s="1" t="s">
        <v>21386</v>
      </c>
      <c r="E4277" s="1" t="s">
        <v>21386</v>
      </c>
      <c r="F4277" s="1" t="s">
        <v>21387</v>
      </c>
      <c r="G4277" s="1" t="s">
        <v>21388</v>
      </c>
      <c r="H4277" s="1" t="str">
        <f>IFERROR(__xludf.DUMMYFUNCTION("GOOGLETRANSLATE(D4277,""EN"",""JA"")"),"SARS関連コロナウイルスRNA")</f>
        <v>SARS関連コロナウイルスRNA</v>
      </c>
      <c r="I4277" s="1" t="str">
        <f>IFERROR(__xludf.DUMMYFUNCTION("GOOGLETRANSLATE(E4277,""EN"",""JA"")"),"SARS関連コロナウイルスRNA")</f>
        <v>SARS関連コロナウイルスRNA</v>
      </c>
      <c r="J4277" s="1" t="str">
        <f>IFERROR(__xludf.DUMMYFUNCTION("GOOGLETRANSLATE(F4277,""EN"",""JA"")"),"生物学的標本中のSARS-CoV、SARS-CoV-2、および/またはその他のSARS類似コロナウイルスを含むがこれらに限定されないSARS関連コロナウイルスRNAの測定。")</f>
        <v>生物学的標本中のSARS-CoV、SARS-CoV-2、および/またはその他のSARS類似コロナウイルスを含むがこれらに限定されないSARS関連コロナウイルスRNAの測定。</v>
      </c>
      <c r="K4277" s="1" t="str">
        <f>IFERROR(__xludf.DUMMYFUNCTION("GOOGLETRANSLATE(G4277,""EN"",""JA"")"),"SARS関連コロナウイルスRNA測定")</f>
        <v>SARS関連コロナウイルスRNA測定</v>
      </c>
    </row>
    <row r="4278" ht="13.5" customHeight="1">
      <c r="A4278" s="1" t="s">
        <v>1034</v>
      </c>
      <c r="B4278" s="1" t="s">
        <v>21389</v>
      </c>
      <c r="C4278" s="1" t="s">
        <v>21390</v>
      </c>
      <c r="D4278" s="1" t="s">
        <v>21391</v>
      </c>
      <c r="E4278" s="1" t="s">
        <v>21391</v>
      </c>
      <c r="F4278" s="1" t="s">
        <v>21392</v>
      </c>
      <c r="G4278" s="1" t="s">
        <v>21393</v>
      </c>
      <c r="H4278" s="1" t="str">
        <f>IFERROR(__xludf.DUMMYFUNCTION("GOOGLETRANSLATE(D4278,""EN"",""JA"")"),"皮下脂肪組織量")</f>
        <v>皮下脂肪組織量</v>
      </c>
      <c r="I4278" s="1" t="str">
        <f>IFERROR(__xludf.DUMMYFUNCTION("GOOGLETRANSLATE(E4278,""EN"",""JA"")"),"皮下脂肪組織量")</f>
        <v>皮下脂肪組織量</v>
      </c>
      <c r="J4278" s="1" t="str">
        <f>IFERROR(__xludf.DUMMYFUNCTION("GOOGLETRANSLATE(F4278,""EN"",""JA"")"),"皮膚の皮下層内の脂肪組織の体積の測定値。")</f>
        <v>皮膚の皮下層内の脂肪組織の体積の測定値。</v>
      </c>
      <c r="K4278" s="1" t="str">
        <f>IFERROR(__xludf.DUMMYFUNCTION("GOOGLETRANSLATE(G4278,""EN"",""JA"")"),"皮下脂肪組織体積測定")</f>
        <v>皮下脂肪組織体積測定</v>
      </c>
    </row>
    <row r="4279" ht="13.5" customHeight="1">
      <c r="A4279" s="1" t="s">
        <v>67</v>
      </c>
      <c r="B4279" s="1" t="s">
        <v>21394</v>
      </c>
      <c r="C4279" s="1" t="s">
        <v>21395</v>
      </c>
      <c r="D4279" s="1" t="s">
        <v>21396</v>
      </c>
      <c r="E4279" s="1" t="s">
        <v>21396</v>
      </c>
      <c r="F4279" s="1" t="s">
        <v>21397</v>
      </c>
      <c r="G4279" s="1" t="s">
        <v>21398</v>
      </c>
      <c r="H4279" s="1" t="str">
        <f>IFERROR(__xludf.DUMMYFUNCTION("GOOGLETRANSLATE(D4279,""EN"",""JA"")"),"黄色ブドウ球菌DNA")</f>
        <v>黄色ブドウ球菌DNA</v>
      </c>
      <c r="I4279" s="1" t="str">
        <f>IFERROR(__xludf.DUMMYFUNCTION("GOOGLETRANSLATE(E4279,""EN"",""JA"")"),"黄色ブドウ球菌DNA")</f>
        <v>黄色ブドウ球菌DNA</v>
      </c>
      <c r="J4279" s="1" t="str">
        <f>IFERROR(__xludf.DUMMYFUNCTION("GOOGLETRANSLATE(F4279,""EN"",""JA"")"),"生物標本中の黄色ブドウ球菌 DNA の測定。")</f>
        <v>生物標本中の黄色ブドウ球菌 DNA の測定。</v>
      </c>
      <c r="K4279" s="1" t="str">
        <f>IFERROR(__xludf.DUMMYFUNCTION("GOOGLETRANSLATE(G4279,""EN"",""JA"")"),"黄色ブドウ球菌DNA測定")</f>
        <v>黄色ブドウ球菌DNA測定</v>
      </c>
    </row>
    <row r="4280" ht="13.5" customHeight="1">
      <c r="A4280" s="1" t="s">
        <v>67</v>
      </c>
      <c r="B4280" s="1" t="s">
        <v>21399</v>
      </c>
      <c r="C4280" s="1" t="s">
        <v>21400</v>
      </c>
      <c r="D4280" s="1" t="s">
        <v>21401</v>
      </c>
      <c r="E4280" s="1" t="s">
        <v>21402</v>
      </c>
      <c r="F4280" s="1" t="s">
        <v>21403</v>
      </c>
      <c r="G4280" s="1" t="s">
        <v>21404</v>
      </c>
      <c r="H4280" s="1" t="str">
        <f>IFERROR(__xludf.DUMMYFUNCTION("GOOGLETRANSLATE(D4280,""EN"",""JA"")"),"黄色ブドウ球菌")</f>
        <v>黄色ブドウ球菌</v>
      </c>
      <c r="I4280" s="1" t="str">
        <f>IFERROR(__xludf.DUMMYFUNCTION("GOOGLETRANSLATE(E4280,""EN"",""JA"")"),"黄色ブドウ球菌")</f>
        <v>黄色ブドウ球菌</v>
      </c>
      <c r="J4280" s="1" t="str">
        <f>IFERROR(__xludf.DUMMYFUNCTION("GOOGLETRANSLATE(F4280,""EN"",""JA"")"),"生物標本中の黄色ブドウ球菌の測定。")</f>
        <v>生物標本中の黄色ブドウ球菌の測定。</v>
      </c>
      <c r="K4280" s="1" t="str">
        <f>IFERROR(__xludf.DUMMYFUNCTION("GOOGLETRANSLATE(G4280,""EN"",""JA"")"),"黄色ブドウ球菌測定")</f>
        <v>黄色ブドウ球菌測定</v>
      </c>
    </row>
    <row r="4281" ht="13.5" customHeight="1">
      <c r="A4281" s="1" t="s">
        <v>580</v>
      </c>
      <c r="B4281" s="1" t="s">
        <v>21405</v>
      </c>
      <c r="C4281" s="1" t="s">
        <v>21406</v>
      </c>
      <c r="D4281" s="1" t="s">
        <v>21407</v>
      </c>
      <c r="E4281" s="1" t="s">
        <v>21407</v>
      </c>
      <c r="F4281" s="1" t="s">
        <v>21408</v>
      </c>
      <c r="G4281" s="1" t="s">
        <v>21407</v>
      </c>
      <c r="H4281" s="1" t="str">
        <f>IFERROR(__xludf.DUMMYFUNCTION("GOOGLETRANSLATE(D4281,""EN"",""JA"")"),"比気道容積")</f>
        <v>比気道容積</v>
      </c>
      <c r="I4281" s="1" t="str">
        <f>IFERROR(__xludf.DUMMYFUNCTION("GOOGLETRANSLATE(E4281,""EN"",""JA"")"),"比気道容積")</f>
        <v>比気道容積</v>
      </c>
      <c r="J4281" s="1" t="str">
        <f>IFERROR(__xludf.DUMMYFUNCTION("GOOGLETRANSLATE(F4281,""EN"",""JA"")"),"機能的呼吸画像診断で使用されるパラメータであり、指定された肺内領域の気道容積を同じ指定された肺内領域の総容積で割ることによって算出されます。")</f>
        <v>機能的呼吸画像診断で使用されるパラメータであり、指定された肺内領域の気道容積を同じ指定された肺内領域の総容積で割ることによって算出されます。</v>
      </c>
      <c r="K4281" s="1" t="str">
        <f>IFERROR(__xludf.DUMMYFUNCTION("GOOGLETRANSLATE(G4281,""EN"",""JA"")"),"比気道容積")</f>
        <v>比気道容積</v>
      </c>
    </row>
    <row r="4282" ht="13.5" customHeight="1">
      <c r="A4282" s="1" t="s">
        <v>580</v>
      </c>
      <c r="B4282" s="1" t="s">
        <v>21409</v>
      </c>
      <c r="C4282" s="1" t="s">
        <v>21410</v>
      </c>
      <c r="D4282" s="1" t="s">
        <v>21411</v>
      </c>
      <c r="E4282" s="1" t="s">
        <v>21411</v>
      </c>
      <c r="F4282" s="1" t="s">
        <v>21412</v>
      </c>
      <c r="G4282" s="1" t="s">
        <v>21411</v>
      </c>
      <c r="H4282" s="1" t="str">
        <f>IFERROR(__xludf.DUMMYFUNCTION("GOOGLETRANSLATE(D4282,""EN"",""JA"")"),"予測される特定の気道容積の割合")</f>
        <v>予測される特定の気道容積の割合</v>
      </c>
      <c r="I4282" s="1" t="str">
        <f>IFERROR(__xludf.DUMMYFUNCTION("GOOGLETRANSLATE(E4282,""EN"",""JA"")"),"予測される特定の気道容積の割合")</f>
        <v>予測される特定の気道容積の割合</v>
      </c>
      <c r="J4282" s="1" t="str">
        <f>IFERROR(__xludf.DUMMYFUNCTION("GOOGLETRANSLATE(F4282,""EN"",""JA"")"),"機能的呼吸画像診断で使用されるパラメータであり、特定の肺内領域の気道容積を同じ特定の肺内領域の総容積で割ることによって算出され、予測される正常値の割合として表されます。")</f>
        <v>機能的呼吸画像診断で使用されるパラメータであり、特定の肺内領域の気道容積を同じ特定の肺内領域の総容積で割ることによって算出され、予測される正常値の割合として表されます。</v>
      </c>
      <c r="K4282" s="1" t="str">
        <f>IFERROR(__xludf.DUMMYFUNCTION("GOOGLETRANSLATE(G4282,""EN"",""JA"")"),"予測される特定の気道容積の割合")</f>
        <v>予測される特定の気道容積の割合</v>
      </c>
    </row>
    <row r="4283" ht="13.5" customHeight="1">
      <c r="A4283" s="1" t="s">
        <v>129</v>
      </c>
      <c r="B4283" s="1" t="s">
        <v>21413</v>
      </c>
      <c r="C4283" s="1" t="s">
        <v>21414</v>
      </c>
      <c r="D4283" s="1" t="s">
        <v>21415</v>
      </c>
      <c r="E4283" s="1" t="s">
        <v>21416</v>
      </c>
      <c r="F4283" s="1" t="s">
        <v>21417</v>
      </c>
      <c r="G4283" s="1" t="s">
        <v>21418</v>
      </c>
      <c r="H4283" s="1" t="str">
        <f>IFERROR(__xludf.DUMMYFUNCTION("GOOGLETRANSLATE(D4283,""EN"",""JA"")"),"年齢別収縮期血圧パーセンタイル")</f>
        <v>年齢別収縮期血圧パーセンタイル</v>
      </c>
      <c r="I4283" s="1" t="str">
        <f>IFERROR(__xludf.DUMMYFUNCTION("GOOGLETRANSLATE(E4283,""EN"",""JA"")"),"収縮期血圧年齢パーセンタイル; 収縮期血圧年齢パーセンタイル")</f>
        <v>収縮期血圧年齢パーセンタイル; 収縮期血圧年齢パーセンタイル</v>
      </c>
      <c r="J4283" s="1" t="str">
        <f>IFERROR(__xludf.DUMMYFUNCTION("GOOGLETRANSLATE(F4283,""EN"",""JA"")"),"個人の収縮期血圧と年齢と参照集団のそれらとの関係を評価し、パーセンタイルで表します。")</f>
        <v>個人の収縮期血圧と年齢と参照集団のそれらとの関係を評価し、パーセンタイルで表します。</v>
      </c>
      <c r="K4283" s="1" t="str">
        <f>IFERROR(__xludf.DUMMYFUNCTION("GOOGLETRANSLATE(G4283,""EN"",""JA"")"),"年齢別収縮期血圧パーセンタイル")</f>
        <v>年齢別収縮期血圧パーセンタイル</v>
      </c>
    </row>
    <row r="4284" ht="13.5" customHeight="1">
      <c r="A4284" s="1" t="s">
        <v>129</v>
      </c>
      <c r="B4284" s="1" t="s">
        <v>21419</v>
      </c>
      <c r="C4284" s="1" t="s">
        <v>21420</v>
      </c>
      <c r="D4284" s="1" t="s">
        <v>21421</v>
      </c>
      <c r="E4284" s="1" t="s">
        <v>21422</v>
      </c>
      <c r="F4284" s="1" t="s">
        <v>21423</v>
      </c>
      <c r="G4284" s="1" t="s">
        <v>21424</v>
      </c>
      <c r="H4284" s="1" t="str">
        <f>IFERROR(__xludf.DUMMYFUNCTION("GOOGLETRANSLATE(D4284,""EN"",""JA"")"),"身長に対する収縮期血圧のパーセンタイル")</f>
        <v>身長に対する収縮期血圧のパーセンタイル</v>
      </c>
      <c r="I4284" s="1" t="str">
        <f>IFERROR(__xludf.DUMMYFUNCTION("GOOGLETRANSLATE(E4284,""EN"",""JA"")"),"収縮期血圧（身長パーセンタイル）; 収縮期血圧（身長パーセンタイル）")</f>
        <v>収縮期血圧（身長パーセンタイル）; 収縮期血圧（身長パーセンタイル）</v>
      </c>
      <c r="J4284" s="1" t="str">
        <f>IFERROR(__xludf.DUMMYFUNCTION("GOOGLETRANSLATE(F4284,""EN"",""JA"")"),"個人の収縮期血圧と身長と参照集団のそれらとの関係を評価し、パーセンタイルで表します。")</f>
        <v>個人の収縮期血圧と身長と参照集団のそれらとの関係を評価し、パーセンタイルで表します。</v>
      </c>
      <c r="K4284" s="1" t="str">
        <f>IFERROR(__xludf.DUMMYFUNCTION("GOOGLETRANSLATE(G4284,""EN"",""JA"")"),"収縮期血圧（身長に対するパーセンタイル）")</f>
        <v>収縮期血圧（身長に対するパーセンタイル）</v>
      </c>
    </row>
    <row r="4285" ht="13.5" customHeight="1">
      <c r="A4285" s="1" t="s">
        <v>11</v>
      </c>
      <c r="B4285" s="1" t="s">
        <v>21425</v>
      </c>
      <c r="C4285" s="1" t="s">
        <v>21426</v>
      </c>
      <c r="D4285" s="1" t="s">
        <v>21427</v>
      </c>
      <c r="E4285" s="1" t="s">
        <v>21427</v>
      </c>
      <c r="F4285" s="1" t="s">
        <v>21428</v>
      </c>
      <c r="G4285" s="1" t="s">
        <v>21429</v>
      </c>
      <c r="H4285" s="1" t="str">
        <f>IFERROR(__xludf.DUMMYFUNCTION("GOOGLETRANSLATE(D4285,""EN"",""JA"")"),"シブトラミン")</f>
        <v>シブトラミン</v>
      </c>
      <c r="I4285" s="1" t="str">
        <f>IFERROR(__xludf.DUMMYFUNCTION("GOOGLETRANSLATE(E4285,""EN"",""JA"")"),"シブトラミン")</f>
        <v>シブトラミン</v>
      </c>
      <c r="J4285" s="1" t="str">
        <f>IFERROR(__xludf.DUMMYFUNCTION("GOOGLETRANSLATE(F4285,""EN"",""JA"")"),"生物標本中のシブトラミンの測定。")</f>
        <v>生物標本中のシブトラミンの測定。</v>
      </c>
      <c r="K4285" s="1" t="str">
        <f>IFERROR(__xludf.DUMMYFUNCTION("GOOGLETRANSLATE(G4285,""EN"",""JA"")"),"シブトラミン測定")</f>
        <v>シブトラミン測定</v>
      </c>
    </row>
    <row r="4286" ht="13.5" customHeight="1">
      <c r="A4286" s="1" t="s">
        <v>11</v>
      </c>
      <c r="B4286" s="1" t="s">
        <v>21430</v>
      </c>
      <c r="C4286" s="1" t="s">
        <v>21431</v>
      </c>
      <c r="D4286" s="1" t="s">
        <v>21432</v>
      </c>
      <c r="E4286" s="1" t="s">
        <v>21433</v>
      </c>
      <c r="F4286" s="1" t="s">
        <v>21434</v>
      </c>
      <c r="G4286" s="1" t="s">
        <v>21435</v>
      </c>
      <c r="H4286" s="1" t="str">
        <f>IFERROR(__xludf.DUMMYFUNCTION("GOOGLETRANSLATE(D4286,""EN"",""JA"")"),"S-ベンジルメルカプツール酸")</f>
        <v>S-ベンジルメルカプツール酸</v>
      </c>
      <c r="I4286" s="1" t="str">
        <f>IFERROR(__xludf.DUMMYFUNCTION("GOOGLETRANSLATE(E4286,""EN"",""JA"")"),"N-アセチル-S-ベンジル-L-システイン; S-ベンジルメルカプツール酸; S-ベンジルメルカプツール酸; S-ベンジルメルカプツール酸; SBNAC")</f>
        <v>N-アセチル-S-ベンジル-L-システイン; S-ベンジルメルカプツール酸; S-ベンジルメルカプツール酸; S-ベンジルメルカプツール酸; SBNAC</v>
      </c>
      <c r="J4286" s="1" t="str">
        <f>IFERROR(__xludf.DUMMYFUNCTION("GOOGLETRANSLATE(F4286,""EN"",""JA"")"),"検体中のS-ベンジルメルカプツール酸の測定。")</f>
        <v>検体中のS-ベンジルメルカプツール酸の測定。</v>
      </c>
      <c r="K4286" s="1" t="str">
        <f>IFERROR(__xludf.DUMMYFUNCTION("GOOGLETRANSLATE(G4286,""EN"",""JA"")"),"S-ベンジルメルカプツール酸測定")</f>
        <v>S-ベンジルメルカプツール酸測定</v>
      </c>
    </row>
    <row r="4287" ht="13.5" customHeight="1">
      <c r="A4287" s="1" t="s">
        <v>134</v>
      </c>
      <c r="B4287" s="1" t="s">
        <v>21436</v>
      </c>
      <c r="C4287" s="1" t="s">
        <v>21437</v>
      </c>
      <c r="D4287" s="1" t="s">
        <v>21438</v>
      </c>
      <c r="E4287" s="1" t="s">
        <v>21439</v>
      </c>
      <c r="F4287" s="1" t="s">
        <v>21440</v>
      </c>
      <c r="G4287" s="1" t="s">
        <v>21441</v>
      </c>
      <c r="H4287" s="1" t="str">
        <f>IFERROR(__xludf.DUMMYFUNCTION("GOOGLETRANSLATE(D4287,""EN"",""JA"")"),"スカベンジャー受容体クラスD、メンバー1")</f>
        <v>スカベンジャー受容体クラスD、メンバー1</v>
      </c>
      <c r="I4287" s="1" t="str">
        <f>IFERROR(__xludf.DUMMYFUNCTION("GOOGLETRANSLATE(E4287,""EN"",""JA"")"),"CD68; CD68分子; GP110; SCARD1; スカベンジャー受容体クラスD、メンバー1")</f>
        <v>CD68; CD68分子; GP110; SCARD1; スカベンジャー受容体クラスD、メンバー1</v>
      </c>
      <c r="J4287" s="1" t="str">
        <f>IFERROR(__xludf.DUMMYFUNCTION("GOOGLETRANSLATE(F4287,""EN"",""JA"")"),"生物標本中のスカベンジャー受容体クラス D メンバー 1 の測定。")</f>
        <v>生物標本中のスカベンジャー受容体クラス D メンバー 1 の測定。</v>
      </c>
      <c r="K4287" s="1" t="str">
        <f>IFERROR(__xludf.DUMMYFUNCTION("GOOGLETRANSLATE(G4287,""EN"",""JA"")"),"スカベンジャー受容体クラスD、メンバー1の測定")</f>
        <v>スカベンジャー受容体クラスD、メンバー1の測定</v>
      </c>
    </row>
    <row r="4288" ht="13.5" customHeight="1">
      <c r="A4288" s="1" t="s">
        <v>160</v>
      </c>
      <c r="B4288" s="1" t="s">
        <v>21442</v>
      </c>
      <c r="C4288" s="1" t="s">
        <v>21443</v>
      </c>
      <c r="D4288" s="1" t="s">
        <v>21444</v>
      </c>
      <c r="E4288" s="1" t="s">
        <v>21445</v>
      </c>
      <c r="F4288" s="1" t="s">
        <v>21446</v>
      </c>
      <c r="G4288" s="1" t="s">
        <v>21447</v>
      </c>
      <c r="H4288" s="1" t="str">
        <f>IFERROR(__xludf.DUMMYFUNCTION("GOOGLETRANSLATE(D4288,""EN"",""JA"")"),"件名 現在授乳中の子供")</f>
        <v>件名 現在授乳中の子供</v>
      </c>
      <c r="I4288" s="1" t="str">
        <f>IFERROR(__xludf.DUMMYFUNCTION("GOOGLETRANSLATE(E4288,""EN"",""JA"")"),"対象者 現在授乳中の子供 Ind; 対象者 現在授乳中の子供 Ind")</f>
        <v>対象者 現在授乳中の子供 Ind; 対象者 現在授乳中の子供 Ind</v>
      </c>
      <c r="J4288" s="1" t="str">
        <f>IFERROR(__xludf.DUMMYFUNCTION("GOOGLETRANSLATE(F4288,""EN"",""JA"")"),"個人が現在子供に母乳を与えているかどうかを示します。")</f>
        <v>個人が現在子供に母乳を与えているかどうかを示します。</v>
      </c>
      <c r="K4288" s="1" t="str">
        <f>IFERROR(__xludf.DUMMYFUNCTION("GOOGLETRANSLATE(G4288,""EN"",""JA"")"),"対象者 現在授乳中の子供指標")</f>
        <v>対象者 現在授乳中の子供指標</v>
      </c>
    </row>
    <row r="4289" ht="13.5" customHeight="1">
      <c r="A4289" s="1" t="s">
        <v>11</v>
      </c>
      <c r="B4289" s="1" t="s">
        <v>21448</v>
      </c>
      <c r="C4289" s="1" t="s">
        <v>21449</v>
      </c>
      <c r="D4289" s="1" t="s">
        <v>21450</v>
      </c>
      <c r="E4289" s="1" t="s">
        <v>21450</v>
      </c>
      <c r="F4289" s="1" t="s">
        <v>21451</v>
      </c>
      <c r="G4289" s="1" t="s">
        <v>21452</v>
      </c>
      <c r="H4289" s="1" t="str">
        <f>IFERROR(__xludf.DUMMYFUNCTION("GOOGLETRANSLATE(D4289,""EN"",""JA"")"),"セコバルビタール")</f>
        <v>セコバルビタール</v>
      </c>
      <c r="I4289" s="1" t="str">
        <f>IFERROR(__xludf.DUMMYFUNCTION("GOOGLETRANSLATE(E4289,""EN"",""JA"")"),"セコバルビタール")</f>
        <v>セコバルビタール</v>
      </c>
      <c r="J4289" s="1" t="str">
        <f>IFERROR(__xludf.DUMMYFUNCTION("GOOGLETRANSLATE(F4289,""EN"",""JA"")"),"生物学的標本中に存在するセコバルビタールの測定。")</f>
        <v>生物学的標本中に存在するセコバルビタールの測定。</v>
      </c>
      <c r="K4289" s="1" t="str">
        <f>IFERROR(__xludf.DUMMYFUNCTION("GOOGLETRANSLATE(G4289,""EN"",""JA"")"),"セコバルビタール測定")</f>
        <v>セコバルビタール測定</v>
      </c>
    </row>
    <row r="4290" ht="13.5" customHeight="1">
      <c r="A4290" s="1" t="s">
        <v>11</v>
      </c>
      <c r="B4290" s="1" t="s">
        <v>21453</v>
      </c>
      <c r="C4290" s="1" t="s">
        <v>21454</v>
      </c>
      <c r="D4290" s="1" t="s">
        <v>21455</v>
      </c>
      <c r="E4290" s="1" t="s">
        <v>21455</v>
      </c>
      <c r="F4290" s="1" t="s">
        <v>21456</v>
      </c>
      <c r="G4290" s="1" t="s">
        <v>21457</v>
      </c>
      <c r="H4290" s="1" t="str">
        <f>IFERROR(__xludf.DUMMYFUNCTION("GOOGLETRANSLATE(D4290,""EN"",""JA"")"),"扁平上皮癌抗原")</f>
        <v>扁平上皮癌抗原</v>
      </c>
      <c r="I4290" s="1" t="str">
        <f>IFERROR(__xludf.DUMMYFUNCTION("GOOGLETRANSLATE(E4290,""EN"",""JA"")"),"扁平上皮癌抗原")</f>
        <v>扁平上皮癌抗原</v>
      </c>
      <c r="J4290" s="1" t="str">
        <f>IFERROR(__xludf.DUMMYFUNCTION("GOOGLETRANSLATE(F4290,""EN"",""JA"")"),"生物標本中の扁平上皮癌抗原の測定。")</f>
        <v>生物標本中の扁平上皮癌抗原の測定。</v>
      </c>
      <c r="K4290" s="1" t="str">
        <f>IFERROR(__xludf.DUMMYFUNCTION("GOOGLETRANSLATE(G4290,""EN"",""JA"")"),"扁平上皮癌抗原測定")</f>
        <v>扁平上皮癌抗原測定</v>
      </c>
    </row>
    <row r="4291" ht="13.5" customHeight="1">
      <c r="A4291" s="1" t="s">
        <v>11</v>
      </c>
      <c r="B4291" s="1" t="s">
        <v>21458</v>
      </c>
      <c r="C4291" s="1" t="s">
        <v>21459</v>
      </c>
      <c r="D4291" s="1" t="s">
        <v>21460</v>
      </c>
      <c r="E4291" s="1" t="s">
        <v>21461</v>
      </c>
      <c r="F4291" s="1" t="s">
        <v>21462</v>
      </c>
      <c r="G4291" s="1" t="s">
        <v>21463</v>
      </c>
      <c r="H4291" s="1" t="str">
        <f>IFERROR(__xludf.DUMMYFUNCTION("GOOGLETRANSLATE(D4291,""EN"",""JA"")"),"幹細胞因子")</f>
        <v>幹細胞因子</v>
      </c>
      <c r="I4291" s="1" t="str">
        <f>IFERROR(__xludf.DUMMYFUNCTION("GOOGLETRANSLATE(E4291,""EN"",""JA"")"),"KITリガンド; 幹細胞因子")</f>
        <v>KITリガンド; 幹細胞因子</v>
      </c>
      <c r="J4291" s="1" t="str">
        <f>IFERROR(__xludf.DUMMYFUNCTION("GOOGLETRANSLATE(F4291,""EN"",""JA"")"),"生物標本中の幹細胞因子の測定。")</f>
        <v>生物標本中の幹細胞因子の測定。</v>
      </c>
      <c r="K4291" s="1" t="str">
        <f>IFERROR(__xludf.DUMMYFUNCTION("GOOGLETRANSLATE(G4291,""EN"",""JA"")"),"幹細胞因子測定")</f>
        <v>幹細胞因子測定</v>
      </c>
    </row>
    <row r="4292" ht="13.5" customHeight="1">
      <c r="A4292" s="1" t="s">
        <v>134</v>
      </c>
      <c r="B4292" s="1" t="s">
        <v>21464</v>
      </c>
      <c r="C4292" s="1" t="s">
        <v>21465</v>
      </c>
      <c r="D4292" s="1" t="s">
        <v>21466</v>
      </c>
      <c r="E4292" s="1" t="s">
        <v>21467</v>
      </c>
      <c r="F4292" s="1" t="s">
        <v>21468</v>
      </c>
      <c r="G4292" s="1" t="s">
        <v>21469</v>
      </c>
      <c r="H4292" s="1" t="str">
        <f>IFERROR(__xludf.DUMMYFUNCTION("GOOGLETRANSLATE(D4292,""EN"",""JA"")"),"マスト細胞/幹細胞増殖因子レックキット")</f>
        <v>マスト細胞/幹細胞増殖因子レックキット</v>
      </c>
      <c r="I4292" s="1" t="str">
        <f>IFERROR(__xludf.DUMMYFUNCTION("GOOGLETRANSLATE(E4292,""EN"",""JA"")"),"C-Kit; CD117; KIT プロトオンコゲン、受容体チロシンキナーゼ; マスト/幹細胞増殖因子 Rec キット; マスト/幹細胞増殖因子受容体キット")</f>
        <v>C-Kit; CD117; KIT プロトオンコゲン、受容体チロシンキナーゼ; マスト/幹細胞増殖因子 Rec キット; マスト/幹細胞増殖因子受容体キット</v>
      </c>
      <c r="J4292" s="1" t="str">
        <f>IFERROR(__xludf.DUMMYFUNCTION("GOOGLETRANSLATE(F4292,""EN"",""JA"")"),"生物標本中のマスト/幹細胞増殖因子受容体キットの測定。")</f>
        <v>生物標本中のマスト/幹細胞増殖因子受容体キットの測定。</v>
      </c>
      <c r="K4292" s="1" t="str">
        <f>IFERROR(__xludf.DUMMYFUNCTION("GOOGLETRANSLATE(G4292,""EN"",""JA"")"),"マスト/幹細胞増殖因子受容体キット測定")</f>
        <v>マスト/幹細胞増殖因子受容体キット測定</v>
      </c>
    </row>
    <row r="4293" ht="13.5" customHeight="1">
      <c r="A4293" s="1" t="s">
        <v>11</v>
      </c>
      <c r="B4293" s="1" t="s">
        <v>21464</v>
      </c>
      <c r="C4293" s="1" t="s">
        <v>21465</v>
      </c>
      <c r="D4293" s="1" t="s">
        <v>21466</v>
      </c>
      <c r="E4293" s="1" t="s">
        <v>21467</v>
      </c>
      <c r="F4293" s="1" t="s">
        <v>21468</v>
      </c>
      <c r="G4293" s="1" t="s">
        <v>21469</v>
      </c>
      <c r="H4293" s="1" t="str">
        <f>IFERROR(__xludf.DUMMYFUNCTION("GOOGLETRANSLATE(D4293,""EN"",""JA"")"),"マスト細胞/幹細胞増殖因子レックキット")</f>
        <v>マスト細胞/幹細胞増殖因子レックキット</v>
      </c>
      <c r="I4293" s="1" t="str">
        <f>IFERROR(__xludf.DUMMYFUNCTION("GOOGLETRANSLATE(E4293,""EN"",""JA"")"),"C-Kit; CD117; KIT プロトオンコゲン、受容体チロシンキナーゼ; マスト/幹細胞増殖因子 Rec キット; マスト/幹細胞増殖因子受容体キット")</f>
        <v>C-Kit; CD117; KIT プロトオンコゲン、受容体チロシンキナーゼ; マスト/幹細胞増殖因子 Rec キット; マスト/幹細胞増殖因子受容体キット</v>
      </c>
      <c r="J4293" s="1" t="str">
        <f>IFERROR(__xludf.DUMMYFUNCTION("GOOGLETRANSLATE(F4293,""EN"",""JA"")"),"生物標本中のマスト/幹細胞増殖因子受容体キットの測定。")</f>
        <v>生物標本中のマスト/幹細胞増殖因子受容体キットの測定。</v>
      </c>
      <c r="K4293" s="1" t="str">
        <f>IFERROR(__xludf.DUMMYFUNCTION("GOOGLETRANSLATE(G4293,""EN"",""JA"")"),"マスト/幹細胞増殖因子受容体キット測定")</f>
        <v>マスト/幹細胞増殖因子受容体キット測定</v>
      </c>
    </row>
    <row r="4294" ht="13.5" customHeight="1">
      <c r="A4294" s="1" t="s">
        <v>11</v>
      </c>
      <c r="B4294" s="1" t="s">
        <v>21470</v>
      </c>
      <c r="C4294" s="1" t="s">
        <v>21471</v>
      </c>
      <c r="D4294" s="1" t="s">
        <v>21472</v>
      </c>
      <c r="E4294" s="1" t="s">
        <v>21472</v>
      </c>
      <c r="F4294" s="1" t="s">
        <v>21473</v>
      </c>
      <c r="G4294" s="1" t="s">
        <v>21474</v>
      </c>
      <c r="H4294" s="1" t="str">
        <f>IFERROR(__xludf.DUMMYFUNCTION("GOOGLETRANSLATE(D4294,""EN"",""JA"")"),"破砕赤血球/赤血球")</f>
        <v>破砕赤血球/赤血球</v>
      </c>
      <c r="I4294" s="1" t="str">
        <f>IFERROR(__xludf.DUMMYFUNCTION("GOOGLETRANSLATE(E4294,""EN"",""JA"")"),"破砕赤血球/赤血球")</f>
        <v>破砕赤血球/赤血球</v>
      </c>
      <c r="J4294" s="1" t="str">
        <f>IFERROR(__xludf.DUMMYFUNCTION("GOOGLETRANSLATE(F4294,""EN"",""JA"")"),"生物標本中の赤血球に対する破砕赤血球の相対的な測定値（比率またはパーセンテージ）。")</f>
        <v>生物標本中の赤血球に対する破砕赤血球の相対的な測定値（比率またはパーセンテージ）。</v>
      </c>
      <c r="K4294" s="1" t="str">
        <f>IFERROR(__xludf.DUMMYFUNCTION("GOOGLETRANSLATE(G4294,""EN"",""JA"")"),"破砕赤血球対赤血球比測定")</f>
        <v>破砕赤血球対赤血球比測定</v>
      </c>
    </row>
    <row r="4295" ht="13.5" customHeight="1">
      <c r="A4295" s="1" t="s">
        <v>11</v>
      </c>
      <c r="B4295" s="1" t="s">
        <v>21475</v>
      </c>
      <c r="C4295" s="1" t="s">
        <v>21476</v>
      </c>
      <c r="D4295" s="1" t="s">
        <v>21477</v>
      </c>
      <c r="E4295" s="1" t="s">
        <v>21477</v>
      </c>
      <c r="F4295" s="1" t="s">
        <v>21478</v>
      </c>
      <c r="G4295" s="1" t="s">
        <v>21479</v>
      </c>
      <c r="H4295" s="1" t="str">
        <f>IFERROR(__xludf.DUMMYFUNCTION("GOOGLETRANSLATE(D4295,""EN"",""JA"")"),"分裂細胞")</f>
        <v>分裂細胞</v>
      </c>
      <c r="I4295" s="1" t="str">
        <f>IFERROR(__xludf.DUMMYFUNCTION("GOOGLETRANSLATE(E4295,""EN"",""JA"")"),"分裂細胞")</f>
        <v>分裂細胞</v>
      </c>
      <c r="J4295" s="1" t="str">
        <f>IFERROR(__xludf.DUMMYFUNCTION("GOOGLETRANSLATE(F4295,""EN"",""JA"")"),"生物標本中の破砕赤血球（断片化した赤血球）の測定。")</f>
        <v>生物標本中の破砕赤血球（断片化した赤血球）の測定。</v>
      </c>
      <c r="K4295" s="1" t="str">
        <f>IFERROR(__xludf.DUMMYFUNCTION("GOOGLETRANSLATE(G4295,""EN"",""JA"")"),"破砕赤血球数")</f>
        <v>破砕赤血球数</v>
      </c>
    </row>
    <row r="4296" ht="13.5" customHeight="1">
      <c r="A4296" s="1" t="s">
        <v>11</v>
      </c>
      <c r="B4296" s="1" t="s">
        <v>21480</v>
      </c>
      <c r="C4296" s="1" t="s">
        <v>21481</v>
      </c>
      <c r="D4296" s="1" t="s">
        <v>21482</v>
      </c>
      <c r="E4296" s="1" t="s">
        <v>21482</v>
      </c>
      <c r="F4296" s="1" t="s">
        <v>21483</v>
      </c>
      <c r="G4296" s="1" t="s">
        <v>21484</v>
      </c>
      <c r="H4296" s="1" t="str">
        <f>IFERROR(__xludf.DUMMYFUNCTION("GOOGLETRANSLATE(D4296,""EN"",""JA"")"),"鎌状赤血球/赤血球")</f>
        <v>鎌状赤血球/赤血球</v>
      </c>
      <c r="I4296" s="1" t="str">
        <f>IFERROR(__xludf.DUMMYFUNCTION("GOOGLETRANSLATE(E4296,""EN"",""JA"")"),"鎌状赤血球/赤血球")</f>
        <v>鎌状赤血球/赤血球</v>
      </c>
      <c r="J4296" s="1" t="str">
        <f>IFERROR(__xludf.DUMMYFUNCTION("GOOGLETRANSLATE(F4296,""EN"",""JA"")"),"生物標本中のすべての赤血球に対する鎌状赤血球（鎌状の赤血球）の相対的な測定値（比率またはパーセンテージ）。")</f>
        <v>生物標本中のすべての赤血球に対する鎌状赤血球（鎌状の赤血球）の相対的な測定値（比率またはパーセンテージ）。</v>
      </c>
      <c r="K4296" s="1" t="str">
        <f>IFERROR(__xludf.DUMMYFUNCTION("GOOGLETRANSLATE(G4296,""EN"",""JA"")"),"鎌状赤血球比測定")</f>
        <v>鎌状赤血球比測定</v>
      </c>
    </row>
    <row r="4297" ht="13.5" customHeight="1">
      <c r="A4297" s="1" t="s">
        <v>11</v>
      </c>
      <c r="B4297" s="1" t="s">
        <v>21485</v>
      </c>
      <c r="C4297" s="1" t="s">
        <v>21486</v>
      </c>
      <c r="D4297" s="1" t="s">
        <v>21487</v>
      </c>
      <c r="E4297" s="1" t="s">
        <v>21488</v>
      </c>
      <c r="F4297" s="1" t="s">
        <v>21489</v>
      </c>
      <c r="G4297" s="1" t="s">
        <v>21490</v>
      </c>
      <c r="H4297" s="1" t="str">
        <f>IFERROR(__xludf.DUMMYFUNCTION("GOOGLETRANSLATE(D4297,""EN"",""JA"")"),"鎌状赤血球症")</f>
        <v>鎌状赤血球症</v>
      </c>
      <c r="I4297" s="1" t="str">
        <f>IFERROR(__xludf.DUMMYFUNCTION("GOOGLETRANSLATE(E4297,""EN"",""JA"")"),"ドレパノサイト; 鎌状赤血球")</f>
        <v>ドレパノサイト; 鎌状赤血球</v>
      </c>
      <c r="J4297" s="1" t="str">
        <f>IFERROR(__xludf.DUMMYFUNCTION("GOOGLETRANSLATE(F4297,""EN"",""JA"")"),"生物標本中の鎌状赤血球（鎌状の赤血球）の測定。")</f>
        <v>生物標本中の鎌状赤血球（鎌状の赤血球）の測定。</v>
      </c>
      <c r="K4297" s="1" t="str">
        <f>IFERROR(__xludf.DUMMYFUNCTION("GOOGLETRANSLATE(G4297,""EN"",""JA"")"),"鎌状赤血球数")</f>
        <v>鎌状赤血球数</v>
      </c>
    </row>
    <row r="4298" ht="13.5" customHeight="1">
      <c r="A4298" s="1" t="s">
        <v>11</v>
      </c>
      <c r="B4298" s="1" t="s">
        <v>21491</v>
      </c>
      <c r="C4298" s="1" t="s">
        <v>21492</v>
      </c>
      <c r="D4298" s="1" t="s">
        <v>21493</v>
      </c>
      <c r="E4298" s="1" t="s">
        <v>21493</v>
      </c>
      <c r="F4298" s="1" t="s">
        <v>21494</v>
      </c>
      <c r="G4298" s="1" t="s">
        <v>21495</v>
      </c>
      <c r="H4298" s="1" t="str">
        <f>IFERROR(__xludf.DUMMYFUNCTION("GOOGLETRANSLATE(D4298,""EN"",""JA"")"),"チオシアン酸塩")</f>
        <v>チオシアン酸塩</v>
      </c>
      <c r="I4298" s="1" t="str">
        <f>IFERROR(__xludf.DUMMYFUNCTION("GOOGLETRANSLATE(E4298,""EN"",""JA"")"),"チオシアン酸塩")</f>
        <v>チオシアン酸塩</v>
      </c>
      <c r="J4298" s="1" t="str">
        <f>IFERROR(__xludf.DUMMYFUNCTION("GOOGLETRANSLATE(F4298,""EN"",""JA"")"),"生物標本中のチオシアン酸塩の測定。")</f>
        <v>生物標本中のチオシアン酸塩の測定。</v>
      </c>
      <c r="K4298" s="1" t="str">
        <f>IFERROR(__xludf.DUMMYFUNCTION("GOOGLETRANSLATE(G4298,""EN"",""JA"")"),"チオシアン酸塩測定")</f>
        <v>チオシアン酸塩測定</v>
      </c>
    </row>
    <row r="4299" ht="13.5" customHeight="1">
      <c r="A4299" s="1" t="s">
        <v>11</v>
      </c>
      <c r="B4299" s="1" t="s">
        <v>21496</v>
      </c>
      <c r="C4299" s="1" t="s">
        <v>21497</v>
      </c>
      <c r="D4299" s="1" t="s">
        <v>21498</v>
      </c>
      <c r="E4299" s="1" t="s">
        <v>21498</v>
      </c>
      <c r="F4299" s="1" t="s">
        <v>21499</v>
      </c>
      <c r="G4299" s="1" t="s">
        <v>21500</v>
      </c>
      <c r="H4299" s="1" t="str">
        <f>IFERROR(__xludf.DUMMYFUNCTION("GOOGLETRANSLATE(D4299,""EN"",""JA"")"),"サクシニルアセトン")</f>
        <v>サクシニルアセトン</v>
      </c>
      <c r="I4299" s="1" t="str">
        <f>IFERROR(__xludf.DUMMYFUNCTION("GOOGLETRANSLATE(E4299,""EN"",""JA"")"),"サクシニルアセトン")</f>
        <v>サクシニルアセトン</v>
      </c>
      <c r="J4299" s="1" t="str">
        <f>IFERROR(__xludf.DUMMYFUNCTION("GOOGLETRANSLATE(F4299,""EN"",""JA"")"),"生物標本中のスクシニルアセトンの測定。")</f>
        <v>生物標本中のスクシニルアセトンの測定。</v>
      </c>
      <c r="K4299" s="1" t="str">
        <f>IFERROR(__xludf.DUMMYFUNCTION("GOOGLETRANSLATE(G4299,""EN"",""JA"")"),"サクシニルアセトン測定")</f>
        <v>サクシニルアセトン測定</v>
      </c>
    </row>
    <row r="4300" ht="13.5" customHeight="1">
      <c r="A4300" s="1" t="s">
        <v>1997</v>
      </c>
      <c r="B4300" s="1" t="s">
        <v>21501</v>
      </c>
      <c r="C4300" s="1" t="s">
        <v>21502</v>
      </c>
      <c r="D4300" s="1" t="s">
        <v>21503</v>
      </c>
      <c r="E4300" s="1" t="s">
        <v>21503</v>
      </c>
      <c r="F4300" s="1" t="s">
        <v>21504</v>
      </c>
      <c r="G4300" s="1" t="s">
        <v>21503</v>
      </c>
      <c r="H4300" s="1" t="str">
        <f>IFERROR(__xludf.DUMMYFUNCTION("GOOGLETRANSLATE(D4300,""EN"",""JA"")"),"スコア")</f>
        <v>スコア</v>
      </c>
      <c r="I4300" s="1" t="str">
        <f>IFERROR(__xludf.DUMMYFUNCTION("GOOGLETRANSLATE(E4300,""EN"",""JA"")"),"スコア")</f>
        <v>スコア</v>
      </c>
      <c r="J4300" s="1" t="str">
        <f>IFERROR(__xludf.DUMMYFUNCTION("GOOGLETRANSLATE(F4300,""EN"",""JA"")"),"比較の目的で結果または応答を評価し、順序付ける値 (数値、数値範囲、比率など)。")</f>
        <v>比較の目的で結果または応答を評価し、順序付ける値 (数値、数値範囲、比率など)。</v>
      </c>
      <c r="K4300" s="1" t="str">
        <f>IFERROR(__xludf.DUMMYFUNCTION("GOOGLETRANSLATE(G4300,""EN"",""JA"")"),"スコア")</f>
        <v>スコア</v>
      </c>
    </row>
    <row r="4301" ht="13.5" customHeight="1">
      <c r="A4301" s="1" t="s">
        <v>11</v>
      </c>
      <c r="B4301" s="1" t="s">
        <v>21505</v>
      </c>
      <c r="C4301" s="1" t="s">
        <v>21506</v>
      </c>
      <c r="D4301" s="1" t="s">
        <v>21507</v>
      </c>
      <c r="E4301" s="1" t="s">
        <v>21507</v>
      </c>
      <c r="F4301" s="1" t="s">
        <v>21508</v>
      </c>
      <c r="G4301" s="1" t="s">
        <v>21509</v>
      </c>
      <c r="H4301" s="1" t="str">
        <f>IFERROR(__xludf.DUMMYFUNCTION("GOOGLETRANSLATE(D4301,""EN"",""JA"")"),"ソルビトール脱水素酵素")</f>
        <v>ソルビトール脱水素酵素</v>
      </c>
      <c r="I4301" s="1" t="str">
        <f>IFERROR(__xludf.DUMMYFUNCTION("GOOGLETRANSLATE(E4301,""EN"",""JA"")"),"ソルビトール脱水素酵素")</f>
        <v>ソルビトール脱水素酵素</v>
      </c>
      <c r="J4301" s="1" t="str">
        <f>IFERROR(__xludf.DUMMYFUNCTION("GOOGLETRANSLATE(F4301,""EN"",""JA"")"),"生物標本中のソルビトール脱水素酵素の測定。")</f>
        <v>生物標本中のソルビトール脱水素酵素の測定。</v>
      </c>
      <c r="K4301" s="1" t="str">
        <f>IFERROR(__xludf.DUMMYFUNCTION("GOOGLETRANSLATE(G4301,""EN"",""JA"")"),"ソルビトール脱水素酵素測定")</f>
        <v>ソルビトール脱水素酵素測定</v>
      </c>
    </row>
    <row r="4302" ht="13.5" customHeight="1">
      <c r="A4302" s="1" t="s">
        <v>11</v>
      </c>
      <c r="B4302" s="1" t="s">
        <v>21510</v>
      </c>
      <c r="C4302" s="1" t="s">
        <v>21511</v>
      </c>
      <c r="D4302" s="1" t="s">
        <v>21512</v>
      </c>
      <c r="E4302" s="1" t="s">
        <v>21513</v>
      </c>
      <c r="F4302" s="1" t="s">
        <v>21514</v>
      </c>
      <c r="G4302" s="1" t="s">
        <v>21515</v>
      </c>
      <c r="H4302" s="1" t="str">
        <f>IFERROR(__xludf.DUMMYFUNCTION("GOOGLETRANSLATE(D4302,""EN"",""JA"")"),"対称ジメチルアルギニン")</f>
        <v>対称ジメチルアルギニン</v>
      </c>
      <c r="I4302" s="1" t="str">
        <f>IFERROR(__xludf.DUMMYFUNCTION("GOOGLETRANSLATE(E4302,""EN"",""JA"")"),"N,N'-ジメチルアルギニン; 対称ジメチルアルギニン")</f>
        <v>N,N'-ジメチルアルギニン; 対称ジメチルアルギニン</v>
      </c>
      <c r="J4302" s="1" t="str">
        <f>IFERROR(__xludf.DUMMYFUNCTION("GOOGLETRANSLATE(F4302,""EN"",""JA"")"),"生物標本中の対称ジメチルアルギニンの測定。")</f>
        <v>生物標本中の対称ジメチルアルギニンの測定。</v>
      </c>
      <c r="K4302" s="1" t="str">
        <f>IFERROR(__xludf.DUMMYFUNCTION("GOOGLETRANSLATE(G4302,""EN"",""JA"")"),"対称ジメチルアルギニン測定")</f>
        <v>対称ジメチルアルギニン測定</v>
      </c>
    </row>
    <row r="4303" ht="13.5" customHeight="1">
      <c r="A4303" s="1" t="s">
        <v>397</v>
      </c>
      <c r="B4303" s="1" t="s">
        <v>21516</v>
      </c>
      <c r="C4303" s="1" t="s">
        <v>21517</v>
      </c>
      <c r="D4303" s="1" t="s">
        <v>21518</v>
      </c>
      <c r="E4303" s="1" t="s">
        <v>21518</v>
      </c>
      <c r="F4303" s="1" t="s">
        <v>21519</v>
      </c>
      <c r="G4303" s="1" t="s">
        <v>21518</v>
      </c>
      <c r="H4303" s="1" t="str">
        <f>IFERROR(__xludf.DUMMYFUNCTION("GOOGLETRANSLATE(D4303,""EN"",""JA"")"),"病状安定期間の最小値")</f>
        <v>病状安定期間の最小値</v>
      </c>
      <c r="I4303" s="1" t="str">
        <f>IFERROR(__xludf.DUMMYFUNCTION("GOOGLETRANSLATE(E4303,""EN"",""JA"")"),"病状安定期間の最小値")</f>
        <v>病状安定期間の最小値</v>
      </c>
      <c r="J4303" s="1" t="str">
        <f>IFERROR(__xludf.DUMMYFUNCTION("GOOGLETRANSLATE(F4303,""EN"",""JA"")"),"プロトコルでは、病状の安定の定義を満たすために必要な最小限の時間が指定されました。")</f>
        <v>プロトコルでは、病状の安定の定義を満たすために必要な最小限の時間が指定されました。</v>
      </c>
      <c r="K4303" s="1" t="str">
        <f>IFERROR(__xludf.DUMMYFUNCTION("GOOGLETRANSLATE(G4303,""EN"",""JA"")"),"病状安定期間の最小値")</f>
        <v>病状安定期間の最小値</v>
      </c>
    </row>
    <row r="4304" ht="13.5" customHeight="1">
      <c r="A4304" s="1" t="s">
        <v>90</v>
      </c>
      <c r="B4304" s="1" t="s">
        <v>21520</v>
      </c>
      <c r="C4304" s="1" t="s">
        <v>21521</v>
      </c>
      <c r="D4304" s="1" t="s">
        <v>21522</v>
      </c>
      <c r="E4304" s="1" t="s">
        <v>21522</v>
      </c>
      <c r="F4304" s="1" t="s">
        <v>21523</v>
      </c>
      <c r="G4304" s="1" t="s">
        <v>21522</v>
      </c>
      <c r="H4304" s="1" t="str">
        <f>IFERROR(__xludf.DUMMYFUNCTION("GOOGLETRANSLATE(D4304,""EN"",""JA"")"),"突然死症候群リスクタイプ")</f>
        <v>突然死症候群リスクタイプ</v>
      </c>
      <c r="I4304" s="1" t="str">
        <f>IFERROR(__xludf.DUMMYFUNCTION("GOOGLETRANSLATE(E4304,""EN"",""JA"")"),"突然死症候群リスクタイプ")</f>
        <v>突然死症候群リスクタイプ</v>
      </c>
      <c r="J4304" s="1" t="str">
        <f>IFERROR(__xludf.DUMMYFUNCTION("GOOGLETRANSLATE(F4304,""EN"",""JA"")"),"突然死のリスクがある症候群または状態の特徴付けまたは分類。")</f>
        <v>突然死のリスクがある症候群または状態の特徴付けまたは分類。</v>
      </c>
      <c r="K4304" s="1" t="str">
        <f>IFERROR(__xludf.DUMMYFUNCTION("GOOGLETRANSLATE(G4304,""EN"",""JA"")"),"突然死症候群リスクタイプ")</f>
        <v>突然死症候群リスクタイプ</v>
      </c>
    </row>
    <row r="4305" ht="13.5" customHeight="1">
      <c r="A4305" s="1" t="s">
        <v>842</v>
      </c>
      <c r="B4305" s="1" t="s">
        <v>21524</v>
      </c>
      <c r="C4305" s="1" t="s">
        <v>21525</v>
      </c>
      <c r="D4305" s="1" t="s">
        <v>21526</v>
      </c>
      <c r="E4305" s="1" t="s">
        <v>21526</v>
      </c>
      <c r="F4305" s="1" t="s">
        <v>21527</v>
      </c>
      <c r="G4305" s="1" t="s">
        <v>21526</v>
      </c>
      <c r="H4305" s="1" t="str">
        <f>IFERROR(__xludf.DUMMYFUNCTION("GOOGLETRANSLATE(D4305,""EN"",""JA"")"),"突然死インジケーター")</f>
        <v>突然死インジケーター</v>
      </c>
      <c r="I4305" s="1" t="str">
        <f>IFERROR(__xludf.DUMMYFUNCTION("GOOGLETRANSLATE(E4305,""EN"",""JA"")"),"突然死インジケーター")</f>
        <v>突然死インジケーター</v>
      </c>
      <c r="J4305" s="1" t="str">
        <f>IFERROR(__xludf.DUMMYFUNCTION("GOOGLETRANSLATE(F4305,""EN"",""JA"")"),"死亡が予期せぬものであったか、あるいは予告なく発生したかを示すもの。")</f>
        <v>死亡が予期せぬものであったか、あるいは予告なく発生したかを示すもの。</v>
      </c>
      <c r="K4305" s="1" t="str">
        <f>IFERROR(__xludf.DUMMYFUNCTION("GOOGLETRANSLATE(G4305,""EN"",""JA"")"),"突然死インジケーター")</f>
        <v>突然死インジケーター</v>
      </c>
    </row>
    <row r="4306" ht="13.5" customHeight="1">
      <c r="A4306" s="1" t="s">
        <v>397</v>
      </c>
      <c r="B4306" s="1" t="s">
        <v>21528</v>
      </c>
      <c r="C4306" s="1" t="s">
        <v>21529</v>
      </c>
      <c r="D4306" s="1" t="s">
        <v>21530</v>
      </c>
      <c r="E4306" s="1" t="s">
        <v>21531</v>
      </c>
      <c r="F4306" s="1" t="s">
        <v>21532</v>
      </c>
      <c r="G4306" s="1" t="s">
        <v>21533</v>
      </c>
      <c r="H4306" s="1" t="str">
        <f>IFERROR(__xludf.DUMMYFUNCTION("GOOGLETRANSLATE(D4306,""EN"",""JA"")"),"SDTM IGバージョン")</f>
        <v>SDTM IGバージョン</v>
      </c>
      <c r="I4306" s="1" t="str">
        <f>IFERROR(__xludf.DUMMYFUNCTION("GOOGLETRANSLATE(E4306,""EN"",""JA"")"),"SDTM IG バージョン; SDTM 実装ガイド バージョン; SDTMIG バージョン")</f>
        <v>SDTM IG バージョン; SDTM 実装ガイド バージョン; SDTMIG バージョン</v>
      </c>
      <c r="J4306" s="1" t="str">
        <f>IFERROR(__xludf.DUMMYFUNCTION("GOOGLETRANSLATE(F4306,""EN"",""JA"")"),"研究提出に使用されている CDISC 研究データ集計モデル実装ガイドのバージョン。")</f>
        <v>研究提出に使用されている CDISC 研究データ集計モデル実装ガイドのバージョン。</v>
      </c>
      <c r="K4306" s="1" t="str">
        <f>IFERROR(__xludf.DUMMYFUNCTION("GOOGLETRANSLATE(G4306,""EN"",""JA"")"),"研究データ集計モデル実装ガイドバージョン")</f>
        <v>研究データ集計モデル実装ガイドバージョン</v>
      </c>
    </row>
    <row r="4307" ht="13.5" customHeight="1">
      <c r="A4307" s="1" t="s">
        <v>397</v>
      </c>
      <c r="B4307" s="1" t="s">
        <v>21534</v>
      </c>
      <c r="C4307" s="1" t="s">
        <v>21535</v>
      </c>
      <c r="D4307" s="1" t="s">
        <v>21536</v>
      </c>
      <c r="E4307" s="1" t="s">
        <v>21537</v>
      </c>
      <c r="F4307" s="1" t="s">
        <v>21538</v>
      </c>
      <c r="G4307" s="1" t="s">
        <v>21539</v>
      </c>
      <c r="H4307" s="1" t="str">
        <f>IFERROR(__xludf.DUMMYFUNCTION("GOOGLETRANSLATE(D4307,""EN"",""JA"")"),"SDTMIG医療機器バージョン")</f>
        <v>SDTMIG医療機器バージョン</v>
      </c>
      <c r="I4307" s="1" t="str">
        <f>IFERROR(__xludf.DUMMYFUNCTION("GOOGLETRANSLATE(E4307,""EN"",""JA"")"),"SDTM IG 医療機器バージョン、SDTM 実装ガイド 医療機器バージョン、SDTMIG 医療機器バージョン、SDTMIG-MD バージョン")</f>
        <v>SDTM IG 医療機器バージョン、SDTM 実装ガイド 医療機器バージョン、SDTMIG 医療機器バージョン、SDTMIG-MD バージョン</v>
      </c>
      <c r="J4307" s="1" t="str">
        <f>IFERROR(__xludf.DUMMYFUNCTION("GOOGLETRANSLATE(F4307,""EN"",""JA"")"),"研究提出に使用されている医療機器の CDISC 研究データ集計モデル実装ガイドのバージョン。")</f>
        <v>研究提出に使用されている医療機器の CDISC 研究データ集計モデル実装ガイドのバージョン。</v>
      </c>
      <c r="K4307" s="1" t="str">
        <f>IFERROR(__xludf.DUMMYFUNCTION("GOOGLETRANSLATE(G4307,""EN"",""JA"")"),"SDTM実装ガイド医療機器バージョン")</f>
        <v>SDTM実装ガイド医療機器バージョン</v>
      </c>
    </row>
    <row r="4308" ht="13.5" customHeight="1">
      <c r="A4308" s="1" t="s">
        <v>397</v>
      </c>
      <c r="B4308" s="1" t="s">
        <v>21540</v>
      </c>
      <c r="C4308" s="1" t="s">
        <v>21541</v>
      </c>
      <c r="D4308" s="1" t="s">
        <v>21542</v>
      </c>
      <c r="E4308" s="1" t="s">
        <v>21542</v>
      </c>
      <c r="F4308" s="1" t="s">
        <v>21543</v>
      </c>
      <c r="G4308" s="1" t="s">
        <v>21544</v>
      </c>
      <c r="H4308" s="1" t="str">
        <f>IFERROR(__xludf.DUMMYFUNCTION("GOOGLETRANSLATE(D4308,""EN"",""JA"")"),"SDTMバージョン")</f>
        <v>SDTMバージョン</v>
      </c>
      <c r="I4308" s="1" t="str">
        <f>IFERROR(__xludf.DUMMYFUNCTION("GOOGLETRANSLATE(E4308,""EN"",""JA"")"),"SDTMバージョン")</f>
        <v>SDTMバージョン</v>
      </c>
      <c r="J4308" s="1" t="str">
        <f>IFERROR(__xludf.DUMMYFUNCTION("GOOGLETRANSLATE(F4308,""EN"",""JA"")"),"研究提出に使用されている CDISC 研究データ集計モデルのバージョン。")</f>
        <v>研究提出に使用されている CDISC 研究データ集計モデルのバージョン。</v>
      </c>
      <c r="K4308" s="1" t="str">
        <f>IFERROR(__xludf.DUMMYFUNCTION("GOOGLETRANSLATE(G4308,""EN"",""JA"")"),"研究データ集計モデルバージョン")</f>
        <v>研究データ集計モデルバージョン</v>
      </c>
    </row>
    <row r="4309" ht="13.5" customHeight="1">
      <c r="A4309" s="1" t="s">
        <v>397</v>
      </c>
      <c r="B4309" s="1" t="s">
        <v>21545</v>
      </c>
      <c r="C4309" s="1" t="s">
        <v>21546</v>
      </c>
      <c r="D4309" s="1" t="s">
        <v>21547</v>
      </c>
      <c r="E4309" s="1" t="s">
        <v>21547</v>
      </c>
      <c r="F4309" s="1" t="s">
        <v>21548</v>
      </c>
      <c r="G4309" s="1" t="s">
        <v>21549</v>
      </c>
      <c r="H4309" s="1" t="str">
        <f>IFERROR(__xludf.DUMMYFUNCTION("GOOGLETRANSLATE(D4309,""EN"",""JA"")"),"セキュア配信 XML 必須インジケーター")</f>
        <v>セキュア配信 XML 必須インジケーター</v>
      </c>
      <c r="I4309" s="1" t="str">
        <f>IFERROR(__xludf.DUMMYFUNCTION("GOOGLETRANSLATE(E4309,""EN"",""JA"")"),"セキュア配信 XML 必須インジケーター")</f>
        <v>セキュア配信 XML 必須インジケーター</v>
      </c>
      <c r="J4309" s="1" t="str">
        <f>IFERROR(__xludf.DUMMYFUNCTION("GOOGLETRANSLATE(F4309,""EN"",""JA"")"),"EudraCT アプリケーションの XML コピーに安全な電子メール配信が必要かどうかを示します。")</f>
        <v>EudraCT アプリケーションの XML コピーに安全な電子メール配信が必要かどうかを示します。</v>
      </c>
      <c r="K4309" s="1" t="str">
        <f>IFERROR(__xludf.DUMMYFUNCTION("GOOGLETRANSLATE(G4309,""EN"",""JA"")"),"XMLインジケーターの安全な電子メール配信が必要")</f>
        <v>XMLインジケーターの安全な電子メール配信が必要</v>
      </c>
    </row>
    <row r="4310" ht="13.5" customHeight="1">
      <c r="A4310" s="1" t="s">
        <v>11</v>
      </c>
      <c r="B4310" s="1" t="s">
        <v>21550</v>
      </c>
      <c r="C4310" s="1" t="s">
        <v>21551</v>
      </c>
      <c r="D4310" s="1" t="s">
        <v>21552</v>
      </c>
      <c r="E4310" s="1" t="s">
        <v>21552</v>
      </c>
      <c r="F4310" s="1" t="s">
        <v>21553</v>
      </c>
      <c r="G4310" s="1" t="s">
        <v>21554</v>
      </c>
      <c r="H4310" s="1" t="str">
        <f>IFERROR(__xludf.DUMMYFUNCTION("GOOGLETRANSLATE(D4310,""EN"",""JA"")"),"セレン")</f>
        <v>セレン</v>
      </c>
      <c r="I4310" s="1" t="str">
        <f>IFERROR(__xludf.DUMMYFUNCTION("GOOGLETRANSLATE(E4310,""EN"",""JA"")"),"セレン")</f>
        <v>セレン</v>
      </c>
      <c r="J4310" s="1" t="str">
        <f>IFERROR(__xludf.DUMMYFUNCTION("GOOGLETRANSLATE(F4310,""EN"",""JA"")"),"標本中のセレンの測定。")</f>
        <v>標本中のセレンの測定。</v>
      </c>
      <c r="K4310" s="1" t="str">
        <f>IFERROR(__xludf.DUMMYFUNCTION("GOOGLETRANSLATE(G4310,""EN"",""JA"")"),"セレン測定")</f>
        <v>セレン測定</v>
      </c>
    </row>
    <row r="4311" ht="13.5" customHeight="1">
      <c r="A4311" s="1" t="s">
        <v>176</v>
      </c>
      <c r="B4311" s="1" t="s">
        <v>21555</v>
      </c>
      <c r="C4311" s="1" t="s">
        <v>21551</v>
      </c>
      <c r="D4311" s="1" t="s">
        <v>21556</v>
      </c>
      <c r="E4311" s="1" t="s">
        <v>21556</v>
      </c>
      <c r="F4311" s="1" t="s">
        <v>21557</v>
      </c>
      <c r="G4311" s="1" t="s">
        <v>21556</v>
      </c>
      <c r="H4311" s="1" t="str">
        <f>IFERROR(__xludf.DUMMYFUNCTION("GOOGLETRANSLATE(D4311,""EN"",""JA"")"),"睡眠効率")</f>
        <v>睡眠効率</v>
      </c>
      <c r="I4311" s="1" t="str">
        <f>IFERROR(__xludf.DUMMYFUNCTION("GOOGLETRANSLATE(E4311,""EN"",""JA"")"),"睡眠効率")</f>
        <v>睡眠効率</v>
      </c>
      <c r="J4311" s="1" t="str">
        <f>IFERROR(__xludf.DUMMYFUNCTION("GOOGLETRANSLATE(F4311,""EN"",""JA"")"),"ベッドで過ごした合計時間に対する合計睡眠時間（N1 睡眠 + N2 睡眠 + N3 睡眠 + REM 睡眠）の相対的な測定値（パーセンテージ）。")</f>
        <v>ベッドで過ごした合計時間に対する合計睡眠時間（N1 睡眠 + N2 睡眠 + N3 睡眠 + REM 睡眠）の相対的な測定値（パーセンテージ）。</v>
      </c>
      <c r="K4311" s="1" t="str">
        <f>IFERROR(__xludf.DUMMYFUNCTION("GOOGLETRANSLATE(G4311,""EN"",""JA"")"),"睡眠効率")</f>
        <v>睡眠効率</v>
      </c>
    </row>
    <row r="4312" ht="13.5" customHeight="1">
      <c r="A4312" s="1" t="s">
        <v>842</v>
      </c>
      <c r="B4312" s="1" t="s">
        <v>21558</v>
      </c>
      <c r="C4312" s="1" t="s">
        <v>21559</v>
      </c>
      <c r="D4312" s="1" t="s">
        <v>21560</v>
      </c>
      <c r="E4312" s="1" t="s">
        <v>21560</v>
      </c>
      <c r="F4312" s="1" t="s">
        <v>21561</v>
      </c>
      <c r="G4312" s="1" t="s">
        <v>21560</v>
      </c>
      <c r="H4312" s="1" t="str">
        <f>IFERROR(__xludf.DUMMYFUNCTION("GOOGLETRANSLATE(D4312,""EN"",""JA"")"),"二次的な死因")</f>
        <v>二次的な死因</v>
      </c>
      <c r="I4312" s="1" t="str">
        <f>IFERROR(__xludf.DUMMYFUNCTION("GOOGLETRANSLATE(E4312,""EN"",""JA"")"),"二次的な死因")</f>
        <v>二次的な死因</v>
      </c>
      <c r="J4312" s="1" t="str">
        <f>IFERROR(__xludf.DUMMYFUNCTION("GOOGLETRANSLATE(F4312,""EN"",""JA"")"),"最終的に死に至った二次的な重大な出来事。")</f>
        <v>最終的に死に至った二次的な重大な出来事。</v>
      </c>
      <c r="K4312" s="1" t="str">
        <f>IFERROR(__xludf.DUMMYFUNCTION("GOOGLETRANSLATE(G4312,""EN"",""JA"")"),"二次的な死因")</f>
        <v>二次的な死因</v>
      </c>
    </row>
    <row r="4313" ht="13.5" customHeight="1">
      <c r="A4313" s="1" t="s">
        <v>11</v>
      </c>
      <c r="B4313" s="1" t="s">
        <v>21562</v>
      </c>
      <c r="C4313" s="1" t="s">
        <v>21563</v>
      </c>
      <c r="D4313" s="1" t="s">
        <v>21564</v>
      </c>
      <c r="E4313" s="1" t="s">
        <v>21564</v>
      </c>
      <c r="F4313" s="1" t="s">
        <v>21565</v>
      </c>
      <c r="G4313" s="1" t="s">
        <v>21566</v>
      </c>
      <c r="H4313" s="1" t="str">
        <f>IFERROR(__xludf.DUMMYFUNCTION("GOOGLETRANSLATE(D4313,""EN"",""JA"")"),"セクレチン")</f>
        <v>セクレチン</v>
      </c>
      <c r="I4313" s="1" t="str">
        <f>IFERROR(__xludf.DUMMYFUNCTION("GOOGLETRANSLATE(E4313,""EN"",""JA"")"),"セクレチン")</f>
        <v>セクレチン</v>
      </c>
      <c r="J4313" s="1" t="str">
        <f>IFERROR(__xludf.DUMMYFUNCTION("GOOGLETRANSLATE(F4313,""EN"",""JA"")"),"生物標本中のセクレチンホルモンの測定。")</f>
        <v>生物標本中のセクレチンホルモンの測定。</v>
      </c>
      <c r="K4313" s="1" t="str">
        <f>IFERROR(__xludf.DUMMYFUNCTION("GOOGLETRANSLATE(G4313,""EN"",""JA"")"),"セクレチン測定")</f>
        <v>セクレチン測定</v>
      </c>
    </row>
    <row r="4314" ht="13.5" customHeight="1">
      <c r="A4314" s="1" t="s">
        <v>11</v>
      </c>
      <c r="B4314" s="1" t="s">
        <v>21567</v>
      </c>
      <c r="C4314" s="1" t="s">
        <v>21568</v>
      </c>
      <c r="D4314" s="1" t="s">
        <v>21569</v>
      </c>
      <c r="E4314" s="1" t="s">
        <v>21570</v>
      </c>
      <c r="F4314" s="1" t="s">
        <v>21571</v>
      </c>
      <c r="G4314" s="1" t="s">
        <v>21572</v>
      </c>
      <c r="H4314" s="1" t="str">
        <f>IFERROR(__xludf.DUMMYFUNCTION("GOOGLETRANSLATE(D4314,""EN"",""JA"")"),"堆積物検査")</f>
        <v>堆積物検査</v>
      </c>
      <c r="I4314" s="1" t="str">
        <f>IFERROR(__xludf.DUMMYFUNCTION("GOOGLETRANSLATE(E4314,""EN"",""JA"")"),"顕微鏡的堆積物分析；堆積物分析；堆積物検査")</f>
        <v>顕微鏡的堆積物分析；堆積物分析；堆積物検査</v>
      </c>
      <c r="J4314" s="1" t="str">
        <f>IFERROR(__xludf.DUMMYFUNCTION("GOOGLETRANSLATE(F4314,""EN"",""JA"")"),"生物標本内の堆積物の観察、評価、または検査。")</f>
        <v>生物標本内の堆積物の観察、評価、または検査。</v>
      </c>
      <c r="K4314" s="1" t="str">
        <f>IFERROR(__xludf.DUMMYFUNCTION("GOOGLETRANSLATE(G4314,""EN"",""JA"")"),"堆積物分析")</f>
        <v>堆積物分析</v>
      </c>
    </row>
    <row r="4315" ht="13.5" customHeight="1">
      <c r="A4315" s="1" t="s">
        <v>67</v>
      </c>
      <c r="B4315" s="1" t="s">
        <v>21573</v>
      </c>
      <c r="C4315" s="1" t="s">
        <v>21574</v>
      </c>
      <c r="D4315" s="1" t="s">
        <v>21575</v>
      </c>
      <c r="E4315" s="1" t="s">
        <v>21575</v>
      </c>
      <c r="F4315" s="1" t="s">
        <v>21576</v>
      </c>
      <c r="G4315" s="1" t="s">
        <v>21577</v>
      </c>
      <c r="H4315" s="1" t="str">
        <f>IFERROR(__xludf.DUMMYFUNCTION("GOOGLETRANSLATE(D4315,""EN"",""JA"")"),"サルモネラ・エンテリカ")</f>
        <v>サルモネラ・エンテリカ</v>
      </c>
      <c r="I4315" s="1" t="str">
        <f>IFERROR(__xludf.DUMMYFUNCTION("GOOGLETRANSLATE(E4315,""EN"",""JA"")"),"サルモネラ・エンテリカ")</f>
        <v>サルモネラ・エンテリカ</v>
      </c>
      <c r="J4315" s="1" t="str">
        <f>IFERROR(__xludf.DUMMYFUNCTION("GOOGLETRANSLATE(F4315,""EN"",""JA"")"),"生物標本中のサルモネラ・エンテリカの測定。")</f>
        <v>生物標本中のサルモネラ・エンテリカの測定。</v>
      </c>
      <c r="K4315" s="1" t="str">
        <f>IFERROR(__xludf.DUMMYFUNCTION("GOOGLETRANSLATE(G4315,""EN"",""JA"")"),"サルモネラ・エンテリカ測定")</f>
        <v>サルモネラ・エンテリカ測定</v>
      </c>
    </row>
    <row r="4316" ht="13.5" customHeight="1">
      <c r="A4316" s="1" t="s">
        <v>67</v>
      </c>
      <c r="B4316" s="1" t="s">
        <v>21578</v>
      </c>
      <c r="C4316" s="1" t="s">
        <v>21579</v>
      </c>
      <c r="D4316" s="1" t="s">
        <v>21580</v>
      </c>
      <c r="E4316" s="1" t="s">
        <v>21580</v>
      </c>
      <c r="F4316" s="1" t="s">
        <v>21581</v>
      </c>
      <c r="G4316" s="1" t="s">
        <v>21582</v>
      </c>
      <c r="H4316" s="1" t="str">
        <f>IFERROR(__xludf.DUMMYFUNCTION("GOOGLETRANSLATE(D4316,""EN"",""JA"")"),"サルモネラ・エンテリカ/ボンゴリ DNA")</f>
        <v>サルモネラ・エンテリカ/ボンゴリ DNA</v>
      </c>
      <c r="I4316" s="1" t="str">
        <f>IFERROR(__xludf.DUMMYFUNCTION("GOOGLETRANSLATE(E4316,""EN"",""JA"")"),"サルモネラ・エンテリカ/ボンゴリ DNA")</f>
        <v>サルモネラ・エンテリカ/ボンゴリ DNA</v>
      </c>
      <c r="J4316" s="1" t="str">
        <f>IFERROR(__xludf.DUMMYFUNCTION("GOOGLETRANSLATE(F4316,""EN"",""JA"")"),"生物標本中の Salmonella enterica および/または Salmonella bongori DNA の測定。")</f>
        <v>生物標本中の Salmonella enterica および/または Salmonella bongori DNA の測定。</v>
      </c>
      <c r="K4316" s="1" t="str">
        <f>IFERROR(__xludf.DUMMYFUNCTION("GOOGLETRANSLATE(G4316,""EN"",""JA"")"),"サルモネラ・エンテリカおよび/またはサルモネラ・ボンゴリのDNA測定")</f>
        <v>サルモネラ・エンテリカおよび/またはサルモネラ・ボンゴリのDNA測定</v>
      </c>
    </row>
    <row r="4317" ht="13.5" customHeight="1">
      <c r="A4317" s="1" t="s">
        <v>397</v>
      </c>
      <c r="B4317" s="1" t="s">
        <v>21583</v>
      </c>
      <c r="C4317" s="1" t="s">
        <v>21584</v>
      </c>
      <c r="D4317" s="1" t="s">
        <v>21585</v>
      </c>
      <c r="E4317" s="1" t="s">
        <v>21585</v>
      </c>
      <c r="F4317" s="1" t="s">
        <v>21586</v>
      </c>
      <c r="G4317" s="1" t="s">
        <v>21587</v>
      </c>
      <c r="H4317" s="1" t="str">
        <f>IFERROR(__xludf.DUMMYFUNCTION("GOOGLETRANSLATE(D4317,""EN"",""JA"")"),"調査終了日")</f>
        <v>調査終了日</v>
      </c>
      <c r="I4317" s="1" t="str">
        <f>IFERROR(__xludf.DUMMYFUNCTION("GOOGLETRANSLATE(E4317,""EN"",""JA"")"),"調査終了日")</f>
        <v>調査終了日</v>
      </c>
      <c r="J4317" s="1" t="str">
        <f>IFERROR(__xludf.DUMMYFUNCTION("GOOGLETRANSLATE(F4317,""EN"",""JA"")"),"臨床試験の最終データ項目が最後の試験参加者（最後の被験者、最後の来院、または試験プロトコルで別途定義されている日付）から収集された日付。（CDISC用語集）")</f>
        <v>臨床試験の最終データ項目が最後の試験参加者（最後の被験者、最後の来院、または試験プロトコルで別途定義されている日付）から収集された日付。（CDISC用語集）</v>
      </c>
      <c r="K4317" s="1" t="str">
        <f>IFERROR(__xludf.DUMMYFUNCTION("GOOGLETRANSLATE(G4317,""EN"",""JA"")"),"臨床試験終了日")</f>
        <v>臨床試験終了日</v>
      </c>
    </row>
    <row r="4318" ht="13.5" customHeight="1">
      <c r="A4318" s="1" t="s">
        <v>67</v>
      </c>
      <c r="B4318" s="1" t="s">
        <v>21588</v>
      </c>
      <c r="C4318" s="1" t="s">
        <v>21589</v>
      </c>
      <c r="D4318" s="1" t="s">
        <v>21590</v>
      </c>
      <c r="E4318" s="1" t="s">
        <v>21590</v>
      </c>
      <c r="F4318" s="1" t="s">
        <v>21591</v>
      </c>
      <c r="G4318" s="1" t="s">
        <v>21592</v>
      </c>
      <c r="H4318" s="1" t="str">
        <f>IFERROR(__xludf.DUMMYFUNCTION("GOOGLETRANSLATE(D4318,""EN"",""JA"")"),"表皮ブドウ球菌")</f>
        <v>表皮ブドウ球菌</v>
      </c>
      <c r="I4318" s="1" t="str">
        <f>IFERROR(__xludf.DUMMYFUNCTION("GOOGLETRANSLATE(E4318,""EN"",""JA"")"),"表皮ブドウ球菌")</f>
        <v>表皮ブドウ球菌</v>
      </c>
      <c r="J4318" s="1" t="str">
        <f>IFERROR(__xludf.DUMMYFUNCTION("GOOGLETRANSLATE(F4318,""EN"",""JA"")"),"生物標本中の表皮ブドウ球菌の測定。")</f>
        <v>生物標本中の表皮ブドウ球菌の測定。</v>
      </c>
      <c r="K4318" s="1" t="str">
        <f>IFERROR(__xludf.DUMMYFUNCTION("GOOGLETRANSLATE(G4318,""EN"",""JA"")"),"表皮ブドウ球菌の測定")</f>
        <v>表皮ブドウ球菌の測定</v>
      </c>
    </row>
    <row r="4319" ht="13.5" customHeight="1">
      <c r="A4319" s="1" t="s">
        <v>11</v>
      </c>
      <c r="B4319" s="1" t="s">
        <v>21593</v>
      </c>
      <c r="C4319" s="1" t="s">
        <v>21594</v>
      </c>
      <c r="D4319" s="1" t="s">
        <v>21595</v>
      </c>
      <c r="E4319" s="1" t="s">
        <v>21595</v>
      </c>
      <c r="F4319" s="1" t="s">
        <v>21596</v>
      </c>
      <c r="G4319" s="1" t="s">
        <v>21597</v>
      </c>
      <c r="H4319" s="1" t="str">
        <f>IFERROR(__xludf.DUMMYFUNCTION("GOOGLETRANSLATE(D4319,""EN"",""JA"")"),"セリン")</f>
        <v>セリン</v>
      </c>
      <c r="I4319" s="1" t="str">
        <f>IFERROR(__xludf.DUMMYFUNCTION("GOOGLETRANSLATE(E4319,""EN"",""JA"")"),"セリン")</f>
        <v>セリン</v>
      </c>
      <c r="J4319" s="1" t="str">
        <f>IFERROR(__xludf.DUMMYFUNCTION("GOOGLETRANSLATE(F4319,""EN"",""JA"")"),"生物標本中のセリンの測定。")</f>
        <v>生物標本中のセリンの測定。</v>
      </c>
      <c r="K4319" s="1" t="str">
        <f>IFERROR(__xludf.DUMMYFUNCTION("GOOGLETRANSLATE(G4319,""EN"",""JA"")"),"セリン測定")</f>
        <v>セリン測定</v>
      </c>
    </row>
    <row r="4320" ht="13.5" customHeight="1">
      <c r="A4320" s="1" t="s">
        <v>67</v>
      </c>
      <c r="B4320" s="1" t="s">
        <v>21598</v>
      </c>
      <c r="C4320" s="1" t="s">
        <v>21599</v>
      </c>
      <c r="D4320" s="1" t="s">
        <v>21600</v>
      </c>
      <c r="E4320" s="1" t="s">
        <v>21600</v>
      </c>
      <c r="F4320" s="1" t="s">
        <v>21601</v>
      </c>
      <c r="G4320" s="1" t="s">
        <v>21602</v>
      </c>
      <c r="H4320" s="1" t="str">
        <f>IFERROR(__xludf.DUMMYFUNCTION("GOOGLETRANSLATE(D4320,""EN"",""JA"")"),"セラチア")</f>
        <v>セラチア</v>
      </c>
      <c r="I4320" s="1" t="str">
        <f>IFERROR(__xludf.DUMMYFUNCTION("GOOGLETRANSLATE(E4320,""EN"",""JA"")"),"セラチア")</f>
        <v>セラチア</v>
      </c>
      <c r="J4320" s="1" t="str">
        <f>IFERROR(__xludf.DUMMYFUNCTION("GOOGLETRANSLATE(F4320,""EN"",""JA"")"),"生物標本において、種レベルには割り当てられていないが、セラチア属レベルに割り当てられている生物の測定値。")</f>
        <v>生物標本において、種レベルには割り当てられていないが、セラチア属レベルに割り当てられている生物の測定値。</v>
      </c>
      <c r="K4320" s="1" t="str">
        <f>IFERROR(__xludf.DUMMYFUNCTION("GOOGLETRANSLATE(G4320,""EN"",""JA"")"),"セラチア測定")</f>
        <v>セラチア測定</v>
      </c>
    </row>
    <row r="4321" ht="13.5" customHeight="1">
      <c r="A4321" s="1" t="s">
        <v>11</v>
      </c>
      <c r="B4321" s="1" t="s">
        <v>21603</v>
      </c>
      <c r="C4321" s="1" t="s">
        <v>21604</v>
      </c>
      <c r="D4321" s="1" t="s">
        <v>21605</v>
      </c>
      <c r="E4321" s="1" t="s">
        <v>21605</v>
      </c>
      <c r="F4321" s="1" t="s">
        <v>21606</v>
      </c>
      <c r="G4321" s="1" t="s">
        <v>21607</v>
      </c>
      <c r="H4321" s="1" t="str">
        <f>IFERROR(__xludf.DUMMYFUNCTION("GOOGLETRANSLATE(D4321,""EN"",""JA"")"),"セルトラリン")</f>
        <v>セルトラリン</v>
      </c>
      <c r="I4321" s="1" t="str">
        <f>IFERROR(__xludf.DUMMYFUNCTION("GOOGLETRANSLATE(E4321,""EN"",""JA"")"),"セルトラリン")</f>
        <v>セルトラリン</v>
      </c>
      <c r="J4321" s="1" t="str">
        <f>IFERROR(__xludf.DUMMYFUNCTION("GOOGLETRANSLATE(F4321,""EN"",""JA"")"),"生物学的標本中に存在するセルトラリンの測定。")</f>
        <v>生物学的標本中に存在するセルトラリンの測定。</v>
      </c>
      <c r="K4321" s="1" t="str">
        <f>IFERROR(__xludf.DUMMYFUNCTION("GOOGLETRANSLATE(G4321,""EN"",""JA"")"),"セルトラリン測定")</f>
        <v>セルトラリン測定</v>
      </c>
    </row>
    <row r="4322" ht="13.5" customHeight="1">
      <c r="A4322" s="1" t="s">
        <v>11</v>
      </c>
      <c r="B4322" s="1" t="s">
        <v>21608</v>
      </c>
      <c r="C4322" s="1" t="s">
        <v>21609</v>
      </c>
      <c r="D4322" s="1" t="s">
        <v>21610</v>
      </c>
      <c r="E4322" s="1" t="s">
        <v>21610</v>
      </c>
      <c r="F4322" s="1" t="s">
        <v>21611</v>
      </c>
      <c r="G4322" s="1" t="s">
        <v>21612</v>
      </c>
      <c r="H4322" s="1" t="str">
        <f>IFERROR(__xludf.DUMMYFUNCTION("GOOGLETRANSLATE(D4322,""EN"",""JA"")"),"ノルセルトラリン")</f>
        <v>ノルセルトラリン</v>
      </c>
      <c r="I4322" s="1" t="str">
        <f>IFERROR(__xludf.DUMMYFUNCTION("GOOGLETRANSLATE(E4322,""EN"",""JA"")"),"ノルセルトラリン")</f>
        <v>ノルセルトラリン</v>
      </c>
      <c r="J4322" s="1" t="str">
        <f>IFERROR(__xludf.DUMMYFUNCTION("GOOGLETRANSLATE(F4322,""EN"",""JA"")"),"生物標本中のノルセルトラリンの測定。")</f>
        <v>生物標本中のノルセルトラリンの測定。</v>
      </c>
      <c r="K4322" s="1" t="str">
        <f>IFERROR(__xludf.DUMMYFUNCTION("GOOGLETRANSLATE(G4322,""EN"",""JA"")"),"ノルセルトラリン測定")</f>
        <v>ノルセルトラリン測定</v>
      </c>
    </row>
    <row r="4323" ht="13.5" customHeight="1">
      <c r="A4323" s="1" t="s">
        <v>601</v>
      </c>
      <c r="B4323" s="1" t="s">
        <v>21613</v>
      </c>
      <c r="C4323" s="1" t="s">
        <v>21614</v>
      </c>
      <c r="D4323" s="1" t="s">
        <v>21615</v>
      </c>
      <c r="E4323" s="1" t="s">
        <v>21615</v>
      </c>
      <c r="F4323" s="1" t="s">
        <v>21616</v>
      </c>
      <c r="G4323" s="1" t="s">
        <v>21617</v>
      </c>
      <c r="H4323" s="1" t="str">
        <f>IFERROR(__xludf.DUMMYFUNCTION("GOOGLETRANSLATE(D4323,""EN"",""JA"")"),"連絡先の設定")</f>
        <v>連絡先の設定</v>
      </c>
      <c r="I4323" s="1" t="str">
        <f>IFERROR(__xludf.DUMMYFUNCTION("GOOGLETRANSLATE(E4323,""EN"",""JA"")"),"連絡先の設定")</f>
        <v>連絡先の設定</v>
      </c>
      <c r="J4323" s="1" t="str">
        <f>IFERROR(__xludf.DUMMYFUNCTION("GOOGLETRANSLATE(F4323,""EN"",""JA"")"),"人が病気のキャリアと接触した可能性がある、または病気のキャリアの役割を果たした可能性がある環境。")</f>
        <v>人が病気のキャリアと接触した可能性がある、または病気のキャリアの役割を果たした可能性がある環境。</v>
      </c>
      <c r="K4323" s="1" t="str">
        <f>IFERROR(__xludf.DUMMYFUNCTION("GOOGLETRANSLATE(G4323,""EN"",""JA"")"),"病気の接触状況")</f>
        <v>病気の接触状況</v>
      </c>
    </row>
    <row r="4324" ht="13.5" customHeight="1">
      <c r="A4324" s="1" t="s">
        <v>397</v>
      </c>
      <c r="B4324" s="1" t="s">
        <v>21618</v>
      </c>
      <c r="C4324" s="1" t="s">
        <v>21619</v>
      </c>
      <c r="D4324" s="1" t="s">
        <v>21620</v>
      </c>
      <c r="E4324" s="1" t="s">
        <v>21620</v>
      </c>
      <c r="F4324" s="1" t="s">
        <v>21621</v>
      </c>
      <c r="G4324" s="1" t="s">
        <v>21620</v>
      </c>
      <c r="H4324" s="1" t="str">
        <f>IFERROR(__xludf.DUMMYFUNCTION("GOOGLETRANSLATE(D4324,""EN"",""JA"")"),"重症度基準")</f>
        <v>重症度基準</v>
      </c>
      <c r="I4324" s="1" t="str">
        <f>IFERROR(__xludf.DUMMYFUNCTION("GOOGLETRANSLATE(E4324,""EN"",""JA"")"),"重症度基準")</f>
        <v>重症度基準</v>
      </c>
      <c r="J4324" s="1" t="str">
        <f>IFERROR(__xludf.DUMMYFUNCTION("GOOGLETRANSLATE(F4324,""EN"",""JA"")"),"出来事、病気、または症状の重篤度に関する判断を確定できる基準。")</f>
        <v>出来事、病気、または症状の重篤度に関する判断を確定できる基準。</v>
      </c>
      <c r="K4324" s="1" t="str">
        <f>IFERROR(__xludf.DUMMYFUNCTION("GOOGLETRANSLATE(G4324,""EN"",""JA"")"),"重症度基準")</f>
        <v>重症度基準</v>
      </c>
    </row>
    <row r="4325" ht="13.5" customHeight="1">
      <c r="A4325" s="1" t="s">
        <v>160</v>
      </c>
      <c r="B4325" s="1" t="s">
        <v>21622</v>
      </c>
      <c r="C4325" s="1" t="s">
        <v>21623</v>
      </c>
      <c r="D4325" s="1" t="s">
        <v>21624</v>
      </c>
      <c r="E4325" s="1" t="s">
        <v>21624</v>
      </c>
      <c r="F4325" s="1" t="s">
        <v>21625</v>
      </c>
      <c r="G4325" s="1" t="s">
        <v>21624</v>
      </c>
      <c r="H4325" s="1" t="str">
        <f>IFERROR(__xludf.DUMMYFUNCTION("GOOGLETRANSLATE(D4325,""EN"",""JA"")"),"性交禁欲期間")</f>
        <v>性交禁欲期間</v>
      </c>
      <c r="I4325" s="1" t="str">
        <f>IFERROR(__xludf.DUMMYFUNCTION("GOOGLETRANSLATE(E4325,""EN"",""JA"")"),"性交禁欲期間")</f>
        <v>性交禁欲期間</v>
      </c>
      <c r="J4325" s="1" t="str">
        <f>IFERROR(__xludf.DUMMYFUNCTION("GOOGLETRANSLATE(F4325,""EN"",""JA"")"),"個人が性行為を控えていた期間の長さ。")</f>
        <v>個人が性行為を控えていた期間の長さ。</v>
      </c>
      <c r="K4325" s="1" t="str">
        <f>IFERROR(__xludf.DUMMYFUNCTION("GOOGLETRANSLATE(G4325,""EN"",""JA"")"),"性交禁欲期間")</f>
        <v>性交禁欲期間</v>
      </c>
    </row>
    <row r="4326" ht="13.5" customHeight="1">
      <c r="A4326" s="1" t="s">
        <v>601</v>
      </c>
      <c r="B4326" s="1" t="s">
        <v>21626</v>
      </c>
      <c r="C4326" s="1" t="s">
        <v>21627</v>
      </c>
      <c r="D4326" s="1" t="s">
        <v>21628</v>
      </c>
      <c r="E4326" s="1" t="s">
        <v>21628</v>
      </c>
      <c r="F4326" s="1" t="s">
        <v>21629</v>
      </c>
      <c r="G4326" s="1" t="s">
        <v>21628</v>
      </c>
      <c r="H4326" s="1" t="str">
        <f>IFERROR(__xludf.DUMMYFUNCTION("GOOGLETRANSLATE(D4326,""EN"",""JA"")"),"出生時に割り当てられた性別")</f>
        <v>出生時に割り当てられた性別</v>
      </c>
      <c r="I4326" s="1" t="str">
        <f>IFERROR(__xludf.DUMMYFUNCTION("GOOGLETRANSLATE(E4326,""EN"",""JA"")"),"出生時に割り当てられた性別")</f>
        <v>出生時に割り当てられた性別</v>
      </c>
      <c r="J4326" s="1" t="str">
        <f>IFERROR(__xludf.DUMMYFUNCTION("GOOGLETRANSLATE(F4326,""EN"",""JA"")"),"乳児に割り当てられる性別。ほとんどの場合、乳児の解剖学的特徴やその他の生物学的特徴に基づいて決定されます。出生時の性別、出生時の性別、生物学的性別、性別などと呼ばれることもありますが、出生時に割り当てられた性別という用語が推奨されます。(フェンウェイ・ヘルス)")</f>
        <v>乳児に割り当てられる性別。ほとんどの場合、乳児の解剖学的特徴やその他の生物学的特徴に基づいて決定されます。出生時の性別、出生時の性別、生物学的性別、性別などと呼ばれることもありますが、出生時に割り当てられた性別という用語が推奨されます。(フェンウェイ・ヘルス)</v>
      </c>
      <c r="K4326" s="1" t="str">
        <f>IFERROR(__xludf.DUMMYFUNCTION("GOOGLETRANSLATE(G4326,""EN"",""JA"")"),"出生時に割り当てられた性別")</f>
        <v>出生時に割り当てられた性別</v>
      </c>
    </row>
    <row r="4327" ht="13.5" customHeight="1">
      <c r="A4327" s="1" t="s">
        <v>601</v>
      </c>
      <c r="B4327" s="1" t="s">
        <v>21630</v>
      </c>
      <c r="C4327" s="1" t="s">
        <v>21631</v>
      </c>
      <c r="D4327" s="1" t="s">
        <v>21632</v>
      </c>
      <c r="E4327" s="1" t="s">
        <v>21632</v>
      </c>
      <c r="F4327" s="1" t="s">
        <v>21633</v>
      </c>
      <c r="G4327" s="1" t="s">
        <v>21632</v>
      </c>
      <c r="H4327" s="1" t="str">
        <f>IFERROR(__xludf.DUMMYFUNCTION("GOOGLETRANSLATE(D4327,""EN"",""JA"")"),"性的指向")</f>
        <v>性的指向</v>
      </c>
      <c r="I4327" s="1" t="str">
        <f>IFERROR(__xludf.DUMMYFUNCTION("GOOGLETRANSLATE(E4327,""EN"",""JA"")"),"性的指向")</f>
        <v>性的指向</v>
      </c>
      <c r="J4327" s="1" t="str">
        <f>IFERROR(__xludf.DUMMYFUNCTION("GOOGLETRANSLATE(F4327,""EN"",""JA"")"),"人の感情的、恋愛的、および/または性的魅力のパターン。")</f>
        <v>人の感情的、恋愛的、および/または性的魅力のパターン。</v>
      </c>
      <c r="K4327" s="1" t="str">
        <f>IFERROR(__xludf.DUMMYFUNCTION("GOOGLETRANSLATE(G4327,""EN"",""JA"")"),"性的指向")</f>
        <v>性的指向</v>
      </c>
    </row>
    <row r="4328" ht="13.5" customHeight="1">
      <c r="A4328" s="1" t="s">
        <v>397</v>
      </c>
      <c r="B4328" s="1" t="s">
        <v>21634</v>
      </c>
      <c r="C4328" s="1" t="s">
        <v>21635</v>
      </c>
      <c r="D4328" s="1" t="s">
        <v>21636</v>
      </c>
      <c r="E4328" s="1" t="s">
        <v>21636</v>
      </c>
      <c r="F4328" s="1" t="s">
        <v>21637</v>
      </c>
      <c r="G4328" s="1" t="s">
        <v>21638</v>
      </c>
      <c r="H4328" s="1" t="str">
        <f>IFERROR(__xludf.DUMMYFUNCTION("GOOGLETRANSLATE(D4328,""EN"",""JA"")"),"参加者の性別")</f>
        <v>参加者の性別</v>
      </c>
      <c r="I4328" s="1" t="str">
        <f>IFERROR(__xludf.DUMMYFUNCTION("GOOGLETRANSLATE(E4328,""EN"",""JA"")"),"参加者の性別")</f>
        <v>参加者の性別</v>
      </c>
      <c r="J4328" s="1" t="str">
        <f>IFERROR(__xludf.DUMMYFUNCTION("GOOGLETRANSLATE(F4328,""EN"",""JA"")"),"研究対象グループの特定の性別（男性、女性、または混合）。(NCI)")</f>
        <v>研究対象グループの特定の性別（男性、女性、または混合）。(NCI)</v>
      </c>
      <c r="K4328" s="1" t="str">
        <f>IFERROR(__xludf.DUMMYFUNCTION("GOOGLETRANSLATE(G4328,""EN"",""JA"")"),"研究グループの性別")</f>
        <v>研究グループの性別</v>
      </c>
    </row>
    <row r="4329" ht="13.5" customHeight="1">
      <c r="A4329" s="1" t="s">
        <v>11</v>
      </c>
      <c r="B4329" s="1" t="s">
        <v>21639</v>
      </c>
      <c r="C4329" s="1" t="s">
        <v>21640</v>
      </c>
      <c r="D4329" s="1" t="s">
        <v>21641</v>
      </c>
      <c r="E4329" s="1" t="s">
        <v>21641</v>
      </c>
      <c r="F4329" s="1" t="s">
        <v>21642</v>
      </c>
      <c r="G4329" s="1" t="s">
        <v>21643</v>
      </c>
      <c r="H4329" s="1" t="str">
        <f>IFERROR(__xludf.DUMMYFUNCTION("GOOGLETRANSLATE(D4329,""EN"",""JA"")"),"セザリー細胞")</f>
        <v>セザリー細胞</v>
      </c>
      <c r="I4329" s="1" t="str">
        <f>IFERROR(__xludf.DUMMYFUNCTION("GOOGLETRANSLATE(E4329,""EN"",""JA"")"),"セザリー細胞")</f>
        <v>セザリー細胞</v>
      </c>
      <c r="J4329" s="1" t="str">
        <f>IFERROR(__xludf.DUMMYFUNCTION("GOOGLETRANSLATE(F4329,""EN"",""JA"")"),"生物標本中のセザリー細胞（大脳様核を持つ非定型リンパ球）の測定。")</f>
        <v>生物標本中のセザリー細胞（大脳様核を持つ非定型リンパ球）の測定。</v>
      </c>
      <c r="K4329" s="1" t="str">
        <f>IFERROR(__xludf.DUMMYFUNCTION("GOOGLETRANSLATE(G4329,""EN"",""JA"")"),"セザリー細胞数")</f>
        <v>セザリー細胞数</v>
      </c>
    </row>
    <row r="4330" ht="13.5" customHeight="1">
      <c r="A4330" s="1" t="s">
        <v>11</v>
      </c>
      <c r="B4330" s="1" t="s">
        <v>21644</v>
      </c>
      <c r="C4330" s="1" t="s">
        <v>21645</v>
      </c>
      <c r="D4330" s="1" t="s">
        <v>21646</v>
      </c>
      <c r="E4330" s="1" t="s">
        <v>21646</v>
      </c>
      <c r="F4330" s="1" t="s">
        <v>21647</v>
      </c>
      <c r="G4330" s="1" t="s">
        <v>21648</v>
      </c>
      <c r="H4330" s="1" t="str">
        <f>IFERROR(__xludf.DUMMYFUNCTION("GOOGLETRANSLATE(D4330,""EN"",""JA"")"),"セザリー細胞/白血球")</f>
        <v>セザリー細胞/白血球</v>
      </c>
      <c r="I4330" s="1" t="str">
        <f>IFERROR(__xludf.DUMMYFUNCTION("GOOGLETRANSLATE(E4330,""EN"",""JA"")"),"セザリー細胞/白血球")</f>
        <v>セザリー細胞/白血球</v>
      </c>
      <c r="J4330" s="1" t="str">
        <f>IFERROR(__xludf.DUMMYFUNCTION("GOOGLETRANSLATE(F4330,""EN"",""JA"")"),"生物標本中の全白血球に対するセザリー細胞の相対的な測定値（比率またはパーセンテージ）。")</f>
        <v>生物標本中の全白血球に対するセザリー細胞の相対的な測定値（比率またはパーセンテージ）。</v>
      </c>
      <c r="K4330" s="1" t="str">
        <f>IFERROR(__xludf.DUMMYFUNCTION("GOOGLETRANSLATE(G4330,""EN"",""JA"")"),"セザリー細胞と白血球の比率測定")</f>
        <v>セザリー細胞と白血球の比率測定</v>
      </c>
    </row>
    <row r="4331" ht="13.5" customHeight="1">
      <c r="A4331" s="1" t="s">
        <v>11</v>
      </c>
      <c r="B4331" s="1" t="s">
        <v>21649</v>
      </c>
      <c r="C4331" s="1" t="s">
        <v>21650</v>
      </c>
      <c r="D4331" s="1" t="s">
        <v>21651</v>
      </c>
      <c r="E4331" s="1" t="s">
        <v>21651</v>
      </c>
      <c r="F4331" s="1" t="s">
        <v>21652</v>
      </c>
      <c r="G4331" s="1" t="s">
        <v>21653</v>
      </c>
      <c r="H4331" s="1" t="str">
        <f>IFERROR(__xludf.DUMMYFUNCTION("GOOGLETRANSLATE(D4331,""EN"",""JA"")"),"セザリー細胞/リンパ球")</f>
        <v>セザリー細胞/リンパ球</v>
      </c>
      <c r="I4331" s="1" t="str">
        <f>IFERROR(__xludf.DUMMYFUNCTION("GOOGLETRANSLATE(E4331,""EN"",""JA"")"),"セザリー細胞/リンパ球")</f>
        <v>セザリー細胞/リンパ球</v>
      </c>
      <c r="J4331" s="1" t="str">
        <f>IFERROR(__xludf.DUMMYFUNCTION("GOOGLETRANSLATE(F4331,""EN"",""JA"")"),"生物標本中のすべてのリンパ球に対するセザリー細胞（大脳様核を持つ異型リンパ球）の相対的な測定値（比率またはパーセンテージ）。")</f>
        <v>生物標本中のすべてのリンパ球に対するセザリー細胞（大脳様核を持つ異型リンパ球）の相対的な測定値（比率またはパーセンテージ）。</v>
      </c>
      <c r="K4331" s="1" t="str">
        <f>IFERROR(__xludf.DUMMYFUNCTION("GOOGLETRANSLATE(G4331,""EN"",""JA"")"),"セザリー細胞対リンパ球比測定")</f>
        <v>セザリー細胞対リンパ球比測定</v>
      </c>
    </row>
    <row r="4332" ht="13.5" customHeight="1">
      <c r="A4332" s="1" t="s">
        <v>11</v>
      </c>
      <c r="B4332" s="1" t="s">
        <v>21654</v>
      </c>
      <c r="C4332" s="1" t="s">
        <v>21655</v>
      </c>
      <c r="D4332" s="1" t="s">
        <v>21656</v>
      </c>
      <c r="E4332" s="1" t="s">
        <v>21657</v>
      </c>
      <c r="F4332" s="1" t="s">
        <v>21658</v>
      </c>
      <c r="G4332" s="1" t="s">
        <v>21659</v>
      </c>
      <c r="H4332" s="1" t="str">
        <f>IFERROR(__xludf.DUMMYFUNCTION("GOOGLETRANSLATE(D4332,""EN"",""JA"")"),"サーファクタントタンパク質D")</f>
        <v>サーファクタントタンパク質D</v>
      </c>
      <c r="I4332" s="1" t="str">
        <f>IFERROR(__xludf.DUMMYFUNCTION("GOOGLETRANSLATE(E4332,""EN"",""JA"")"),"SP-D; サーファクタントタンパク質D")</f>
        <v>SP-D; サーファクタントタンパク質D</v>
      </c>
      <c r="J4332" s="1" t="str">
        <f>IFERROR(__xludf.DUMMYFUNCTION("GOOGLETRANSLATE(F4332,""EN"",""JA"")"),"生物標本中のサーファクタントタンパク質 D の測定。")</f>
        <v>生物標本中のサーファクタントタンパク質 D の測定。</v>
      </c>
      <c r="K4332" s="1" t="str">
        <f>IFERROR(__xludf.DUMMYFUNCTION("GOOGLETRANSLATE(G4332,""EN"",""JA"")"),"サーファクタントタンパク質D測定")</f>
        <v>サーファクタントタンパク質D測定</v>
      </c>
    </row>
    <row r="4333" ht="13.5" customHeight="1">
      <c r="A4333" s="1" t="s">
        <v>1342</v>
      </c>
      <c r="B4333" s="1" t="s">
        <v>21660</v>
      </c>
      <c r="C4333" s="1" t="s">
        <v>21661</v>
      </c>
      <c r="D4333" s="1" t="s">
        <v>21662</v>
      </c>
      <c r="E4333" s="1" t="s">
        <v>21662</v>
      </c>
      <c r="F4333" s="1" t="s">
        <v>21663</v>
      </c>
      <c r="G4333" s="1" t="s">
        <v>21662</v>
      </c>
      <c r="H4333" s="1" t="str">
        <f>IFERROR(__xludf.DUMMYFUNCTION("GOOGLETRANSLATE(D4333,""EN"",""JA"")"),"軟部組織反応")</f>
        <v>軟部組織反応</v>
      </c>
      <c r="I4333" s="1" t="str">
        <f>IFERROR(__xludf.DUMMYFUNCTION("GOOGLETRANSLATE(E4333,""EN"",""JA"")"),"軟部組織反応")</f>
        <v>軟部組織反応</v>
      </c>
      <c r="J4333" s="1" t="str">
        <f>IFERROR(__xludf.DUMMYFUNCTION("GOOGLETRANSLATE(F4333,""EN"",""JA"")"),"治療に対する疾患の軟部組織反応の評価。")</f>
        <v>治療に対する疾患の軟部組織反応の評価。</v>
      </c>
      <c r="K4333" s="1" t="str">
        <f>IFERROR(__xludf.DUMMYFUNCTION("GOOGLETRANSLATE(G4333,""EN"",""JA"")"),"軟部組織反応")</f>
        <v>軟部組織反応</v>
      </c>
    </row>
    <row r="4334" ht="13.5" customHeight="1">
      <c r="A4334" s="1" t="s">
        <v>67</v>
      </c>
      <c r="B4334" s="1" t="s">
        <v>21664</v>
      </c>
      <c r="C4334" s="1" t="s">
        <v>21665</v>
      </c>
      <c r="D4334" s="1" t="s">
        <v>21666</v>
      </c>
      <c r="E4334" s="1" t="s">
        <v>21666</v>
      </c>
      <c r="F4334" s="1" t="s">
        <v>21667</v>
      </c>
      <c r="G4334" s="1" t="s">
        <v>21668</v>
      </c>
      <c r="H4334" s="1" t="str">
        <f>IFERROR(__xludf.DUMMYFUNCTION("GOOGLETRANSLATE(D4334,""EN"",""JA"")"),"ストレプトコッカス・ガロリティカス")</f>
        <v>ストレプトコッカス・ガロリティカス</v>
      </c>
      <c r="I4334" s="1" t="str">
        <f>IFERROR(__xludf.DUMMYFUNCTION("GOOGLETRANSLATE(E4334,""EN"",""JA"")"),"ストレプトコッカス・ガロリティカス")</f>
        <v>ストレプトコッカス・ガロリティカス</v>
      </c>
      <c r="J4334" s="1" t="str">
        <f>IFERROR(__xludf.DUMMYFUNCTION("GOOGLETRANSLATE(F4334,""EN"",""JA"")"),"生物標本中の Streptococcus gallolyticus の測定。")</f>
        <v>生物標本中の Streptococcus gallolyticus の測定。</v>
      </c>
      <c r="K4334" s="1" t="str">
        <f>IFERROR(__xludf.DUMMYFUNCTION("GOOGLETRANSLATE(G4334,""EN"",""JA"")"),"ストレプトコッカス・ガロリチカス測定")</f>
        <v>ストレプトコッカス・ガロリチカス測定</v>
      </c>
    </row>
    <row r="4335" ht="13.5" customHeight="1">
      <c r="A4335" s="1" t="s">
        <v>580</v>
      </c>
      <c r="B4335" s="1" t="s">
        <v>21669</v>
      </c>
      <c r="C4335" s="1" t="s">
        <v>21670</v>
      </c>
      <c r="D4335" s="1" t="s">
        <v>21671</v>
      </c>
      <c r="E4335" s="1" t="s">
        <v>21671</v>
      </c>
      <c r="F4335" s="1" t="s">
        <v>21672</v>
      </c>
      <c r="G4335" s="1" t="s">
        <v>21671</v>
      </c>
      <c r="H4335" s="1" t="str">
        <f>IFERROR(__xludf.DUMMYFUNCTION("GOOGLETRANSLATE(D4335,""EN"",""JA"")"),"比気道コンダクタンス")</f>
        <v>比気道コンダクタンス</v>
      </c>
      <c r="I4335" s="1" t="str">
        <f>IFERROR(__xludf.DUMMYFUNCTION("GOOGLETRANSLATE(E4335,""EN"",""JA"")"),"比気道コンダクタンス")</f>
        <v>比気道コンダクタンス</v>
      </c>
      <c r="J4335" s="1" t="str">
        <f>IFERROR(__xludf.DUMMYFUNCTION("GOOGLETRANSLATE(F4335,""EN"",""JA"")"),"肺容積に対する気道コンダクタンスの測定値。(NCI)")</f>
        <v>肺容積に対する気道コンダクタンスの測定値。(NCI)</v>
      </c>
      <c r="K4335" s="1" t="str">
        <f>IFERROR(__xludf.DUMMYFUNCTION("GOOGLETRANSLATE(G4335,""EN"",""JA"")"),"比気道コンダクタンス")</f>
        <v>比気道コンダクタンス</v>
      </c>
    </row>
    <row r="4336" ht="13.5" customHeight="1">
      <c r="A4336" s="1" t="s">
        <v>1034</v>
      </c>
      <c r="B4336" s="1" t="s">
        <v>21673</v>
      </c>
      <c r="C4336" s="1" t="s">
        <v>21674</v>
      </c>
      <c r="D4336" s="1" t="s">
        <v>21675</v>
      </c>
      <c r="E4336" s="1" t="s">
        <v>21675</v>
      </c>
      <c r="F4336" s="1" t="s">
        <v>21676</v>
      </c>
      <c r="G4336" s="1" t="s">
        <v>21677</v>
      </c>
      <c r="H4336" s="1" t="str">
        <f>IFERROR(__xludf.DUMMYFUNCTION("GOOGLETRANSLATE(D4336,""EN"",""JA"")"),"シャープ/ジェナント骨侵食スコア")</f>
        <v>シャープ/ジェナント骨侵食スコア</v>
      </c>
      <c r="I4336" s="1" t="str">
        <f>IFERROR(__xludf.DUMMYFUNCTION("GOOGLETRANSLATE(E4336,""EN"",""JA"")"),"シャープ/ジェナント骨侵食スコア")</f>
        <v>シャープ/ジェナント骨侵食スコア</v>
      </c>
      <c r="J4336" s="1" t="str">
        <f>IFERROR(__xludf.DUMMYFUNCTION("GOOGLETRANSLATE(F4336,""EN"",""JA"")"),"シャープジョイントエロージョンアセスメントのGenant修正法に基づく骨エロージョンの臨床評価の結果を表す数値（Genant HK.関節リウマチの放射線学的変化の評価方法。Am J Med。1983年12月")</f>
        <v>シャープジョイントエロージョンアセスメントのGenant修正法に基づく骨エロージョンの臨床評価の結果を表す数値（Genant HK.関節リウマチの放射線学的変化の評価方法。Am J Med。1983年12月</v>
      </c>
      <c r="K4336" s="1" t="str">
        <f>IFERROR(__xludf.DUMMYFUNCTION("GOOGLETRANSLATE(G4336,""EN"",""JA"")"),"シャープジェナント骨侵食スコア")</f>
        <v>シャープジェナント骨侵食スコア</v>
      </c>
    </row>
    <row r="4337" ht="13.5" customHeight="1">
      <c r="A4337" s="1" t="s">
        <v>3094</v>
      </c>
      <c r="B4337" s="1" t="s">
        <v>21678</v>
      </c>
      <c r="C4337" s="1" t="s">
        <v>21679</v>
      </c>
      <c r="D4337" s="1" t="s">
        <v>21680</v>
      </c>
      <c r="E4337" s="1" t="s">
        <v>21680</v>
      </c>
      <c r="F4337" s="1" t="s">
        <v>21681</v>
      </c>
      <c r="G4337" s="1" t="s">
        <v>21680</v>
      </c>
      <c r="H4337" s="1" t="str">
        <f>IFERROR(__xludf.DUMMYFUNCTION("GOOGLETRANSLATE(D4337,""EN"",""JA"")"),"外科的損傷指標")</f>
        <v>外科的損傷指標</v>
      </c>
      <c r="I4337" s="1" t="str">
        <f>IFERROR(__xludf.DUMMYFUNCTION("GOOGLETRANSLATE(E4337,""EN"",""JA"")"),"外科的損傷指標")</f>
        <v>外科的損傷指標</v>
      </c>
      <c r="J4337" s="1" t="str">
        <f>IFERROR(__xludf.DUMMYFUNCTION("GOOGLETRANSLATE(F4337,""EN"",""JA"")"),"手術による損傷が発生したかどうかを示します。")</f>
        <v>手術による損傷が発生したかどうかを示します。</v>
      </c>
      <c r="K4337" s="1" t="str">
        <f>IFERROR(__xludf.DUMMYFUNCTION("GOOGLETRANSLATE(G4337,""EN"",""JA"")"),"外科的損傷指標")</f>
        <v>外科的損傷指標</v>
      </c>
    </row>
    <row r="4338" ht="13.5" customHeight="1">
      <c r="A4338" s="1" t="s">
        <v>90</v>
      </c>
      <c r="B4338" s="1" t="s">
        <v>21682</v>
      </c>
      <c r="C4338" s="1" t="s">
        <v>21683</v>
      </c>
      <c r="D4338" s="1" t="s">
        <v>21684</v>
      </c>
      <c r="E4338" s="1" t="s">
        <v>21684</v>
      </c>
      <c r="F4338" s="1" t="s">
        <v>21685</v>
      </c>
      <c r="G4338" s="1" t="s">
        <v>21684</v>
      </c>
      <c r="H4338" s="1" t="str">
        <f>IFERROR(__xludf.DUMMYFUNCTION("GOOGLETRANSLATE(D4338,""EN"",""JA"")"),"部分的後期ガドリニウム増強")</f>
        <v>部分的後期ガドリニウム増強</v>
      </c>
      <c r="I4338" s="1" t="str">
        <f>IFERROR(__xludf.DUMMYFUNCTION("GOOGLETRANSLATE(E4338,""EN"",""JA"")"),"部分的後期ガドリニウム増強")</f>
        <v>部分的後期ガドリニウム増強</v>
      </c>
      <c r="J4338" s="1" t="str">
        <f>IFERROR(__xludf.DUMMYFUNCTION("GOOGLETRANSLATE(F4338,""EN"",""JA"")"),"後期ガドリニウム増強の特徴を示すセグメントの識別。")</f>
        <v>後期ガドリニウム増強の特徴を示すセグメントの識別。</v>
      </c>
      <c r="K4338" s="1" t="str">
        <f>IFERROR(__xludf.DUMMYFUNCTION("GOOGLETRANSLATE(G4338,""EN"",""JA"")"),"部分的後期ガドリニウム増強")</f>
        <v>部分的後期ガドリニウム増強</v>
      </c>
    </row>
    <row r="4339" ht="13.5" customHeight="1">
      <c r="A4339" s="1" t="s">
        <v>1034</v>
      </c>
      <c r="B4339" s="1" t="s">
        <v>21686</v>
      </c>
      <c r="C4339" s="1" t="s">
        <v>21687</v>
      </c>
      <c r="D4339" s="1" t="s">
        <v>21688</v>
      </c>
      <c r="E4339" s="1" t="s">
        <v>21688</v>
      </c>
      <c r="F4339" s="1" t="s">
        <v>21689</v>
      </c>
      <c r="G4339" s="1" t="s">
        <v>21690</v>
      </c>
      <c r="H4339" s="1" t="str">
        <f>IFERROR(__xludf.DUMMYFUNCTION("GOOGLETRANSLATE(D4339,""EN"",""JA"")"),"シャープ/ジェナント JSN スコア")</f>
        <v>シャープ/ジェナント JSN スコア</v>
      </c>
      <c r="I4339" s="1" t="str">
        <f>IFERROR(__xludf.DUMMYFUNCTION("GOOGLETRANSLATE(E4339,""EN"",""JA"")"),"シャープ/ジェナント JSN スコア")</f>
        <v>シャープ/ジェナント JSN スコア</v>
      </c>
      <c r="J4339" s="1" t="str">
        <f>IFERROR(__xludf.DUMMYFUNCTION("GOOGLETRANSLATE(F4339,""EN"",""JA"")"),"シャープ関節間隙狭窄評価のGenant修正版（Genant HK。関節リウマチの放射線学的変化の評価方法。A")</f>
        <v>シャープ関節間隙狭窄評価のGenant修正版（Genant HK。関節リウマチの放射線学的変化の評価方法。A</v>
      </c>
      <c r="K4339" s="1" t="str">
        <f>IFERROR(__xludf.DUMMYFUNCTION("GOOGLETRANSLATE(G4339,""EN"",""JA"")"),"シャープジェナント関節スペース狭小化スコア")</f>
        <v>シャープジェナント関節スペース狭小化スコア</v>
      </c>
    </row>
    <row r="4340" ht="13.5" customHeight="1">
      <c r="A4340" s="1" t="s">
        <v>134</v>
      </c>
      <c r="B4340" s="1" t="s">
        <v>21691</v>
      </c>
      <c r="C4340" s="1" t="s">
        <v>21692</v>
      </c>
      <c r="D4340" s="1" t="s">
        <v>21693</v>
      </c>
      <c r="E4340" s="1" t="s">
        <v>21694</v>
      </c>
      <c r="F4340" s="1" t="s">
        <v>21695</v>
      </c>
      <c r="G4340" s="1" t="s">
        <v>21696</v>
      </c>
      <c r="H4340" s="1" t="str">
        <f>IFERROR(__xludf.DUMMYFUNCTION("GOOGLETRANSLATE(D4340,""EN"",""JA"")"),"手術マージン距離")</f>
        <v>手術マージン距離</v>
      </c>
      <c r="I4340" s="1" t="str">
        <f>IFERROR(__xludf.DUMMYFUNCTION("GOOGLETRANSLATE(E4340,""EN"",""JA"")"),"最も近い手術マージン距離; 真のマージン表面までの距離; 切除マージン距離; 切除マージン距離; 手術マージン; 手術マージン距離; 真のマージン表面までの距離")</f>
        <v>最も近い手術マージン距離; 真のマージン表面までの距離; 切除マージン距離; 切除マージン距離; 手術マージン; 手術マージン距離; 真のマージン表面までの距離</v>
      </c>
      <c r="J4340" s="1" t="str">
        <f>IFERROR(__xludf.DUMMYFUNCTION("GOOGLETRANSLATE(F4340,""EN"",""JA"")"),"腫瘍の境界から最も近い手術マージンまでの距離の測定値。")</f>
        <v>腫瘍の境界から最も近い手術マージンまでの距離の測定値。</v>
      </c>
      <c r="K4340" s="1" t="str">
        <f>IFERROR(__xludf.DUMMYFUNCTION("GOOGLETRANSLATE(G4340,""EN"",""JA"")"),"手術マージン距離測定")</f>
        <v>手術マージン距離測定</v>
      </c>
    </row>
    <row r="4341" ht="13.5" customHeight="1">
      <c r="A4341" s="1" t="s">
        <v>134</v>
      </c>
      <c r="B4341" s="1" t="s">
        <v>21697</v>
      </c>
      <c r="C4341" s="1" t="s">
        <v>21698</v>
      </c>
      <c r="D4341" s="1" t="s">
        <v>21699</v>
      </c>
      <c r="E4341" s="1" t="s">
        <v>21699</v>
      </c>
      <c r="F4341" s="1" t="s">
        <v>21700</v>
      </c>
      <c r="G4341" s="1" t="s">
        <v>21701</v>
      </c>
      <c r="H4341" s="1" t="str">
        <f>IFERROR(__xludf.DUMMYFUNCTION("GOOGLETRANSLATE(D4341,""EN"",""JA"")"),"手術マージン侵襲領域")</f>
        <v>手術マージン侵襲領域</v>
      </c>
      <c r="I4341" s="1" t="str">
        <f>IFERROR(__xludf.DUMMYFUNCTION("GOOGLETRANSLATE(E4341,""EN"",""JA"")"),"手術マージン侵襲領域")</f>
        <v>手術マージン侵襲領域</v>
      </c>
      <c r="J4341" s="1" t="str">
        <f>IFERROR(__xludf.DUMMYFUNCTION("GOOGLETRANSLATE(F4341,""EN"",""JA"")"),"患者体内で切除された標本の境界の外側に残された腫瘍組織を含む解剖学的領域または平面。")</f>
        <v>患者体内で切除された標本の境界の外側に残された腫瘍組織を含む解剖学的領域または平面。</v>
      </c>
      <c r="K4341" s="1" t="str">
        <f>IFERROR(__xludf.DUMMYFUNCTION("GOOGLETRANSLATE(G4341,""EN"",""JA"")"),"手術マージンの病変部位")</f>
        <v>手術マージンの病変部位</v>
      </c>
    </row>
    <row r="4342" ht="13.5" customHeight="1">
      <c r="A4342" s="1" t="s">
        <v>134</v>
      </c>
      <c r="B4342" s="1" t="s">
        <v>21702</v>
      </c>
      <c r="C4342" s="1" t="s">
        <v>21703</v>
      </c>
      <c r="D4342" s="1" t="s">
        <v>21704</v>
      </c>
      <c r="E4342" s="1" t="s">
        <v>21704</v>
      </c>
      <c r="F4342" s="1" t="s">
        <v>21705</v>
      </c>
      <c r="G4342" s="1" t="s">
        <v>21704</v>
      </c>
      <c r="H4342" s="1" t="str">
        <f>IFERROR(__xludf.DUMMYFUNCTION("GOOGLETRANSLATE(D4342,""EN"",""JA"")"),"手術マージンの状態")</f>
        <v>手術マージンの状態</v>
      </c>
      <c r="I4342" s="1" t="str">
        <f>IFERROR(__xludf.DUMMYFUNCTION("GOOGLETRANSLATE(E4342,""EN"",""JA"")"),"手術マージンの状態")</f>
        <v>手術マージンの状態</v>
      </c>
      <c r="J4342" s="1" t="str">
        <f>IFERROR(__xludf.DUMMYFUNCTION("GOOGLETRANSLATE(F4342,""EN"",""JA"")"),"患者体内の切除標本の境界外に残された実際のまたは潜在的な腫瘍組織の存在を判定すること。(NCI)")</f>
        <v>患者体内の切除標本の境界外に残された実際のまたは潜在的な腫瘍組織の存在を判定すること。(NCI)</v>
      </c>
      <c r="K4342" s="1" t="str">
        <f>IFERROR(__xludf.DUMMYFUNCTION("GOOGLETRANSLATE(G4342,""EN"",""JA"")"),"手術マージンの状態")</f>
        <v>手術マージンの状態</v>
      </c>
    </row>
    <row r="4343" ht="13.5" customHeight="1">
      <c r="A4343" s="1" t="s">
        <v>11</v>
      </c>
      <c r="B4343" s="1" t="s">
        <v>21706</v>
      </c>
      <c r="C4343" s="1" t="s">
        <v>21707</v>
      </c>
      <c r="D4343" s="1" t="s">
        <v>21708</v>
      </c>
      <c r="E4343" s="1" t="s">
        <v>21709</v>
      </c>
      <c r="F4343" s="1" t="s">
        <v>21710</v>
      </c>
      <c r="G4343" s="1" t="s">
        <v>21711</v>
      </c>
      <c r="H4343" s="1" t="str">
        <f>IFERROR(__xludf.DUMMYFUNCTION("GOOGLETRANSLATE(D4343,""EN"",""JA"")"),"SH2ドメイン含有1Aタンパク質")</f>
        <v>SH2ドメイン含有1Aタンパク質</v>
      </c>
      <c r="I4343" s="1" t="str">
        <f>IFERROR(__xludf.DUMMYFUNCTION("GOOGLETRANSLATE(E4343,""EN"",""JA"")"),"DSHP; ダンカン病SH2タンパク質; EBVS; IMD5; LYP; MTCP1; SAP; SAP/SH2D1A; SH2ドメイン含有1Aタンパク質; XLP; XLPD; XLPD1")</f>
        <v>DSHP; ダンカン病SH2タンパク質; EBVS; IMD5; LYP; MTCP1; SAP; SAP/SH2D1A; SH2ドメイン含有1Aタンパク質; XLP; XLPD; XLPD1</v>
      </c>
      <c r="J4343" s="1" t="str">
        <f>IFERROR(__xludf.DUMMYFUNCTION("GOOGLETRANSLATE(F4343,""EN"",""JA"")"),"生物標本中の SH2 ドメインを含む 1A タンパク質の測定。")</f>
        <v>生物標本中の SH2 ドメインを含む 1A タンパク質の測定。</v>
      </c>
      <c r="K4343" s="1" t="str">
        <f>IFERROR(__xludf.DUMMYFUNCTION("GOOGLETRANSLATE(G4343,""EN"",""JA"")"),"SH2ドメイン含有1Aタンパク質測定")</f>
        <v>SH2ドメイン含有1Aタンパク質測定</v>
      </c>
    </row>
    <row r="4344" ht="13.5" customHeight="1">
      <c r="A4344" s="1" t="s">
        <v>67</v>
      </c>
      <c r="B4344" s="1" t="s">
        <v>21712</v>
      </c>
      <c r="C4344" s="1" t="s">
        <v>21713</v>
      </c>
      <c r="D4344" s="1" t="s">
        <v>21714</v>
      </c>
      <c r="E4344" s="1" t="s">
        <v>21714</v>
      </c>
      <c r="F4344" s="1" t="s">
        <v>21715</v>
      </c>
      <c r="G4344" s="1" t="s">
        <v>21716</v>
      </c>
      <c r="H4344" s="1" t="str">
        <f>IFERROR(__xludf.DUMMYFUNCTION("GOOGLETRANSLATE(D4344,""EN"",""JA"")"),"溶血性ブドウ球菌")</f>
        <v>溶血性ブドウ球菌</v>
      </c>
      <c r="I4344" s="1" t="str">
        <f>IFERROR(__xludf.DUMMYFUNCTION("GOOGLETRANSLATE(E4344,""EN"",""JA"")"),"溶血性ブドウ球菌")</f>
        <v>溶血性ブドウ球菌</v>
      </c>
      <c r="J4344" s="1" t="str">
        <f>IFERROR(__xludf.DUMMYFUNCTION("GOOGLETRANSLATE(F4344,""EN"",""JA"")"),"生物標本中の溶血性ブドウ球菌の測定。")</f>
        <v>生物標本中の溶血性ブドウ球菌の測定。</v>
      </c>
      <c r="K4344" s="1" t="str">
        <f>IFERROR(__xludf.DUMMYFUNCTION("GOOGLETRANSLATE(G4344,""EN"",""JA"")"),"溶血性ブドウ球菌測定")</f>
        <v>溶血性ブドウ球菌測定</v>
      </c>
    </row>
    <row r="4345" ht="13.5" customHeight="1">
      <c r="A4345" s="1" t="s">
        <v>1997</v>
      </c>
      <c r="B4345" s="1" t="s">
        <v>21717</v>
      </c>
      <c r="C4345" s="1" t="s">
        <v>21718</v>
      </c>
      <c r="D4345" s="1" t="s">
        <v>21719</v>
      </c>
      <c r="E4345" s="1" t="s">
        <v>21719</v>
      </c>
      <c r="F4345" s="1" t="s">
        <v>21720</v>
      </c>
      <c r="G4345" s="1" t="s">
        <v>21719</v>
      </c>
      <c r="H4345" s="1" t="str">
        <f>IFERROR(__xludf.DUMMYFUNCTION("GOOGLETRANSLATE(D4345,""EN"",""JA"")"),"形")</f>
        <v>形</v>
      </c>
      <c r="I4345" s="1" t="str">
        <f>IFERROR(__xludf.DUMMYFUNCTION("GOOGLETRANSLATE(E4345,""EN"",""JA"")"),"形")</f>
        <v>形</v>
      </c>
      <c r="J4345" s="1" t="str">
        <f>IFERROR(__xludf.DUMMYFUNCTION("GOOGLETRANSLATE(F4345,""EN"",""JA"")"),"何かの実体とは別に、その何かを空間的に配置すること。(NCI)")</f>
        <v>何かの実体とは別に、その何かを空間的に配置すること。(NCI)</v>
      </c>
      <c r="K4345" s="1" t="str">
        <f>IFERROR(__xludf.DUMMYFUNCTION("GOOGLETRANSLATE(G4345,""EN"",""JA"")"),"形")</f>
        <v>形</v>
      </c>
    </row>
    <row r="4346" ht="13.5" customHeight="1">
      <c r="A4346" s="1" t="s">
        <v>11</v>
      </c>
      <c r="B4346" s="1" t="s">
        <v>21721</v>
      </c>
      <c r="C4346" s="1" t="s">
        <v>21722</v>
      </c>
      <c r="D4346" s="1" t="s">
        <v>21723</v>
      </c>
      <c r="E4346" s="1" t="s">
        <v>21724</v>
      </c>
      <c r="F4346" s="1" t="s">
        <v>21725</v>
      </c>
      <c r="G4346" s="1" t="s">
        <v>21726</v>
      </c>
      <c r="H4346" s="1" t="str">
        <f>IFERROR(__xludf.DUMMYFUNCTION("GOOGLETRANSLATE(D4346,""EN"",""JA"")"),"性ホルモン結合グロブリン")</f>
        <v>性ホルモン結合グロブリン</v>
      </c>
      <c r="I4346" s="1" t="str">
        <f>IFERROR(__xludf.DUMMYFUNCTION("GOOGLETRANSLATE(E4346,""EN"",""JA"")"),"性ホルモン結合グロブリン; 性ホルモン結合タンパク質")</f>
        <v>性ホルモン結合グロブリン; 性ホルモン結合タンパク質</v>
      </c>
      <c r="J4346" s="1" t="str">
        <f>IFERROR(__xludf.DUMMYFUNCTION("GOOGLETRANSLATE(F4346,""EN"",""JA"")"),"生物標本中の性ホルモン結合（グロブリン）タンパク質の測定。")</f>
        <v>生物標本中の性ホルモン結合（グロブリン）タンパク質の測定。</v>
      </c>
      <c r="K4346" s="1" t="str">
        <f>IFERROR(__xludf.DUMMYFUNCTION("GOOGLETRANSLATE(G4346,""EN"",""JA"")"),"性ホルモン結合タンパク質測定")</f>
        <v>性ホルモン結合タンパク質測定</v>
      </c>
    </row>
    <row r="4347" ht="13.5" customHeight="1">
      <c r="A4347" s="1" t="s">
        <v>11</v>
      </c>
      <c r="B4347" s="1" t="s">
        <v>21727</v>
      </c>
      <c r="C4347" s="1" t="s">
        <v>21728</v>
      </c>
      <c r="D4347" s="1" t="s">
        <v>21729</v>
      </c>
      <c r="E4347" s="1" t="s">
        <v>21729</v>
      </c>
      <c r="F4347" s="1" t="s">
        <v>21730</v>
      </c>
      <c r="G4347" s="1" t="s">
        <v>21731</v>
      </c>
      <c r="H4347" s="1" t="str">
        <f>IFERROR(__xludf.DUMMYFUNCTION("GOOGLETRANSLATE(D4347,""EN"",""JA"")"),"ソニック・ヘッジホッグ")</f>
        <v>ソニック・ヘッジホッグ</v>
      </c>
      <c r="I4347" s="1" t="str">
        <f>IFERROR(__xludf.DUMMYFUNCTION("GOOGLETRANSLATE(E4347,""EN"",""JA"")"),"ソニック・ヘッジホッグ")</f>
        <v>ソニック・ヘッジホッグ</v>
      </c>
      <c r="J4347" s="1" t="str">
        <f>IFERROR(__xludf.DUMMYFUNCTION("GOOGLETRANSLATE(F4347,""EN"",""JA"")"),"生物標本中のソニックヘッジホッグタンパク質の測定。")</f>
        <v>生物標本中のソニックヘッジホッグタンパク質の測定。</v>
      </c>
      <c r="K4347" s="1" t="str">
        <f>IFERROR(__xludf.DUMMYFUNCTION("GOOGLETRANSLATE(G4347,""EN"",""JA"")"),"ソニックヘッジホッグ測定")</f>
        <v>ソニックヘッジホッグ測定</v>
      </c>
    </row>
    <row r="4348" ht="13.5" customHeight="1">
      <c r="A4348" s="1" t="s">
        <v>67</v>
      </c>
      <c r="B4348" s="1" t="s">
        <v>21732</v>
      </c>
      <c r="C4348" s="1" t="s">
        <v>21733</v>
      </c>
      <c r="D4348" s="1" t="s">
        <v>21734</v>
      </c>
      <c r="E4348" s="1" t="s">
        <v>21734</v>
      </c>
      <c r="F4348" s="1" t="s">
        <v>21735</v>
      </c>
      <c r="G4348" s="1" t="s">
        <v>21736</v>
      </c>
      <c r="H4348" s="1" t="str">
        <f>IFERROR(__xludf.DUMMYFUNCTION("GOOGLETRANSLATE(D4348,""EN"",""JA"")"),"赤痢菌抗原")</f>
        <v>赤痢菌抗原</v>
      </c>
      <c r="I4348" s="1" t="str">
        <f>IFERROR(__xludf.DUMMYFUNCTION("GOOGLETRANSLATE(E4348,""EN"",""JA"")"),"赤痢菌抗原")</f>
        <v>赤痢菌抗原</v>
      </c>
      <c r="J4348" s="1" t="str">
        <f>IFERROR(__xludf.DUMMYFUNCTION("GOOGLETRANSLATE(F4348,""EN"",""JA"")"),"生物標本中の Shigella 属の任意の菌の抗原の測定。")</f>
        <v>生物標本中の Shigella 属の任意の菌の抗原の測定。</v>
      </c>
      <c r="K4348" s="1" t="str">
        <f>IFERROR(__xludf.DUMMYFUNCTION("GOOGLETRANSLATE(G4348,""EN"",""JA"")"),"赤痢菌抗原測定")</f>
        <v>赤痢菌抗原測定</v>
      </c>
    </row>
    <row r="4349" ht="13.5" customHeight="1">
      <c r="A4349" s="1" t="s">
        <v>67</v>
      </c>
      <c r="B4349" s="1" t="s">
        <v>21737</v>
      </c>
      <c r="C4349" s="1" t="s">
        <v>21738</v>
      </c>
      <c r="D4349" s="1" t="s">
        <v>21739</v>
      </c>
      <c r="E4349" s="1" t="s">
        <v>21739</v>
      </c>
      <c r="F4349" s="1" t="s">
        <v>21740</v>
      </c>
      <c r="G4349" s="1" t="s">
        <v>21741</v>
      </c>
      <c r="H4349" s="1" t="str">
        <f>IFERROR(__xludf.DUMMYFUNCTION("GOOGLETRANSLATE(D4349,""EN"",""JA"")"),"志賀毒素")</f>
        <v>志賀毒素</v>
      </c>
      <c r="I4349" s="1" t="str">
        <f>IFERROR(__xludf.DUMMYFUNCTION("GOOGLETRANSLATE(E4349,""EN"",""JA"")"),"志賀毒素")</f>
        <v>志賀毒素</v>
      </c>
      <c r="J4349" s="1" t="str">
        <f>IFERROR(__xludf.DUMMYFUNCTION("GOOGLETRANSLATE(F4349,""EN"",""JA"")"),"生物標本中の志賀毒素の測定。")</f>
        <v>生物標本中の志賀毒素の測定。</v>
      </c>
      <c r="K4349" s="1" t="str">
        <f>IFERROR(__xludf.DUMMYFUNCTION("GOOGLETRANSLATE(G4349,""EN"",""JA"")"),"志賀毒素測定")</f>
        <v>志賀毒素測定</v>
      </c>
    </row>
    <row r="4350" ht="13.5" customHeight="1">
      <c r="A4350" s="1" t="s">
        <v>67</v>
      </c>
      <c r="B4350" s="1" t="s">
        <v>21742</v>
      </c>
      <c r="C4350" s="1" t="s">
        <v>21743</v>
      </c>
      <c r="D4350" s="1" t="s">
        <v>21744</v>
      </c>
      <c r="E4350" s="1" t="s">
        <v>21744</v>
      </c>
      <c r="F4350" s="1" t="s">
        <v>21745</v>
      </c>
      <c r="G4350" s="1" t="s">
        <v>21746</v>
      </c>
      <c r="H4350" s="1" t="str">
        <f>IFERROR(__xludf.DUMMYFUNCTION("GOOGLETRANSLATE(D4350,""EN"",""JA"")"),"赤痢菌DNA")</f>
        <v>赤痢菌DNA</v>
      </c>
      <c r="I4350" s="1" t="str">
        <f>IFERROR(__xludf.DUMMYFUNCTION("GOOGLETRANSLATE(E4350,""EN"",""JA"")"),"赤痢菌DNA")</f>
        <v>赤痢菌DNA</v>
      </c>
      <c r="J4350" s="1" t="str">
        <f>IFERROR(__xludf.DUMMYFUNCTION("GOOGLETRANSLATE(F4350,""EN"",""JA"")"),"生物標本中の Shigella 属の任意の菌の DNA の測定。")</f>
        <v>生物標本中の Shigella 属の任意の菌の DNA の測定。</v>
      </c>
      <c r="K4350" s="1" t="str">
        <f>IFERROR(__xludf.DUMMYFUNCTION("GOOGLETRANSLATE(G4350,""EN"",""JA"")"),"赤痢菌DNA測定")</f>
        <v>赤痢菌DNA測定</v>
      </c>
    </row>
    <row r="4351" ht="13.5" customHeight="1">
      <c r="A4351" s="1" t="s">
        <v>67</v>
      </c>
      <c r="B4351" s="1" t="s">
        <v>21747</v>
      </c>
      <c r="C4351" s="1" t="s">
        <v>21748</v>
      </c>
      <c r="D4351" s="1" t="s">
        <v>21749</v>
      </c>
      <c r="E4351" s="1" t="s">
        <v>21750</v>
      </c>
      <c r="F4351" s="1" t="s">
        <v>21751</v>
      </c>
      <c r="G4351" s="1" t="s">
        <v>21752</v>
      </c>
      <c r="H4351" s="1" t="str">
        <f>IFERROR(__xludf.DUMMYFUNCTION("GOOGLETRANSLATE(D4351,""EN"",""JA"")"),"赤痢菌/EIEC")</f>
        <v>赤痢菌/EIEC</v>
      </c>
      <c r="I4351" s="1" t="str">
        <f>IFERROR(__xludf.DUMMYFUNCTION("GOOGLETRANSLATE(E4351,""EN"",""JA"")"),"Shigella/EIEC; Shigella/腸管侵入性大腸菌; Shigella/腸管侵入性大腸菌")</f>
        <v>Shigella/EIEC; Shigella/腸管侵入性大腸菌; Shigella/腸管侵入性大腸菌</v>
      </c>
      <c r="J4351" s="1" t="str">
        <f>IFERROR(__xludf.DUMMYFUNCTION("GOOGLETRANSLATE(F4351,""EN"",""JA"")"),"生物標本中の、種レベルには割り当てられていないが、赤痢菌属レベルおよび/または腸管侵入性大腸菌レベルに割り当てられている微生物の測定値。")</f>
        <v>生物標本中の、種レベルには割り当てられていないが、赤痢菌属レベルおよび/または腸管侵入性大腸菌レベルに割り当てられている微生物の測定値。</v>
      </c>
      <c r="K4351" s="1" t="str">
        <f>IFERROR(__xludf.DUMMYFUNCTION("GOOGLETRANSLATE(G4351,""EN"",""JA"")"),"赤痢菌および/または腸管侵入性大腸菌のDNA測定")</f>
        <v>赤痢菌および/または腸管侵入性大腸菌のDNA測定</v>
      </c>
    </row>
    <row r="4352" ht="13.5" customHeight="1">
      <c r="A4352" s="1" t="s">
        <v>67</v>
      </c>
      <c r="B4352" s="1" t="s">
        <v>21753</v>
      </c>
      <c r="C4352" s="1" t="s">
        <v>21754</v>
      </c>
      <c r="D4352" s="1" t="s">
        <v>21755</v>
      </c>
      <c r="E4352" s="1" t="s">
        <v>21755</v>
      </c>
      <c r="F4352" s="1" t="s">
        <v>21756</v>
      </c>
      <c r="G4352" s="1" t="s">
        <v>21757</v>
      </c>
      <c r="H4352" s="1" t="str">
        <f>IFERROR(__xludf.DUMMYFUNCTION("GOOGLETRANSLATE(D4352,""EN"",""JA"")"),"赤痢菌")</f>
        <v>赤痢菌</v>
      </c>
      <c r="I4352" s="1" t="str">
        <f>IFERROR(__xludf.DUMMYFUNCTION("GOOGLETRANSLATE(E4352,""EN"",""JA"")"),"赤痢菌")</f>
        <v>赤痢菌</v>
      </c>
      <c r="J4352" s="1" t="str">
        <f>IFERROR(__xludf.DUMMYFUNCTION("GOOGLETRANSLATE(F4352,""EN"",""JA"")"),"生物標本において、種レベルには割り当てられていないが、Shigella 属レベルに割り当てられている生物の測定値。")</f>
        <v>生物標本において、種レベルには割り当てられていないが、Shigella 属レベルに割り当てられている生物の測定値。</v>
      </c>
      <c r="K4352" s="1" t="str">
        <f>IFERROR(__xludf.DUMMYFUNCTION("GOOGLETRANSLATE(G4352,""EN"",""JA"")"),"赤痢菌測定")</f>
        <v>赤痢菌測定</v>
      </c>
    </row>
    <row r="4353" ht="13.5" customHeight="1">
      <c r="A4353" s="1" t="s">
        <v>67</v>
      </c>
      <c r="B4353" s="1" t="s">
        <v>21758</v>
      </c>
      <c r="C4353" s="1" t="s">
        <v>21759</v>
      </c>
      <c r="D4353" s="1" t="s">
        <v>21760</v>
      </c>
      <c r="E4353" s="1" t="s">
        <v>21760</v>
      </c>
      <c r="F4353" s="1" t="s">
        <v>21761</v>
      </c>
      <c r="G4353" s="1" t="s">
        <v>21762</v>
      </c>
      <c r="H4353" s="1" t="str">
        <f>IFERROR(__xludf.DUMMYFUNCTION("GOOGLETRANSLATE(D4353,""EN"",""JA"")"),"ブドウ球菌")</f>
        <v>ブドウ球菌</v>
      </c>
      <c r="I4353" s="1" t="str">
        <f>IFERROR(__xludf.DUMMYFUNCTION("GOOGLETRANSLATE(E4353,""EN"",""JA"")"),"ブドウ球菌")</f>
        <v>ブドウ球菌</v>
      </c>
      <c r="J4353" s="1" t="str">
        <f>IFERROR(__xludf.DUMMYFUNCTION("GOOGLETRANSLATE(F4353,""EN"",""JA"")"),"生物標本中の Staphylococcus hominis の測定。")</f>
        <v>生物標本中の Staphylococcus hominis の測定。</v>
      </c>
      <c r="K4353" s="1" t="str">
        <f>IFERROR(__xludf.DUMMYFUNCTION("GOOGLETRANSLATE(G4353,""EN"",""JA"")"),"ヒトブドウ球菌の測定")</f>
        <v>ヒトブドウ球菌の測定</v>
      </c>
    </row>
    <row r="4354" ht="13.5" customHeight="1">
      <c r="A4354" s="1" t="s">
        <v>601</v>
      </c>
      <c r="B4354" s="1" t="s">
        <v>21763</v>
      </c>
      <c r="C4354" s="1" t="s">
        <v>21764</v>
      </c>
      <c r="D4354" s="1" t="s">
        <v>21765</v>
      </c>
      <c r="E4354" s="1" t="s">
        <v>21765</v>
      </c>
      <c r="F4354" s="1" t="s">
        <v>21766</v>
      </c>
      <c r="G4354" s="1" t="s">
        <v>21765</v>
      </c>
      <c r="H4354" s="1" t="str">
        <f>IFERROR(__xludf.DUMMYFUNCTION("GOOGLETRANSLATE(D4354,""EN"",""JA"")"),"受動喫煙の曝露状況")</f>
        <v>受動喫煙の曝露状況</v>
      </c>
      <c r="I4354" s="1" t="str">
        <f>IFERROR(__xludf.DUMMYFUNCTION("GOOGLETRANSLATE(E4354,""EN"",""JA"")"),"受動喫煙の曝露状況")</f>
        <v>受動喫煙の曝露状況</v>
      </c>
      <c r="J4354" s="1" t="str">
        <f>IFERROR(__xludf.DUMMYFUNCTION("GOOGLETRANSLATE(F4354,""EN"",""JA"")"),"受動喫煙に関する個人の状態。")</f>
        <v>受動喫煙に関する個人の状態。</v>
      </c>
      <c r="K4354" s="1" t="str">
        <f>IFERROR(__xludf.DUMMYFUNCTION("GOOGLETRANSLATE(G4354,""EN"",""JA"")"),"受動喫煙の曝露状況")</f>
        <v>受動喫煙の曝露状況</v>
      </c>
    </row>
    <row r="4355" ht="13.5" customHeight="1">
      <c r="A4355" s="1" t="s">
        <v>11</v>
      </c>
      <c r="B4355" s="1" t="s">
        <v>21767</v>
      </c>
      <c r="C4355" s="1" t="s">
        <v>21768</v>
      </c>
      <c r="D4355" s="1" t="s">
        <v>21769</v>
      </c>
      <c r="E4355" s="1" t="s">
        <v>21769</v>
      </c>
      <c r="F4355" s="1" t="s">
        <v>21770</v>
      </c>
      <c r="G4355" s="1" t="s">
        <v>21771</v>
      </c>
      <c r="H4355" s="1" t="str">
        <f>IFERROR(__xludf.DUMMYFUNCTION("GOOGLETRANSLATE(D4355,""EN"",""JA"")"),"可溶性細胞間接着分子1")</f>
        <v>可溶性細胞間接着分子1</v>
      </c>
      <c r="I4355" s="1" t="str">
        <f>IFERROR(__xludf.DUMMYFUNCTION("GOOGLETRANSLATE(E4355,""EN"",""JA"")"),"可溶性細胞間接着分子1")</f>
        <v>可溶性細胞間接着分子1</v>
      </c>
      <c r="J4355" s="1" t="str">
        <f>IFERROR(__xludf.DUMMYFUNCTION("GOOGLETRANSLATE(F4355,""EN"",""JA"")"),"生物標本中の可溶性細胞間接着分子 1 の測定。")</f>
        <v>生物標本中の可溶性細胞間接着分子 1 の測定。</v>
      </c>
      <c r="K4355" s="1" t="str">
        <f>IFERROR(__xludf.DUMMYFUNCTION("GOOGLETRANSLATE(G4355,""EN"",""JA"")"),"可溶性細胞間接着分子1の測定")</f>
        <v>可溶性細胞間接着分子1の測定</v>
      </c>
    </row>
    <row r="4356" ht="13.5" customHeight="1">
      <c r="A4356" s="1" t="s">
        <v>11</v>
      </c>
      <c r="B4356" s="1" t="s">
        <v>21772</v>
      </c>
      <c r="C4356" s="1" t="s">
        <v>21773</v>
      </c>
      <c r="D4356" s="1" t="s">
        <v>21774</v>
      </c>
      <c r="E4356" s="1" t="s">
        <v>21775</v>
      </c>
      <c r="F4356" s="1" t="s">
        <v>21776</v>
      </c>
      <c r="G4356" s="1" t="s">
        <v>21777</v>
      </c>
      <c r="H4356" s="1" t="str">
        <f>IFERROR(__xludf.DUMMYFUNCTION("GOOGLETRANSLATE(D4356,""EN"",""JA"")"),"可溶性細胞間接着分子4")</f>
        <v>可溶性細胞間接着分子4</v>
      </c>
      <c r="I4356" s="1" t="str">
        <f>IFERROR(__xludf.DUMMYFUNCTION("GOOGLETRANSLATE(E4356,""EN"",""JA"")"),"可溶性細胞間接着分子4; 可溶性細胞間接着分子4")</f>
        <v>可溶性細胞間接着分子4; 可溶性細胞間接着分子4</v>
      </c>
      <c r="J4356" s="1" t="str">
        <f>IFERROR(__xludf.DUMMYFUNCTION("GOOGLETRANSLATE(F4356,""EN"",""JA"")"),"生物標本中の可溶性細胞間接着分子 4 の測定。")</f>
        <v>生物標本中の可溶性細胞間接着分子 4 の測定。</v>
      </c>
      <c r="K4356" s="1" t="str">
        <f>IFERROR(__xludf.DUMMYFUNCTION("GOOGLETRANSLATE(G4356,""EN"",""JA"")"),"可溶性細胞間接着分子4の測定")</f>
        <v>可溶性細胞間接着分子4の測定</v>
      </c>
    </row>
    <row r="4357" ht="13.5" customHeight="1">
      <c r="A4357" s="1" t="s">
        <v>11</v>
      </c>
      <c r="B4357" s="1" t="s">
        <v>21778</v>
      </c>
      <c r="C4357" s="1" t="s">
        <v>21779</v>
      </c>
      <c r="D4357" s="1" t="s">
        <v>21780</v>
      </c>
      <c r="E4357" s="1" t="s">
        <v>21780</v>
      </c>
      <c r="F4357" s="1" t="s">
        <v>21781</v>
      </c>
      <c r="G4357" s="1" t="s">
        <v>21782</v>
      </c>
      <c r="H4357" s="1" t="str">
        <f>IFERROR(__xludf.DUMMYFUNCTION("GOOGLETRANSLATE(D4357,""EN"",""JA"")"),"6-モノアセチルモルヒネ")</f>
        <v>6-モノアセチルモルヒネ</v>
      </c>
      <c r="I4357" s="1" t="str">
        <f>IFERROR(__xludf.DUMMYFUNCTION("GOOGLETRANSLATE(E4357,""EN"",""JA"")"),"6-モノアセチルモルヒネ")</f>
        <v>6-モノアセチルモルヒネ</v>
      </c>
      <c r="J4357" s="1" t="str">
        <f>IFERROR(__xludf.DUMMYFUNCTION("GOOGLETRANSLATE(F4357,""EN"",""JA"")"),"生物学的標本中に存在する 6-モノアセチルモルヒネの測定。")</f>
        <v>生物学的標本中に存在する 6-モノアセチルモルヒネの測定。</v>
      </c>
      <c r="K4357" s="1" t="str">
        <f>IFERROR(__xludf.DUMMYFUNCTION("GOOGLETRANSLATE(G4357,""EN"",""JA"")"),"6-モノアセチルモルヒネ測定")</f>
        <v>6-モノアセチルモルヒネ測定</v>
      </c>
    </row>
    <row r="4358" ht="13.5" customHeight="1">
      <c r="A4358" s="1" t="s">
        <v>160</v>
      </c>
      <c r="B4358" s="1" t="s">
        <v>21783</v>
      </c>
      <c r="C4358" s="1" t="s">
        <v>21784</v>
      </c>
      <c r="D4358" s="1" t="s">
        <v>21785</v>
      </c>
      <c r="E4358" s="1" t="s">
        <v>21785</v>
      </c>
      <c r="F4358" s="1" t="s">
        <v>21786</v>
      </c>
      <c r="G4358" s="1" t="s">
        <v>21785</v>
      </c>
      <c r="H4358" s="1" t="str">
        <f>IFERROR(__xludf.DUMMYFUNCTION("GOOGLETRANSLATE(D4358,""EN"",""JA"")"),"スキーン腺異常指標")</f>
        <v>スキーン腺異常指標</v>
      </c>
      <c r="I4358" s="1" t="str">
        <f>IFERROR(__xludf.DUMMYFUNCTION("GOOGLETRANSLATE(E4358,""EN"",""JA"")"),"スキーン腺異常指標")</f>
        <v>スキーン腺異常指標</v>
      </c>
      <c r="J4358" s="1" t="str">
        <f>IFERROR(__xludf.DUMMYFUNCTION("GOOGLETRANSLATE(F4358,""EN"",""JA"")"),"スキーン腺に異常があるかどうかを示します。")</f>
        <v>スキーン腺に異常があるかどうかを示します。</v>
      </c>
      <c r="K4358" s="1" t="str">
        <f>IFERROR(__xludf.DUMMYFUNCTION("GOOGLETRANSLATE(G4358,""EN"",""JA"")"),"スキーン腺異常指標")</f>
        <v>スキーン腺異常指標</v>
      </c>
    </row>
    <row r="4359" ht="13.5" customHeight="1">
      <c r="A4359" s="1" t="s">
        <v>601</v>
      </c>
      <c r="B4359" s="1" t="s">
        <v>21787</v>
      </c>
      <c r="C4359" s="1" t="s">
        <v>21788</v>
      </c>
      <c r="D4359" s="1" t="s">
        <v>21789</v>
      </c>
      <c r="E4359" s="1" t="s">
        <v>21790</v>
      </c>
      <c r="F4359" s="1" t="s">
        <v>21791</v>
      </c>
      <c r="G4359" s="1" t="s">
        <v>21792</v>
      </c>
      <c r="H4359" s="1" t="str">
        <f>IFERROR(__xludf.DUMMYFUNCTION("GOOGLETRANSLATE(D4359,""EN"",""JA"")"),"肌の分類")</f>
        <v>肌の分類</v>
      </c>
      <c r="I4359" s="1" t="str">
        <f>IFERROR(__xludf.DUMMYFUNCTION("GOOGLETRANSLATE(E4359,""EN"",""JA"")"),"フィッツパトリック皮膚分類; 皮膚分類")</f>
        <v>フィッツパトリック皮膚分類; 皮膚分類</v>
      </c>
      <c r="J4359" s="1" t="str">
        <f>IFERROR(__xludf.DUMMYFUNCTION("GOOGLETRANSLATE(F4359,""EN"",""JA"")"),"被験者の皮膚の日光に対する感受性を分類する検査。(Fitzpatrick TB. 日光反応性皮膚タイプI～VIの妥当性と実用性。Arch. Dermatol. 1998 124: 869-871.)")</f>
        <v>被験者の皮膚の日光に対する感受性を分類する検査。(Fitzpatrick TB. 日光反応性皮膚タイプI～VIの妥当性と実用性。Arch. Dermatol. 1998 124: 869-871.)</v>
      </c>
      <c r="K4359" s="1" t="str">
        <f>IFERROR(__xludf.DUMMYFUNCTION("GOOGLETRANSLATE(G4359,""EN"",""JA"")"),"フィッツパトリック分類尺度")</f>
        <v>フィッツパトリック分類尺度</v>
      </c>
    </row>
    <row r="4360" ht="13.5" customHeight="1">
      <c r="A4360" s="1" t="s">
        <v>176</v>
      </c>
      <c r="B4360" s="1" t="s">
        <v>21793</v>
      </c>
      <c r="C4360" s="1" t="s">
        <v>21794</v>
      </c>
      <c r="D4360" s="1" t="s">
        <v>21795</v>
      </c>
      <c r="E4360" s="1" t="s">
        <v>21795</v>
      </c>
      <c r="F4360" s="1" t="s">
        <v>21796</v>
      </c>
      <c r="G4360" s="1" t="s">
        <v>21795</v>
      </c>
      <c r="H4360" s="1" t="str">
        <f>IFERROR(__xludf.DUMMYFUNCTION("GOOGLETRANSLATE(D4360,""EN"",""JA"")"),"皮膚伝導率")</f>
        <v>皮膚伝導率</v>
      </c>
      <c r="I4360" s="1" t="str">
        <f>IFERROR(__xludf.DUMMYFUNCTION("GOOGLETRANSLATE(E4360,""EN"",""JA"")"),"皮膚伝導率")</f>
        <v>皮膚伝導率</v>
      </c>
      <c r="J4360" s="1" t="str">
        <f>IFERROR(__xludf.DUMMYFUNCTION("GOOGLETRANSLATE(F4360,""EN"",""JA"")"),"皮膚が電気を伝導できる程度。")</f>
        <v>皮膚が電気を伝導できる程度。</v>
      </c>
      <c r="K4360" s="1" t="str">
        <f>IFERROR(__xludf.DUMMYFUNCTION("GOOGLETRANSLATE(G4360,""EN"",""JA"")"),"皮膚伝導率")</f>
        <v>皮膚伝導率</v>
      </c>
    </row>
    <row r="4361" ht="13.5" customHeight="1">
      <c r="A4361" s="1" t="s">
        <v>11</v>
      </c>
      <c r="B4361" s="1" t="s">
        <v>21797</v>
      </c>
      <c r="C4361" s="1" t="s">
        <v>21798</v>
      </c>
      <c r="D4361" s="1" t="s">
        <v>21799</v>
      </c>
      <c r="E4361" s="1" t="s">
        <v>21799</v>
      </c>
      <c r="F4361" s="1" t="s">
        <v>21800</v>
      </c>
      <c r="G4361" s="1" t="s">
        <v>21801</v>
      </c>
      <c r="H4361" s="1" t="str">
        <f>IFERROR(__xludf.DUMMYFUNCTION("GOOGLETRANSLATE(D4361,""EN"",""JA"")"),"可溶性トランスフェリン受容体")</f>
        <v>可溶性トランスフェリン受容体</v>
      </c>
      <c r="I4361" s="1" t="str">
        <f>IFERROR(__xludf.DUMMYFUNCTION("GOOGLETRANSLATE(E4361,""EN"",""JA"")"),"可溶性トランスフェリン受容体")</f>
        <v>可溶性トランスフェリン受容体</v>
      </c>
      <c r="J4361" s="1" t="str">
        <f>IFERROR(__xludf.DUMMYFUNCTION("GOOGLETRANSLATE(F4361,""EN"",""JA"")"),"生物標本中の可溶性トランスフェリン受容体の測定。")</f>
        <v>生物標本中の可溶性トランスフェリン受容体の測定。</v>
      </c>
      <c r="K4361" s="1" t="str">
        <f>IFERROR(__xludf.DUMMYFUNCTION("GOOGLETRANSLATE(G4361,""EN"",""JA"")"),"可溶性トランスフェリン受容体測定")</f>
        <v>可溶性トランスフェリン受容体測定</v>
      </c>
    </row>
    <row r="4362" ht="13.5" customHeight="1">
      <c r="A4362" s="1" t="s">
        <v>11</v>
      </c>
      <c r="B4362" s="1" t="s">
        <v>21802</v>
      </c>
      <c r="C4362" s="1" t="s">
        <v>21803</v>
      </c>
      <c r="D4362" s="1" t="s">
        <v>21804</v>
      </c>
      <c r="E4362" s="1" t="s">
        <v>21805</v>
      </c>
      <c r="F4362" s="1" t="s">
        <v>21806</v>
      </c>
      <c r="G4362" s="1" t="s">
        <v>21807</v>
      </c>
      <c r="H4362" s="1" t="str">
        <f>IFERROR(__xludf.DUMMYFUNCTION("GOOGLETRANSLATE(D4362,""EN"",""JA"")"),"シアリルSSEA-1抗原")</f>
        <v>シアリルSSEA-1抗原</v>
      </c>
      <c r="I4362" s="1" t="str">
        <f>IFERROR(__xludf.DUMMYFUNCTION("GOOGLETRANSLATE(E4362,""EN"",""JA"")"),"シアリルルイス X 抗原;シアリル・レックス。シアリルSSEA-1抗原;シアリル-CD15; SLeX")</f>
        <v>シアリルルイス X 抗原;シアリル・レックス。シアリルSSEA-1抗原;シアリル-CD15; SLeX</v>
      </c>
      <c r="J4362" s="1" t="str">
        <f>IFERROR(__xludf.DUMMYFUNCTION("GOOGLETRANSLATE(F4362,""EN"",""JA"")"),"生物標本中のシアリル段階特異的胎児抗原-1 の測定。")</f>
        <v>生物標本中のシアリル段階特異的胎児抗原-1 の測定。</v>
      </c>
      <c r="K4362" s="1" t="str">
        <f>IFERROR(__xludf.DUMMYFUNCTION("GOOGLETRANSLATE(G4362,""EN"",""JA"")"),"シアリルSSEA-1抗原測定")</f>
        <v>シアリルSSEA-1抗原測定</v>
      </c>
    </row>
    <row r="4363" ht="13.5" customHeight="1">
      <c r="A4363" s="1" t="s">
        <v>67</v>
      </c>
      <c r="B4363" s="1" t="s">
        <v>21808</v>
      </c>
      <c r="C4363" s="1" t="s">
        <v>21809</v>
      </c>
      <c r="D4363" s="1" t="s">
        <v>21810</v>
      </c>
      <c r="E4363" s="1" t="s">
        <v>21810</v>
      </c>
      <c r="F4363" s="1" t="s">
        <v>21811</v>
      </c>
      <c r="G4363" s="1" t="s">
        <v>21812</v>
      </c>
      <c r="H4363" s="1" t="str">
        <f>IFERROR(__xludf.DUMMYFUNCTION("GOOGLETRANSLATE(D4363,""EN"",""JA"")"),"セラチア・マルセセンス")</f>
        <v>セラチア・マルセセンス</v>
      </c>
      <c r="I4363" s="1" t="str">
        <f>IFERROR(__xludf.DUMMYFUNCTION("GOOGLETRANSLATE(E4363,""EN"",""JA"")"),"セラチア・マルセセンス")</f>
        <v>セラチア・マルセセンス</v>
      </c>
      <c r="J4363" s="1" t="str">
        <f>IFERROR(__xludf.DUMMYFUNCTION("GOOGLETRANSLATE(F4363,""EN"",""JA"")"),"生物標本中の Serratia marcescens の測定。")</f>
        <v>生物標本中の Serratia marcescens の測定。</v>
      </c>
      <c r="K4363" s="1" t="str">
        <f>IFERROR(__xludf.DUMMYFUNCTION("GOOGLETRANSLATE(G4363,""EN"",""JA"")"),"セラチア・マルセセンス測定")</f>
        <v>セラチア・マルセセンス測定</v>
      </c>
    </row>
    <row r="4364" ht="13.5" customHeight="1">
      <c r="A4364" s="1" t="s">
        <v>67</v>
      </c>
      <c r="B4364" s="1" t="s">
        <v>21813</v>
      </c>
      <c r="C4364" s="1" t="s">
        <v>21814</v>
      </c>
      <c r="D4364" s="1" t="s">
        <v>21815</v>
      </c>
      <c r="E4364" s="1" t="s">
        <v>21815</v>
      </c>
      <c r="F4364" s="1" t="s">
        <v>21816</v>
      </c>
      <c r="G4364" s="1" t="s">
        <v>21817</v>
      </c>
      <c r="H4364" s="1" t="str">
        <f>IFERROR(__xludf.DUMMYFUNCTION("GOOGLETRANSLATE(D4364,""EN"",""JA"")"),"セラチア・マルセセンスDNA")</f>
        <v>セラチア・マルセセンスDNA</v>
      </c>
      <c r="I4364" s="1" t="str">
        <f>IFERROR(__xludf.DUMMYFUNCTION("GOOGLETRANSLATE(E4364,""EN"",""JA"")"),"セラチア・マルセセンスDNA")</f>
        <v>セラチア・マルセセンスDNA</v>
      </c>
      <c r="J4364" s="1" t="str">
        <f>IFERROR(__xludf.DUMMYFUNCTION("GOOGLETRANSLATE(F4364,""EN"",""JA"")"),"生物標本中の Serratia marcescens DNA の測定。")</f>
        <v>生物標本中の Serratia marcescens DNA の測定。</v>
      </c>
      <c r="K4364" s="1" t="str">
        <f>IFERROR(__xludf.DUMMYFUNCTION("GOOGLETRANSLATE(G4364,""EN"",""JA"")"),"セラチア・マルセセンスDNA測定")</f>
        <v>セラチア・マルセセンスDNA測定</v>
      </c>
    </row>
    <row r="4365" ht="13.5" customHeight="1">
      <c r="A4365" s="1" t="s">
        <v>11</v>
      </c>
      <c r="B4365" s="1" t="s">
        <v>21818</v>
      </c>
      <c r="C4365" s="1" t="s">
        <v>21819</v>
      </c>
      <c r="D4365" s="1" t="s">
        <v>21820</v>
      </c>
      <c r="E4365" s="1" t="s">
        <v>21821</v>
      </c>
      <c r="F4365" s="1" t="s">
        <v>21822</v>
      </c>
      <c r="G4365" s="1" t="s">
        <v>21823</v>
      </c>
      <c r="H4365" s="1" t="str">
        <f>IFERROR(__xludf.DUMMYFUNCTION("GOOGLETRANSLATE(D4365,""EN"",""JA"")"),"スマッジセル")</f>
        <v>スマッジセル</v>
      </c>
      <c r="I4365" s="1" t="str">
        <f>IFERROR(__xludf.DUMMYFUNCTION("GOOGLETRANSLATE(E4365,""EN"",""JA"")"),"バスケットセル、グムプレヒトシャドウセル、シャドウセル、スマッジセル")</f>
        <v>バスケットセル、グムプレヒトシャドウセル、シャドウセル、スマッジセル</v>
      </c>
      <c r="J4365" s="1" t="str">
        <f>IFERROR(__xludf.DUMMYFUNCTION("GOOGLETRANSLATE(F4365,""EN"",""JA"")"),"生物標本内のスマッジ細胞（破裂した白血球の核残渣）の測定。")</f>
        <v>生物標本内のスマッジ細胞（破裂した白血球の核残渣）の測定。</v>
      </c>
      <c r="K4365" s="1" t="str">
        <f>IFERROR(__xludf.DUMMYFUNCTION("GOOGLETRANSLATE(G4365,""EN"",""JA"")"),"スマッジセル数")</f>
        <v>スマッジセル数</v>
      </c>
    </row>
    <row r="4366" ht="13.5" customHeight="1">
      <c r="A4366" s="1" t="s">
        <v>11</v>
      </c>
      <c r="B4366" s="1" t="s">
        <v>21824</v>
      </c>
      <c r="C4366" s="1" t="s">
        <v>21825</v>
      </c>
      <c r="D4366" s="1" t="s">
        <v>21826</v>
      </c>
      <c r="E4366" s="1" t="s">
        <v>21827</v>
      </c>
      <c r="F4366" s="1" t="s">
        <v>21828</v>
      </c>
      <c r="G4366" s="1" t="s">
        <v>21829</v>
      </c>
      <c r="H4366" s="1" t="str">
        <f>IFERROR(__xludf.DUMMYFUNCTION("GOOGLETRANSLATE(D4366,""EN"",""JA"")"),"スマッジ細胞/白血球")</f>
        <v>スマッジ細胞/白血球</v>
      </c>
      <c r="I4366" s="1" t="str">
        <f>IFERROR(__xludf.DUMMYFUNCTION("GOOGLETRANSLATE(E4366,""EN"",""JA"")"),"バスケット細胞/白血球; グムプレヒトシャドウ細胞/白血球; シャドウ細胞/白血球; スマッジ細胞/白血球")</f>
        <v>バスケット細胞/白血球; グムプレヒトシャドウ細胞/白血球; シャドウ細胞/白血球; スマッジ細胞/白血球</v>
      </c>
      <c r="J4366" s="1" t="str">
        <f>IFERROR(__xludf.DUMMYFUNCTION("GOOGLETRANSLATE(F4366,""EN"",""JA"")"),"生物標本内の白血球に対するスマッジ細胞の相対的な測定値 (比率またはパーセンテージ)。")</f>
        <v>生物標本内の白血球に対するスマッジ細胞の相対的な測定値 (比率またはパーセンテージ)。</v>
      </c>
      <c r="K4366" s="1" t="str">
        <f>IFERROR(__xludf.DUMMYFUNCTION("GOOGLETRANSLATE(G4366,""EN"",""JA"")"),"スマッジ細胞と白血球の比率測定")</f>
        <v>スマッジ細胞と白血球の比率測定</v>
      </c>
    </row>
    <row r="4367" ht="13.5" customHeight="1">
      <c r="A4367" s="1" t="s">
        <v>601</v>
      </c>
      <c r="B4367" s="1" t="s">
        <v>21830</v>
      </c>
      <c r="C4367" s="1" t="s">
        <v>21831</v>
      </c>
      <c r="D4367" s="1" t="s">
        <v>21832</v>
      </c>
      <c r="E4367" s="1" t="s">
        <v>21832</v>
      </c>
      <c r="F4367" s="1" t="s">
        <v>21833</v>
      </c>
      <c r="G4367" s="1" t="s">
        <v>21832</v>
      </c>
      <c r="H4367" s="1" t="str">
        <f>IFERROR(__xludf.DUMMYFUNCTION("GOOGLETRANSLATE(D4367,""EN"",""JA"")"),"妊娠週数表示用としては小さい")</f>
        <v>妊娠週数表示用としては小さい</v>
      </c>
      <c r="I4367" s="1" t="str">
        <f>IFERROR(__xludf.DUMMYFUNCTION("GOOGLETRANSLATE(E4367,""EN"",""JA"")"),"妊娠週数表示用としては小さい")</f>
        <v>妊娠週数表示用としては小さい</v>
      </c>
      <c r="J4367" s="1" t="str">
        <f>IFERROR(__xludf.DUMMYFUNCTION("GOOGLETRANSLATE(F4367,""EN"",""JA"")"),"胎児または乳児が在胎週数に対して小さいかどうかを示す指標。")</f>
        <v>胎児または乳児が在胎週数に対して小さいかどうかを示す指標。</v>
      </c>
      <c r="K4367" s="1" t="str">
        <f>IFERROR(__xludf.DUMMYFUNCTION("GOOGLETRANSLATE(G4367,""EN"",""JA"")"),"妊娠週数表示用としては小さい")</f>
        <v>妊娠週数表示用としては小さい</v>
      </c>
    </row>
    <row r="4368" ht="13.5" customHeight="1">
      <c r="A4368" s="1" t="s">
        <v>67</v>
      </c>
      <c r="B4368" s="1" t="s">
        <v>21834</v>
      </c>
      <c r="C4368" s="1" t="s">
        <v>21835</v>
      </c>
      <c r="D4368" s="1" t="s">
        <v>21836</v>
      </c>
      <c r="E4368" s="1" t="s">
        <v>21836</v>
      </c>
      <c r="F4368" s="1" t="s">
        <v>21837</v>
      </c>
      <c r="G4368" s="1" t="s">
        <v>21838</v>
      </c>
      <c r="H4368" s="1" t="str">
        <f>IFERROR(__xludf.DUMMYFUNCTION("GOOGLETRANSLATE(D4368,""EN"",""JA"")"),"ストレプトコッカス・ミティス")</f>
        <v>ストレプトコッカス・ミティス</v>
      </c>
      <c r="I4368" s="1" t="str">
        <f>IFERROR(__xludf.DUMMYFUNCTION("GOOGLETRANSLATE(E4368,""EN"",""JA"")"),"ストレプトコッカス・ミティス")</f>
        <v>ストレプトコッカス・ミティス</v>
      </c>
      <c r="J4368" s="1" t="str">
        <f>IFERROR(__xludf.DUMMYFUNCTION("GOOGLETRANSLATE(F4368,""EN"",""JA"")"),"生物標本中の Streptococcus mitis の測定。")</f>
        <v>生物標本中の Streptococcus mitis の測定。</v>
      </c>
      <c r="K4368" s="1" t="str">
        <f>IFERROR(__xludf.DUMMYFUNCTION("GOOGLETRANSLATE(G4368,""EN"",""JA"")"),"連鎖球菌測定")</f>
        <v>連鎖球菌測定</v>
      </c>
    </row>
    <row r="4369" ht="13.5" customHeight="1">
      <c r="A4369" s="1" t="s">
        <v>1034</v>
      </c>
      <c r="B4369" s="1" t="s">
        <v>21839</v>
      </c>
      <c r="C4369" s="1" t="s">
        <v>21840</v>
      </c>
      <c r="D4369" s="1" t="s">
        <v>21841</v>
      </c>
      <c r="E4369" s="1" t="s">
        <v>21841</v>
      </c>
      <c r="F4369" s="1" t="s">
        <v>21842</v>
      </c>
      <c r="G4369" s="1" t="s">
        <v>21843</v>
      </c>
      <c r="H4369" s="1" t="str">
        <f>IFERROR(__xludf.DUMMYFUNCTION("GOOGLETRANSLATE(D4369,""EN"",""JA"")"),"骨格筋量")</f>
        <v>骨格筋量</v>
      </c>
      <c r="I4369" s="1" t="str">
        <f>IFERROR(__xludf.DUMMYFUNCTION("GOOGLETRANSLATE(E4369,""EN"",""JA"")"),"骨格筋量")</f>
        <v>骨格筋量</v>
      </c>
      <c r="J4369" s="1" t="str">
        <f>IFERROR(__xludf.DUMMYFUNCTION("GOOGLETRANSLATE(F4369,""EN"",""JA"")"),"骨格筋の総質量の測定値。")</f>
        <v>骨格筋の総質量の測定値。</v>
      </c>
      <c r="K4369" s="1" t="str">
        <f>IFERROR(__xludf.DUMMYFUNCTION("GOOGLETRANSLATE(G4369,""EN"",""JA"")"),"骨格筋量の測定")</f>
        <v>骨格筋量の測定</v>
      </c>
    </row>
    <row r="4370" ht="13.5" customHeight="1">
      <c r="A4370" s="1" t="s">
        <v>11</v>
      </c>
      <c r="B4370" s="1" t="s">
        <v>21844</v>
      </c>
      <c r="C4370" s="1" t="s">
        <v>21845</v>
      </c>
      <c r="D4370" s="1" t="s">
        <v>21846</v>
      </c>
      <c r="E4370" s="1" t="s">
        <v>21847</v>
      </c>
      <c r="F4370" s="1" t="s">
        <v>21848</v>
      </c>
      <c r="G4370" s="1" t="s">
        <v>21846</v>
      </c>
      <c r="H4370" s="1" t="str">
        <f>IFERROR(__xludf.DUMMYFUNCTION("GOOGLETRANSLATE(D4370,""EN"",""JA"")"),"塗抹標本検査")</f>
        <v>塗抹標本検査</v>
      </c>
      <c r="I4370" s="1" t="str">
        <f>IFERROR(__xludf.DUMMYFUNCTION("GOOGLETRANSLATE(E4370,""EN"",""JA"")"),"塗抹標本評価；塗抹標本検査；検体塗抹標本検査")</f>
        <v>塗抹標本評価；塗抹標本検査；検体塗抹標本検査</v>
      </c>
      <c r="J4370" s="1" t="str">
        <f>IFERROR(__xludf.DUMMYFUNCTION("GOOGLETRANSLATE(F4370,""EN"",""JA"")"),"生物標本の塗抹標本の観察、評価、または検査。")</f>
        <v>生物標本の塗抹標本の観察、評価、または検査。</v>
      </c>
      <c r="K4370" s="1" t="str">
        <f>IFERROR(__xludf.DUMMYFUNCTION("GOOGLETRANSLATE(G4370,""EN"",""JA"")"),"塗抹標本検査")</f>
        <v>塗抹標本検査</v>
      </c>
    </row>
    <row r="4371" ht="13.5" customHeight="1">
      <c r="A4371" s="1" t="s">
        <v>11</v>
      </c>
      <c r="B4371" s="1" t="s">
        <v>21849</v>
      </c>
      <c r="C4371" s="1" t="s">
        <v>21850</v>
      </c>
      <c r="D4371" s="1" t="s">
        <v>21851</v>
      </c>
      <c r="E4371" s="1" t="s">
        <v>21852</v>
      </c>
      <c r="F4371" s="1" t="s">
        <v>21853</v>
      </c>
      <c r="G4371" s="1" t="s">
        <v>21854</v>
      </c>
      <c r="H4371" s="1" t="str">
        <f>IFERROR(__xludf.DUMMYFUNCTION("GOOGLETRANSLATE(D4371,""EN"",""JA"")"),"可溶性メソテリン関連ペプチド")</f>
        <v>可溶性メソテリン関連ペプチド</v>
      </c>
      <c r="I4371" s="1" t="str">
        <f>IFERROR(__xludf.DUMMYFUNCTION("GOOGLETRANSLATE(E4371,""EN"",""JA"")"),"可溶性メソテリン関連ペプチド; 可溶性メソテリン関連タンパク質")</f>
        <v>可溶性メソテリン関連ペプチド; 可溶性メソテリン関連タンパク質</v>
      </c>
      <c r="J4371" s="1" t="str">
        <f>IFERROR(__xludf.DUMMYFUNCTION("GOOGLETRANSLATE(F4371,""EN"",""JA"")"),"生物標本中の可溶性メソテリン関連ペプチドの測定。")</f>
        <v>生物標本中の可溶性メソテリン関連ペプチドの測定。</v>
      </c>
      <c r="K4371" s="1" t="str">
        <f>IFERROR(__xludf.DUMMYFUNCTION("GOOGLETRANSLATE(G4371,""EN"",""JA"")"),"可溶性メソテリン関連ペプチドの測定")</f>
        <v>可溶性メソテリン関連ペプチドの測定</v>
      </c>
    </row>
    <row r="4372" ht="13.5" customHeight="1">
      <c r="A4372" s="1" t="s">
        <v>1168</v>
      </c>
      <c r="B4372" s="1" t="s">
        <v>21855</v>
      </c>
      <c r="C4372" s="1" t="s">
        <v>21856</v>
      </c>
      <c r="D4372" s="1" t="s">
        <v>21857</v>
      </c>
      <c r="E4372" s="1" t="s">
        <v>21857</v>
      </c>
      <c r="F4372" s="1" t="s">
        <v>21858</v>
      </c>
      <c r="G4372" s="1" t="s">
        <v>21859</v>
      </c>
      <c r="H4372" s="1" t="str">
        <f>IFERROR(__xludf.DUMMYFUNCTION("GOOGLETRANSLATE(D4372,""EN"",""JA"")"),"洞結節のリズムと不整脈")</f>
        <v>洞結節のリズムと不整脈</v>
      </c>
      <c r="I4372" s="1" t="str">
        <f>IFERROR(__xludf.DUMMYFUNCTION("GOOGLETRANSLATE(E4372,""EN"",""JA"")"),"洞結節のリズムと不整脈")</f>
        <v>洞結節のリズムと不整脈</v>
      </c>
      <c r="J4372" s="1" t="str">
        <f>IFERROR(__xludf.DUMMYFUNCTION("GOOGLETRANSLATE(F4372,""EN"",""JA"")"),"洞結節調律および不整脈の心電図評価。")</f>
        <v>洞結節調律および不整脈の心電図評価。</v>
      </c>
      <c r="K4372" s="1" t="str">
        <f>IFERROR(__xludf.DUMMYFUNCTION("GOOGLETRANSLATE(G4372,""EN"",""JA"")"),"洞結節調律と不整脈心電図評価")</f>
        <v>洞結節調律と不整脈心電図評価</v>
      </c>
    </row>
    <row r="4373" ht="13.5" customHeight="1">
      <c r="A4373" s="1" t="s">
        <v>1168</v>
      </c>
      <c r="B4373" s="1" t="s">
        <v>21855</v>
      </c>
      <c r="C4373" s="1" t="s">
        <v>21856</v>
      </c>
      <c r="D4373" s="1" t="s">
        <v>21857</v>
      </c>
      <c r="E4373" s="1" t="s">
        <v>21857</v>
      </c>
      <c r="F4373" s="1" t="s">
        <v>21858</v>
      </c>
      <c r="G4373" s="1" t="s">
        <v>21859</v>
      </c>
      <c r="H4373" s="1" t="str">
        <f>IFERROR(__xludf.DUMMYFUNCTION("GOOGLETRANSLATE(D4373,""EN"",""JA"")"),"洞結節のリズムと不整脈")</f>
        <v>洞結節のリズムと不整脈</v>
      </c>
      <c r="I4373" s="1" t="str">
        <f>IFERROR(__xludf.DUMMYFUNCTION("GOOGLETRANSLATE(E4373,""EN"",""JA"")"),"洞結節のリズムと不整脈")</f>
        <v>洞結節のリズムと不整脈</v>
      </c>
      <c r="J4373" s="1" t="str">
        <f>IFERROR(__xludf.DUMMYFUNCTION("GOOGLETRANSLATE(F4373,""EN"",""JA"")"),"洞結節調律および不整脈の心電図評価。")</f>
        <v>洞結節調律および不整脈の心電図評価。</v>
      </c>
      <c r="K4373" s="1" t="str">
        <f>IFERROR(__xludf.DUMMYFUNCTION("GOOGLETRANSLATE(G4373,""EN"",""JA"")"),"洞結節調律と不整脈心電図評価")</f>
        <v>洞結節調律と不整脈心電図評価</v>
      </c>
    </row>
    <row r="4374" ht="13.5" customHeight="1">
      <c r="A4374" s="1" t="s">
        <v>1168</v>
      </c>
      <c r="B4374" s="1" t="s">
        <v>21855</v>
      </c>
      <c r="C4374" s="1" t="s">
        <v>21856</v>
      </c>
      <c r="D4374" s="1" t="s">
        <v>21857</v>
      </c>
      <c r="E4374" s="1" t="s">
        <v>21857</v>
      </c>
      <c r="F4374" s="1" t="s">
        <v>21858</v>
      </c>
      <c r="G4374" s="1" t="s">
        <v>21859</v>
      </c>
      <c r="H4374" s="1" t="str">
        <f>IFERROR(__xludf.DUMMYFUNCTION("GOOGLETRANSLATE(D4374,""EN"",""JA"")"),"洞結節のリズムと不整脈")</f>
        <v>洞結節のリズムと不整脈</v>
      </c>
      <c r="I4374" s="1" t="str">
        <f>IFERROR(__xludf.DUMMYFUNCTION("GOOGLETRANSLATE(E4374,""EN"",""JA"")"),"洞結節のリズムと不整脈")</f>
        <v>洞結節のリズムと不整脈</v>
      </c>
      <c r="J4374" s="1" t="str">
        <f>IFERROR(__xludf.DUMMYFUNCTION("GOOGLETRANSLATE(F4374,""EN"",""JA"")"),"洞結節調律および不整脈の心電図評価。")</f>
        <v>洞結節調律および不整脈の心電図評価。</v>
      </c>
      <c r="K4374" s="1" t="str">
        <f>IFERROR(__xludf.DUMMYFUNCTION("GOOGLETRANSLATE(G4374,""EN"",""JA"")"),"洞結節調律と不整脈心電図評価")</f>
        <v>洞結節調律と不整脈心電図評価</v>
      </c>
    </row>
    <row r="4375" ht="13.5" customHeight="1">
      <c r="A4375" s="1" t="s">
        <v>1168</v>
      </c>
      <c r="B4375" s="1" t="s">
        <v>21855</v>
      </c>
      <c r="C4375" s="1" t="s">
        <v>21856</v>
      </c>
      <c r="D4375" s="1" t="s">
        <v>21857</v>
      </c>
      <c r="E4375" s="1" t="s">
        <v>21857</v>
      </c>
      <c r="F4375" s="1" t="s">
        <v>21858</v>
      </c>
      <c r="G4375" s="1" t="s">
        <v>21859</v>
      </c>
      <c r="H4375" s="1" t="str">
        <f>IFERROR(__xludf.DUMMYFUNCTION("GOOGLETRANSLATE(D4375,""EN"",""JA"")"),"洞結節のリズムと不整脈")</f>
        <v>洞結節のリズムと不整脈</v>
      </c>
      <c r="I4375" s="1" t="str">
        <f>IFERROR(__xludf.DUMMYFUNCTION("GOOGLETRANSLATE(E4375,""EN"",""JA"")"),"洞結節のリズムと不整脈")</f>
        <v>洞結節のリズムと不整脈</v>
      </c>
      <c r="J4375" s="1" t="str">
        <f>IFERROR(__xludf.DUMMYFUNCTION("GOOGLETRANSLATE(F4375,""EN"",""JA"")"),"洞結節調律および不整脈の心電図評価。")</f>
        <v>洞結節調律および不整脈の心電図評価。</v>
      </c>
      <c r="K4375" s="1" t="str">
        <f>IFERROR(__xludf.DUMMYFUNCTION("GOOGLETRANSLATE(G4375,""EN"",""JA"")"),"洞結節調律と不整脈心電図評価")</f>
        <v>洞結節調律と不整脈心電図評価</v>
      </c>
    </row>
    <row r="4376" ht="13.5" customHeight="1">
      <c r="A4376" s="1" t="s">
        <v>11</v>
      </c>
      <c r="B4376" s="1" t="s">
        <v>21860</v>
      </c>
      <c r="C4376" s="1" t="s">
        <v>21861</v>
      </c>
      <c r="D4376" s="1" t="s">
        <v>21862</v>
      </c>
      <c r="E4376" s="1" t="s">
        <v>21862</v>
      </c>
      <c r="F4376" s="1" t="s">
        <v>21863</v>
      </c>
      <c r="G4376" s="1" t="s">
        <v>21864</v>
      </c>
      <c r="H4376" s="1" t="str">
        <f>IFERROR(__xludf.DUMMYFUNCTION("GOOGLETRANSLATE(D4376,""EN"",""JA"")"),"二酸化硫黄")</f>
        <v>二酸化硫黄</v>
      </c>
      <c r="I4376" s="1" t="str">
        <f>IFERROR(__xludf.DUMMYFUNCTION("GOOGLETRANSLATE(E4376,""EN"",""JA"")"),"二酸化硫黄")</f>
        <v>二酸化硫黄</v>
      </c>
      <c r="J4376" s="1" t="str">
        <f>IFERROR(__xludf.DUMMYFUNCTION("GOOGLETRANSLATE(F4376,""EN"",""JA"")"),"生物標本中の二酸化硫黄の測定。")</f>
        <v>生物標本中の二酸化硫黄の測定。</v>
      </c>
      <c r="K4376" s="1" t="str">
        <f>IFERROR(__xludf.DUMMYFUNCTION("GOOGLETRANSLATE(G4376,""EN"",""JA"")"),"二酸化硫黄測定")</f>
        <v>二酸化硫黄測定</v>
      </c>
    </row>
    <row r="4377" ht="13.5" customHeight="1">
      <c r="A4377" s="1" t="s">
        <v>601</v>
      </c>
      <c r="B4377" s="1" t="s">
        <v>21865</v>
      </c>
      <c r="C4377" s="1" t="s">
        <v>21866</v>
      </c>
      <c r="D4377" s="1" t="s">
        <v>21867</v>
      </c>
      <c r="E4377" s="1" t="s">
        <v>21868</v>
      </c>
      <c r="F4377" s="1" t="s">
        <v>21869</v>
      </c>
      <c r="G4377" s="1" t="s">
        <v>21870</v>
      </c>
      <c r="H4377" s="1" t="str">
        <f>IFERROR(__xludf.DUMMYFUNCTION("GOOGLETRANSLATE(D4377,""EN"",""JA"")"),"社会経済分類")</f>
        <v>社会経済分類</v>
      </c>
      <c r="I4377" s="1" t="str">
        <f>IFERROR(__xludf.DUMMYFUNCTION("GOOGLETRANSLATE(E4377,""EN"",""JA"")"),"社会経済階級; 社会経済分類")</f>
        <v>社会経済階級; 社会経済分類</v>
      </c>
      <c r="J4377" s="1" t="str">
        <f>IFERROR(__xludf.DUMMYFUNCTION("GOOGLETRANSLATE(F4377,""EN"",""JA"")"),"経済、人口統計、社会的相互作用を考慮した個人の特徴付けまたは分類であり、社会または文化内での個人の行動を階層化するために使用されます。")</f>
        <v>経済、人口統計、社会的相互作用を考慮した個人の特徴付けまたは分類であり、社会または文化内での個人の行動を階層化するために使用されます。</v>
      </c>
      <c r="K4377" s="1" t="str">
        <f>IFERROR(__xludf.DUMMYFUNCTION("GOOGLETRANSLATE(G4377,""EN"",""JA"")"),"社会経済階級")</f>
        <v>社会経済階級</v>
      </c>
    </row>
    <row r="4378" ht="13.5" customHeight="1">
      <c r="A4378" s="1" t="s">
        <v>11</v>
      </c>
      <c r="B4378" s="1" t="s">
        <v>21871</v>
      </c>
      <c r="C4378" s="1" t="s">
        <v>21872</v>
      </c>
      <c r="D4378" s="1" t="s">
        <v>21873</v>
      </c>
      <c r="E4378" s="1" t="s">
        <v>21873</v>
      </c>
      <c r="F4378" s="1" t="s">
        <v>21874</v>
      </c>
      <c r="G4378" s="1" t="s">
        <v>21875</v>
      </c>
      <c r="H4378" s="1" t="str">
        <f>IFERROR(__xludf.DUMMYFUNCTION("GOOGLETRANSLATE(D4378,""EN"",""JA"")"),"ナトリウム")</f>
        <v>ナトリウム</v>
      </c>
      <c r="I4378" s="1" t="str">
        <f>IFERROR(__xludf.DUMMYFUNCTION("GOOGLETRANSLATE(E4378,""EN"",""JA"")"),"ナトリウム")</f>
        <v>ナトリウム</v>
      </c>
      <c r="J4378" s="1" t="str">
        <f>IFERROR(__xludf.DUMMYFUNCTION("GOOGLETRANSLATE(F4378,""EN"",""JA"")"),"生物標本中のナトリウムの測定。")</f>
        <v>生物標本中のナトリウムの測定。</v>
      </c>
      <c r="K4378" s="1" t="str">
        <f>IFERROR(__xludf.DUMMYFUNCTION("GOOGLETRANSLATE(G4378,""EN"",""JA"")"),"ナトリウム測定")</f>
        <v>ナトリウム測定</v>
      </c>
    </row>
    <row r="4379" ht="13.5" customHeight="1">
      <c r="A4379" s="1" t="s">
        <v>11</v>
      </c>
      <c r="B4379" s="1" t="s">
        <v>21876</v>
      </c>
      <c r="C4379" s="1" t="s">
        <v>21877</v>
      </c>
      <c r="D4379" s="1" t="s">
        <v>21878</v>
      </c>
      <c r="E4379" s="1" t="s">
        <v>21878</v>
      </c>
      <c r="F4379" s="1" t="s">
        <v>21879</v>
      </c>
      <c r="G4379" s="1" t="s">
        <v>21878</v>
      </c>
      <c r="H4379" s="1" t="str">
        <f>IFERROR(__xludf.DUMMYFUNCTION("GOOGLETRANSLATE(D4379,""EN"",""JA"")"),"ナトリウム排泄率")</f>
        <v>ナトリウム排泄率</v>
      </c>
      <c r="I4379" s="1" t="str">
        <f>IFERROR(__xludf.DUMMYFUNCTION("GOOGLETRANSLATE(E4379,""EN"",""JA"")"),"ナトリウム排泄率")</f>
        <v>ナトリウム排泄率</v>
      </c>
      <c r="J4379" s="1" t="str">
        <f>IFERROR(__xludf.DUMMYFUNCTION("GOOGLETRANSLATE(F4379,""EN"",""JA"")"),"定義された時間（例：1 時間）にわたって生物標本から排出されるナトリウムの量を測定します。")</f>
        <v>定義された時間（例：1 時間）にわたって生物標本から排出されるナトリウムの量を測定します。</v>
      </c>
      <c r="K4379" s="1" t="str">
        <f>IFERROR(__xludf.DUMMYFUNCTION("GOOGLETRANSLATE(G4379,""EN"",""JA"")"),"ナトリウム排泄率")</f>
        <v>ナトリウム排泄率</v>
      </c>
    </row>
    <row r="4380" ht="13.5" customHeight="1">
      <c r="A4380" s="1" t="s">
        <v>176</v>
      </c>
      <c r="B4380" s="1" t="s">
        <v>21880</v>
      </c>
      <c r="C4380" s="1" t="s">
        <v>21881</v>
      </c>
      <c r="D4380" s="1" t="s">
        <v>21882</v>
      </c>
      <c r="E4380" s="1" t="s">
        <v>21882</v>
      </c>
      <c r="F4380" s="1" t="s">
        <v>21883</v>
      </c>
      <c r="G4380" s="1" t="s">
        <v>21882</v>
      </c>
      <c r="H4380" s="1" t="str">
        <f>IFERROR(__xludf.DUMMYFUNCTION("GOOGLETRANSLATE(D4380,""EN"",""JA"")"),"入眠潜時")</f>
        <v>入眠潜時</v>
      </c>
      <c r="I4380" s="1" t="str">
        <f>IFERROR(__xludf.DUMMYFUNCTION("GOOGLETRANSLATE(E4380,""EN"",""JA"")"),"入眠潜時")</f>
        <v>入眠潜時</v>
      </c>
      <c r="J4380" s="1" t="str">
        <f>IFERROR(__xludf.DUMMYFUNCTION("GOOGLETRANSLATE(F4380,""EN"",""JA"")"),"照明が消えてから人が眠りにつくまでの時間の長さ。")</f>
        <v>照明が消えてから人が眠りにつくまでの時間の長さ。</v>
      </c>
      <c r="K4380" s="1" t="str">
        <f>IFERROR(__xludf.DUMMYFUNCTION("GOOGLETRANSLATE(G4380,""EN"",""JA"")"),"入眠潜時")</f>
        <v>入眠潜時</v>
      </c>
    </row>
    <row r="4381" ht="13.5" customHeight="1">
      <c r="A4381" s="1" t="s">
        <v>11</v>
      </c>
      <c r="B4381" s="1" t="s">
        <v>21884</v>
      </c>
      <c r="C4381" s="1" t="s">
        <v>21885</v>
      </c>
      <c r="D4381" s="1" t="s">
        <v>21886</v>
      </c>
      <c r="E4381" s="1" t="s">
        <v>21887</v>
      </c>
      <c r="F4381" s="1" t="s">
        <v>21888</v>
      </c>
      <c r="G4381" s="1" t="s">
        <v>21889</v>
      </c>
      <c r="H4381" s="1" t="str">
        <f>IFERROR(__xludf.DUMMYFUNCTION("GOOGLETRANSLATE(D4381,""EN"",""JA"")"),"ソマトトロフィン")</f>
        <v>ソマトトロフィン</v>
      </c>
      <c r="I4381" s="1" t="str">
        <f>IFERROR(__xludf.DUMMYFUNCTION("GOOGLETRANSLATE(E4381,""EN"",""JA"")"),"成長ホルモン; ソマトトロピン; ソマトトロピン")</f>
        <v>成長ホルモン; ソマトトロピン; ソマトトロピン</v>
      </c>
      <c r="J4381" s="1" t="str">
        <f>IFERROR(__xludf.DUMMYFUNCTION("GOOGLETRANSLATE(F4381,""EN"",""JA"")"),"生物標本中のソマトトロフィン（成長）ホルモンの測定。")</f>
        <v>生物標本中のソマトトロフィン（成長）ホルモンの測定。</v>
      </c>
      <c r="K4381" s="1" t="str">
        <f>IFERROR(__xludf.DUMMYFUNCTION("GOOGLETRANSLATE(G4381,""EN"",""JA"")"),"ソマトトロピン測定")</f>
        <v>ソマトトロピン測定</v>
      </c>
    </row>
    <row r="4382" ht="13.5" customHeight="1">
      <c r="A4382" s="1" t="s">
        <v>11</v>
      </c>
      <c r="B4382" s="1" t="s">
        <v>21890</v>
      </c>
      <c r="C4382" s="1" t="s">
        <v>21891</v>
      </c>
      <c r="D4382" s="1" t="s">
        <v>21892</v>
      </c>
      <c r="E4382" s="1" t="s">
        <v>21892</v>
      </c>
      <c r="F4382" s="1" t="s">
        <v>21893</v>
      </c>
      <c r="G4382" s="1" t="s">
        <v>21894</v>
      </c>
      <c r="H4382" s="1" t="str">
        <f>IFERROR(__xludf.DUMMYFUNCTION("GOOGLETRANSLATE(D4382,""EN"",""JA"")"),"スクレロスチン")</f>
        <v>スクレロスチン</v>
      </c>
      <c r="I4382" s="1" t="str">
        <f>IFERROR(__xludf.DUMMYFUNCTION("GOOGLETRANSLATE(E4382,""EN"",""JA"")"),"スクレロスチン")</f>
        <v>スクレロスチン</v>
      </c>
      <c r="J4382" s="1" t="str">
        <f>IFERROR(__xludf.DUMMYFUNCTION("GOOGLETRANSLATE(F4382,""EN"",""JA"")"),"生物標本中のスクレロスチンの測定。")</f>
        <v>生物標本中のスクレロスチンの測定。</v>
      </c>
      <c r="K4382" s="1" t="str">
        <f>IFERROR(__xludf.DUMMYFUNCTION("GOOGLETRANSLATE(G4382,""EN"",""JA"")"),"スクレロスチン測定")</f>
        <v>スクレロスチン測定</v>
      </c>
    </row>
    <row r="4383" ht="13.5" customHeight="1">
      <c r="A4383" s="1" t="s">
        <v>134</v>
      </c>
      <c r="B4383" s="1" t="s">
        <v>21895</v>
      </c>
      <c r="C4383" s="1" t="s">
        <v>21896</v>
      </c>
      <c r="D4383" s="1" t="s">
        <v>21897</v>
      </c>
      <c r="E4383" s="1" t="s">
        <v>21898</v>
      </c>
      <c r="F4383" s="1" t="s">
        <v>21899</v>
      </c>
      <c r="G4383" s="1" t="s">
        <v>21900</v>
      </c>
      <c r="H4383" s="1" t="str">
        <f>IFERROR(__xludf.DUMMYFUNCTION("GOOGLETRANSLATE(D4383,""EN"",""JA"")"),"SRYボックス転写因子10")</f>
        <v>SRYボックス転写因子10</v>
      </c>
      <c r="I4383" s="1" t="str">
        <f>IFERROR(__xludf.DUMMYFUNCTION("GOOGLETRANSLATE(E4383,""EN"",""JA"")"),"SOX-10; SRY-Box 10; SRY-Box 転写因子10")</f>
        <v>SOX-10; SRY-Box 10; SRY-Box 転写因子10</v>
      </c>
      <c r="J4383" s="1" t="str">
        <f>IFERROR(__xludf.DUMMYFUNCTION("GOOGLETRANSLATE(F4383,""EN"",""JA"")"),"生物標本中の SRY ボックス転写因子 10 の測定。")</f>
        <v>生物標本中の SRY ボックス転写因子 10 の測定。</v>
      </c>
      <c r="K4383" s="1" t="str">
        <f>IFERROR(__xludf.DUMMYFUNCTION("GOOGLETRANSLATE(G4383,""EN"",""JA"")"),"SRYボックス転写因子10測定")</f>
        <v>SRYボックス転写因子10測定</v>
      </c>
    </row>
    <row r="4384" ht="13.5" customHeight="1">
      <c r="A4384" s="1" t="s">
        <v>160</v>
      </c>
      <c r="B4384" s="1" t="s">
        <v>21901</v>
      </c>
      <c r="C4384" s="1" t="s">
        <v>21902</v>
      </c>
      <c r="D4384" s="1" t="s">
        <v>21903</v>
      </c>
      <c r="E4384" s="1" t="s">
        <v>21904</v>
      </c>
      <c r="F4384" s="1" t="s">
        <v>21905</v>
      </c>
      <c r="G4384" s="1" t="s">
        <v>21903</v>
      </c>
      <c r="H4384" s="1" t="str">
        <f>IFERROR(__xludf.DUMMYFUNCTION("GOOGLETRANSLATE(D4384,""EN"",""JA"")"),"自然流産件数")</f>
        <v>自然流産件数</v>
      </c>
      <c r="I4384" s="1" t="str">
        <f>IFERROR(__xludf.DUMMYFUNCTION("GOOGLETRANSLATE(E4384,""EN"",""JA"")"),"流産件数、自然流産件数")</f>
        <v>流産件数、自然流産件数</v>
      </c>
      <c r="J4384" s="1" t="str">
        <f>IFERROR(__xludf.DUMMYFUNCTION("GOOGLETRANSLATE(F4384,""EN"",""JA"")"),"女性被験者が経験した自然流産（妊娠期間が 20 週未満の場合）の総数を測定します。")</f>
        <v>女性被験者が経験した自然流産（妊娠期間が 20 週未満の場合）の総数を測定します。</v>
      </c>
      <c r="K4384" s="1" t="str">
        <f>IFERROR(__xludf.DUMMYFUNCTION("GOOGLETRANSLATE(G4384,""EN"",""JA"")"),"自然流産件数")</f>
        <v>自然流産件数</v>
      </c>
    </row>
    <row r="4385" ht="13.5" customHeight="1">
      <c r="A4385" s="1" t="s">
        <v>11</v>
      </c>
      <c r="B4385" s="1" t="s">
        <v>21906</v>
      </c>
      <c r="C4385" s="1" t="s">
        <v>21907</v>
      </c>
      <c r="D4385" s="1" t="s">
        <v>21908</v>
      </c>
      <c r="E4385" s="1" t="s">
        <v>21909</v>
      </c>
      <c r="F4385" s="1" t="s">
        <v>21910</v>
      </c>
      <c r="G4385" s="1" t="s">
        <v>21911</v>
      </c>
      <c r="H4385" s="1" t="str">
        <f>IFERROR(__xludf.DUMMYFUNCTION("GOOGLETRANSLATE(D4385,""EN"",""JA"")"),"S-膵臓-1抗原")</f>
        <v>S-膵臓-1抗原</v>
      </c>
      <c r="I4385" s="1" t="str">
        <f>IFERROR(__xludf.DUMMYFUNCTION("GOOGLETRANSLATE(E4385,""EN"",""JA"")"),"S-膵臓-1抗原; シアリル化炭酸化抗原SPAN-1; SPan-1")</f>
        <v>S-膵臓-1抗原; シアリル化炭酸化抗原SPAN-1; SPan-1</v>
      </c>
      <c r="J4385" s="1" t="str">
        <f>IFERROR(__xludf.DUMMYFUNCTION("GOOGLETRANSLATE(F4385,""EN"",""JA"")"),"生物学的標本中の S-膵臓-1 抗原の測定。")</f>
        <v>生物学的標本中の S-膵臓-1 抗原の測定。</v>
      </c>
      <c r="K4385" s="1" t="str">
        <f>IFERROR(__xludf.DUMMYFUNCTION("GOOGLETRANSLATE(G4385,""EN"",""JA"")"),"S-膵臓-1抗原測定")</f>
        <v>S-膵臓-1抗原測定</v>
      </c>
    </row>
    <row r="4386" ht="13.5" customHeight="1">
      <c r="A4386" s="1" t="s">
        <v>11</v>
      </c>
      <c r="B4386" s="1" t="s">
        <v>21912</v>
      </c>
      <c r="C4386" s="1" t="s">
        <v>21913</v>
      </c>
      <c r="D4386" s="1" t="s">
        <v>21914</v>
      </c>
      <c r="E4386" s="1" t="s">
        <v>21914</v>
      </c>
      <c r="F4386" s="1" t="s">
        <v>21915</v>
      </c>
      <c r="G4386" s="1" t="s">
        <v>21916</v>
      </c>
      <c r="H4386" s="1" t="str">
        <f>IFERROR(__xludf.DUMMYFUNCTION("GOOGLETRANSLATE(D4386,""EN"",""JA"")"),"精子")</f>
        <v>精子</v>
      </c>
      <c r="I4386" s="1" t="str">
        <f>IFERROR(__xludf.DUMMYFUNCTION("GOOGLETRANSLATE(E4386,""EN"",""JA"")"),"精子")</f>
        <v>精子</v>
      </c>
      <c r="J4386" s="1" t="str">
        <f>IFERROR(__xludf.DUMMYFUNCTION("GOOGLETRANSLATE(F4386,""EN"",""JA"")"),"生物標本中に存在する精子細胞の測定。")</f>
        <v>生物標本中に存在する精子細胞の測定。</v>
      </c>
      <c r="K4386" s="1" t="str">
        <f>IFERROR(__xludf.DUMMYFUNCTION("GOOGLETRANSLATE(G4386,""EN"",""JA"")"),"精子細胞数")</f>
        <v>精子細胞数</v>
      </c>
    </row>
    <row r="4387" ht="13.5" customHeight="1">
      <c r="A4387" s="1" t="s">
        <v>11</v>
      </c>
      <c r="B4387" s="1" t="s">
        <v>21917</v>
      </c>
      <c r="C4387" s="1" t="s">
        <v>21918</v>
      </c>
      <c r="D4387" s="1" t="s">
        <v>21919</v>
      </c>
      <c r="E4387" s="1" t="s">
        <v>21919</v>
      </c>
      <c r="F4387" s="1" t="s">
        <v>21920</v>
      </c>
      <c r="G4387" s="1" t="s">
        <v>21921</v>
      </c>
      <c r="H4387" s="1" t="str">
        <f>IFERROR(__xludf.DUMMYFUNCTION("GOOGLETRANSLATE(D4387,""EN"",""JA"")"),"精子の運動性")</f>
        <v>精子の運動性</v>
      </c>
      <c r="I4387" s="1" t="str">
        <f>IFERROR(__xludf.DUMMYFUNCTION("GOOGLETRANSLATE(E4387,""EN"",""JA"")"),"精子の運動性")</f>
        <v>精子の運動性</v>
      </c>
      <c r="J4387" s="1" t="str">
        <f>IFERROR(__xludf.DUMMYFUNCTION("GOOGLETRANSLATE(F4387,""EN"",""JA"")"),"精液標本内で前進運動できる精子の測定。")</f>
        <v>精液標本内で前進運動できる精子の測定。</v>
      </c>
      <c r="K4387" s="1" t="str">
        <f>IFERROR(__xludf.DUMMYFUNCTION("GOOGLETRANSLATE(G4387,""EN"",""JA"")"),"精子運動能測定")</f>
        <v>精子運動能測定</v>
      </c>
    </row>
    <row r="4388" ht="13.5" customHeight="1">
      <c r="A4388" s="1" t="s">
        <v>11</v>
      </c>
      <c r="B4388" s="1" t="s">
        <v>21922</v>
      </c>
      <c r="C4388" s="1" t="s">
        <v>21923</v>
      </c>
      <c r="D4388" s="1" t="s">
        <v>21924</v>
      </c>
      <c r="E4388" s="1" t="s">
        <v>21924</v>
      </c>
      <c r="F4388" s="1" t="s">
        <v>21925</v>
      </c>
      <c r="G4388" s="1" t="s">
        <v>21926</v>
      </c>
      <c r="H4388" s="1" t="str">
        <f>IFERROR(__xludf.DUMMYFUNCTION("GOOGLETRANSLATE(D4388,""EN"",""JA"")"),"精子、進行性")</f>
        <v>精子、進行性</v>
      </c>
      <c r="I4388" s="1" t="str">
        <f>IFERROR(__xludf.DUMMYFUNCTION("GOOGLETRANSLATE(E4388,""EN"",""JA"")"),"精子、進行性")</f>
        <v>精子、進行性</v>
      </c>
      <c r="J4388" s="1" t="str">
        <f>IFERROR(__xludf.DUMMYFUNCTION("GOOGLETRANSLATE(F4388,""EN"",""JA"")"),"生物標本中の精子の進行速度（前進方向に運動する速度）の測定。")</f>
        <v>生物標本中の精子の進行速度（前進方向に運動する速度）の測定。</v>
      </c>
      <c r="K4388" s="1" t="str">
        <f>IFERROR(__xludf.DUMMYFUNCTION("GOOGLETRANSLATE(G4388,""EN"",""JA"")"),"精子の進行測定")</f>
        <v>精子の進行測定</v>
      </c>
    </row>
    <row r="4389" ht="13.5" customHeight="1">
      <c r="A4389" s="1" t="s">
        <v>11</v>
      </c>
      <c r="B4389" s="1" t="s">
        <v>21927</v>
      </c>
      <c r="C4389" s="1" t="s">
        <v>21928</v>
      </c>
      <c r="D4389" s="1" t="s">
        <v>21929</v>
      </c>
      <c r="E4389" s="1" t="s">
        <v>21929</v>
      </c>
      <c r="F4389" s="1" t="s">
        <v>21930</v>
      </c>
      <c r="G4389" s="1" t="s">
        <v>21929</v>
      </c>
      <c r="H4389" s="1" t="str">
        <f>IFERROR(__xludf.DUMMYFUNCTION("GOOGLETRANSLATE(D4389,""EN"",""JA"")"),"比重")</f>
        <v>比重</v>
      </c>
      <c r="I4389" s="1" t="str">
        <f>IFERROR(__xludf.DUMMYFUNCTION("GOOGLETRANSLATE(E4389,""EN"",""JA"")"),"比重")</f>
        <v>比重</v>
      </c>
      <c r="J4389" s="1" t="str">
        <f>IFERROR(__xludf.DUMMYFUNCTION("GOOGLETRANSLATE(F4389,""EN"",""JA"")"),"流体の密度と水の密度の比。")</f>
        <v>流体の密度と水の密度の比。</v>
      </c>
      <c r="K4389" s="1" t="str">
        <f>IFERROR(__xludf.DUMMYFUNCTION("GOOGLETRANSLATE(G4389,""EN"",""JA"")"),"比重")</f>
        <v>比重</v>
      </c>
    </row>
    <row r="4390" ht="13.5" customHeight="1">
      <c r="A4390" s="1" t="s">
        <v>11</v>
      </c>
      <c r="B4390" s="1" t="s">
        <v>21931</v>
      </c>
      <c r="C4390" s="1" t="s">
        <v>21932</v>
      </c>
      <c r="D4390" s="1" t="s">
        <v>21933</v>
      </c>
      <c r="E4390" s="1" t="s">
        <v>21933</v>
      </c>
      <c r="F4390" s="1" t="s">
        <v>21934</v>
      </c>
      <c r="G4390" s="1" t="s">
        <v>21935</v>
      </c>
      <c r="H4390" s="1" t="str">
        <f>IFERROR(__xludf.DUMMYFUNCTION("GOOGLETRANSLATE(D4390,""EN"",""JA"")"),"球状赤血球")</f>
        <v>球状赤血球</v>
      </c>
      <c r="I4390" s="1" t="str">
        <f>IFERROR(__xludf.DUMMYFUNCTION("GOOGLETRANSLATE(E4390,""EN"",""JA"")"),"球状赤血球")</f>
        <v>球状赤血球</v>
      </c>
      <c r="J4390" s="1" t="str">
        <f>IFERROR(__xludf.DUMMYFUNCTION("GOOGLETRANSLATE(F4390,""EN"",""JA"")"),"生物標本中の球状赤血球（小さな球形の赤血球）の測定。")</f>
        <v>生物標本中の球状赤血球（小さな球形の赤血球）の測定。</v>
      </c>
      <c r="K4390" s="1" t="str">
        <f>IFERROR(__xludf.DUMMYFUNCTION("GOOGLETRANSLATE(G4390,""EN"",""JA"")"),"球状赤血球数")</f>
        <v>球状赤血球数</v>
      </c>
    </row>
    <row r="4391" ht="13.5" customHeight="1">
      <c r="A4391" s="1" t="s">
        <v>11</v>
      </c>
      <c r="B4391" s="1" t="s">
        <v>21936</v>
      </c>
      <c r="C4391" s="1" t="s">
        <v>21937</v>
      </c>
      <c r="D4391" s="1" t="s">
        <v>21938</v>
      </c>
      <c r="E4391" s="1" t="s">
        <v>21939</v>
      </c>
      <c r="F4391" s="1" t="s">
        <v>21940</v>
      </c>
      <c r="G4391" s="1" t="s">
        <v>21941</v>
      </c>
      <c r="H4391" s="1" t="str">
        <f>IFERROR(__xludf.DUMMYFUNCTION("GOOGLETRANSLATE(D4391,""EN"",""JA"")"),"セリンペプチダーゼ阻害剤カザールタイプ1")</f>
        <v>セリンペプチダーゼ阻害剤カザールタイプ1</v>
      </c>
      <c r="I4391" s="1" t="str">
        <f>IFERROR(__xludf.DUMMYFUNCTION("GOOGLETRANSLATE(E4391,""EN"",""JA"")"),"膵分泌トリプシンインヒビター; PSTI; セリンペプチダーゼインヒビターKazalタイプ1; Spink3; TATI; 腫瘍関連トリプシンインヒビター")</f>
        <v>膵分泌トリプシンインヒビター; PSTI; セリンペプチダーゼインヒビターKazalタイプ1; Spink3; TATI; 腫瘍関連トリプシンインヒビター</v>
      </c>
      <c r="J4391" s="1" t="str">
        <f>IFERROR(__xludf.DUMMYFUNCTION("GOOGLETRANSLATE(F4391,""EN"",""JA"")"),"生物標本中のセリンペプチダーゼ阻害剤 Kazal 1 型の測定。")</f>
        <v>生物標本中のセリンペプチダーゼ阻害剤 Kazal 1 型の測定。</v>
      </c>
      <c r="K4391" s="1" t="str">
        <f>IFERROR(__xludf.DUMMYFUNCTION("GOOGLETRANSLATE(G4391,""EN"",""JA"")"),"セリンペプチダーゼ阻害剤カザール1型測定")</f>
        <v>セリンペプチダーゼ阻害剤カザール1型測定</v>
      </c>
    </row>
    <row r="4392" ht="13.5" customHeight="1">
      <c r="A4392" s="1" t="s">
        <v>67</v>
      </c>
      <c r="B4392" s="1" t="s">
        <v>21942</v>
      </c>
      <c r="C4392" s="1" t="s">
        <v>21943</v>
      </c>
      <c r="D4392" s="1" t="s">
        <v>21944</v>
      </c>
      <c r="E4392" s="1" t="s">
        <v>21945</v>
      </c>
      <c r="F4392" s="1" t="s">
        <v>21946</v>
      </c>
      <c r="G4392" s="1" t="s">
        <v>21947</v>
      </c>
      <c r="H4392" s="1" t="str">
        <f>IFERROR(__xludf.DUMMYFUNCTION("GOOGLETRANSLATE(D4392,""EN"",""JA"")"),"スピロヘータレス")</f>
        <v>スピロヘータレス</v>
      </c>
      <c r="I4392" s="1" t="str">
        <f>IFERROR(__xludf.DUMMYFUNCTION("GOOGLETRANSLATE(E4392,""EN"",""JA"")"),"スピロヘータ類; スピロヘータ細菌")</f>
        <v>スピロヘータ類; スピロヘータ細菌</v>
      </c>
      <c r="J4392" s="1" t="str">
        <f>IFERROR(__xludf.DUMMYFUNCTION("GOOGLETRANSLATE(F4392,""EN"",""JA"")"),"生物標本において、種レベルには割り当てられず、スピロヘータ目レベルに割り当てられる生物の測定値。")</f>
        <v>生物標本において、種レベルには割り当てられず、スピロヘータ目レベルに割り当てられる生物の測定値。</v>
      </c>
      <c r="K4392" s="1" t="str">
        <f>IFERROR(__xludf.DUMMYFUNCTION("GOOGLETRANSLATE(G4392,""EN"",""JA"")"),"スピロヘータ測定")</f>
        <v>スピロヘータ測定</v>
      </c>
    </row>
    <row r="4393" ht="13.5" customHeight="1">
      <c r="A4393" s="1" t="s">
        <v>11</v>
      </c>
      <c r="B4393" s="1" t="s">
        <v>21948</v>
      </c>
      <c r="C4393" s="1" t="s">
        <v>21949</v>
      </c>
      <c r="D4393" s="1" t="s">
        <v>21950</v>
      </c>
      <c r="E4393" s="1" t="s">
        <v>21950</v>
      </c>
      <c r="F4393" s="1" t="s">
        <v>21951</v>
      </c>
      <c r="G4393" s="1" t="s">
        <v>21952</v>
      </c>
      <c r="H4393" s="1" t="str">
        <f>IFERROR(__xludf.DUMMYFUNCTION("GOOGLETRANSLATE(D4393,""EN"",""JA"")"),"II型分泌型ホスホリパーゼA2")</f>
        <v>II型分泌型ホスホリパーゼA2</v>
      </c>
      <c r="I4393" s="1" t="str">
        <f>IFERROR(__xludf.DUMMYFUNCTION("GOOGLETRANSLATE(E4393,""EN"",""JA"")"),"II型分泌型ホスホリパーゼA2")</f>
        <v>II型分泌型ホスホリパーゼA2</v>
      </c>
      <c r="J4393" s="1" t="str">
        <f>IFERROR(__xludf.DUMMYFUNCTION("GOOGLETRANSLATE(F4393,""EN"",""JA"")"),"生物標本中の II 型分泌ホスホリパーゼ A2 の測定。")</f>
        <v>生物標本中の II 型分泌ホスホリパーゼ A2 の測定。</v>
      </c>
      <c r="K4393" s="1" t="str">
        <f>IFERROR(__xludf.DUMMYFUNCTION("GOOGLETRANSLATE(G4393,""EN"",""JA"")"),"II型分泌型ホスホリパーゼA2測定")</f>
        <v>II型分泌型ホスホリパーゼA2測定</v>
      </c>
    </row>
    <row r="4394" ht="13.5" customHeight="1">
      <c r="A4394" s="1" t="s">
        <v>6439</v>
      </c>
      <c r="B4394" s="1" t="s">
        <v>21953</v>
      </c>
      <c r="C4394" s="1" t="s">
        <v>21954</v>
      </c>
      <c r="D4394" s="1" t="s">
        <v>21955</v>
      </c>
      <c r="E4394" s="1" t="s">
        <v>21955</v>
      </c>
      <c r="F4394" s="1" t="s">
        <v>21956</v>
      </c>
      <c r="G4394" s="1" t="s">
        <v>21955</v>
      </c>
      <c r="H4394" s="1" t="str">
        <f>IFERROR(__xludf.DUMMYFUNCTION("GOOGLETRANSLATE(D4394,""EN"",""JA"")"),"脾腫指標")</f>
        <v>脾腫指標</v>
      </c>
      <c r="I4394" s="1" t="str">
        <f>IFERROR(__xludf.DUMMYFUNCTION("GOOGLETRANSLATE(E4394,""EN"",""JA"")"),"脾腫指標")</f>
        <v>脾腫指標</v>
      </c>
      <c r="J4394" s="1" t="str">
        <f>IFERROR(__xludf.DUMMYFUNCTION("GOOGLETRANSLATE(F4394,""EN"",""JA"")"),"脾腫（脾臓の肥大）の有無を示します。")</f>
        <v>脾腫（脾臓の肥大）の有無を示します。</v>
      </c>
      <c r="K4394" s="1" t="str">
        <f>IFERROR(__xludf.DUMMYFUNCTION("GOOGLETRANSLATE(G4394,""EN"",""JA"")"),"脾腫指標")</f>
        <v>脾腫指標</v>
      </c>
    </row>
    <row r="4395" ht="13.5" customHeight="1">
      <c r="A4395" s="1" t="s">
        <v>1342</v>
      </c>
      <c r="B4395" s="1" t="s">
        <v>21957</v>
      </c>
      <c r="C4395" s="1" t="s">
        <v>21958</v>
      </c>
      <c r="D4395" s="1" t="s">
        <v>21959</v>
      </c>
      <c r="E4395" s="1" t="s">
        <v>21959</v>
      </c>
      <c r="F4395" s="1" t="s">
        <v>21960</v>
      </c>
      <c r="G4395" s="1" t="s">
        <v>21961</v>
      </c>
      <c r="H4395" s="1" t="str">
        <f>IFERROR(__xludf.DUMMYFUNCTION("GOOGLETRANSLATE(D4395,""EN"",""JA"")"),"脾臓反応")</f>
        <v>脾臓反応</v>
      </c>
      <c r="I4395" s="1" t="str">
        <f>IFERROR(__xludf.DUMMYFUNCTION("GOOGLETRANSLATE(E4395,""EN"",""JA"")"),"脾臓反応")</f>
        <v>脾臓反応</v>
      </c>
      <c r="J4395" s="1" t="str">
        <f>IFERROR(__xludf.DUMMYFUNCTION("GOOGLETRANSLATE(F4395,""EN"",""JA"")"),"脾臓内での治療に対する疾患反応の評価。")</f>
        <v>脾臓内での治療に対する疾患反応の評価。</v>
      </c>
      <c r="K4395" s="1" t="str">
        <f>IFERROR(__xludf.DUMMYFUNCTION("GOOGLETRANSLATE(G4395,""EN"",""JA"")"),"脾臓における疾患反応")</f>
        <v>脾臓における疾患反応</v>
      </c>
    </row>
    <row r="4396" ht="13.5" customHeight="1">
      <c r="A4396" s="1" t="s">
        <v>11</v>
      </c>
      <c r="B4396" s="1" t="s">
        <v>21962</v>
      </c>
      <c r="C4396" s="1" t="s">
        <v>21963</v>
      </c>
      <c r="D4396" s="1" t="s">
        <v>21964</v>
      </c>
      <c r="E4396" s="1" t="s">
        <v>21964</v>
      </c>
      <c r="F4396" s="1" t="s">
        <v>21965</v>
      </c>
      <c r="G4396" s="1" t="s">
        <v>21966</v>
      </c>
      <c r="H4396" s="1" t="str">
        <f>IFERROR(__xludf.DUMMYFUNCTION("GOOGLETRANSLATE(D4396,""EN"",""JA"")"),"精子凝集")</f>
        <v>精子凝集</v>
      </c>
      <c r="I4396" s="1" t="str">
        <f>IFERROR(__xludf.DUMMYFUNCTION("GOOGLETRANSLATE(E4396,""EN"",""JA"")"),"精子凝集")</f>
        <v>精子凝集</v>
      </c>
      <c r="J4396" s="1" t="str">
        <f>IFERROR(__xludf.DUMMYFUNCTION("GOOGLETRANSLATE(F4396,""EN"",""JA"")"),"生物標本中の運動精子の凝集の測定。")</f>
        <v>生物標本中の運動精子の凝集の測定。</v>
      </c>
      <c r="K4396" s="1" t="str">
        <f>IFERROR(__xludf.DUMMYFUNCTION("GOOGLETRANSLATE(G4396,""EN"",""JA"")"),"精子凝集測定")</f>
        <v>精子凝集測定</v>
      </c>
    </row>
    <row r="4397" ht="13.5" customHeight="1">
      <c r="A4397" s="1" t="s">
        <v>11</v>
      </c>
      <c r="B4397" s="1" t="s">
        <v>21967</v>
      </c>
      <c r="C4397" s="1" t="s">
        <v>21968</v>
      </c>
      <c r="D4397" s="1" t="s">
        <v>21969</v>
      </c>
      <c r="E4397" s="1" t="s">
        <v>21969</v>
      </c>
      <c r="F4397" s="1" t="s">
        <v>21970</v>
      </c>
      <c r="G4397" s="1" t="s">
        <v>21971</v>
      </c>
      <c r="H4397" s="1" t="str">
        <f>IFERROR(__xludf.DUMMYFUNCTION("GOOGLETRANSLATE(D4397,""EN"",""JA"")"),"精子凝集")</f>
        <v>精子凝集</v>
      </c>
      <c r="I4397" s="1" t="str">
        <f>IFERROR(__xludf.DUMMYFUNCTION("GOOGLETRANSLATE(E4397,""EN"",""JA"")"),"精子凝集")</f>
        <v>精子凝集</v>
      </c>
      <c r="J4397" s="1" t="str">
        <f>IFERROR(__xludf.DUMMYFUNCTION("GOOGLETRANSLATE(F4397,""EN"",""JA"")"),"生物標本中の不動精子の集合体の測定。")</f>
        <v>生物標本中の不動精子の集合体の測定。</v>
      </c>
      <c r="K4397" s="1" t="str">
        <f>IFERROR(__xludf.DUMMYFUNCTION("GOOGLETRANSLATE(G4397,""EN"",""JA"")"),"精子凝集測定")</f>
        <v>精子凝集測定</v>
      </c>
    </row>
    <row r="4398" ht="13.5" customHeight="1">
      <c r="A4398" s="1" t="s">
        <v>11</v>
      </c>
      <c r="B4398" s="1" t="s">
        <v>21972</v>
      </c>
      <c r="C4398" s="1" t="s">
        <v>21973</v>
      </c>
      <c r="D4398" s="1" t="s">
        <v>21974</v>
      </c>
      <c r="E4398" s="1" t="s">
        <v>21974</v>
      </c>
      <c r="F4398" s="1" t="s">
        <v>21975</v>
      </c>
      <c r="G4398" s="1" t="s">
        <v>21976</v>
      </c>
      <c r="H4398" s="1" t="str">
        <f>IFERROR(__xludf.DUMMYFUNCTION("GOOGLETRANSLATE(D4398,""EN"",""JA"")"),"運動精子／総精子数")</f>
        <v>運動精子／総精子数</v>
      </c>
      <c r="I4398" s="1" t="str">
        <f>IFERROR(__xludf.DUMMYFUNCTION("GOOGLETRANSLATE(E4398,""EN"",""JA"")"),"運動精子／総精子数")</f>
        <v>運動精子／総精子数</v>
      </c>
      <c r="J4398" s="1" t="str">
        <f>IFERROR(__xludf.DUMMYFUNCTION("GOOGLETRANSLATE(F4398,""EN"",""JA"")"),"生物標本中の全精子に対する運動精子の相対的な測定値（比率またはパーセンテージ）。")</f>
        <v>生物標本中の全精子に対する運動精子の相対的な測定値（比率またはパーセンテージ）。</v>
      </c>
      <c r="K4398" s="1" t="str">
        <f>IFERROR(__xludf.DUMMYFUNCTION("GOOGLETRANSLATE(G4398,""EN"",""JA"")"),"運動精子と総精子の比率の測定")</f>
        <v>運動精子と総精子の比率の測定</v>
      </c>
    </row>
    <row r="4399" ht="13.5" customHeight="1">
      <c r="A4399" s="1" t="s">
        <v>11</v>
      </c>
      <c r="B4399" s="1" t="s">
        <v>21977</v>
      </c>
      <c r="C4399" s="1" t="s">
        <v>21978</v>
      </c>
      <c r="D4399" s="1" t="s">
        <v>21979</v>
      </c>
      <c r="E4399" s="1" t="s">
        <v>21979</v>
      </c>
      <c r="F4399" s="1" t="s">
        <v>21980</v>
      </c>
      <c r="G4399" s="1" t="s">
        <v>21981</v>
      </c>
      <c r="H4399" s="1" t="str">
        <f>IFERROR(__xludf.DUMMYFUNCTION("GOOGLETRANSLATE(D4399,""EN"",""JA"")"),"精子、進行性/精子")</f>
        <v>精子、進行性/精子</v>
      </c>
      <c r="I4399" s="1" t="str">
        <f>IFERROR(__xludf.DUMMYFUNCTION("GOOGLETRANSLATE(E4399,""EN"",""JA"")"),"精子、進行性/精子")</f>
        <v>精子、進行性/精子</v>
      </c>
      <c r="J4399" s="1" t="str">
        <f>IFERROR(__xludf.DUMMYFUNCTION("GOOGLETRANSLATE(F4399,""EN"",""JA"")"),"生物標本内の全精子に対する進行精子の相対的な測定値（比率またはパーセンテージ）。")</f>
        <v>生物標本内の全精子に対する進行精子の相対的な測定値（比率またはパーセンテージ）。</v>
      </c>
      <c r="K4399" s="1" t="str">
        <f>IFERROR(__xludf.DUMMYFUNCTION("GOOGLETRANSLATE(G4399,""EN"",""JA"")"),"進行性精子対総精子比測定")</f>
        <v>進行性精子対総精子比測定</v>
      </c>
    </row>
    <row r="4400" ht="13.5" customHeight="1">
      <c r="A4400" s="1" t="s">
        <v>67</v>
      </c>
      <c r="B4400" s="1" t="s">
        <v>21982</v>
      </c>
      <c r="C4400" s="1" t="s">
        <v>21983</v>
      </c>
      <c r="D4400" s="1" t="s">
        <v>21984</v>
      </c>
      <c r="E4400" s="1" t="s">
        <v>21984</v>
      </c>
      <c r="F4400" s="1" t="s">
        <v>21985</v>
      </c>
      <c r="G4400" s="1" t="s">
        <v>21986</v>
      </c>
      <c r="H4400" s="1" t="str">
        <f>IFERROR(__xludf.DUMMYFUNCTION("GOOGLETRANSLATE(D4400,""EN"",""JA"")"),"肺炎球菌")</f>
        <v>肺炎球菌</v>
      </c>
      <c r="I4400" s="1" t="str">
        <f>IFERROR(__xludf.DUMMYFUNCTION("GOOGLETRANSLATE(E4400,""EN"",""JA"")"),"肺炎球菌")</f>
        <v>肺炎球菌</v>
      </c>
      <c r="J4400" s="1" t="str">
        <f>IFERROR(__xludf.DUMMYFUNCTION("GOOGLETRANSLATE(F4400,""EN"",""JA"")"),"生物標本中の肺炎球菌の測定。")</f>
        <v>生物標本中の肺炎球菌の測定。</v>
      </c>
      <c r="K4400" s="1" t="str">
        <f>IFERROR(__xludf.DUMMYFUNCTION("GOOGLETRANSLATE(G4400,""EN"",""JA"")"),"肺炎球菌測定")</f>
        <v>肺炎球菌測定</v>
      </c>
    </row>
    <row r="4401" ht="13.5" customHeight="1">
      <c r="A4401" s="1" t="s">
        <v>67</v>
      </c>
      <c r="B4401" s="1" t="s">
        <v>21987</v>
      </c>
      <c r="C4401" s="1" t="s">
        <v>21988</v>
      </c>
      <c r="D4401" s="1" t="s">
        <v>21989</v>
      </c>
      <c r="E4401" s="1" t="s">
        <v>21989</v>
      </c>
      <c r="F4401" s="1" t="s">
        <v>21990</v>
      </c>
      <c r="G4401" s="1" t="s">
        <v>21991</v>
      </c>
      <c r="H4401" s="1" t="str">
        <f>IFERROR(__xludf.DUMMYFUNCTION("GOOGLETRANSLATE(D4401,""EN"",""JA"")"),"肺炎球菌抗原")</f>
        <v>肺炎球菌抗原</v>
      </c>
      <c r="I4401" s="1" t="str">
        <f>IFERROR(__xludf.DUMMYFUNCTION("GOOGLETRANSLATE(E4401,""EN"",""JA"")"),"肺炎球菌抗原")</f>
        <v>肺炎球菌抗原</v>
      </c>
      <c r="J4401" s="1" t="str">
        <f>IFERROR(__xludf.DUMMYFUNCTION("GOOGLETRANSLATE(F4401,""EN"",""JA"")"),"生物標本中の肺炎球菌抗原の測定。")</f>
        <v>生物標本中の肺炎球菌抗原の測定。</v>
      </c>
      <c r="K4401" s="1" t="str">
        <f>IFERROR(__xludf.DUMMYFUNCTION("GOOGLETRANSLATE(G4401,""EN"",""JA"")"),"肺炎球菌抗原測定")</f>
        <v>肺炎球菌抗原測定</v>
      </c>
    </row>
    <row r="4402" ht="13.5" customHeight="1">
      <c r="A4402" s="1" t="s">
        <v>67</v>
      </c>
      <c r="B4402" s="1" t="s">
        <v>21992</v>
      </c>
      <c r="C4402" s="1" t="s">
        <v>21993</v>
      </c>
      <c r="D4402" s="1" t="s">
        <v>21994</v>
      </c>
      <c r="E4402" s="1" t="s">
        <v>21994</v>
      </c>
      <c r="F4402" s="1" t="s">
        <v>21995</v>
      </c>
      <c r="G4402" s="1" t="s">
        <v>21996</v>
      </c>
      <c r="H4402" s="1" t="str">
        <f>IFERROR(__xludf.DUMMYFUNCTION("GOOGLETRANSLATE(D4402,""EN"",""JA"")"),"肺炎球菌DNA")</f>
        <v>肺炎球菌DNA</v>
      </c>
      <c r="I4402" s="1" t="str">
        <f>IFERROR(__xludf.DUMMYFUNCTION("GOOGLETRANSLATE(E4402,""EN"",""JA"")"),"肺炎球菌DNA")</f>
        <v>肺炎球菌DNA</v>
      </c>
      <c r="J4402" s="1" t="str">
        <f>IFERROR(__xludf.DUMMYFUNCTION("GOOGLETRANSLATE(F4402,""EN"",""JA"")"),"生物標本中の肺炎球菌 DNA の測定。")</f>
        <v>生物標本中の肺炎球菌 DNA の測定。</v>
      </c>
      <c r="K4402" s="1" t="str">
        <f>IFERROR(__xludf.DUMMYFUNCTION("GOOGLETRANSLATE(G4402,""EN"",""JA"")"),"肺炎球菌DNA測定")</f>
        <v>肺炎球菌DNA測定</v>
      </c>
    </row>
    <row r="4403" ht="13.5" customHeight="1">
      <c r="A4403" s="1" t="s">
        <v>397</v>
      </c>
      <c r="B4403" s="1" t="s">
        <v>21997</v>
      </c>
      <c r="C4403" s="1" t="s">
        <v>21998</v>
      </c>
      <c r="D4403" s="1" t="s">
        <v>21999</v>
      </c>
      <c r="E4403" s="1" t="s">
        <v>22000</v>
      </c>
      <c r="F4403" s="1" t="s">
        <v>22001</v>
      </c>
      <c r="G4403" s="1" t="s">
        <v>21999</v>
      </c>
      <c r="H4403" s="1" t="str">
        <f>IFERROR(__xludf.DUMMYFUNCTION("GOOGLETRANSLATE(D4403,""EN"",""JA"")"),"臨床試験スポンサー")</f>
        <v>臨床試験スポンサー</v>
      </c>
      <c r="I4403" s="1" t="str">
        <f>IFERROR(__xludf.DUMMYFUNCTION("GOOGLETRANSLATE(E4403,""EN"",""JA"")"),"臨床試験スポンサー; スポンサー; 研究スポンサー")</f>
        <v>臨床試験スポンサー; スポンサー; 研究スポンサー</v>
      </c>
      <c r="J4403" s="1" t="str">
        <f>IFERROR(__xludf.DUMMYFUNCTION("GOOGLETRANSLATE(F4403,""EN"",""JA"")"),"臨床試験の開始、管理、および／または資金調達に責任を負う個人、企業、機関、または組織。[ICH E6、WHO、21 CFR 50.3 (e)、およびIDMPに準拠]")</f>
        <v>臨床試験の開始、管理、および／または資金調達に責任を負う個人、企業、機関、または組織。[ICH E6、WHO、21 CFR 50.3 (e)、およびIDMPに準拠]</v>
      </c>
      <c r="K4403" s="1" t="str">
        <f>IFERROR(__xludf.DUMMYFUNCTION("GOOGLETRANSLATE(G4403,""EN"",""JA"")"),"臨床試験スポンサー")</f>
        <v>臨床試験スポンサー</v>
      </c>
    </row>
    <row r="4404" ht="13.5" customHeight="1">
      <c r="A4404" s="1" t="s">
        <v>1168</v>
      </c>
      <c r="B4404" s="1" t="s">
        <v>22002</v>
      </c>
      <c r="C4404" s="1" t="s">
        <v>22003</v>
      </c>
      <c r="D4404" s="1" t="s">
        <v>22004</v>
      </c>
      <c r="E4404" s="1" t="s">
        <v>22004</v>
      </c>
      <c r="F4404" s="1" t="s">
        <v>22005</v>
      </c>
      <c r="G4404" s="1" t="s">
        <v>22006</v>
      </c>
      <c r="H4404" s="1" t="str">
        <f>IFERROR(__xludf.DUMMYFUNCTION("GOOGLETRANSLATE(D4404,""EN"",""JA"")"),"上室性不整脈")</f>
        <v>上室性不整脈</v>
      </c>
      <c r="I4404" s="1" t="str">
        <f>IFERROR(__xludf.DUMMYFUNCTION("GOOGLETRANSLATE(E4404,""EN"",""JA"")"),"上室性不整脈")</f>
        <v>上室性不整脈</v>
      </c>
      <c r="J4404" s="1" t="str">
        <f>IFERROR(__xludf.DUMMYFUNCTION("GOOGLETRANSLATE(F4404,""EN"",""JA"")"),"頻脈を除く上室性不整脈の心電図評価。")</f>
        <v>頻脈を除く上室性不整脈の心電図評価。</v>
      </c>
      <c r="K4404" s="1" t="str">
        <f>IFERROR(__xludf.DUMMYFUNCTION("GOOGLETRANSLATE(G4404,""EN"",""JA"")"),"上室性不整脈の心電図評価")</f>
        <v>上室性不整脈の心電図評価</v>
      </c>
    </row>
    <row r="4405" ht="13.5" customHeight="1">
      <c r="A4405" s="1" t="s">
        <v>1168</v>
      </c>
      <c r="B4405" s="1" t="s">
        <v>22002</v>
      </c>
      <c r="C4405" s="1" t="s">
        <v>22003</v>
      </c>
      <c r="D4405" s="1" t="s">
        <v>22004</v>
      </c>
      <c r="E4405" s="1" t="s">
        <v>22004</v>
      </c>
      <c r="F4405" s="1" t="s">
        <v>22005</v>
      </c>
      <c r="G4405" s="1" t="s">
        <v>22006</v>
      </c>
      <c r="H4405" s="1" t="str">
        <f>IFERROR(__xludf.DUMMYFUNCTION("GOOGLETRANSLATE(D4405,""EN"",""JA"")"),"上室性不整脈")</f>
        <v>上室性不整脈</v>
      </c>
      <c r="I4405" s="1" t="str">
        <f>IFERROR(__xludf.DUMMYFUNCTION("GOOGLETRANSLATE(E4405,""EN"",""JA"")"),"上室性不整脈")</f>
        <v>上室性不整脈</v>
      </c>
      <c r="J4405" s="1" t="str">
        <f>IFERROR(__xludf.DUMMYFUNCTION("GOOGLETRANSLATE(F4405,""EN"",""JA"")"),"頻脈を除く上室性不整脈の心電図評価。")</f>
        <v>頻脈を除く上室性不整脈の心電図評価。</v>
      </c>
      <c r="K4405" s="1" t="str">
        <f>IFERROR(__xludf.DUMMYFUNCTION("GOOGLETRANSLATE(G4405,""EN"",""JA"")"),"上室性不整脈の心電図評価")</f>
        <v>上室性不整脈の心電図評価</v>
      </c>
    </row>
    <row r="4406" ht="13.5" customHeight="1">
      <c r="A4406" s="1" t="s">
        <v>1168</v>
      </c>
      <c r="B4406" s="1" t="s">
        <v>22002</v>
      </c>
      <c r="C4406" s="1" t="s">
        <v>22003</v>
      </c>
      <c r="D4406" s="1" t="s">
        <v>22004</v>
      </c>
      <c r="E4406" s="1" t="s">
        <v>22004</v>
      </c>
      <c r="F4406" s="1" t="s">
        <v>22005</v>
      </c>
      <c r="G4406" s="1" t="s">
        <v>22006</v>
      </c>
      <c r="H4406" s="1" t="str">
        <f>IFERROR(__xludf.DUMMYFUNCTION("GOOGLETRANSLATE(D4406,""EN"",""JA"")"),"上室性不整脈")</f>
        <v>上室性不整脈</v>
      </c>
      <c r="I4406" s="1" t="str">
        <f>IFERROR(__xludf.DUMMYFUNCTION("GOOGLETRANSLATE(E4406,""EN"",""JA"")"),"上室性不整脈")</f>
        <v>上室性不整脈</v>
      </c>
      <c r="J4406" s="1" t="str">
        <f>IFERROR(__xludf.DUMMYFUNCTION("GOOGLETRANSLATE(F4406,""EN"",""JA"")"),"頻脈を除く上室性不整脈の心電図評価。")</f>
        <v>頻脈を除く上室性不整脈の心電図評価。</v>
      </c>
      <c r="K4406" s="1" t="str">
        <f>IFERROR(__xludf.DUMMYFUNCTION("GOOGLETRANSLATE(G4406,""EN"",""JA"")"),"上室性不整脈の心電図評価")</f>
        <v>上室性不整脈の心電図評価</v>
      </c>
    </row>
    <row r="4407" ht="13.5" customHeight="1">
      <c r="A4407" s="1" t="s">
        <v>1168</v>
      </c>
      <c r="B4407" s="1" t="s">
        <v>22002</v>
      </c>
      <c r="C4407" s="1" t="s">
        <v>22003</v>
      </c>
      <c r="D4407" s="1" t="s">
        <v>22004</v>
      </c>
      <c r="E4407" s="1" t="s">
        <v>22004</v>
      </c>
      <c r="F4407" s="1" t="s">
        <v>22005</v>
      </c>
      <c r="G4407" s="1" t="s">
        <v>22006</v>
      </c>
      <c r="H4407" s="1" t="str">
        <f>IFERROR(__xludf.DUMMYFUNCTION("GOOGLETRANSLATE(D4407,""EN"",""JA"")"),"上室性不整脈")</f>
        <v>上室性不整脈</v>
      </c>
      <c r="I4407" s="1" t="str">
        <f>IFERROR(__xludf.DUMMYFUNCTION("GOOGLETRANSLATE(E4407,""EN"",""JA"")"),"上室性不整脈")</f>
        <v>上室性不整脈</v>
      </c>
      <c r="J4407" s="1" t="str">
        <f>IFERROR(__xludf.DUMMYFUNCTION("GOOGLETRANSLATE(F4407,""EN"",""JA"")"),"頻脈を除く上室性不整脈の心電図評価。")</f>
        <v>頻脈を除く上室性不整脈の心電図評価。</v>
      </c>
      <c r="K4407" s="1" t="str">
        <f>IFERROR(__xludf.DUMMYFUNCTION("GOOGLETRANSLATE(G4407,""EN"",""JA"")"),"上室性不整脈の心電図評価")</f>
        <v>上室性不整脈の心電図評価</v>
      </c>
    </row>
    <row r="4408" ht="13.5" customHeight="1">
      <c r="A4408" s="1" t="s">
        <v>397</v>
      </c>
      <c r="B4408" s="1" t="s">
        <v>22007</v>
      </c>
      <c r="C4408" s="1" t="s">
        <v>22008</v>
      </c>
      <c r="D4408" s="1" t="s">
        <v>22009</v>
      </c>
      <c r="E4408" s="1" t="s">
        <v>22009</v>
      </c>
      <c r="F4408" s="1" t="s">
        <v>22010</v>
      </c>
      <c r="G4408" s="1" t="s">
        <v>22011</v>
      </c>
      <c r="H4408" s="1" t="str">
        <f>IFERROR(__xludf.DUMMYFUNCTION("GOOGLETRANSLATE(D4408,""EN"",""JA"")"),"スポンサーの研究参照ID")</f>
        <v>スポンサーの研究参照ID</v>
      </c>
      <c r="I4408" s="1" t="str">
        <f>IFERROR(__xludf.DUMMYFUNCTION("GOOGLETRANSLATE(E4408,""EN"",""JA"")"),"スポンサーの研究参照ID")</f>
        <v>スポンサーの研究参照ID</v>
      </c>
      <c r="J4408" s="1" t="str">
        <f>IFERROR(__xludf.DUMMYFUNCTION("GOOGLETRANSLATE(F4408,""EN"",""JA"")"),"スポンサーが試験を識別するための参照識別子。データが別の識別子で収集された場合（例えば、契約施設が試験を実施し、最終報告書を提出する場合など）、STUDYIDとは異なる場合があります。")</f>
        <v>スポンサーが試験を識別するための参照識別子。データが別の識別子で収集された場合（例えば、契約施設が試験を実施し、最終報告書を提出する場合など）、STUDYIDとは異なる場合があります。</v>
      </c>
      <c r="K4408" s="1" t="str">
        <f>IFERROR(__xludf.DUMMYFUNCTION("GOOGLETRANSLATE(G4408,""EN"",""JA"")"),"スポンサー研究参照識別子")</f>
        <v>スポンサー研究参照識別子</v>
      </c>
    </row>
    <row r="4409" ht="13.5" customHeight="1">
      <c r="A4409" s="1" t="s">
        <v>1168</v>
      </c>
      <c r="B4409" s="1" t="s">
        <v>22012</v>
      </c>
      <c r="C4409" s="1" t="s">
        <v>22013</v>
      </c>
      <c r="D4409" s="1" t="s">
        <v>22014</v>
      </c>
      <c r="E4409" s="1" t="s">
        <v>22014</v>
      </c>
      <c r="F4409" s="1" t="s">
        <v>22015</v>
      </c>
      <c r="G4409" s="1" t="s">
        <v>22016</v>
      </c>
      <c r="H4409" s="1" t="str">
        <f>IFERROR(__xludf.DUMMYFUNCTION("GOOGLETRANSLATE(D4409,""EN"",""JA"")"),"上室性頻脈")</f>
        <v>上室性頻脈</v>
      </c>
      <c r="I4409" s="1" t="str">
        <f>IFERROR(__xludf.DUMMYFUNCTION("GOOGLETRANSLATE(E4409,""EN"",""JA"")"),"上室性頻脈")</f>
        <v>上室性頻脈</v>
      </c>
      <c r="J4409" s="1" t="str">
        <f>IFERROR(__xludf.DUMMYFUNCTION("GOOGLETRANSLATE(F4409,""EN"",""JA"")"),"上室性頻脈性不整脈の心電図評価。")</f>
        <v>上室性頻脈性不整脈の心電図評価。</v>
      </c>
      <c r="K4409" s="1" t="str">
        <f>IFERROR(__xludf.DUMMYFUNCTION("GOOGLETRANSLATE(G4409,""EN"",""JA"")"),"上室性頻脈性不整脈の心電図評価")</f>
        <v>上室性頻脈性不整脈の心電図評価</v>
      </c>
    </row>
    <row r="4410" ht="13.5" customHeight="1">
      <c r="A4410" s="1" t="s">
        <v>1168</v>
      </c>
      <c r="B4410" s="1" t="s">
        <v>22012</v>
      </c>
      <c r="C4410" s="1" t="s">
        <v>22013</v>
      </c>
      <c r="D4410" s="1" t="s">
        <v>22014</v>
      </c>
      <c r="E4410" s="1" t="s">
        <v>22014</v>
      </c>
      <c r="F4410" s="1" t="s">
        <v>22015</v>
      </c>
      <c r="G4410" s="1" t="s">
        <v>22016</v>
      </c>
      <c r="H4410" s="1" t="str">
        <f>IFERROR(__xludf.DUMMYFUNCTION("GOOGLETRANSLATE(D4410,""EN"",""JA"")"),"上室性頻脈")</f>
        <v>上室性頻脈</v>
      </c>
      <c r="I4410" s="1" t="str">
        <f>IFERROR(__xludf.DUMMYFUNCTION("GOOGLETRANSLATE(E4410,""EN"",""JA"")"),"上室性頻脈")</f>
        <v>上室性頻脈</v>
      </c>
      <c r="J4410" s="1" t="str">
        <f>IFERROR(__xludf.DUMMYFUNCTION("GOOGLETRANSLATE(F4410,""EN"",""JA"")"),"上室性頻脈性不整脈の心電図評価。")</f>
        <v>上室性頻脈性不整脈の心電図評価。</v>
      </c>
      <c r="K4410" s="1" t="str">
        <f>IFERROR(__xludf.DUMMYFUNCTION("GOOGLETRANSLATE(G4410,""EN"",""JA"")"),"上室性頻脈性不整脈の心電図評価")</f>
        <v>上室性頻脈性不整脈の心電図評価</v>
      </c>
    </row>
    <row r="4411" ht="13.5" customHeight="1">
      <c r="A4411" s="1" t="s">
        <v>1168</v>
      </c>
      <c r="B4411" s="1" t="s">
        <v>22012</v>
      </c>
      <c r="C4411" s="1" t="s">
        <v>22013</v>
      </c>
      <c r="D4411" s="1" t="s">
        <v>22014</v>
      </c>
      <c r="E4411" s="1" t="s">
        <v>22014</v>
      </c>
      <c r="F4411" s="1" t="s">
        <v>22015</v>
      </c>
      <c r="G4411" s="1" t="s">
        <v>22016</v>
      </c>
      <c r="H4411" s="1" t="str">
        <f>IFERROR(__xludf.DUMMYFUNCTION("GOOGLETRANSLATE(D4411,""EN"",""JA"")"),"上室性頻脈")</f>
        <v>上室性頻脈</v>
      </c>
      <c r="I4411" s="1" t="str">
        <f>IFERROR(__xludf.DUMMYFUNCTION("GOOGLETRANSLATE(E4411,""EN"",""JA"")"),"上室性頻脈")</f>
        <v>上室性頻脈</v>
      </c>
      <c r="J4411" s="1" t="str">
        <f>IFERROR(__xludf.DUMMYFUNCTION("GOOGLETRANSLATE(F4411,""EN"",""JA"")"),"上室性頻脈性不整脈の心電図評価。")</f>
        <v>上室性頻脈性不整脈の心電図評価。</v>
      </c>
      <c r="K4411" s="1" t="str">
        <f>IFERROR(__xludf.DUMMYFUNCTION("GOOGLETRANSLATE(G4411,""EN"",""JA"")"),"上室性頻脈性不整脈の心電図評価")</f>
        <v>上室性頻脈性不整脈の心電図評価</v>
      </c>
    </row>
    <row r="4412" ht="13.5" customHeight="1">
      <c r="A4412" s="1" t="s">
        <v>1168</v>
      </c>
      <c r="B4412" s="1" t="s">
        <v>22012</v>
      </c>
      <c r="C4412" s="1" t="s">
        <v>22013</v>
      </c>
      <c r="D4412" s="1" t="s">
        <v>22014</v>
      </c>
      <c r="E4412" s="1" t="s">
        <v>22014</v>
      </c>
      <c r="F4412" s="1" t="s">
        <v>22015</v>
      </c>
      <c r="G4412" s="1" t="s">
        <v>22016</v>
      </c>
      <c r="H4412" s="1" t="str">
        <f>IFERROR(__xludf.DUMMYFUNCTION("GOOGLETRANSLATE(D4412,""EN"",""JA"")"),"上室性頻脈")</f>
        <v>上室性頻脈</v>
      </c>
      <c r="I4412" s="1" t="str">
        <f>IFERROR(__xludf.DUMMYFUNCTION("GOOGLETRANSLATE(E4412,""EN"",""JA"")"),"上室性頻脈")</f>
        <v>上室性頻脈</v>
      </c>
      <c r="J4412" s="1" t="str">
        <f>IFERROR(__xludf.DUMMYFUNCTION("GOOGLETRANSLATE(F4412,""EN"",""JA"")"),"上室性頻脈性不整脈の心電図評価。")</f>
        <v>上室性頻脈性不整脈の心電図評価。</v>
      </c>
      <c r="K4412" s="1" t="str">
        <f>IFERROR(__xludf.DUMMYFUNCTION("GOOGLETRANSLATE(G4412,""EN"",""JA"")"),"上室性頻脈性不整脈の心電図評価")</f>
        <v>上室性頻脈性不整脈の心電図評価</v>
      </c>
    </row>
    <row r="4413" ht="13.5" customHeight="1">
      <c r="A4413" s="1" t="s">
        <v>11</v>
      </c>
      <c r="B4413" s="1" t="s">
        <v>22017</v>
      </c>
      <c r="C4413" s="1" t="s">
        <v>22018</v>
      </c>
      <c r="D4413" s="1" t="s">
        <v>22019</v>
      </c>
      <c r="E4413" s="1" t="s">
        <v>22019</v>
      </c>
      <c r="F4413" s="1" t="s">
        <v>22020</v>
      </c>
      <c r="G4413" s="1" t="s">
        <v>22021</v>
      </c>
      <c r="H4413" s="1" t="str">
        <f>IFERROR(__xludf.DUMMYFUNCTION("GOOGLETRANSLATE(D4413,""EN"",""JA"")"),"試験片重量")</f>
        <v>試験片重量</v>
      </c>
      <c r="I4413" s="1" t="str">
        <f>IFERROR(__xludf.DUMMYFUNCTION("GOOGLETRANSLATE(E4413,""EN"",""JA"")"),"試験片重量")</f>
        <v>試験片重量</v>
      </c>
      <c r="J4413" s="1" t="str">
        <f>IFERROR(__xludf.DUMMYFUNCTION("GOOGLETRANSLATE(F4413,""EN"",""JA"")"),"生物標本の重量の測定。")</f>
        <v>生物標本の重量の測定。</v>
      </c>
      <c r="K4413" s="1" t="str">
        <f>IFERROR(__xludf.DUMMYFUNCTION("GOOGLETRANSLATE(G4413,""EN"",""JA"")"),"標本重量測定")</f>
        <v>標本重量測定</v>
      </c>
    </row>
    <row r="4414" ht="13.5" customHeight="1">
      <c r="A4414" s="1" t="s">
        <v>67</v>
      </c>
      <c r="B4414" s="1" t="s">
        <v>22022</v>
      </c>
      <c r="C4414" s="1" t="s">
        <v>22023</v>
      </c>
      <c r="D4414" s="1" t="s">
        <v>22024</v>
      </c>
      <c r="E4414" s="1" t="s">
        <v>22024</v>
      </c>
      <c r="F4414" s="1" t="s">
        <v>22025</v>
      </c>
      <c r="G4414" s="1" t="s">
        <v>22026</v>
      </c>
      <c r="H4414" s="1" t="str">
        <f>IFERROR(__xludf.DUMMYFUNCTION("GOOGLETRANSLATE(D4414,""EN"",""JA"")"),"化膿レンサ球菌")</f>
        <v>化膿レンサ球菌</v>
      </c>
      <c r="I4414" s="1" t="str">
        <f>IFERROR(__xludf.DUMMYFUNCTION("GOOGLETRANSLATE(E4414,""EN"",""JA"")"),"化膿レンサ球菌")</f>
        <v>化膿レンサ球菌</v>
      </c>
      <c r="J4414" s="1" t="str">
        <f>IFERROR(__xludf.DUMMYFUNCTION("GOOGLETRANSLATE(F4414,""EN"",""JA"")"),"生物標本中の Streptococcus pyogenes の測定。")</f>
        <v>生物標本中の Streptococcus pyogenes の測定。</v>
      </c>
      <c r="K4414" s="1" t="str">
        <f>IFERROR(__xludf.DUMMYFUNCTION("GOOGLETRANSLATE(G4414,""EN"",""JA"")"),"化膿レンサ球菌測定")</f>
        <v>化膿レンサ球菌測定</v>
      </c>
    </row>
    <row r="4415" ht="13.5" customHeight="1">
      <c r="A4415" s="1" t="s">
        <v>67</v>
      </c>
      <c r="B4415" s="1" t="s">
        <v>22027</v>
      </c>
      <c r="C4415" s="1" t="s">
        <v>22028</v>
      </c>
      <c r="D4415" s="1" t="s">
        <v>22029</v>
      </c>
      <c r="E4415" s="1" t="s">
        <v>22029</v>
      </c>
      <c r="F4415" s="1" t="s">
        <v>22030</v>
      </c>
      <c r="G4415" s="1" t="s">
        <v>22031</v>
      </c>
      <c r="H4415" s="1" t="str">
        <f>IFERROR(__xludf.DUMMYFUNCTION("GOOGLETRANSLATE(D4415,""EN"",""JA"")"),"化膿レンサ球菌抗原")</f>
        <v>化膿レンサ球菌抗原</v>
      </c>
      <c r="I4415" s="1" t="str">
        <f>IFERROR(__xludf.DUMMYFUNCTION("GOOGLETRANSLATE(E4415,""EN"",""JA"")"),"化膿レンサ球菌抗原")</f>
        <v>化膿レンサ球菌抗原</v>
      </c>
      <c r="J4415" s="1" t="str">
        <f>IFERROR(__xludf.DUMMYFUNCTION("GOOGLETRANSLATE(F4415,""EN"",""JA"")"),"生物標本中の Streptococcus pyogenes 抗原の測定。")</f>
        <v>生物標本中の Streptococcus pyogenes 抗原の測定。</v>
      </c>
      <c r="K4415" s="1" t="str">
        <f>IFERROR(__xludf.DUMMYFUNCTION("GOOGLETRANSLATE(G4415,""EN"",""JA"")"),"化膿レンサ球菌抗原測定")</f>
        <v>化膿レンサ球菌抗原測定</v>
      </c>
    </row>
    <row r="4416" ht="13.5" customHeight="1">
      <c r="A4416" s="1" t="s">
        <v>67</v>
      </c>
      <c r="B4416" s="1" t="s">
        <v>22032</v>
      </c>
      <c r="C4416" s="1" t="s">
        <v>22033</v>
      </c>
      <c r="D4416" s="1" t="s">
        <v>22034</v>
      </c>
      <c r="E4416" s="1" t="s">
        <v>22034</v>
      </c>
      <c r="F4416" s="1" t="s">
        <v>22035</v>
      </c>
      <c r="G4416" s="1" t="s">
        <v>22036</v>
      </c>
      <c r="H4416" s="1" t="str">
        <f>IFERROR(__xludf.DUMMYFUNCTION("GOOGLETRANSLATE(D4416,""EN"",""JA"")"),"化膿レンサ球菌DNA")</f>
        <v>化膿レンサ球菌DNA</v>
      </c>
      <c r="I4416" s="1" t="str">
        <f>IFERROR(__xludf.DUMMYFUNCTION("GOOGLETRANSLATE(E4416,""EN"",""JA"")"),"化膿レンサ球菌DNA")</f>
        <v>化膿レンサ球菌DNA</v>
      </c>
      <c r="J4416" s="1" t="str">
        <f>IFERROR(__xludf.DUMMYFUNCTION("GOOGLETRANSLATE(F4416,""EN"",""JA"")"),"生物標本中の Streptococcus pyogenes DNA の測定。")</f>
        <v>生物標本中の Streptococcus pyogenes DNA の測定。</v>
      </c>
      <c r="K4416" s="1" t="str">
        <f>IFERROR(__xludf.DUMMYFUNCTION("GOOGLETRANSLATE(G4416,""EN"",""JA"")"),"化膿レンサ球菌DNA測定")</f>
        <v>化膿レンサ球菌DNA測定</v>
      </c>
    </row>
    <row r="4417" ht="13.5" customHeight="1">
      <c r="A4417" s="1" t="s">
        <v>67</v>
      </c>
      <c r="B4417" s="1" t="s">
        <v>22037</v>
      </c>
      <c r="C4417" s="1" t="s">
        <v>22038</v>
      </c>
      <c r="D4417" s="1" t="s">
        <v>22039</v>
      </c>
      <c r="E4417" s="1" t="s">
        <v>22040</v>
      </c>
      <c r="F4417" s="1" t="s">
        <v>22041</v>
      </c>
      <c r="G4417" s="1" t="s">
        <v>22042</v>
      </c>
      <c r="H4417" s="1" t="str">
        <f>IFERROR(__xludf.DUMMYFUNCTION("GOOGLETRANSLATE(D4417,""EN"",""JA"")"),"SARS-CoV-2 RdRp RNA")</f>
        <v>SARS-CoV-2 RdRp RNA</v>
      </c>
      <c r="I4417" s="1" t="str">
        <f>IFERROR(__xludf.DUMMYFUNCTION("GOOGLETRANSLATE(E4417,""EN"",""JA"")"),"SARS-CoV-2 RdRp遺伝子; SARS-CoV-2 RdRp RNA; SARS-CoV-2 RNA依存性RNAポリメラーゼRNA")</f>
        <v>SARS-CoV-2 RdRp遺伝子; SARS-CoV-2 RdRp RNA; SARS-CoV-2 RNA依存性RNAポリメラーゼRNA</v>
      </c>
      <c r="J4417" s="1" t="str">
        <f>IFERROR(__xludf.DUMMYFUNCTION("GOOGLETRANSLATE(F4417,""EN"",""JA"")"),"生物標本中の SARS-CoV-2 RdRp RNA の測定。")</f>
        <v>生物標本中の SARS-CoV-2 RdRp RNA の測定。</v>
      </c>
      <c r="K4417" s="1" t="str">
        <f>IFERROR(__xludf.DUMMYFUNCTION("GOOGLETRANSLATE(G4417,""EN"",""JA"")"),"SARS-CoV-2 RdRp RNA測定")</f>
        <v>SARS-CoV-2 RdRp RNA測定</v>
      </c>
    </row>
    <row r="4418" ht="13.5" customHeight="1">
      <c r="A4418" s="1" t="s">
        <v>870</v>
      </c>
      <c r="B4418" s="1" t="s">
        <v>22043</v>
      </c>
      <c r="C4418" s="1" t="s">
        <v>22044</v>
      </c>
      <c r="D4418" s="1" t="s">
        <v>22045</v>
      </c>
      <c r="E4418" s="1" t="s">
        <v>22045</v>
      </c>
      <c r="F4418" s="1" t="s">
        <v>22046</v>
      </c>
      <c r="G4418" s="1" t="s">
        <v>22047</v>
      </c>
      <c r="H4418" s="1" t="str">
        <f>IFERROR(__xludf.DUMMYFUNCTION("GOOGLETRANSLATE(D4418,""EN"",""JA"")"),"定常性比AUC")</f>
        <v>定常性比AUC</v>
      </c>
      <c r="I4418" s="1" t="str">
        <f>IFERROR(__xludf.DUMMYFUNCTION("GOOGLETRANSLATE(E4418,""EN"",""JA"")"),"定常性比AUC")</f>
        <v>定常性比AUC</v>
      </c>
      <c r="J4418" s="1" t="str">
        <f>IFERROR(__xludf.DUMMYFUNCTION("GOOGLETRANSLATE(F4418,""EN"",""JA"")"),"定常状態での曲線下面積 (AUCTAU) を、初期投与間隔の無限大に外挿された曲線下面積で割った値。")</f>
        <v>定常状態での曲線下面積 (AUCTAU) を、初期投与間隔の無限大に外挿された曲線下面積で割った値。</v>
      </c>
      <c r="K4418" s="1" t="str">
        <f>IFERROR(__xludf.DUMMYFUNCTION("GOOGLETRANSLATE(G4418,""EN"",""JA"")"),"定常性比曲線下面積")</f>
        <v>定常性比曲線下面積</v>
      </c>
    </row>
    <row r="4419" ht="13.5" customHeight="1">
      <c r="A4419" s="1" t="s">
        <v>580</v>
      </c>
      <c r="B4419" s="1" t="s">
        <v>22048</v>
      </c>
      <c r="C4419" s="1" t="s">
        <v>22049</v>
      </c>
      <c r="D4419" s="1" t="s">
        <v>22050</v>
      </c>
      <c r="E4419" s="1" t="s">
        <v>22050</v>
      </c>
      <c r="F4419" s="1" t="s">
        <v>22051</v>
      </c>
      <c r="G4419" s="1" t="s">
        <v>22050</v>
      </c>
      <c r="H4419" s="1" t="str">
        <f>IFERROR(__xludf.DUMMYFUNCTION("GOOGLETRANSLATE(D4419,""EN"",""JA"")"),"特異的気道抵抗")</f>
        <v>特異的気道抵抗</v>
      </c>
      <c r="I4419" s="1" t="str">
        <f>IFERROR(__xludf.DUMMYFUNCTION("GOOGLETRANSLATE(E4419,""EN"",""JA"")"),"特異的気道抵抗")</f>
        <v>特異的気道抵抗</v>
      </c>
      <c r="J4419" s="1" t="str">
        <f>IFERROR(__xludf.DUMMYFUNCTION("GOOGLETRANSLATE(F4419,""EN"",""JA"")"),"肺容量に関係なく気道の挙動を記述するために使用される測定値。気道抵抗 (Raw) に機能的残気量 (FRC) を乗じて計算されます。")</f>
        <v>肺容量に関係なく気道の挙動を記述するために使用される測定値。気道抵抗 (Raw) に機能的残気量 (FRC) を乗じて計算されます。</v>
      </c>
      <c r="K4419" s="1" t="str">
        <f>IFERROR(__xludf.DUMMYFUNCTION("GOOGLETRANSLATE(G4419,""EN"",""JA"")"),"特異的気道抵抗")</f>
        <v>特異的気道抵抗</v>
      </c>
    </row>
    <row r="4420" ht="13.5" customHeight="1">
      <c r="A4420" s="1" t="s">
        <v>580</v>
      </c>
      <c r="B4420" s="1" t="s">
        <v>22052</v>
      </c>
      <c r="C4420" s="1" t="s">
        <v>22053</v>
      </c>
      <c r="D4420" s="1" t="s">
        <v>22054</v>
      </c>
      <c r="E4420" s="1" t="s">
        <v>22055</v>
      </c>
      <c r="F4420" s="1" t="s">
        <v>22056</v>
      </c>
      <c r="G4420" s="1" t="s">
        <v>22057</v>
      </c>
      <c r="H4420" s="1" t="str">
        <f>IFERROR(__xludf.DUMMYFUNCTION("GOOGLETRANSLATE(D4420,""EN"",""JA"")"),"予測されるSP気道抵抗率")</f>
        <v>予測されるSP気道抵抗率</v>
      </c>
      <c r="I4420" s="1" t="str">
        <f>IFERROR(__xludf.DUMMYFUNCTION("GOOGLETRANSLATE(E4420,""EN"",""JA"")"),"予測される特異気道抵抗率; 予測される特異気道抵抗率")</f>
        <v>予測される特異気道抵抗率; 予測される特異気道抵抗率</v>
      </c>
      <c r="J4420" s="1" t="str">
        <f>IFERROR(__xludf.DUMMYFUNCTION("GOOGLETRANSLATE(F4420,""EN"",""JA"")"),"肺容量に関係なく気道の挙動を記述するために使用される測定値。気道抵抗 (Raw) に機能的残気量 (FRC) を乗じて、予測される正常値の割合として計算されます。")</f>
        <v>肺容量に関係なく気道の挙動を記述するために使用される測定値。気道抵抗 (Raw) に機能的残気量 (FRC) を乗じて、予測される正常値の割合として計算されます。</v>
      </c>
      <c r="K4420" s="1" t="str">
        <f>IFERROR(__xludf.DUMMYFUNCTION("GOOGLETRANSLATE(G4420,""EN"",""JA"")"),"予測される特定の気道抵抗の割合")</f>
        <v>予測される特定の気道抵抗の割合</v>
      </c>
    </row>
    <row r="4421" ht="13.5" customHeight="1">
      <c r="A4421" s="1" t="s">
        <v>397</v>
      </c>
      <c r="B4421" s="1" t="s">
        <v>22058</v>
      </c>
      <c r="C4421" s="1" t="s">
        <v>22059</v>
      </c>
      <c r="D4421" s="1" t="s">
        <v>22060</v>
      </c>
      <c r="E4421" s="1" t="s">
        <v>22060</v>
      </c>
      <c r="F4421" s="1" t="s">
        <v>22061</v>
      </c>
      <c r="G4421" s="1" t="s">
        <v>22062</v>
      </c>
      <c r="H4421" s="1" t="str">
        <f>IFERROR(__xludf.DUMMYFUNCTION("GOOGLETRANSLATE(D4421,""EN"",""JA"")"),"SUSAR の EVCTM 指標への報告")</f>
        <v>SUSAR の EVCTM 指標への報告</v>
      </c>
      <c r="I4421" s="1" t="str">
        <f>IFERROR(__xludf.DUMMYFUNCTION("GOOGLETRANSLATE(E4421,""EN"",""JA"")"),"SUSAR の EVCTM 指標への報告")</f>
        <v>SUSAR の EVCTM 指標への報告</v>
      </c>
      <c r="J4421" s="1" t="str">
        <f>IFERROR(__xludf.DUMMYFUNCTION("GOOGLETRANSLATE(F4421,""EN"",""JA"")"),"疑われる予期せぬ重篤な副作用 (SUSAR) が EudraVigiliance 臨床試験モジュール (EVCTM) に報告されるかどうかを示します。")</f>
        <v>疑われる予期せぬ重篤な副作用 (SUSAR) が EudraVigiliance 臨床試験モジュール (EVCTM) に報告されるかどうかを示します。</v>
      </c>
      <c r="K4421" s="1" t="str">
        <f>IFERROR(__xludf.DUMMYFUNCTION("GOOGLETRANSLATE(G4421,""EN"",""JA"")"),"EudraVigiliance臨床試験モジュール指標へのSUSAR報告")</f>
        <v>EudraVigiliance臨床試験モジュール指標へのSUSAR報告</v>
      </c>
    </row>
    <row r="4422" ht="13.5" customHeight="1">
      <c r="A4422" s="1" t="s">
        <v>160</v>
      </c>
      <c r="B4422" s="1" t="s">
        <v>22063</v>
      </c>
      <c r="C4422" s="1" t="s">
        <v>22064</v>
      </c>
      <c r="D4422" s="1" t="s">
        <v>22065</v>
      </c>
      <c r="E4422" s="1" t="s">
        <v>22065</v>
      </c>
      <c r="F4422" s="1" t="s">
        <v>22066</v>
      </c>
      <c r="G4422" s="1" t="s">
        <v>22067</v>
      </c>
      <c r="H4422" s="1" t="str">
        <f>IFERROR(__xludf.DUMMYFUNCTION("GOOGLETRANSLATE(D4422,""EN"",""JA"")"),"外科的滅菌インジケーター")</f>
        <v>外科的滅菌インジケーター</v>
      </c>
      <c r="I4422" s="1" t="str">
        <f>IFERROR(__xludf.DUMMYFUNCTION("GOOGLETRANSLATE(E4422,""EN"",""JA"")"),"外科的滅菌インジケーター")</f>
        <v>外科的滅菌インジケーター</v>
      </c>
      <c r="J4422" s="1" t="str">
        <f>IFERROR(__xludf.DUMMYFUNCTION("GOOGLETRANSLATE(F4422,""EN"",""JA"")"),"個人が外科手術により不妊手術を受けたかどうかを示します。")</f>
        <v>個人が外科手術により不妊手術を受けたかどうかを示します。</v>
      </c>
      <c r="K4422" s="1" t="str">
        <f>IFERROR(__xludf.DUMMYFUNCTION("GOOGLETRANSLATE(G4422,""EN"",""JA"")"),"個別外科滅菌インジケーター")</f>
        <v>個別外科滅菌インジケーター</v>
      </c>
    </row>
    <row r="4423" ht="13.5" customHeight="1">
      <c r="A4423" s="1" t="s">
        <v>397</v>
      </c>
      <c r="B4423" s="1" t="s">
        <v>22068</v>
      </c>
      <c r="C4423" s="1" t="s">
        <v>22069</v>
      </c>
      <c r="D4423" s="1" t="s">
        <v>22070</v>
      </c>
      <c r="E4423" s="1" t="s">
        <v>22070</v>
      </c>
      <c r="F4423" s="1" t="s">
        <v>22071</v>
      </c>
      <c r="G4423" s="1" t="s">
        <v>22072</v>
      </c>
      <c r="H4423" s="1" t="str">
        <f>IFERROR(__xludf.DUMMYFUNCTION("GOOGLETRANSLATE(D4423,""EN"",""JA"")"),"SUSAR NCA指標への報告")</f>
        <v>SUSAR NCA指標への報告</v>
      </c>
      <c r="I4423" s="1" t="str">
        <f>IFERROR(__xludf.DUMMYFUNCTION("GOOGLETRANSLATE(E4423,""EN"",""JA"")"),"SUSAR NCA指標への報告")</f>
        <v>SUSAR NCA指標への報告</v>
      </c>
      <c r="J4423" s="1" t="str">
        <f>IFERROR(__xludf.DUMMYFUNCTION("GOOGLETRANSLATE(F4423,""EN"",""JA"")"),"疑われる予期せぬ重篤な副作用 (SUSAR) が国の管轄当局 (NCA) に報告されるかどうかを示します。")</f>
        <v>疑われる予期せぬ重篤な副作用 (SUSAR) が国の管轄当局 (NCA) に報告されるかどうかを示します。</v>
      </c>
      <c r="K4423" s="1" t="str">
        <f>IFERROR(__xludf.DUMMYFUNCTION("GOOGLETRANSLATE(G4423,""EN"",""JA"")"),"SUSAR 国家管轄当局への報告指標")</f>
        <v>SUSAR 国家管轄当局への報告指標</v>
      </c>
    </row>
    <row r="4424" ht="13.5" customHeight="1">
      <c r="A4424" s="1" t="s">
        <v>11</v>
      </c>
      <c r="B4424" s="1" t="s">
        <v>22073</v>
      </c>
      <c r="C4424" s="1" t="s">
        <v>22074</v>
      </c>
      <c r="D4424" s="1" t="s">
        <v>22075</v>
      </c>
      <c r="E4424" s="1" t="s">
        <v>22076</v>
      </c>
      <c r="F4424" s="1" t="s">
        <v>22077</v>
      </c>
      <c r="G4424" s="1" t="s">
        <v>22078</v>
      </c>
      <c r="H4424" s="1" t="str">
        <f>IFERROR(__xludf.DUMMYFUNCTION("GOOGLETRANSLATE(D4424,""EN"",""JA"")"),"セルピンA12")</f>
        <v>セルピンA12</v>
      </c>
      <c r="I4424" s="1" t="str">
        <f>IFERROR(__xludf.DUMMYFUNCTION("GOOGLETRANSLATE(E4424,""EN"",""JA"")"),"OL-64; セルピンA12; セルピンファミリーAメンバー12; バスピン; 内臓脂肪組織由来セルピン")</f>
        <v>OL-64; セルピンA12; セルピンファミリーAメンバー12; バスピン; 内臓脂肪組織由来セルピン</v>
      </c>
      <c r="J4424" s="1" t="str">
        <f>IFERROR(__xludf.DUMMYFUNCTION("GOOGLETRANSLATE(F4424,""EN"",""JA"")"),"生物標本中のセルピン A12 の測定。")</f>
        <v>生物標本中のセルピン A12 の測定。</v>
      </c>
      <c r="K4424" s="1" t="str">
        <f>IFERROR(__xludf.DUMMYFUNCTION("GOOGLETRANSLATE(G4424,""EN"",""JA"")"),"セルピンA12測定")</f>
        <v>セルピンA12測定</v>
      </c>
    </row>
    <row r="4425" ht="13.5" customHeight="1">
      <c r="A4425" s="1" t="s">
        <v>11</v>
      </c>
      <c r="B4425" s="1" t="s">
        <v>22079</v>
      </c>
      <c r="C4425" s="1" t="s">
        <v>22080</v>
      </c>
      <c r="D4425" s="1" t="s">
        <v>22081</v>
      </c>
      <c r="E4425" s="1" t="s">
        <v>22082</v>
      </c>
      <c r="F4425" s="1" t="s">
        <v>22083</v>
      </c>
      <c r="G4425" s="1" t="s">
        <v>22084</v>
      </c>
      <c r="H4425" s="1" t="str">
        <f>IFERROR(__xludf.DUMMYFUNCTION("GOOGLETRANSLATE(D4425,""EN"",""JA"")"),"セルピンA6")</f>
        <v>セルピンA6</v>
      </c>
      <c r="I4425" s="1" t="str">
        <f>IFERROR(__xludf.DUMMYFUNCTION("GOOGLETRANSLATE(E4425,""EN"",""JA"")"),"CBG; コルチコステロイド結合グロブリン; コルチコステロイド結合グロブリン; セルピンA6; トランスコルチン")</f>
        <v>CBG; コルチコステロイド結合グロブリン; コルチコステロイド結合グロブリン; セルピンA6; トランスコルチン</v>
      </c>
      <c r="J4425" s="1" t="str">
        <f>IFERROR(__xludf.DUMMYFUNCTION("GOOGLETRANSLATE(F4425,""EN"",""JA"")"),"生物標本中のセルピン A6 の測定。")</f>
        <v>生物標本中のセルピン A6 の測定。</v>
      </c>
      <c r="K4425" s="1" t="str">
        <f>IFERROR(__xludf.DUMMYFUNCTION("GOOGLETRANSLATE(G4425,""EN"",""JA"")"),"セルピンA6測定")</f>
        <v>セルピンA6測定</v>
      </c>
    </row>
    <row r="4426" ht="13.5" customHeight="1">
      <c r="A4426" s="1" t="s">
        <v>11</v>
      </c>
      <c r="B4426" s="1" t="s">
        <v>22085</v>
      </c>
      <c r="C4426" s="1" t="s">
        <v>22086</v>
      </c>
      <c r="D4426" s="1" t="s">
        <v>22087</v>
      </c>
      <c r="E4426" s="1" t="s">
        <v>22088</v>
      </c>
      <c r="F4426" s="1" t="s">
        <v>22089</v>
      </c>
      <c r="G4426" s="1" t="s">
        <v>22090</v>
      </c>
      <c r="H4426" s="1" t="str">
        <f>IFERROR(__xludf.DUMMYFUNCTION("GOOGLETRANSLATE(D4426,""EN"",""JA"")"),"セルピンファミリーBメンバー5")</f>
        <v>セルピンファミリーBメンバー5</v>
      </c>
      <c r="I4426" s="1" t="str">
        <f>IFERROR(__xludf.DUMMYFUNCTION("GOOGLETRANSLATE(E4426,""EN"",""JA"")"),"マスピン。ペプチダーゼ阻害剤 5; PI-5; PI5;セルピン B5;セルピンファミリーBメンバー5")</f>
        <v>マスピン。ペプチダーゼ阻害剤 5; PI-5; PI5;セルピン B5;セルピンファミリーBメンバー5</v>
      </c>
      <c r="J4426" s="1" t="str">
        <f>IFERROR(__xludf.DUMMYFUNCTION("GOOGLETRANSLATE(F4426,""EN"",""JA"")"),"生物標本中のセルピンファミリー B メンバー 5 の測定。")</f>
        <v>生物標本中のセルピンファミリー B メンバー 5 の測定。</v>
      </c>
      <c r="K4426" s="1" t="str">
        <f>IFERROR(__xludf.DUMMYFUNCTION("GOOGLETRANSLATE(G4426,""EN"",""JA"")"),"セルピンファミリーBメンバー5の測定")</f>
        <v>セルピンファミリーBメンバー5の測定</v>
      </c>
    </row>
    <row r="4427" ht="13.5" customHeight="1">
      <c r="A4427" s="1" t="s">
        <v>11</v>
      </c>
      <c r="B4427" s="1" t="s">
        <v>22091</v>
      </c>
      <c r="C4427" s="1" t="s">
        <v>22092</v>
      </c>
      <c r="D4427" s="1" t="s">
        <v>22093</v>
      </c>
      <c r="E4427" s="1" t="s">
        <v>22094</v>
      </c>
      <c r="F4427" s="1" t="s">
        <v>22095</v>
      </c>
      <c r="G4427" s="1" t="s">
        <v>22096</v>
      </c>
      <c r="H4427" s="1" t="str">
        <f>IFERROR(__xludf.DUMMYFUNCTION("GOOGLETRANSLATE(D4427,""EN"",""JA"")"),"セルピンファミリーFメンバー1")</f>
        <v>セルピンファミリーFメンバー1</v>
      </c>
      <c r="I4427" s="1" t="str">
        <f>IFERROR(__xludf.DUMMYFUNCTION("GOOGLETRANSLATE(E4427,""EN"",""JA"")"),"PEDF; 色素上皮由来因子; セルピン F1; セルピンファミリー F メンバー 1")</f>
        <v>PEDF; 色素上皮由来因子; セルピン F1; セルピンファミリー F メンバー 1</v>
      </c>
      <c r="J4427" s="1" t="str">
        <f>IFERROR(__xludf.DUMMYFUNCTION("GOOGLETRANSLATE(F4427,""EN"",""JA"")"),"生物標本中のセルピンファミリー F メンバー 1 の測定。")</f>
        <v>生物標本中のセルピンファミリー F メンバー 1 の測定。</v>
      </c>
      <c r="K4427" s="1" t="str">
        <f>IFERROR(__xludf.DUMMYFUNCTION("GOOGLETRANSLATE(G4427,""EN"",""JA"")"),"セルピンファミリーFメンバー1の測定")</f>
        <v>セルピンファミリーFメンバー1の測定</v>
      </c>
    </row>
    <row r="4428" ht="13.5" customHeight="1">
      <c r="A4428" s="1" t="s">
        <v>11</v>
      </c>
      <c r="B4428" s="1" t="s">
        <v>22097</v>
      </c>
      <c r="C4428" s="1" t="s">
        <v>22098</v>
      </c>
      <c r="D4428" s="1" t="s">
        <v>22099</v>
      </c>
      <c r="E4428" s="1" t="s">
        <v>22099</v>
      </c>
      <c r="F4428" s="1" t="s">
        <v>22100</v>
      </c>
      <c r="G4428" s="1" t="s">
        <v>22101</v>
      </c>
      <c r="H4428" s="1" t="str">
        <f>IFERROR(__xludf.DUMMYFUNCTION("GOOGLETRANSLATE(D4428,""EN"",""JA"")"),"セロトニン")</f>
        <v>セロトニン</v>
      </c>
      <c r="I4428" s="1" t="str">
        <f>IFERROR(__xludf.DUMMYFUNCTION("GOOGLETRANSLATE(E4428,""EN"",""JA"")"),"セロトニン")</f>
        <v>セロトニン</v>
      </c>
      <c r="J4428" s="1" t="str">
        <f>IFERROR(__xludf.DUMMYFUNCTION("GOOGLETRANSLATE(F4428,""EN"",""JA"")"),"生物標本中のセロトニンホルモンの測定。")</f>
        <v>生物標本中のセロトニンホルモンの測定。</v>
      </c>
      <c r="K4428" s="1" t="str">
        <f>IFERROR(__xludf.DUMMYFUNCTION("GOOGLETRANSLATE(G4428,""EN"",""JA"")"),"セロトニン測定")</f>
        <v>セロトニン測定</v>
      </c>
    </row>
    <row r="4429" ht="13.5" customHeight="1">
      <c r="A4429" s="1" t="s">
        <v>67</v>
      </c>
      <c r="B4429" s="1" t="s">
        <v>22102</v>
      </c>
      <c r="C4429" s="1" t="s">
        <v>22103</v>
      </c>
      <c r="D4429" s="1" t="s">
        <v>22104</v>
      </c>
      <c r="E4429" s="1" t="s">
        <v>22104</v>
      </c>
      <c r="F4429" s="1" t="s">
        <v>22105</v>
      </c>
      <c r="G4429" s="1" t="s">
        <v>22106</v>
      </c>
      <c r="H4429" s="1" t="str">
        <f>IFERROR(__xludf.DUMMYFUNCTION("GOOGLETRANSLATE(D4429,""EN"",""JA"")"),"ブドウ球菌")</f>
        <v>ブドウ球菌</v>
      </c>
      <c r="I4429" s="1" t="str">
        <f>IFERROR(__xludf.DUMMYFUNCTION("GOOGLETRANSLATE(E4429,""EN"",""JA"")"),"ブドウ球菌")</f>
        <v>ブドウ球菌</v>
      </c>
      <c r="J4429" s="1" t="str">
        <f>IFERROR(__xludf.DUMMYFUNCTION("GOOGLETRANSLATE(F4429,""EN"",""JA"")"),"生物標本中の Staphylococcus saprophyticus の測定。")</f>
        <v>生物標本中の Staphylococcus saprophyticus の測定。</v>
      </c>
      <c r="K4429" s="1" t="str">
        <f>IFERROR(__xludf.DUMMYFUNCTION("GOOGLETRANSLATE(G4429,""EN"",""JA"")"),"ブドウ球菌の測定")</f>
        <v>ブドウ球菌の測定</v>
      </c>
    </row>
    <row r="4430" ht="13.5" customHeight="1">
      <c r="A4430" s="1" t="s">
        <v>67</v>
      </c>
      <c r="B4430" s="1" t="s">
        <v>22107</v>
      </c>
      <c r="C4430" s="1" t="s">
        <v>22108</v>
      </c>
      <c r="D4430" s="1" t="s">
        <v>22109</v>
      </c>
      <c r="E4430" s="1" t="s">
        <v>22109</v>
      </c>
      <c r="F4430" s="1" t="s">
        <v>22110</v>
      </c>
      <c r="G4430" s="1" t="s">
        <v>22111</v>
      </c>
      <c r="H4430" s="1" t="str">
        <f>IFERROR(__xludf.DUMMYFUNCTION("GOOGLETRANSLATE(D4430,""EN"",""JA"")"),"ストレプトコッカス・サリバリウス")</f>
        <v>ストレプトコッカス・サリバリウス</v>
      </c>
      <c r="I4430" s="1" t="str">
        <f>IFERROR(__xludf.DUMMYFUNCTION("GOOGLETRANSLATE(E4430,""EN"",""JA"")"),"ストレプトコッカス・サリバリウス")</f>
        <v>ストレプトコッカス・サリバリウス</v>
      </c>
      <c r="J4430" s="1" t="str">
        <f>IFERROR(__xludf.DUMMYFUNCTION("GOOGLETRANSLATE(F4430,""EN"",""JA"")"),"生物標本中の Streptococcus salivarius の測定。")</f>
        <v>生物標本中の Streptococcus salivarius の測定。</v>
      </c>
      <c r="K4430" s="1" t="str">
        <f>IFERROR(__xludf.DUMMYFUNCTION("GOOGLETRANSLATE(G4430,""EN"",""JA"")"),"ストレプトコッカス・サリバリウス測定")</f>
        <v>ストレプトコッカス・サリバリウス測定</v>
      </c>
    </row>
    <row r="4431" ht="13.5" customHeight="1">
      <c r="A4431" s="1" t="s">
        <v>397</v>
      </c>
      <c r="B4431" s="1" t="s">
        <v>22112</v>
      </c>
      <c r="C4431" s="1" t="s">
        <v>22113</v>
      </c>
      <c r="D4431" s="1" t="s">
        <v>22114</v>
      </c>
      <c r="E4431" s="1" t="s">
        <v>22114</v>
      </c>
      <c r="F4431" s="1" t="s">
        <v>22115</v>
      </c>
      <c r="G4431" s="1" t="s">
        <v>22116</v>
      </c>
      <c r="H4431" s="1" t="str">
        <f>IFERROR(__xludf.DUMMYFUNCTION("GOOGLETRANSLATE(D4431,""EN"",""JA"")"),"EU州単一施設試験指標")</f>
        <v>EU州単一施設試験指標</v>
      </c>
      <c r="I4431" s="1" t="str">
        <f>IFERROR(__xludf.DUMMYFUNCTION("GOOGLETRANSLATE(E4431,""EN"",""JA"")"),"EU州単一施設試験指標")</f>
        <v>EU州単一施設試験指標</v>
      </c>
      <c r="J4431" s="1" t="str">
        <f>IFERROR(__xludf.DUMMYFUNCTION("GOOGLETRANSLATE(F4431,""EN"",""JA"")"),"申請に関連する欧州連合加盟国内の 1 つの施設でのみ臨床試験が実施されているかどうかを示します。")</f>
        <v>申請に関連する欧州連合加盟国内の 1 つの施設でのみ臨床試験が実施されているかどうかを示します。</v>
      </c>
      <c r="K4431" s="1" t="str">
        <f>IFERROR(__xludf.DUMMYFUNCTION("GOOGLETRANSLATE(G4431,""EN"",""JA"")"),"単一施設欧州連合州試験指標")</f>
        <v>単一施設欧州連合州試験指標</v>
      </c>
    </row>
    <row r="4432" ht="13.5" customHeight="1">
      <c r="A4432" s="1" t="s">
        <v>601</v>
      </c>
      <c r="B4432" s="1" t="s">
        <v>22117</v>
      </c>
      <c r="C4432" s="1" t="s">
        <v>22118</v>
      </c>
      <c r="D4432" s="1" t="s">
        <v>22119</v>
      </c>
      <c r="E4432" s="1" t="s">
        <v>22120</v>
      </c>
      <c r="F4432" s="1" t="s">
        <v>22121</v>
      </c>
      <c r="G4432" s="1" t="s">
        <v>22122</v>
      </c>
      <c r="H4432" s="1" t="str">
        <f>IFERROR(__xludf.DUMMYFUNCTION("GOOGLETRANSLATE(D4432,""EN"",""JA"")"),"州別健康保険プログラム名")</f>
        <v>州別健康保険プログラム名</v>
      </c>
      <c r="I4432" s="1" t="str">
        <f>IFERROR(__xludf.DUMMYFUNCTION("GOOGLETRANSLATE(E4432,""EN"",""JA"")"),"州固有の健康保険プログラム名; 州固有の健康保険プログラム名")</f>
        <v>州固有の健康保険プログラム名; 州固有の健康保険プログラム名</v>
      </c>
      <c r="J4432" s="1" t="str">
        <f>IFERROR(__xludf.DUMMYFUNCTION("GOOGLETRANSLATE(F4432,""EN"",""JA"")"),"米国の州別の健康保険プログラムの名称。")</f>
        <v>米国の州別の健康保険プログラムの名称。</v>
      </c>
      <c r="K4432" s="1" t="str">
        <f>IFERROR(__xludf.DUMMYFUNCTION("GOOGLETRANSLATE(G4432,""EN"",""JA"")"),"州別健康保険プログラム名")</f>
        <v>州別健康保険プログラム名</v>
      </c>
    </row>
    <row r="4433" ht="13.5" customHeight="1">
      <c r="A4433" s="1" t="s">
        <v>601</v>
      </c>
      <c r="B4433" s="1" t="s">
        <v>22123</v>
      </c>
      <c r="C4433" s="1" t="s">
        <v>22124</v>
      </c>
      <c r="D4433" s="1" t="s">
        <v>22125</v>
      </c>
      <c r="E4433" s="1" t="s">
        <v>22125</v>
      </c>
      <c r="F4433" s="1" t="s">
        <v>22126</v>
      </c>
      <c r="G4433" s="1" t="s">
        <v>22125</v>
      </c>
      <c r="H4433" s="1" t="str">
        <f>IFERROR(__xludf.DUMMYFUNCTION("GOOGLETRANSLATE(D4433,""EN"",""JA"")"),"州別メディケイドプログラム名")</f>
        <v>州別メディケイドプログラム名</v>
      </c>
      <c r="I4433" s="1" t="str">
        <f>IFERROR(__xludf.DUMMYFUNCTION("GOOGLETRANSLATE(E4433,""EN"",""JA"")"),"州別メディケイドプログラム名")</f>
        <v>州別メディケイドプログラム名</v>
      </c>
      <c r="J4433" s="1" t="str">
        <f>IFERROR(__xludf.DUMMYFUNCTION("GOOGLETRANSLATE(F4433,""EN"",""JA"")"),"米国の州別メディケイド プログラムの名前。")</f>
        <v>米国の州別メディケイド プログラムの名前。</v>
      </c>
      <c r="K4433" s="1" t="str">
        <f>IFERROR(__xludf.DUMMYFUNCTION("GOOGLETRANSLATE(G4433,""EN"",""JA"")"),"州別メディケイドプログラム名")</f>
        <v>州別メディケイドプログラム名</v>
      </c>
    </row>
    <row r="4434" ht="13.5" customHeight="1">
      <c r="A4434" s="1" t="s">
        <v>601</v>
      </c>
      <c r="B4434" s="1" t="s">
        <v>22127</v>
      </c>
      <c r="C4434" s="1" t="s">
        <v>22128</v>
      </c>
      <c r="D4434" s="1" t="s">
        <v>22129</v>
      </c>
      <c r="E4434" s="1" t="s">
        <v>22129</v>
      </c>
      <c r="F4434" s="1" t="s">
        <v>22130</v>
      </c>
      <c r="G4434" s="1" t="s">
        <v>22129</v>
      </c>
      <c r="H4434" s="1" t="str">
        <f>IFERROR(__xludf.DUMMYFUNCTION("GOOGLETRANSLATE(D4434,""EN"",""JA"")"),"州固有のメディケアプログラム名")</f>
        <v>州固有のメディケアプログラム名</v>
      </c>
      <c r="I4434" s="1" t="str">
        <f>IFERROR(__xludf.DUMMYFUNCTION("GOOGLETRANSLATE(E4434,""EN"",""JA"")"),"州固有のメディケアプログラム名")</f>
        <v>州固有のメディケアプログラム名</v>
      </c>
      <c r="J4434" s="1" t="str">
        <f>IFERROR(__xludf.DUMMYFUNCTION("GOOGLETRANSLATE(F4434,""EN"",""JA"")"),"米国の州別メディケア プログラムの名前。")</f>
        <v>米国の州別メディケア プログラムの名前。</v>
      </c>
      <c r="K4434" s="1" t="str">
        <f>IFERROR(__xludf.DUMMYFUNCTION("GOOGLETRANSLATE(G4434,""EN"",""JA"")"),"州固有のメディケアプログラム名")</f>
        <v>州固有のメディケアプログラム名</v>
      </c>
    </row>
    <row r="4435" ht="13.5" customHeight="1">
      <c r="A4435" s="1" t="s">
        <v>129</v>
      </c>
      <c r="B4435" s="1" t="s">
        <v>22131</v>
      </c>
      <c r="C4435" s="1" t="s">
        <v>22132</v>
      </c>
      <c r="D4435" s="1" t="s">
        <v>22133</v>
      </c>
      <c r="E4435" s="1" t="s">
        <v>22133</v>
      </c>
      <c r="F4435" s="1" t="s">
        <v>22134</v>
      </c>
      <c r="G4435" s="1" t="s">
        <v>22133</v>
      </c>
      <c r="H4435" s="1" t="str">
        <f>IFERROR(__xludf.DUMMYFUNCTION("GOOGLETRANSLATE(D4435,""EN"",""JA"")"),"肩甲下皮下脂肪厚")</f>
        <v>肩甲下皮下脂肪厚</v>
      </c>
      <c r="I4435" s="1" t="str">
        <f>IFERROR(__xludf.DUMMYFUNCTION("GOOGLETRANSLATE(E4435,""EN"",""JA"")"),"肩甲下皮下脂肪厚")</f>
        <v>肩甲下皮下脂肪厚</v>
      </c>
      <c r="J4435" s="1" t="str">
        <f>IFERROR(__xludf.DUMMYFUNCTION("GOOGLETRANSLATE(F4435,""EN"",""JA"")"),"肩甲骨の下側または裏側にある皮膚をひとつまみ分の厚さで測定した値。(NCI)")</f>
        <v>肩甲骨の下側または裏側にある皮膚をひとつまみ分の厚さで測定した値。(NCI)</v>
      </c>
      <c r="K4435" s="1" t="str">
        <f>IFERROR(__xludf.DUMMYFUNCTION("GOOGLETRANSLATE(G4435,""EN"",""JA"")"),"肩甲下皮下脂肪厚")</f>
        <v>肩甲下皮下脂肪厚</v>
      </c>
    </row>
    <row r="4436" ht="13.5" customHeight="1">
      <c r="A4436" s="1" t="s">
        <v>397</v>
      </c>
      <c r="B4436" s="1" t="s">
        <v>22135</v>
      </c>
      <c r="C4436" s="1" t="s">
        <v>22136</v>
      </c>
      <c r="D4436" s="1" t="s">
        <v>22137</v>
      </c>
      <c r="E4436" s="1" t="s">
        <v>22137</v>
      </c>
      <c r="F4436" s="1" t="s">
        <v>22138</v>
      </c>
      <c r="G4436" s="1" t="s">
        <v>22137</v>
      </c>
      <c r="H4436" s="1" t="str">
        <f>IFERROR(__xludf.DUMMYFUNCTION("GOOGLETRANSLATE(D4436,""EN"",""JA"")"),"調査開始日")</f>
        <v>調査開始日</v>
      </c>
      <c r="I4436" s="1" t="str">
        <f>IFERROR(__xludf.DUMMYFUNCTION("GOOGLETRANSLATE(E4436,""EN"",""JA"")"),"調査開始日")</f>
        <v>調査開始日</v>
      </c>
      <c r="J4436" s="1" t="str">
        <f>IFERROR(__xludf.DUMMYFUNCTION("GOOGLETRANSLATE(F4436,""EN"",""JA"")"),"研究に登録された被験者の中で最も早いインフォームド・コンセントの日付（インフォームド・コンセントの日付/時刻、RFICDTC）。インフォームド・コンセントなしで実施された研究（緊急使用など）の場合は、治療日を使用する。スクリーニングを受けた被験者の日付は、")</f>
        <v>研究に登録された被験者の中で最も早いインフォームド・コンセントの日付（インフォームド・コンセントの日付/時刻、RFICDTC）。インフォームド・コンセントなしで実施された研究（緊急使用など）の場合は、治療日を使用する。スクリーニングを受けた被験者の日付は、</v>
      </c>
      <c r="K4436" s="1" t="str">
        <f>IFERROR(__xludf.DUMMYFUNCTION("GOOGLETRANSLATE(G4436,""EN"",""JA"")"),"調査開始日")</f>
        <v>調査開始日</v>
      </c>
    </row>
    <row r="4437" ht="13.5" customHeight="1">
      <c r="A4437" s="1" t="s">
        <v>397</v>
      </c>
      <c r="B4437" s="1" t="s">
        <v>22139</v>
      </c>
      <c r="C4437" s="1" t="s">
        <v>22140</v>
      </c>
      <c r="D4437" s="1" t="s">
        <v>22141</v>
      </c>
      <c r="E4437" s="1" t="s">
        <v>22141</v>
      </c>
      <c r="F4437" s="1" t="s">
        <v>22142</v>
      </c>
      <c r="G4437" s="1" t="s">
        <v>22141</v>
      </c>
      <c r="H4437" s="1" t="str">
        <f>IFERROR(__xludf.DUMMYFUNCTION("GOOGLETRANSLATE(D4437,""EN"",""JA"")"),"サブスタディの詳細")</f>
        <v>サブスタディの詳細</v>
      </c>
      <c r="I4437" s="1" t="str">
        <f>IFERROR(__xludf.DUMMYFUNCTION("GOOGLETRANSLATE(E4437,""EN"",""JA"")"),"サブスタディの詳細")</f>
        <v>サブスタディの詳細</v>
      </c>
      <c r="J4437" s="1" t="str">
        <f>IFERROR(__xludf.DUMMYFUNCTION("GOOGLETRANSLATE(F4437,""EN"",""JA"")"),"サブスタディのテキストによる説明。")</f>
        <v>サブスタディのテキストによる説明。</v>
      </c>
      <c r="K4437" s="1" t="str">
        <f>IFERROR(__xludf.DUMMYFUNCTION("GOOGLETRANSLATE(G4437,""EN"",""JA"")"),"サブスタディの詳細")</f>
        <v>サブスタディの詳細</v>
      </c>
    </row>
    <row r="4438" ht="13.5" customHeight="1">
      <c r="A4438" s="1" t="s">
        <v>397</v>
      </c>
      <c r="B4438" s="1" t="s">
        <v>22143</v>
      </c>
      <c r="C4438" s="1" t="s">
        <v>22144</v>
      </c>
      <c r="D4438" s="1" t="s">
        <v>22145</v>
      </c>
      <c r="E4438" s="1" t="s">
        <v>22145</v>
      </c>
      <c r="F4438" s="1" t="s">
        <v>22146</v>
      </c>
      <c r="G4438" s="1" t="s">
        <v>22145</v>
      </c>
      <c r="H4438" s="1" t="str">
        <f>IFERROR(__xludf.DUMMYFUNCTION("GOOGLETRANSLATE(D4438,""EN"",""JA"")"),"サブスタディ計画指標")</f>
        <v>サブスタディ計画指標</v>
      </c>
      <c r="I4438" s="1" t="str">
        <f>IFERROR(__xludf.DUMMYFUNCTION("GOOGLETRANSLATE(E4438,""EN"",""JA"")"),"サブスタディ計画指標")</f>
        <v>サブスタディ計画指標</v>
      </c>
      <c r="J4438" s="1" t="str">
        <f>IFERROR(__xludf.DUMMYFUNCTION("GOOGLETRANSLATE(F4438,""EN"",""JA"")"),"元の試験に含まれる被験者のサブグループに対して実行される研究 (サブ研究) が現在の研究で計画されているかどうかを示します。")</f>
        <v>元の試験に含まれる被験者のサブグループに対して実行される研究 (サブ研究) が現在の研究で計画されているかどうかを示します。</v>
      </c>
      <c r="K4438" s="1" t="str">
        <f>IFERROR(__xludf.DUMMYFUNCTION("GOOGLETRANSLATE(G4438,""EN"",""JA"")"),"サブスタディ計画指標")</f>
        <v>サブスタディ計画指標</v>
      </c>
    </row>
    <row r="4439" ht="13.5" customHeight="1">
      <c r="A4439" s="1" t="s">
        <v>11</v>
      </c>
      <c r="B4439" s="1" t="s">
        <v>22147</v>
      </c>
      <c r="C4439" s="1" t="s">
        <v>22148</v>
      </c>
      <c r="D4439" s="1" t="s">
        <v>22149</v>
      </c>
      <c r="E4439" s="1" t="s">
        <v>22150</v>
      </c>
      <c r="F4439" s="1" t="s">
        <v>22151</v>
      </c>
      <c r="G4439" s="1" t="s">
        <v>22152</v>
      </c>
      <c r="H4439" s="1" t="str">
        <f>IFERROR(__xludf.DUMMYFUNCTION("GOOGLETRANSLATE(D4439,""EN"",""JA"")"),"ソマトスタチン受容体2型")</f>
        <v>ソマトスタチン受容体2型</v>
      </c>
      <c r="I4439" s="1" t="str">
        <f>IFERROR(__xludf.DUMMYFUNCTION("GOOGLETRANSLATE(E4439,""EN"",""JA"")"),"ソマトスタチン受容体2型; SRIF-1")</f>
        <v>ソマトスタチン受容体2型; SRIF-1</v>
      </c>
      <c r="J4439" s="1" t="str">
        <f>IFERROR(__xludf.DUMMYFUNCTION("GOOGLETRANSLATE(F4439,""EN"",""JA"")"),"生物標本中のソマトスタチン受容体 2 型の測定。")</f>
        <v>生物標本中のソマトスタチン受容体 2 型の測定。</v>
      </c>
      <c r="K4439" s="1" t="str">
        <f>IFERROR(__xludf.DUMMYFUNCTION("GOOGLETRANSLATE(G4439,""EN"",""JA"")"),"ソマトスタチン受容体2型の測定")</f>
        <v>ソマトスタチン受容体2型の測定</v>
      </c>
    </row>
    <row r="4440" ht="13.5" customHeight="1">
      <c r="A4440" s="1" t="s">
        <v>176</v>
      </c>
      <c r="B4440" s="1" t="s">
        <v>22153</v>
      </c>
      <c r="C4440" s="1" t="s">
        <v>22154</v>
      </c>
      <c r="D4440" s="1" t="s">
        <v>22155</v>
      </c>
      <c r="E4440" s="1" t="s">
        <v>22155</v>
      </c>
      <c r="F4440" s="1" t="s">
        <v>22156</v>
      </c>
      <c r="G4440" s="1" t="s">
        <v>22157</v>
      </c>
      <c r="H4440" s="1" t="str">
        <f>IFERROR(__xludf.DUMMYFUNCTION("GOOGLETRANSLATE(D4440,""EN"",""JA"")"),"スタンディング能力")</f>
        <v>スタンディング能力</v>
      </c>
      <c r="I4440" s="1" t="str">
        <f>IFERROR(__xludf.DUMMYFUNCTION("GOOGLETRANSLATE(E4440,""EN"",""JA"")"),"スタンディング能力")</f>
        <v>スタンディング能力</v>
      </c>
      <c r="J4440" s="1" t="str">
        <f>IFERROR(__xludf.DUMMYFUNCTION("GOOGLETRANSLATE(F4440,""EN"",""JA"")"),"個人の立ち上がる能力の評価。")</f>
        <v>個人の立ち上がる能力の評価。</v>
      </c>
      <c r="K4440" s="1" t="str">
        <f>IFERROR(__xludf.DUMMYFUNCTION("GOOGLETRANSLATE(G4440,""EN"",""JA"")"),"立ち能力評価")</f>
        <v>立ち能力評価</v>
      </c>
    </row>
    <row r="4441" ht="13.5" customHeight="1">
      <c r="A4441" s="1" t="s">
        <v>90</v>
      </c>
      <c r="B4441" s="1" t="s">
        <v>22158</v>
      </c>
      <c r="C4441" s="1" t="s">
        <v>22159</v>
      </c>
      <c r="D4441" s="1" t="s">
        <v>22160</v>
      </c>
      <c r="E4441" s="1" t="s">
        <v>22161</v>
      </c>
      <c r="F4441" s="1" t="s">
        <v>22162</v>
      </c>
      <c r="G4441" s="1" t="s">
        <v>22163</v>
      </c>
      <c r="H4441" s="1" t="str">
        <f>IFERROR(__xludf.DUMMYFUNCTION("GOOGLETRANSLATE(D4441,""EN"",""JA"")"),"スタンフォードAoD分類")</f>
        <v>スタンフォードAoD分類</v>
      </c>
      <c r="I4441" s="1" t="str">
        <f>IFERROR(__xludf.DUMMYFUNCTION("GOOGLETRANSLATE(E4441,""EN"",""JA"")"),"スタンフォード大動脈解離分類; スタンフォード大動脈解離分類")</f>
        <v>スタンフォード大動脈解離分類; スタンフォード大動脈解離分類</v>
      </c>
      <c r="J4441" s="1" t="str">
        <f>IFERROR(__xludf.DUMMYFUNCTION("GOOGLETRANSLATE(F4441,""EN"",""JA"")"),"スタンフォード分類システム（Daily PO、Trueblood HW、Stinson EB、Wuerflein RD、Shumway NE. 急性大動脈解離の管理。Ann Thorac Surg. 1970 Sep;10(3):237-47）によって定義された大動脈解離の種類。")</f>
        <v>スタンフォード分類システム（Daily PO、Trueblood HW、Stinson EB、Wuerflein RD、Shumway NE. 急性大動脈解離の管理。Ann Thorac Surg. 1970 Sep;10(3):237-47）によって定義された大動脈解離の種類。</v>
      </c>
      <c r="K4441" s="1" t="str">
        <f>IFERROR(__xludf.DUMMYFUNCTION("GOOGLETRANSLATE(G4441,""EN"",""JA"")"),"スタンフォード大動脈解離分類")</f>
        <v>スタンフォード大動脈解離分類</v>
      </c>
    </row>
    <row r="4442" ht="13.5" customHeight="1">
      <c r="A4442" s="1" t="s">
        <v>67</v>
      </c>
      <c r="B4442" s="1" t="s">
        <v>22164</v>
      </c>
      <c r="C4442" s="1" t="s">
        <v>22165</v>
      </c>
      <c r="D4442" s="1" t="s">
        <v>22166</v>
      </c>
      <c r="E4442" s="1" t="s">
        <v>22166</v>
      </c>
      <c r="F4442" s="1" t="s">
        <v>22167</v>
      </c>
      <c r="G4442" s="1" t="s">
        <v>22168</v>
      </c>
      <c r="H4442" s="1" t="str">
        <f>IFERROR(__xludf.DUMMYFUNCTION("GOOGLETRANSLATE(D4442,""EN"",""JA"")"),"ブドウ球菌、コアグラーゼ陰性")</f>
        <v>ブドウ球菌、コアグラーゼ陰性</v>
      </c>
      <c r="I4442" s="1" t="str">
        <f>IFERROR(__xludf.DUMMYFUNCTION("GOOGLETRANSLATE(E4442,""EN"",""JA"")"),"ブドウ球菌、コアグラーゼ陰性")</f>
        <v>ブドウ球菌、コアグラーゼ陰性</v>
      </c>
      <c r="J4442" s="1" t="str">
        <f>IFERROR(__xludf.DUMMYFUNCTION("GOOGLETRANSLATE(F4442,""EN"",""JA"")"),"生物標本中の凝固酵素陰性ブドウ球菌種の測定。")</f>
        <v>生物標本中の凝固酵素陰性ブドウ球菌種の測定。</v>
      </c>
      <c r="K4442" s="1" t="str">
        <f>IFERROR(__xludf.DUMMYFUNCTION("GOOGLETRANSLATE(G4442,""EN"",""JA"")"),"コアグラーゼ陰性ブドウ球菌測定")</f>
        <v>コアグラーゼ陰性ブドウ球菌測定</v>
      </c>
    </row>
    <row r="4443" ht="13.5" customHeight="1">
      <c r="A4443" s="1" t="s">
        <v>67</v>
      </c>
      <c r="B4443" s="1" t="s">
        <v>22169</v>
      </c>
      <c r="C4443" s="1" t="s">
        <v>22170</v>
      </c>
      <c r="D4443" s="1" t="s">
        <v>22171</v>
      </c>
      <c r="E4443" s="1" t="s">
        <v>22171</v>
      </c>
      <c r="F4443" s="1" t="s">
        <v>22172</v>
      </c>
      <c r="G4443" s="1" t="s">
        <v>22173</v>
      </c>
      <c r="H4443" s="1" t="str">
        <f>IFERROR(__xludf.DUMMYFUNCTION("GOOGLETRANSLATE(D4443,""EN"",""JA"")"),"ブドウ球菌、コアグラーゼ陽性")</f>
        <v>ブドウ球菌、コアグラーゼ陽性</v>
      </c>
      <c r="I4443" s="1" t="str">
        <f>IFERROR(__xludf.DUMMYFUNCTION("GOOGLETRANSLATE(E4443,""EN"",""JA"")"),"ブドウ球菌、コアグラーゼ陽性")</f>
        <v>ブドウ球菌、コアグラーゼ陽性</v>
      </c>
      <c r="J4443" s="1" t="str">
        <f>IFERROR(__xludf.DUMMYFUNCTION("GOOGLETRANSLATE(F4443,""EN"",""JA"")"),"生物標本中の凝固酵素陽性ブドウ球菌種の測定。")</f>
        <v>生物標本中の凝固酵素陽性ブドウ球菌種の測定。</v>
      </c>
      <c r="K4443" s="1" t="str">
        <f>IFERROR(__xludf.DUMMYFUNCTION("GOOGLETRANSLATE(G4443,""EN"",""JA"")"),"コアグラーゼ陽性ブドウ球菌測定")</f>
        <v>コアグラーゼ陽性ブドウ球菌測定</v>
      </c>
    </row>
    <row r="4444" ht="13.5" customHeight="1">
      <c r="A4444" s="1" t="s">
        <v>11</v>
      </c>
      <c r="B4444" s="1" t="s">
        <v>22174</v>
      </c>
      <c r="C4444" s="1" t="s">
        <v>22175</v>
      </c>
      <c r="D4444" s="1" t="s">
        <v>22175</v>
      </c>
      <c r="E4444" s="1" t="s">
        <v>22176</v>
      </c>
      <c r="F4444" s="1" t="s">
        <v>22177</v>
      </c>
      <c r="G4444" s="1" t="s">
        <v>22178</v>
      </c>
      <c r="H4444" s="1" t="str">
        <f>IFERROR(__xludf.DUMMYFUNCTION("GOOGLETRANSLATE(D4444,""EN"",""JA"")"),"STAT3")</f>
        <v>STAT3</v>
      </c>
      <c r="I4444" s="1" t="str">
        <f>IFERROR(__xludf.DUMMYFUNCTION("GOOGLETRANSLATE(E4444,""EN"",""JA"")"),"シグナル伝達および転写活性化因子3; STAT3")</f>
        <v>シグナル伝達および転写活性化因子3; STAT3</v>
      </c>
      <c r="J4444" s="1" t="str">
        <f>IFERROR(__xludf.DUMMYFUNCTION("GOOGLETRANSLATE(F4444,""EN"",""JA"")"),"生物標本中の STAT3 (シグナル伝達および転写活性化因子 3) の測定。")</f>
        <v>生物標本中の STAT3 (シグナル伝達および転写活性化因子 3) の測定。</v>
      </c>
      <c r="K4444" s="1" t="str">
        <f>IFERROR(__xludf.DUMMYFUNCTION("GOOGLETRANSLATE(G4444,""EN"",""JA"")"),"STAT3測定")</f>
        <v>STAT3測定</v>
      </c>
    </row>
    <row r="4445" ht="13.5" customHeight="1">
      <c r="A4445" s="1" t="s">
        <v>11</v>
      </c>
      <c r="B4445" s="1" t="s">
        <v>22179</v>
      </c>
      <c r="C4445" s="1" t="s">
        <v>22180</v>
      </c>
      <c r="D4445" s="1" t="s">
        <v>22181</v>
      </c>
      <c r="E4445" s="1" t="s">
        <v>22182</v>
      </c>
      <c r="F4445" s="1" t="s">
        <v>22183</v>
      </c>
      <c r="G4445" s="1" t="s">
        <v>22184</v>
      </c>
      <c r="H4445" s="1" t="str">
        <f>IFERROR(__xludf.DUMMYFUNCTION("GOOGLETRANSLATE(D4445,""EN"",""JA"")"),"リン酸化されたSTAT3")</f>
        <v>リン酸化されたSTAT3</v>
      </c>
      <c r="I4445" s="1" t="str">
        <f>IFERROR(__xludf.DUMMYFUNCTION("GOOGLETRANSLATE(E4445,""EN"",""JA"")"),"リン酸化されたSTAT3; pSTAT3")</f>
        <v>リン酸化されたSTAT3; pSTAT3</v>
      </c>
      <c r="J4445" s="1" t="str">
        <f>IFERROR(__xludf.DUMMYFUNCTION("GOOGLETRANSLATE(F4445,""EN"",""JA"")"),"生物標本中のリン酸化 STAT3 (シグナル伝達および転写活性化因子 3) の測定。")</f>
        <v>生物標本中のリン酸化 STAT3 (シグナル伝達および転写活性化因子 3) の測定。</v>
      </c>
      <c r="K4445" s="1" t="str">
        <f>IFERROR(__xludf.DUMMYFUNCTION("GOOGLETRANSLATE(G4445,""EN"",""JA"")"),"リン酸化されたSTAT3の測定")</f>
        <v>リン酸化されたSTAT3の測定</v>
      </c>
    </row>
    <row r="4446" ht="13.5" customHeight="1">
      <c r="A4446" s="1" t="s">
        <v>11</v>
      </c>
      <c r="B4446" s="1" t="s">
        <v>22185</v>
      </c>
      <c r="C4446" s="1" t="s">
        <v>22186</v>
      </c>
      <c r="D4446" s="1" t="s">
        <v>22187</v>
      </c>
      <c r="E4446" s="1" t="s">
        <v>22188</v>
      </c>
      <c r="F4446" s="1" t="s">
        <v>22189</v>
      </c>
      <c r="G4446" s="1" t="s">
        <v>22190</v>
      </c>
      <c r="H4446" s="1" t="str">
        <f>IFERROR(__xludf.DUMMYFUNCTION("GOOGLETRANSLATE(D4446,""EN"",""JA"")"),"リン酸化されたSTAT3/STAT3")</f>
        <v>リン酸化されたSTAT3/STAT3</v>
      </c>
      <c r="I4446" s="1" t="str">
        <f>IFERROR(__xludf.DUMMYFUNCTION("GOOGLETRANSLATE(E4446,""EN"",""JA"")"),"リン酸化されたSTAT3/STAT3; pSTAT3/STAT3")</f>
        <v>リン酸化されたSTAT3/STAT3; pSTAT3/STAT3</v>
      </c>
      <c r="J4446" s="1" t="str">
        <f>IFERROR(__xludf.DUMMYFUNCTION("GOOGLETRANSLATE(F4446,""EN"",""JA"")"),"生物標本中のリン酸化 STAT3 と総 STAT3 の相対的な測定値 (比率またはパーセンテージ)。")</f>
        <v>生物標本中のリン酸化 STAT3 と総 STAT3 の相対的な測定値 (比率またはパーセンテージ)。</v>
      </c>
      <c r="K4446" s="1" t="str">
        <f>IFERROR(__xludf.DUMMYFUNCTION("GOOGLETRANSLATE(G4446,""EN"",""JA"")"),"リン酸化されたSTAT3とSTAT3の比率測定")</f>
        <v>リン酸化されたSTAT3とSTAT3の比率測定</v>
      </c>
    </row>
    <row r="4447" ht="13.5" customHeight="1">
      <c r="A4447" s="1" t="s">
        <v>11</v>
      </c>
      <c r="B4447" s="1" t="s">
        <v>22191</v>
      </c>
      <c r="C4447" s="1" t="s">
        <v>22192</v>
      </c>
      <c r="D4447" s="1" t="s">
        <v>22193</v>
      </c>
      <c r="E4447" s="1" t="s">
        <v>22193</v>
      </c>
      <c r="F4447" s="1" t="s">
        <v>22194</v>
      </c>
      <c r="G4447" s="1" t="s">
        <v>22195</v>
      </c>
      <c r="H4447" s="1" t="str">
        <f>IFERROR(__xludf.DUMMYFUNCTION("GOOGLETRANSLATE(D4447,""EN"",""JA"")"),"標準ベース超過額")</f>
        <v>標準ベース超過額</v>
      </c>
      <c r="I4447" s="1" t="str">
        <f>IFERROR(__xludf.DUMMYFUNCTION("GOOGLETRANSLATE(E4447,""EN"",""JA"")"),"標準ベース超過額")</f>
        <v>標準ベース超過額</v>
      </c>
      <c r="J4447" s="1" t="str">
        <f>IFERROR(__xludf.DUMMYFUNCTION("GOOGLETRANSLATE(F4447,""EN"",""JA"")"),"細胞外液の代わりとして使用される 5g/dL のヘモグロビンを含む血液を標準条件下で正常な pH に戻すために必要な酸の量の計算された測定値。")</f>
        <v>細胞外液の代わりとして使用される 5g/dL のヘモグロビンを含む血液を標準条件下で正常な pH に戻すために必要な酸の量の計算された測定値。</v>
      </c>
      <c r="K4447" s="1" t="str">
        <f>IFERROR(__xludf.DUMMYFUNCTION("GOOGLETRANSLATE(G4447,""EN"",""JA"")"),"標準ベース超過測定")</f>
        <v>標準ベース超過測定</v>
      </c>
    </row>
    <row r="4448" ht="13.5" customHeight="1">
      <c r="A4448" s="1" t="s">
        <v>1168</v>
      </c>
      <c r="B4448" s="1" t="s">
        <v>22196</v>
      </c>
      <c r="C4448" s="1" t="s">
        <v>22197</v>
      </c>
      <c r="D4448" s="1" t="s">
        <v>22198</v>
      </c>
      <c r="E4448" s="1" t="s">
        <v>22198</v>
      </c>
      <c r="F4448" s="1" t="s">
        <v>22199</v>
      </c>
      <c r="G4448" s="1" t="s">
        <v>22200</v>
      </c>
      <c r="H4448" s="1" t="str">
        <f>IFERROR(__xludf.DUMMYFUNCTION("GOOGLETRANSLATE(D4448,""EN"",""JA"")"),"ST部分低下、集合体")</f>
        <v>ST部分低下、集合体</v>
      </c>
      <c r="I4448" s="1" t="str">
        <f>IFERROR(__xludf.DUMMYFUNCTION("GOOGLETRANSLATE(E4448,""EN"",""JA"")"),"ST部分低下、集合体")</f>
        <v>ST部分低下、集合体</v>
      </c>
      <c r="J4448" s="1" t="str">
        <f>IFERROR(__xludf.DUMMYFUNCTION("GOOGLETRANSLATE(F4448,""EN"",""JA"")"),"単一心電図における複数拍のST部分低下の測定に基づく、ST部分低下の総合値。集計方法は様々ですが、通常は平均値などの中心傾向を示す指標が用いられます。")</f>
        <v>単一心電図における複数拍のST部分低下の測定に基づく、ST部分低下の総合値。集計方法は様々ですが、通常は平均値などの中心傾向を示す指標が用いられます。</v>
      </c>
      <c r="K4448" s="1" t="str">
        <f>IFERROR(__xludf.DUMMYFUNCTION("GOOGLETRANSLATE(G4448,""EN"",""JA"")"),"ST部分低下集計")</f>
        <v>ST部分低下集計</v>
      </c>
    </row>
    <row r="4449" ht="13.5" customHeight="1">
      <c r="A4449" s="1" t="s">
        <v>601</v>
      </c>
      <c r="B4449" s="1" t="s">
        <v>22201</v>
      </c>
      <c r="C4449" s="1" t="s">
        <v>22202</v>
      </c>
      <c r="D4449" s="1" t="s">
        <v>22203</v>
      </c>
      <c r="E4449" s="1" t="s">
        <v>22203</v>
      </c>
      <c r="F4449" s="1" t="s">
        <v>22204</v>
      </c>
      <c r="G4449" s="1" t="s">
        <v>22203</v>
      </c>
      <c r="H4449" s="1" t="str">
        <f>IFERROR(__xludf.DUMMYFUNCTION("GOOGLETRANSLATE(D4449,""EN"",""JA"")"),"学生指標")</f>
        <v>学生指標</v>
      </c>
      <c r="I4449" s="1" t="str">
        <f>IFERROR(__xludf.DUMMYFUNCTION("GOOGLETRANSLATE(E4449,""EN"",""JA"")"),"学生指標")</f>
        <v>学生指標</v>
      </c>
      <c r="J4449" s="1" t="str">
        <f>IFERROR(__xludf.DUMMYFUNCTION("GOOGLETRANSLATE(F4449,""EN"",""JA"")"),"対象者また​​は関連人物が学校に在籍しているかどうかを示します。")</f>
        <v>対象者また​​は関連人物が学校に在籍しているかどうかを示します。</v>
      </c>
      <c r="K4449" s="1" t="str">
        <f>IFERROR(__xludf.DUMMYFUNCTION("GOOGLETRANSLATE(G4449,""EN"",""JA"")"),"学生指標")</f>
        <v>学生指標</v>
      </c>
    </row>
    <row r="4450" ht="13.5" customHeight="1">
      <c r="A4450" s="1" t="s">
        <v>1168</v>
      </c>
      <c r="B4450" s="1" t="s">
        <v>22205</v>
      </c>
      <c r="C4450" s="1" t="s">
        <v>22206</v>
      </c>
      <c r="D4450" s="1" t="s">
        <v>22207</v>
      </c>
      <c r="E4450" s="1" t="s">
        <v>22207</v>
      </c>
      <c r="F4450" s="1" t="s">
        <v>22208</v>
      </c>
      <c r="G4450" s="1" t="s">
        <v>22209</v>
      </c>
      <c r="H4450" s="1" t="str">
        <f>IFERROR(__xludf.DUMMYFUNCTION("GOOGLETRANSLATE(D4450,""EN"",""JA"")"),"要約（最大）ST低下")</f>
        <v>要約（最大）ST低下</v>
      </c>
      <c r="I4450" s="1" t="str">
        <f>IFERROR(__xludf.DUMMYFUNCTION("GOOGLETRANSLATE(E4450,""EN"",""JA"")"),"要約（最大）ST低下")</f>
        <v>要約（最大）ST低下</v>
      </c>
      <c r="J4450" s="1" t="str">
        <f>IFERROR(__xludf.DUMMYFUNCTION("GOOGLETRANSLATE(F4450,""EN"",""JA"")"),"ST部分の最大低下（ベースラインからの負の偏向、通常はmm単位で測定）は、ST部分の低下の一連の測定値から得られます。これは通常、ミリボルトで表されます。")</f>
        <v>ST部分の最大低下（ベースラインからの負の偏向、通常はmm単位で測定）は、ST部分の低下の一連の測定値から得られます。これは通常、ミリボルトで表されます。</v>
      </c>
      <c r="K4450" s="1" t="str">
        <f>IFERROR(__xludf.DUMMYFUNCTION("GOOGLETRANSLATE(G4450,""EN"",""JA"")"),"心電図所見による最大ST部分低下")</f>
        <v>心電図所見による最大ST部分低下</v>
      </c>
    </row>
    <row r="4451" ht="13.5" customHeight="1">
      <c r="A4451" s="1" t="s">
        <v>1168</v>
      </c>
      <c r="B4451" s="1" t="s">
        <v>22210</v>
      </c>
      <c r="C4451" s="1" t="s">
        <v>22211</v>
      </c>
      <c r="D4451" s="1" t="s">
        <v>22212</v>
      </c>
      <c r="E4451" s="1" t="s">
        <v>22212</v>
      </c>
      <c r="F4451" s="1" t="s">
        <v>22213</v>
      </c>
      <c r="G4451" s="1" t="s">
        <v>22214</v>
      </c>
      <c r="H4451" s="1" t="str">
        <f>IFERROR(__xludf.DUMMYFUNCTION("GOOGLETRANSLATE(D4451,""EN"",""JA"")"),"要約（最小）ST低下")</f>
        <v>要約（最小）ST低下</v>
      </c>
      <c r="I4451" s="1" t="str">
        <f>IFERROR(__xludf.DUMMYFUNCTION("GOOGLETRANSLATE(E4451,""EN"",""JA"")"),"要約（最小）ST低下")</f>
        <v>要約（最小）ST低下</v>
      </c>
      <c r="J4451" s="1" t="str">
        <f>IFERROR(__xludf.DUMMYFUNCTION("GOOGLETRANSLATE(F4451,""EN"",""JA"")"),"ST部分の最小低下（ベースラインからの負の偏向、通常はmm単位で測定）は、ST部分の低下の一連の測定値から得られる。通常はミリボルトで表す。")</f>
        <v>ST部分の最小低下（ベースラインからの負の偏向、通常はmm単位で測定）は、ST部分の低下の一連の測定値から得られる。通常はミリボルトで表す。</v>
      </c>
      <c r="K4451" s="1" t="str">
        <f>IFERROR(__xludf.DUMMYFUNCTION("GOOGLETRANSLATE(G4451,""EN"",""JA"")"),"心電図所見による最小ST部分低下")</f>
        <v>心電図所見による最小ST部分低下</v>
      </c>
    </row>
    <row r="4452" ht="13.5" customHeight="1">
      <c r="A4452" s="1" t="s">
        <v>1168</v>
      </c>
      <c r="B4452" s="1" t="s">
        <v>22215</v>
      </c>
      <c r="C4452" s="1" t="s">
        <v>22216</v>
      </c>
      <c r="D4452" s="1" t="s">
        <v>22217</v>
      </c>
      <c r="E4452" s="1" t="s">
        <v>22217</v>
      </c>
      <c r="F4452" s="1" t="s">
        <v>22218</v>
      </c>
      <c r="G4452" s="1" t="s">
        <v>22219</v>
      </c>
      <c r="H4452" s="1" t="str">
        <f>IFERROR(__xludf.DUMMYFUNCTION("GOOGLETRANSLATE(D4452,""EN"",""JA"")"),"ST部分低下、単拍")</f>
        <v>ST部分低下、単拍</v>
      </c>
      <c r="I4452" s="1" t="str">
        <f>IFERROR(__xludf.DUMMYFUNCTION("GOOGLETRANSLATE(E4452,""EN"",""JA"")"),"ST部分低下、単拍")</f>
        <v>ST部分低下、単拍</v>
      </c>
      <c r="J4452" s="1" t="str">
        <f>IFERROR(__xludf.DUMMYFUNCTION("GOOGLETRANSLATE(F4452,""EN"",""JA"")"),"心電図における、1回以上の誘導を用いて、等電位基線からST部分までの等電位基線下におけるST部分の低下の平均振幅（通常はmm単位）を測定する。記録に基づいて、")</f>
        <v>心電図における、1回以上の誘導を用いて、等電位基線からST部分までの等電位基線下におけるST部分の低下の平均振幅（通常はmm単位）を測定する。記録に基づいて、</v>
      </c>
      <c r="K4452" s="1" t="str">
        <f>IFERROR(__xludf.DUMMYFUNCTION("GOOGLETRANSLATE(G4452,""EN"",""JA"")"),"ST部分低下単拍")</f>
        <v>ST部分低下単拍</v>
      </c>
    </row>
    <row r="4453" ht="13.5" customHeight="1">
      <c r="A4453" s="1" t="s">
        <v>1168</v>
      </c>
      <c r="B4453" s="1" t="s">
        <v>22220</v>
      </c>
      <c r="C4453" s="1" t="s">
        <v>22221</v>
      </c>
      <c r="D4453" s="1" t="s">
        <v>22222</v>
      </c>
      <c r="E4453" s="1" t="s">
        <v>22222</v>
      </c>
      <c r="F4453" s="1" t="s">
        <v>22223</v>
      </c>
      <c r="G4453" s="1" t="s">
        <v>22224</v>
      </c>
      <c r="H4453" s="1" t="str">
        <f>IFERROR(__xludf.DUMMYFUNCTION("GOOGLETRANSLATE(D4453,""EN"",""JA"")"),"STセグメント偏位、集計")</f>
        <v>STセグメント偏位、集計</v>
      </c>
      <c r="I4453" s="1" t="str">
        <f>IFERROR(__xludf.DUMMYFUNCTION("GOOGLETRANSLATE(E4453,""EN"",""JA"")"),"STセグメント偏位、集計")</f>
        <v>STセグメント偏位、集計</v>
      </c>
      <c r="J4453" s="1" t="str">
        <f>IFERROR(__xludf.DUMMYFUNCTION("GOOGLETRANSLATE(F4453,""EN"",""JA"")"),"単一心電図における複数拍のST部分偏位の測定に基づくST部分偏位の集計値。集計方法は様々ですが、通常は平均値などの中心傾向を示す指標が用いられます。")</f>
        <v>単一心電図における複数拍のST部分偏位の測定に基づくST部分偏位の集計値。集計方法は様々ですが、通常は平均値などの中心傾向を示す指標が用いられます。</v>
      </c>
      <c r="K4453" s="1" t="str">
        <f>IFERROR(__xludf.DUMMYFUNCTION("GOOGLETRANSLATE(G4453,""EN"",""JA"")"),"STセグメント偏位集計")</f>
        <v>STセグメント偏位集計</v>
      </c>
    </row>
    <row r="4454" ht="13.5" customHeight="1">
      <c r="A4454" s="1" t="s">
        <v>1168</v>
      </c>
      <c r="B4454" s="1" t="s">
        <v>22225</v>
      </c>
      <c r="C4454" s="1" t="s">
        <v>22226</v>
      </c>
      <c r="D4454" s="1" t="s">
        <v>22227</v>
      </c>
      <c r="E4454" s="1" t="s">
        <v>22227</v>
      </c>
      <c r="F4454" s="1" t="s">
        <v>22228</v>
      </c>
      <c r="G4454" s="1" t="s">
        <v>22229</v>
      </c>
      <c r="H4454" s="1" t="str">
        <f>IFERROR(__xludf.DUMMYFUNCTION("GOOGLETRANSLATE(D4454,""EN"",""JA"")"),"要約（最大）ST偏差")</f>
        <v>要約（最大）ST偏差</v>
      </c>
      <c r="I4454" s="1" t="str">
        <f>IFERROR(__xludf.DUMMYFUNCTION("GOOGLETRANSLATE(E4454,""EN"",""JA"")"),"要約（最大）ST偏差")</f>
        <v>要約（最大）ST偏差</v>
      </c>
      <c r="J4454" s="1" t="str">
        <f>IFERROR(__xludf.DUMMYFUNCTION("GOOGLETRANSLATE(F4454,""EN"",""JA"")"),"ST部分の最大偏差（ベースラインからの距離、正または負、通常はmm単位で測定）は、ST部分の偏差の一連の測定値から得られます。これは通常、ミリボルトで表されます。")</f>
        <v>ST部分の最大偏差（ベースラインからの距離、正または負、通常はmm単位で測定）は、ST部分の偏差の一連の測定値から得られます。これは通常、ミリボルトで表されます。</v>
      </c>
      <c r="K4454" s="1" t="str">
        <f>IFERROR(__xludf.DUMMYFUNCTION("GOOGLETRANSLATE(G4454,""EN"",""JA"")"),"最大ST偏差")</f>
        <v>最大ST偏差</v>
      </c>
    </row>
    <row r="4455" ht="13.5" customHeight="1">
      <c r="A4455" s="1" t="s">
        <v>1168</v>
      </c>
      <c r="B4455" s="1" t="s">
        <v>22230</v>
      </c>
      <c r="C4455" s="1" t="s">
        <v>22231</v>
      </c>
      <c r="D4455" s="1" t="s">
        <v>22232</v>
      </c>
      <c r="E4455" s="1" t="s">
        <v>22232</v>
      </c>
      <c r="F4455" s="1" t="s">
        <v>22233</v>
      </c>
      <c r="G4455" s="1" t="s">
        <v>22234</v>
      </c>
      <c r="H4455" s="1" t="str">
        <f>IFERROR(__xludf.DUMMYFUNCTION("GOOGLETRANSLATE(D4455,""EN"",""JA"")"),"要約（最小）ST偏差")</f>
        <v>要約（最小）ST偏差</v>
      </c>
      <c r="I4455" s="1" t="str">
        <f>IFERROR(__xludf.DUMMYFUNCTION("GOOGLETRANSLATE(E4455,""EN"",""JA"")"),"要約（最小）ST偏差")</f>
        <v>要約（最小）ST偏差</v>
      </c>
      <c r="J4455" s="1" t="str">
        <f>IFERROR(__xludf.DUMMYFUNCTION("GOOGLETRANSLATE(F4455,""EN"",""JA"")"),"ST部分の最小偏差（ベースラインからの距離、正または負、通常はmm単位で測定）は、ST部分の偏差の一連の測定値から得られます。これは通常、ミリボルトで表されます。")</f>
        <v>ST部分の最小偏差（ベースラインからの距離、正または負、通常はmm単位で測定）は、ST部分の偏差の一連の測定値から得られます。これは通常、ミリボルトで表されます。</v>
      </c>
      <c r="K4455" s="1" t="str">
        <f>IFERROR(__xludf.DUMMYFUNCTION("GOOGLETRANSLATE(G4455,""EN"",""JA"")"),"最小ST偏差")</f>
        <v>最小ST偏差</v>
      </c>
    </row>
    <row r="4456" ht="13.5" customHeight="1">
      <c r="A4456" s="1" t="s">
        <v>1168</v>
      </c>
      <c r="B4456" s="1" t="s">
        <v>22235</v>
      </c>
      <c r="C4456" s="1" t="s">
        <v>22236</v>
      </c>
      <c r="D4456" s="1" t="s">
        <v>22237</v>
      </c>
      <c r="E4456" s="1" t="s">
        <v>22237</v>
      </c>
      <c r="F4456" s="1" t="s">
        <v>22238</v>
      </c>
      <c r="G4456" s="1" t="s">
        <v>22239</v>
      </c>
      <c r="H4456" s="1" t="str">
        <f>IFERROR(__xludf.DUMMYFUNCTION("GOOGLETRANSLATE(D4456,""EN"",""JA"")"),"STセグメント偏位、1拍")</f>
        <v>STセグメント偏位、1拍</v>
      </c>
      <c r="I4456" s="1" t="str">
        <f>IFERROR(__xludf.DUMMYFUNCTION("GOOGLETRANSLATE(E4456,""EN"",""JA"")"),"STセグメント偏位、1拍")</f>
        <v>STセグメント偏位、1拍</v>
      </c>
      <c r="J4456" s="1" t="str">
        <f>IFERROR(__xludf.DUMMYFUNCTION("GOOGLETRANSLATE(F4456,""EN"",""JA"")"),"心電図における、1回以上の誘導を用いて、等電位基線からST部分までの等電位基線上または下におけるST部分偏位の平均振幅（通常はmm単位）を測定する。")</f>
        <v>心電図における、1回以上の誘導を用いて、等電位基線からST部分までの等電位基線上または下におけるST部分偏位の平均振幅（通常はmm単位）を測定する。</v>
      </c>
      <c r="K4456" s="1" t="str">
        <f>IFERROR(__xludf.DUMMYFUNCTION("GOOGLETRANSLATE(G4456,""EN"",""JA"")"),"STセグメント偏位単一拍")</f>
        <v>STセグメント偏位単一拍</v>
      </c>
    </row>
    <row r="4457" ht="13.5" customHeight="1">
      <c r="A4457" s="1" t="s">
        <v>1168</v>
      </c>
      <c r="B4457" s="1" t="s">
        <v>22240</v>
      </c>
      <c r="C4457" s="1" t="s">
        <v>22241</v>
      </c>
      <c r="D4457" s="1" t="s">
        <v>22242</v>
      </c>
      <c r="E4457" s="1" t="s">
        <v>22242</v>
      </c>
      <c r="F4457" s="1" t="s">
        <v>22243</v>
      </c>
      <c r="G4457" s="1" t="s">
        <v>22244</v>
      </c>
      <c r="H4457" s="1" t="str">
        <f>IFERROR(__xludf.DUMMYFUNCTION("GOOGLETRANSLATE(D4457,""EN"",""JA"")"),"STセグメント上昇、集計")</f>
        <v>STセグメント上昇、集計</v>
      </c>
      <c r="I4457" s="1" t="str">
        <f>IFERROR(__xludf.DUMMYFUNCTION("GOOGLETRANSLATE(E4457,""EN"",""JA"")"),"STセグメント上昇、集計")</f>
        <v>STセグメント上昇、集計</v>
      </c>
      <c r="J4457" s="1" t="str">
        <f>IFERROR(__xludf.DUMMYFUNCTION("GOOGLETRANSLATE(F4457,""EN"",""JA"")"),"1回の心電図における複数拍のST部分上昇の測定に基づく、ST部分上昇の集計値。集計方法は様々ですが、通常は平均値などの中心傾向を示す指標が用いられます。")</f>
        <v>1回の心電図における複数拍のST部分上昇の測定に基づく、ST部分上昇の集計値。集計方法は様々ですが、通常は平均値などの中心傾向を示す指標が用いられます。</v>
      </c>
      <c r="K4457" s="1" t="str">
        <f>IFERROR(__xludf.DUMMYFUNCTION("GOOGLETRANSLATE(G4457,""EN"",""JA"")"),"STセグメント上昇集計")</f>
        <v>STセグメント上昇集計</v>
      </c>
    </row>
    <row r="4458" ht="13.5" customHeight="1">
      <c r="A4458" s="1" t="s">
        <v>1168</v>
      </c>
      <c r="B4458" s="1" t="s">
        <v>22245</v>
      </c>
      <c r="C4458" s="1" t="s">
        <v>22246</v>
      </c>
      <c r="D4458" s="1" t="s">
        <v>22247</v>
      </c>
      <c r="E4458" s="1" t="s">
        <v>22247</v>
      </c>
      <c r="F4458" s="1" t="s">
        <v>22248</v>
      </c>
      <c r="G4458" s="1" t="s">
        <v>22249</v>
      </c>
      <c r="H4458" s="1" t="str">
        <f>IFERROR(__xludf.DUMMYFUNCTION("GOOGLETRANSLATE(D4458,""EN"",""JA"")"),"サマリー（最大）ST上昇")</f>
        <v>サマリー（最大）ST上昇</v>
      </c>
      <c r="I4458" s="1" t="str">
        <f>IFERROR(__xludf.DUMMYFUNCTION("GOOGLETRANSLATE(E4458,""EN"",""JA"")"),"サマリー（最大）ST上昇")</f>
        <v>サマリー（最大）ST上昇</v>
      </c>
      <c r="J4458" s="1" t="str">
        <f>IFERROR(__xludf.DUMMYFUNCTION("GOOGLETRANSLATE(F4458,""EN"",""JA"")"),"ST部分の最大上昇値（ベースラインからの正の偏向、通常はmm単位で測定）は、ST部分の上昇値の一連の測定から得られます。これは通常、ミリボルトで報告されます。")</f>
        <v>ST部分の最大上昇値（ベースラインからの正の偏向、通常はmm単位で測定）は、ST部分の上昇値の一連の測定から得られます。これは通常、ミリボルトで報告されます。</v>
      </c>
      <c r="K4458" s="1" t="str">
        <f>IFERROR(__xludf.DUMMYFUNCTION("GOOGLETRANSLATE(G4458,""EN"",""JA"")"),"最大ST部分上昇")</f>
        <v>最大ST部分上昇</v>
      </c>
    </row>
    <row r="4459" ht="13.5" customHeight="1">
      <c r="A4459" s="1" t="s">
        <v>1168</v>
      </c>
      <c r="B4459" s="1" t="s">
        <v>22250</v>
      </c>
      <c r="C4459" s="1" t="s">
        <v>22251</v>
      </c>
      <c r="D4459" s="1" t="s">
        <v>22252</v>
      </c>
      <c r="E4459" s="1" t="s">
        <v>22252</v>
      </c>
      <c r="F4459" s="1" t="s">
        <v>22253</v>
      </c>
      <c r="G4459" s="1" t="s">
        <v>22254</v>
      </c>
      <c r="H4459" s="1" t="str">
        <f>IFERROR(__xludf.DUMMYFUNCTION("GOOGLETRANSLATE(D4459,""EN"",""JA"")"),"概要（最小）ST上昇")</f>
        <v>概要（最小）ST上昇</v>
      </c>
      <c r="I4459" s="1" t="str">
        <f>IFERROR(__xludf.DUMMYFUNCTION("GOOGLETRANSLATE(E4459,""EN"",""JA"")"),"概要（最小）ST上昇")</f>
        <v>概要（最小）ST上昇</v>
      </c>
      <c r="J4459" s="1" t="str">
        <f>IFERROR(__xludf.DUMMYFUNCTION("GOOGLETRANSLATE(F4459,""EN"",""JA"")"),"ST部分の最小上昇値（ベースラインからの正の偏向、通常はmm単位で測定）は、ST部分の上昇値を測定した結果から得られます。通常はミリボルトで報告されます。")</f>
        <v>ST部分の最小上昇値（ベースラインからの正の偏向、通常はmm単位で測定）は、ST部分の上昇値を測定した結果から得られます。通常はミリボルトで報告されます。</v>
      </c>
      <c r="K4459" s="1" t="str">
        <f>IFERROR(__xludf.DUMMYFUNCTION("GOOGLETRANSLATE(G4459,""EN"",""JA"")"),"最小ST部分上昇")</f>
        <v>最小ST部分上昇</v>
      </c>
    </row>
    <row r="4460" ht="13.5" customHeight="1">
      <c r="A4460" s="1" t="s">
        <v>67</v>
      </c>
      <c r="B4460" s="1" t="s">
        <v>22255</v>
      </c>
      <c r="C4460" s="1" t="s">
        <v>22256</v>
      </c>
      <c r="D4460" s="1" t="s">
        <v>22257</v>
      </c>
      <c r="E4460" s="1" t="s">
        <v>22257</v>
      </c>
      <c r="F4460" s="1" t="s">
        <v>22258</v>
      </c>
      <c r="G4460" s="1" t="s">
        <v>22259</v>
      </c>
      <c r="H4460" s="1" t="str">
        <f>IFERROR(__xludf.DUMMYFUNCTION("GOOGLETRANSLATE(D4460,""EN"",""JA"")"),"ステノトロフォモナス・マルトフィリア")</f>
        <v>ステノトロフォモナス・マルトフィリア</v>
      </c>
      <c r="I4460" s="1" t="str">
        <f>IFERROR(__xludf.DUMMYFUNCTION("GOOGLETRANSLATE(E4460,""EN"",""JA"")"),"ステノトロフォモナス・マルトフィリア")</f>
        <v>ステノトロフォモナス・マルトフィリア</v>
      </c>
      <c r="J4460" s="1" t="str">
        <f>IFERROR(__xludf.DUMMYFUNCTION("GOOGLETRANSLATE(F4460,""EN"",""JA"")"),"生物標本中の Stenotrophomonas maltophilia 種に割り当てられる生物の測定値。")</f>
        <v>生物標本中の Stenotrophomonas maltophilia 種に割り当てられる生物の測定値。</v>
      </c>
      <c r="K4460" s="1" t="str">
        <f>IFERROR(__xludf.DUMMYFUNCTION("GOOGLETRANSLATE(G4460,""EN"",""JA"")"),"ステノトロフォモナス・マルトフィリア測定")</f>
        <v>ステノトロフォモナス・マルトフィリア測定</v>
      </c>
    </row>
    <row r="4461" ht="13.5" customHeight="1">
      <c r="A4461" s="1" t="s">
        <v>176</v>
      </c>
      <c r="B4461" s="1" t="s">
        <v>22260</v>
      </c>
      <c r="C4461" s="1" t="s">
        <v>22261</v>
      </c>
      <c r="D4461" s="1" t="s">
        <v>22262</v>
      </c>
      <c r="E4461" s="1" t="s">
        <v>22262</v>
      </c>
      <c r="F4461" s="1" t="s">
        <v>22263</v>
      </c>
      <c r="G4461" s="1" t="s">
        <v>22264</v>
      </c>
      <c r="H4461" s="1" t="str">
        <f>IFERROR(__xludf.DUMMYFUNCTION("GOOGLETRANSLATE(D4461,""EN"",""JA"")"),"足踏み反射")</f>
        <v>足踏み反射</v>
      </c>
      <c r="I4461" s="1" t="str">
        <f>IFERROR(__xludf.DUMMYFUNCTION("GOOGLETRANSLATE(E4461,""EN"",""JA"")"),"足踏み反射")</f>
        <v>足踏み反射</v>
      </c>
      <c r="J4461" s="1" t="str">
        <f>IFERROR(__xludf.DUMMYFUNCTION("GOOGLETRANSLATE(F4461,""EN"",""JA"")"),"支えられた立ち姿勢で足を地面に置いたときに、新生児が無意識に行う原始的な反応で、早歩きをします。")</f>
        <v>支えられた立ち姿勢で足を地面に置いたときに、新生児が無意識に行う原始的な反応で、早歩きをします。</v>
      </c>
      <c r="K4461" s="1" t="str">
        <f>IFERROR(__xludf.DUMMYFUNCTION("GOOGLETRANSLATE(G4461,""EN"",""JA"")"),"ステップ反射")</f>
        <v>ステップ反射</v>
      </c>
    </row>
    <row r="4462" ht="13.5" customHeight="1">
      <c r="A4462" s="1" t="s">
        <v>1168</v>
      </c>
      <c r="B4462" s="1" t="s">
        <v>22265</v>
      </c>
      <c r="C4462" s="1" t="s">
        <v>22266</v>
      </c>
      <c r="D4462" s="1" t="s">
        <v>22267</v>
      </c>
      <c r="E4462" s="1" t="s">
        <v>22267</v>
      </c>
      <c r="F4462" s="1" t="s">
        <v>22268</v>
      </c>
      <c r="G4462" s="1" t="s">
        <v>22269</v>
      </c>
      <c r="H4462" s="1" t="str">
        <f>IFERROR(__xludf.DUMMYFUNCTION("GOOGLETRANSLATE(D4462,""EN"",""JA"")"),"STセグメント上昇、1拍")</f>
        <v>STセグメント上昇、1拍</v>
      </c>
      <c r="I4462" s="1" t="str">
        <f>IFERROR(__xludf.DUMMYFUNCTION("GOOGLETRANSLATE(E4462,""EN"",""JA"")"),"STセグメント上昇、1拍")</f>
        <v>STセグメント上昇、1拍</v>
      </c>
      <c r="J4462" s="1" t="str">
        <f>IFERROR(__xludf.DUMMYFUNCTION("GOOGLETRANSLATE(F4462,""EN"",""JA"")"),"心電図における等電位基線からのST部分上昇の平均振幅（通常はmVで測定）を、1つまたは複数の誘導を用いて1拍の基線からST部分まで測定する。記録に基づいて")</f>
        <v>心電図における等電位基線からのST部分上昇の平均振幅（通常はmVで測定）を、1つまたは複数の誘導を用いて1拍の基線からST部分まで測定する。記録に基づいて</v>
      </c>
      <c r="K4462" s="1" t="str">
        <f>IFERROR(__xludf.DUMMYFUNCTION("GOOGLETRANSLATE(G4462,""EN"",""JA"")"),"STセグメント上昇（単拍）")</f>
        <v>STセグメント上昇（単拍）</v>
      </c>
    </row>
    <row r="4463" ht="13.5" customHeight="1">
      <c r="A4463" s="1" t="s">
        <v>67</v>
      </c>
      <c r="B4463" s="1" t="s">
        <v>22270</v>
      </c>
      <c r="C4463" s="1" t="s">
        <v>22271</v>
      </c>
      <c r="D4463" s="1" t="s">
        <v>22272</v>
      </c>
      <c r="E4463" s="1" t="s">
        <v>22272</v>
      </c>
      <c r="F4463" s="1" t="s">
        <v>22273</v>
      </c>
      <c r="G4463" s="1" t="s">
        <v>22274</v>
      </c>
      <c r="H4463" s="1" t="str">
        <f>IFERROR(__xludf.DUMMYFUNCTION("GOOGLETRANSLATE(D4463,""EN"",""JA"")"),"ストレプトコッカス・ソラルテンシス")</f>
        <v>ストレプトコッカス・ソラルテンシス</v>
      </c>
      <c r="I4463" s="1" t="str">
        <f>IFERROR(__xludf.DUMMYFUNCTION("GOOGLETRANSLATE(E4463,""EN"",""JA"")"),"ストレプトコッカス・ソラルテンシス")</f>
        <v>ストレプトコッカス・ソラルテンシス</v>
      </c>
      <c r="J4463" s="1" t="str">
        <f>IFERROR(__xludf.DUMMYFUNCTION("GOOGLETRANSLATE(F4463,""EN"",""JA"")"),"生物標本中の Streptococcus thoraltensis の測定。")</f>
        <v>生物標本中の Streptococcus thoraltensis の測定。</v>
      </c>
      <c r="K4463" s="1" t="str">
        <f>IFERROR(__xludf.DUMMYFUNCTION("GOOGLETRANSLATE(G4463,""EN"",""JA"")"),"Streptococcus thoraltensis測定")</f>
        <v>Streptococcus thoraltensis測定</v>
      </c>
    </row>
    <row r="4464" ht="13.5" customHeight="1">
      <c r="A4464" s="1" t="s">
        <v>160</v>
      </c>
      <c r="B4464" s="1" t="s">
        <v>22275</v>
      </c>
      <c r="C4464" s="1" t="s">
        <v>22276</v>
      </c>
      <c r="D4464" s="1" t="s">
        <v>22277</v>
      </c>
      <c r="E4464" s="1" t="s">
        <v>22277</v>
      </c>
      <c r="F4464" s="1" t="s">
        <v>22278</v>
      </c>
      <c r="G4464" s="1" t="s">
        <v>22277</v>
      </c>
      <c r="H4464" s="1" t="str">
        <f>IFERROR(__xludf.DUMMYFUNCTION("GOOGLETRANSLATE(D4464,""EN"",""JA"")"),"死産指標")</f>
        <v>死産指標</v>
      </c>
      <c r="I4464" s="1" t="str">
        <f>IFERROR(__xludf.DUMMYFUNCTION("GOOGLETRANSLATE(E4464,""EN"",""JA"")"),"死産指標")</f>
        <v>死産指標</v>
      </c>
      <c r="J4464" s="1" t="str">
        <f>IFERROR(__xludf.DUMMYFUNCTION("GOOGLETRANSLATE(F4464,""EN"",""JA"")"),"妊娠が死産に至ったかどうかを示すもの。")</f>
        <v>妊娠が死産に至ったかどうかを示すもの。</v>
      </c>
      <c r="K4464" s="1" t="str">
        <f>IFERROR(__xludf.DUMMYFUNCTION("GOOGLETRANSLATE(G4464,""EN"",""JA"")"),"死産指標")</f>
        <v>死産指標</v>
      </c>
    </row>
    <row r="4465" ht="13.5" customHeight="1">
      <c r="A4465" s="1" t="s">
        <v>11</v>
      </c>
      <c r="B4465" s="1" t="s">
        <v>22279</v>
      </c>
      <c r="C4465" s="1" t="s">
        <v>22280</v>
      </c>
      <c r="D4465" s="1" t="s">
        <v>22281</v>
      </c>
      <c r="E4465" s="1" t="s">
        <v>22281</v>
      </c>
      <c r="F4465" s="1" t="s">
        <v>22282</v>
      </c>
      <c r="G4465" s="1" t="s">
        <v>22283</v>
      </c>
      <c r="H4465" s="1" t="str">
        <f>IFERROR(__xludf.DUMMYFUNCTION("GOOGLETRANSLATE(D4465,""EN"",""JA"")"),"好塩基性点描")</f>
        <v>好塩基性点描</v>
      </c>
      <c r="I4465" s="1" t="str">
        <f>IFERROR(__xludf.DUMMYFUNCTION("GOOGLETRANSLATE(E4465,""EN"",""JA"")"),"好塩基性点描")</f>
        <v>好塩基性点描</v>
      </c>
      <c r="J4465" s="1" t="str">
        <f>IFERROR(__xludf.DUMMYFUNCTION("GOOGLETRANSLATE(F4465,""EN"",""JA"")"),"生物標本における好塩基性点描の測定。")</f>
        <v>生物標本における好塩基性点描の測定。</v>
      </c>
      <c r="K4465" s="1" t="str">
        <f>IFERROR(__xludf.DUMMYFUNCTION("GOOGLETRANSLATE(G4465,""EN"",""JA"")"),"好塩基性点描測定")</f>
        <v>好塩基性点描測定</v>
      </c>
    </row>
    <row r="4466" ht="13.5" customHeight="1">
      <c r="A4466" s="1" t="s">
        <v>11</v>
      </c>
      <c r="B4466" s="1" t="s">
        <v>22284</v>
      </c>
      <c r="C4466" s="1" t="s">
        <v>22285</v>
      </c>
      <c r="D4466" s="1" t="s">
        <v>22286</v>
      </c>
      <c r="E4466" s="1" t="s">
        <v>22287</v>
      </c>
      <c r="F4466" s="1" t="s">
        <v>22288</v>
      </c>
      <c r="G4466" s="1" t="s">
        <v>22289</v>
      </c>
      <c r="H4466" s="1" t="str">
        <f>IFERROR(__xludf.DUMMYFUNCTION("GOOGLETRANSLATE(D4466,""EN"",""JA"")"),"ステンボロン")</f>
        <v>ステンボロン</v>
      </c>
      <c r="I4466" s="1" t="str">
        <f>IFERROR(__xludf.DUMMYFUNCTION("GOOGLETRANSLATE(E4466,""EN"",""JA"")"),"デアセチルアナトロフィン; ステンボロン")</f>
        <v>デアセチルアナトロフィン; ステンボロン</v>
      </c>
      <c r="J4466" s="1" t="str">
        <f>IFERROR(__xludf.DUMMYFUNCTION("GOOGLETRANSLATE(F4466,""EN"",""JA"")"),"生物標本中のステンボロンの測定。")</f>
        <v>生物標本中のステンボロンの測定。</v>
      </c>
      <c r="K4466" s="1" t="str">
        <f>IFERROR(__xludf.DUMMYFUNCTION("GOOGLETRANSLATE(G4466,""EN"",""JA"")"),"ステンボロンの測定")</f>
        <v>ステンボロンの測定</v>
      </c>
    </row>
    <row r="4467" ht="13.5" customHeight="1">
      <c r="A4467" s="1" t="s">
        <v>11</v>
      </c>
      <c r="B4467" s="1" t="s">
        <v>22290</v>
      </c>
      <c r="C4467" s="1" t="s">
        <v>22291</v>
      </c>
      <c r="D4467" s="1" t="s">
        <v>22292</v>
      </c>
      <c r="E4467" s="1" t="s">
        <v>22292</v>
      </c>
      <c r="F4467" s="1" t="s">
        <v>22293</v>
      </c>
      <c r="G4467" s="1" t="s">
        <v>22294</v>
      </c>
      <c r="H4467" s="1" t="str">
        <f>IFERROR(__xludf.DUMMYFUNCTION("GOOGLETRANSLATE(D4467,""EN"",""JA"")"),"スタノゾロール")</f>
        <v>スタノゾロール</v>
      </c>
      <c r="I4467" s="1" t="str">
        <f>IFERROR(__xludf.DUMMYFUNCTION("GOOGLETRANSLATE(E4467,""EN"",""JA"")"),"スタノゾロール")</f>
        <v>スタノゾロール</v>
      </c>
      <c r="J4467" s="1" t="str">
        <f>IFERROR(__xludf.DUMMYFUNCTION("GOOGLETRANSLATE(F4467,""EN"",""JA"")"),"生物標本中のスタノゾロールの測定。")</f>
        <v>生物標本中のスタノゾロールの測定。</v>
      </c>
      <c r="K4467" s="1" t="str">
        <f>IFERROR(__xludf.DUMMYFUNCTION("GOOGLETRANSLATE(G4467,""EN"",""JA"")"),"スタノゾロール測定")</f>
        <v>スタノゾロール測定</v>
      </c>
    </row>
    <row r="4468" ht="13.5" customHeight="1">
      <c r="A4468" s="1" t="s">
        <v>11</v>
      </c>
      <c r="B4468" s="1" t="s">
        <v>22295</v>
      </c>
      <c r="C4468" s="1" t="s">
        <v>22296</v>
      </c>
      <c r="D4468" s="1" t="s">
        <v>22297</v>
      </c>
      <c r="E4468" s="1" t="s">
        <v>22297</v>
      </c>
      <c r="F4468" s="1" t="s">
        <v>22298</v>
      </c>
      <c r="G4468" s="1" t="s">
        <v>22299</v>
      </c>
      <c r="H4468" s="1" t="str">
        <f>IFERROR(__xludf.DUMMYFUNCTION("GOOGLETRANSLATE(D4468,""EN"",""JA"")"),"口内細胞")</f>
        <v>口内細胞</v>
      </c>
      <c r="I4468" s="1" t="str">
        <f>IFERROR(__xludf.DUMMYFUNCTION("GOOGLETRANSLATE(E4468,""EN"",""JA"")"),"口内細胞")</f>
        <v>口内細胞</v>
      </c>
      <c r="J4468" s="1" t="str">
        <f>IFERROR(__xludf.DUMMYFUNCTION("GOOGLETRANSLATE(F4468,""EN"",""JA"")"),"生物標本中のストマト赤血球（楕円形または長方形の中央部分が青白く、細胞の口のような外観を持つ赤血球）の測定値。")</f>
        <v>生物標本中のストマト赤血球（楕円形または長方形の中央部分が青白く、細胞の口のような外観を持つ赤血球）の測定値。</v>
      </c>
      <c r="K4468" s="1" t="str">
        <f>IFERROR(__xludf.DUMMYFUNCTION("GOOGLETRANSLATE(G4468,""EN"",""JA"")"),"口内赤血球数")</f>
        <v>口内赤血球数</v>
      </c>
    </row>
    <row r="4469" ht="13.5" customHeight="1">
      <c r="A4469" s="1" t="s">
        <v>397</v>
      </c>
      <c r="B4469" s="1" t="s">
        <v>22300</v>
      </c>
      <c r="C4469" s="1" t="s">
        <v>22301</v>
      </c>
      <c r="D4469" s="1" t="s">
        <v>22302</v>
      </c>
      <c r="E4469" s="1" t="s">
        <v>22302</v>
      </c>
      <c r="F4469" s="1" t="s">
        <v>22303</v>
      </c>
      <c r="G4469" s="1" t="s">
        <v>22304</v>
      </c>
      <c r="H4469" s="1" t="str">
        <f>IFERROR(__xludf.DUMMYFUNCTION("GOOGLETRANSLATE(D4469,""EN"",""JA"")"),"勉強停止ルール")</f>
        <v>勉強停止ルール</v>
      </c>
      <c r="I4469" s="1" t="str">
        <f>IFERROR(__xludf.DUMMYFUNCTION("GOOGLETRANSLATE(E4469,""EN"",""JA"")"),"勉強停止ルール")</f>
        <v>勉強停止ルール</v>
      </c>
      <c r="J4469" s="1" t="str">
        <f>IFERROR(__xludf.DUMMYFUNCTION("GOOGLETRANSLATE(F4469,""EN"",""JA"")"),"臨床試験が終了する時点を決定する規則、規制、および/または条件。(NCI)")</f>
        <v>臨床試験が終了する時点を決定する規則、規制、および/または条件。(NCI)</v>
      </c>
      <c r="K4469" s="1" t="str">
        <f>IFERROR(__xludf.DUMMYFUNCTION("GOOGLETRANSLATE(G4469,""EN"",""JA"")"),"勉強停止ルール")</f>
        <v>勉強停止ルール</v>
      </c>
    </row>
    <row r="4470" ht="13.5" customHeight="1">
      <c r="A4470" s="1" t="s">
        <v>397</v>
      </c>
      <c r="B4470" s="1" t="s">
        <v>22305</v>
      </c>
      <c r="C4470" s="1" t="s">
        <v>22306</v>
      </c>
      <c r="D4470" s="1" t="s">
        <v>22307</v>
      </c>
      <c r="E4470" s="1" t="s">
        <v>22307</v>
      </c>
      <c r="F4470" s="1" t="s">
        <v>22308</v>
      </c>
      <c r="G4470" s="1" t="s">
        <v>22309</v>
      </c>
      <c r="H4470" s="1" t="str">
        <f>IFERROR(__xludf.DUMMYFUNCTION("GOOGLETRANSLATE(D4470,""EN"",""JA"")"),"層別化係数")</f>
        <v>層別化係数</v>
      </c>
      <c r="I4470" s="1" t="str">
        <f>IFERROR(__xludf.DUMMYFUNCTION("GOOGLETRANSLATE(E4470,""EN"",""JA"")"),"層別化係数")</f>
        <v>層別化係数</v>
      </c>
      <c r="J4470" s="1" t="str">
        <f>IFERROR(__xludf.DUMMYFUNCTION("GOOGLETRANSLATE(F4470,""EN"",""JA"")"),"ランダム化の際に、各群の全被験者においてこれらの因子のバランスが保たれるようにするために選択される因子。これらの因子の被験者レベルの値は、統計モデルにおける固定効果として、また感度分析に用いられる場合がある。")</f>
        <v>ランダム化の際に、各群の全被験者においてこれらの因子のバランスが保たれるようにするために選択される因子。これらの因子の被験者レベルの値は、統計モデルにおける固定効果として、また感度分析に用いられる場合がある。</v>
      </c>
      <c r="K4470" s="1" t="str">
        <f>IFERROR(__xludf.DUMMYFUNCTION("GOOGLETRANSLATE(G4470,""EN"",""JA"")"),"層別化要因")</f>
        <v>層別化要因</v>
      </c>
    </row>
    <row r="4471" ht="13.5" customHeight="1">
      <c r="A4471" s="1" t="s">
        <v>67</v>
      </c>
      <c r="B4471" s="1" t="s">
        <v>22310</v>
      </c>
      <c r="C4471" s="1" t="s">
        <v>22311</v>
      </c>
      <c r="D4471" s="1" t="s">
        <v>22312</v>
      </c>
      <c r="E4471" s="1" t="s">
        <v>22312</v>
      </c>
      <c r="F4471" s="1" t="s">
        <v>22313</v>
      </c>
      <c r="G4471" s="1" t="s">
        <v>22314</v>
      </c>
      <c r="H4471" s="1" t="str">
        <f>IFERROR(__xludf.DUMMYFUNCTION("GOOGLETRANSLATE(D4471,""EN"",""JA"")"),"β溶血性連鎖球菌")</f>
        <v>β溶血性連鎖球菌</v>
      </c>
      <c r="I4471" s="1" t="str">
        <f>IFERROR(__xludf.DUMMYFUNCTION("GOOGLETRANSLATE(E4471,""EN"",""JA"")"),"β溶血性連鎖球菌")</f>
        <v>β溶血性連鎖球菌</v>
      </c>
      <c r="J4471" s="1" t="str">
        <f>IFERROR(__xludf.DUMMYFUNCTION("GOOGLETRANSLATE(F4471,""EN"",""JA"")"),"生物標本中のβ溶血性連鎖球菌の測定。")</f>
        <v>生物標本中のβ溶血性連鎖球菌の測定。</v>
      </c>
      <c r="K4471" s="1" t="str">
        <f>IFERROR(__xludf.DUMMYFUNCTION("GOOGLETRANSLATE(G4471,""EN"",""JA"")"),"ベータ溶血性連鎖球菌測定")</f>
        <v>ベータ溶血性連鎖球菌測定</v>
      </c>
    </row>
    <row r="4472" ht="13.5" customHeight="1">
      <c r="A4472" s="1" t="s">
        <v>67</v>
      </c>
      <c r="B4472" s="1" t="s">
        <v>22315</v>
      </c>
      <c r="C4472" s="1" t="s">
        <v>22316</v>
      </c>
      <c r="D4472" s="1" t="s">
        <v>22317</v>
      </c>
      <c r="E4472" s="1" t="s">
        <v>22317</v>
      </c>
      <c r="F4472" s="1" t="s">
        <v>22318</v>
      </c>
      <c r="G4472" s="1" t="s">
        <v>22319</v>
      </c>
      <c r="H4472" s="1" t="str">
        <f>IFERROR(__xludf.DUMMYFUNCTION("GOOGLETRANSLATE(D4472,""EN"",""JA"")"),"ガンマ溶血性連鎖球菌")</f>
        <v>ガンマ溶血性連鎖球菌</v>
      </c>
      <c r="I4472" s="1" t="str">
        <f>IFERROR(__xludf.DUMMYFUNCTION("GOOGLETRANSLATE(E4472,""EN"",""JA"")"),"ガンマ溶血性連鎖球菌")</f>
        <v>ガンマ溶血性連鎖球菌</v>
      </c>
      <c r="J4472" s="1" t="str">
        <f>IFERROR(__xludf.DUMMYFUNCTION("GOOGLETRANSLATE(F4472,""EN"",""JA"")"),"生物標本中のガンマ溶血性連鎖球菌の測定。")</f>
        <v>生物標本中のガンマ溶血性連鎖球菌の測定。</v>
      </c>
      <c r="K4472" s="1" t="str">
        <f>IFERROR(__xludf.DUMMYFUNCTION("GOOGLETRANSLATE(G4472,""EN"",""JA"")"),"ガンマ溶血性連鎖球菌測定")</f>
        <v>ガンマ溶血性連鎖球菌測定</v>
      </c>
    </row>
    <row r="4473" ht="13.5" customHeight="1">
      <c r="A4473" s="1" t="s">
        <v>67</v>
      </c>
      <c r="B4473" s="1" t="s">
        <v>22320</v>
      </c>
      <c r="C4473" s="1" t="s">
        <v>22321</v>
      </c>
      <c r="D4473" s="1" t="s">
        <v>22322</v>
      </c>
      <c r="E4473" s="1" t="s">
        <v>22322</v>
      </c>
      <c r="F4473" s="1" t="s">
        <v>22323</v>
      </c>
      <c r="G4473" s="1" t="s">
        <v>22324</v>
      </c>
      <c r="H4473" s="1" t="str">
        <f>IFERROR(__xludf.DUMMYFUNCTION("GOOGLETRANSLATE(D4473,""EN"",""JA"")"),"連鎖球菌")</f>
        <v>連鎖球菌</v>
      </c>
      <c r="I4473" s="1" t="str">
        <f>IFERROR(__xludf.DUMMYFUNCTION("GOOGLETRANSLATE(E4473,""EN"",""JA"")"),"連鎖球菌")</f>
        <v>連鎖球菌</v>
      </c>
      <c r="J4473" s="1" t="str">
        <f>IFERROR(__xludf.DUMMYFUNCTION("GOOGLETRANSLATE(F4473,""EN"",""JA"")"),"生物標本において、種レベルには割り当てられていないが、Streptococcus 属レベルに割り当てられている生物の測定値。")</f>
        <v>生物標本において、種レベルには割り当てられていないが、Streptococcus 属レベルに割り当てられている生物の測定値。</v>
      </c>
      <c r="K4473" s="1" t="str">
        <f>IFERROR(__xludf.DUMMYFUNCTION("GOOGLETRANSLATE(G4473,""EN"",""JA"")"),"連鎖球菌測定")</f>
        <v>連鎖球菌測定</v>
      </c>
    </row>
    <row r="4474" ht="13.5" customHeight="1">
      <c r="A4474" s="1" t="s">
        <v>134</v>
      </c>
      <c r="B4474" s="1" t="s">
        <v>22325</v>
      </c>
      <c r="C4474" s="1" t="s">
        <v>22326</v>
      </c>
      <c r="D4474" s="1" t="s">
        <v>22327</v>
      </c>
      <c r="E4474" s="1" t="s">
        <v>22327</v>
      </c>
      <c r="F4474" s="1" t="s">
        <v>22328</v>
      </c>
      <c r="G4474" s="1" t="s">
        <v>22329</v>
      </c>
      <c r="H4474" s="1" t="str">
        <f>IFERROR(__xludf.DUMMYFUNCTION("GOOGLETRANSLATE(D4474,""EN"",""JA"")"),"間質細胞/総細胞")</f>
        <v>間質細胞/総細胞</v>
      </c>
      <c r="I4474" s="1" t="str">
        <f>IFERROR(__xludf.DUMMYFUNCTION("GOOGLETRANSLATE(E4474,""EN"",""JA"")"),"間質細胞/総細胞")</f>
        <v>間質細胞/総細胞</v>
      </c>
      <c r="J4474" s="1" t="str">
        <f>IFERROR(__xludf.DUMMYFUNCTION("GOOGLETRANSLATE(F4474,""EN"",""JA"")"),"生物標本中の間質細胞と総細胞の相対的な測定値（比率またはパーセンテージ）。")</f>
        <v>生物標本中の間質細胞と総細胞の相対的な測定値（比率またはパーセンテージ）。</v>
      </c>
      <c r="K4474" s="1" t="str">
        <f>IFERROR(__xludf.DUMMYFUNCTION("GOOGLETRANSLATE(G4474,""EN"",""JA"")"),"間質細胞と全細胞比の測定")</f>
        <v>間質細胞と全細胞比の測定</v>
      </c>
    </row>
    <row r="4475" ht="13.5" customHeight="1">
      <c r="A4475" s="1" t="s">
        <v>90</v>
      </c>
      <c r="B4475" s="1" t="s">
        <v>22330</v>
      </c>
      <c r="C4475" s="1" t="s">
        <v>22331</v>
      </c>
      <c r="D4475" s="1" t="s">
        <v>22332</v>
      </c>
      <c r="E4475" s="1" t="s">
        <v>22332</v>
      </c>
      <c r="F4475" s="1" t="s">
        <v>22333</v>
      </c>
      <c r="G4475" s="1" t="s">
        <v>22332</v>
      </c>
      <c r="H4475" s="1" t="str">
        <f>IFERROR(__xludf.DUMMYFUNCTION("GOOGLETRANSLATE(D4475,""EN"",""JA"")"),"ストローク量")</f>
        <v>ストローク量</v>
      </c>
      <c r="I4475" s="1" t="str">
        <f>IFERROR(__xludf.DUMMYFUNCTION("GOOGLETRANSLATE(E4475,""EN"",""JA"")"),"ストローク量")</f>
        <v>ストローク量</v>
      </c>
      <c r="J4475" s="1" t="str">
        <f>IFERROR(__xludf.DUMMYFUNCTION("GOOGLETRANSLATE(F4475,""EN"",""JA"")"),"最大拡張点と最大収縮点の間の血液量の差。これは、拡張末期容積から収縮末期容積を差し引いた値です。")</f>
        <v>最大拡張点と最大収縮点の間の血液量の差。これは、拡張末期容積から収縮末期容積を差し引いた値です。</v>
      </c>
      <c r="K4475" s="1" t="str">
        <f>IFERROR(__xludf.DUMMYFUNCTION("GOOGLETRANSLATE(G4475,""EN"",""JA"")"),"ストローク量")</f>
        <v>ストローク量</v>
      </c>
    </row>
    <row r="4476" ht="13.5" customHeight="1">
      <c r="A4476" s="1" t="s">
        <v>11</v>
      </c>
      <c r="B4476" s="1" t="s">
        <v>22334</v>
      </c>
      <c r="C4476" s="1" t="s">
        <v>22335</v>
      </c>
      <c r="D4476" s="1" t="s">
        <v>22336</v>
      </c>
      <c r="E4476" s="1" t="s">
        <v>22337</v>
      </c>
      <c r="F4476" s="1" t="s">
        <v>22338</v>
      </c>
      <c r="G4476" s="1" t="s">
        <v>22339</v>
      </c>
      <c r="H4476" s="1" t="str">
        <f>IFERROR(__xludf.DUMMYFUNCTION("GOOGLETRANSLATE(D4476,""EN"",""JA"")"),"骨格筋トロポニンI")</f>
        <v>骨格筋トロポニンI</v>
      </c>
      <c r="I4476" s="1" t="str">
        <f>IFERROR(__xludf.DUMMYFUNCTION("GOOGLETRANSLATE(E4476,""EN"",""JA"")"),"骨格筋トロポニンI; sTnl")</f>
        <v>骨格筋トロポニンI; sTnl</v>
      </c>
      <c r="J4476" s="1" t="str">
        <f>IFERROR(__xludf.DUMMYFUNCTION("GOOGLETRANSLATE(F4476,""EN"",""JA"")"),"生物標本中の総骨格トロポニン I の測定。")</f>
        <v>生物標本中の総骨格トロポニン I の測定。</v>
      </c>
      <c r="K4476" s="1" t="str">
        <f>IFERROR(__xludf.DUMMYFUNCTION("GOOGLETRANSLATE(G4476,""EN"",""JA"")"),"骨格筋トロポニンI測定")</f>
        <v>骨格筋トロポニンI測定</v>
      </c>
    </row>
    <row r="4477" ht="13.5" customHeight="1">
      <c r="A4477" s="1" t="s">
        <v>1342</v>
      </c>
      <c r="B4477" s="1" t="s">
        <v>22340</v>
      </c>
      <c r="C4477" s="1" t="s">
        <v>22341</v>
      </c>
      <c r="D4477" s="1" t="s">
        <v>22342</v>
      </c>
      <c r="E4477" s="1" t="s">
        <v>22342</v>
      </c>
      <c r="F4477" s="1" t="s">
        <v>22343</v>
      </c>
      <c r="G4477" s="1" t="s">
        <v>22342</v>
      </c>
      <c r="H4477" s="1" t="str">
        <f>IFERROR(__xludf.DUMMYFUNCTION("GOOGLETRANSLATE(D4477,""EN"",""JA"")"),"ステロイド使用状況")</f>
        <v>ステロイド使用状況</v>
      </c>
      <c r="I4477" s="1" t="str">
        <f>IFERROR(__xludf.DUMMYFUNCTION("GOOGLETRANSLATE(E4477,""EN"",""JA"")"),"ステロイド使用状況")</f>
        <v>ステロイド使用状況</v>
      </c>
      <c r="J4477" s="1" t="str">
        <f>IFERROR(__xludf.DUMMYFUNCTION("GOOGLETRANSLATE(F4477,""EN"",""JA"")"),"治療に対する疾患反応の条件としてのステロイド使用の評価。(NCI)")</f>
        <v>治療に対する疾患反応の条件としてのステロイド使用の評価。(NCI)</v>
      </c>
      <c r="K4477" s="1" t="str">
        <f>IFERROR(__xludf.DUMMYFUNCTION("GOOGLETRANSLATE(G4477,""EN"",""JA"")"),"ステロイド使用状況")</f>
        <v>ステロイド使用状況</v>
      </c>
    </row>
    <row r="4478" ht="13.5" customHeight="1">
      <c r="A4478" s="1" t="s">
        <v>11</v>
      </c>
      <c r="B4478" s="1" t="s">
        <v>22344</v>
      </c>
      <c r="C4478" s="1" t="s">
        <v>22345</v>
      </c>
      <c r="D4478" s="1" t="s">
        <v>22346</v>
      </c>
      <c r="E4478" s="1" t="s">
        <v>22347</v>
      </c>
      <c r="F4478" s="1" t="s">
        <v>22348</v>
      </c>
      <c r="G4478" s="1" t="s">
        <v>22349</v>
      </c>
      <c r="H4478" s="1" t="str">
        <f>IFERROR(__xludf.DUMMYFUNCTION("GOOGLETRANSLATE(D4478,""EN"",""JA"")"),"ステロイドスルファターゼ")</f>
        <v>ステロイドスルファターゼ</v>
      </c>
      <c r="I4478" s="1" t="str">
        <f>IFERROR(__xludf.DUMMYFUNCTION("GOOGLETRANSLATE(E4478,""EN"",""JA"")"),"ステロイドスルファターゼ;ステリルスルファターゼ")</f>
        <v>ステロイドスルファターゼ;ステリルスルファターゼ</v>
      </c>
      <c r="J4478" s="1" t="str">
        <f>IFERROR(__xludf.DUMMYFUNCTION("GOOGLETRANSLATE(F4478,""EN"",""JA"")"),"生物標本中のステロイドスルファターゼの測定。")</f>
        <v>生物標本中のステロイドスルファターゼの測定。</v>
      </c>
      <c r="K4478" s="1" t="str">
        <f>IFERROR(__xludf.DUMMYFUNCTION("GOOGLETRANSLATE(G4478,""EN"",""JA"")"),"ステロイドスルファターゼ測定")</f>
        <v>ステロイドスルファターゼ測定</v>
      </c>
    </row>
    <row r="4479" ht="13.5" customHeight="1">
      <c r="A4479" s="1" t="s">
        <v>1168</v>
      </c>
      <c r="B4479" s="1" t="s">
        <v>22350</v>
      </c>
      <c r="C4479" s="1" t="s">
        <v>22351</v>
      </c>
      <c r="D4479" s="1" t="s">
        <v>22352</v>
      </c>
      <c r="E4479" s="1" t="s">
        <v>22352</v>
      </c>
      <c r="F4479" s="1" t="s">
        <v>22353</v>
      </c>
      <c r="G4479" s="1" t="s">
        <v>22354</v>
      </c>
      <c r="H4479" s="1" t="str">
        <f>IFERROR(__xludf.DUMMYFUNCTION("GOOGLETRANSLATE(D4479,""EN"",""JA"")"),"STセグメント持続時間、合計")</f>
        <v>STセグメント持続時間、合計</v>
      </c>
      <c r="I4479" s="1" t="str">
        <f>IFERROR(__xludf.DUMMYFUNCTION("GOOGLETRANSLATE(E4479,""EN"",""JA"")"),"STセグメント持続時間、合計")</f>
        <v>STセグメント持続時間、合計</v>
      </c>
      <c r="J4479" s="1" t="str">
        <f>IFERROR(__xludf.DUMMYFUNCTION("GOOGLETRANSLATE(F4479,""EN"",""JA"")"),"単一の心電図における複数の心拍から測定されたST部分持続時間間隔に基づく集計ST部分持続時間値。集計方法は様々ですが、通常は平均値などの中心傾向を示す指標が用いられます。")</f>
        <v>単一の心電図における複数の心拍から測定されたST部分持続時間間隔に基づく集計ST部分持続時間値。集計方法は様々ですが、通常は平均値などの中心傾向を示す指標が用いられます。</v>
      </c>
      <c r="K4479" s="1" t="str">
        <f>IFERROR(__xludf.DUMMYFUNCTION("GOOGLETRANSLATE(G4479,""EN"",""JA"")"),"STセグメント持続時間合計")</f>
        <v>STセグメント持続時間合計</v>
      </c>
    </row>
    <row r="4480" ht="13.5" customHeight="1">
      <c r="A4480" s="1" t="s">
        <v>1168</v>
      </c>
      <c r="B4480" s="1" t="s">
        <v>22355</v>
      </c>
      <c r="C4480" s="1" t="s">
        <v>22356</v>
      </c>
      <c r="D4480" s="1" t="s">
        <v>22357</v>
      </c>
      <c r="E4480" s="1" t="s">
        <v>22357</v>
      </c>
      <c r="F4480" s="1" t="s">
        <v>22358</v>
      </c>
      <c r="G4480" s="1" t="s">
        <v>22359</v>
      </c>
      <c r="H4480" s="1" t="str">
        <f>IFERROR(__xludf.DUMMYFUNCTION("GOOGLETRANSLATE(D4480,""EN"",""JA"")"),"ST部分持続時間、1拍")</f>
        <v>ST部分持続時間、1拍</v>
      </c>
      <c r="I4480" s="1" t="str">
        <f>IFERROR(__xludf.DUMMYFUNCTION("GOOGLETRANSLATE(E4480,""EN"",""JA"")"),"ST部分持続時間、1拍")</f>
        <v>ST部分持続時間、1拍</v>
      </c>
      <c r="J4480" s="1" t="str">
        <f>IFERROR(__xludf.DUMMYFUNCTION("GOOGLETRANSLATE(F4480,""EN"",""JA"")"),"1 つ以上のリードを使用して、J 点から単一拍動の T 波の開始まで測定された心電図間隔。")</f>
        <v>1 つ以上のリードを使用して、J 点から単一拍動の T 波の開始まで測定された心電図間隔。</v>
      </c>
      <c r="K4480" s="1" t="str">
        <f>IFERROR(__xludf.DUMMYFUNCTION("GOOGLETRANSLATE(G4480,""EN"",""JA"")"),"STセグメント持続時間（1拍）")</f>
        <v>STセグメント持続時間（1拍）</v>
      </c>
    </row>
    <row r="4481" ht="13.5" customHeight="1">
      <c r="A4481" s="1" t="s">
        <v>134</v>
      </c>
      <c r="B4481" s="1" t="s">
        <v>22360</v>
      </c>
      <c r="C4481" s="1" t="s">
        <v>22361</v>
      </c>
      <c r="D4481" s="1" t="s">
        <v>22362</v>
      </c>
      <c r="E4481" s="1" t="s">
        <v>22363</v>
      </c>
      <c r="F4481" s="1" t="s">
        <v>22364</v>
      </c>
      <c r="G4481" s="1" t="s">
        <v>22362</v>
      </c>
      <c r="H4481" s="1" t="str">
        <f>IFERROR(__xludf.DUMMYFUNCTION("GOOGLETRANSLATE(D4481,""EN"",""JA"")"),"脂肪肝の程度")</f>
        <v>脂肪肝の程度</v>
      </c>
      <c r="I4481" s="1" t="str">
        <f>IFERROR(__xludf.DUMMYFUNCTION("GOOGLETRANSLATE(E4481,""EN"",""JA"")"),"脂肪肝の程度; 脂肪肝のグレード")</f>
        <v>脂肪肝の程度; 脂肪肝のグレード</v>
      </c>
      <c r="J4481" s="1" t="str">
        <f>IFERROR(__xludf.DUMMYFUNCTION("GOOGLETRANSLATE(F4481,""EN"",""JA"")"),"生物学的標本における脂肪変性（脂肪組織）の量または程度の評価。")</f>
        <v>生物学的標本における脂肪変性（脂肪組織）の量または程度の評価。</v>
      </c>
      <c r="K4481" s="1" t="str">
        <f>IFERROR(__xludf.DUMMYFUNCTION("GOOGLETRANSLATE(G4481,""EN"",""JA"")"),"脂肪肝の程度")</f>
        <v>脂肪肝の程度</v>
      </c>
    </row>
    <row r="4482" ht="13.5" customHeight="1">
      <c r="A4482" s="1" t="s">
        <v>134</v>
      </c>
      <c r="B4482" s="1" t="s">
        <v>22365</v>
      </c>
      <c r="C4482" s="1" t="s">
        <v>22366</v>
      </c>
      <c r="D4482" s="1" t="s">
        <v>22367</v>
      </c>
      <c r="E4482" s="1" t="s">
        <v>22367</v>
      </c>
      <c r="F4482" s="1" t="s">
        <v>22368</v>
      </c>
      <c r="G4482" s="1" t="s">
        <v>22367</v>
      </c>
      <c r="H4482" s="1" t="str">
        <f>IFERROR(__xludf.DUMMYFUNCTION("GOOGLETRANSLATE(D4482,""EN"",""JA"")"),"脂肪肝の場所")</f>
        <v>脂肪肝の場所</v>
      </c>
      <c r="I4482" s="1" t="str">
        <f>IFERROR(__xludf.DUMMYFUNCTION("GOOGLETRANSLATE(E4482,""EN"",""JA"")"),"脂肪肝の場所")</f>
        <v>脂肪肝の場所</v>
      </c>
      <c r="J4482" s="1" t="str">
        <f>IFERROR(__xludf.DUMMYFUNCTION("GOOGLETRANSLATE(F4482,""EN"",""JA"")"),"生物標本における脂肪変性症（脂肪組織）の主な分布パターンの評価。")</f>
        <v>生物標本における脂肪変性症（脂肪組織）の主な分布パターンの評価。</v>
      </c>
      <c r="K4482" s="1" t="str">
        <f>IFERROR(__xludf.DUMMYFUNCTION("GOOGLETRANSLATE(G4482,""EN"",""JA"")"),"脂肪肝の場所")</f>
        <v>脂肪肝の場所</v>
      </c>
    </row>
    <row r="4483" ht="13.5" customHeight="1">
      <c r="A4483" s="1" t="s">
        <v>1168</v>
      </c>
      <c r="B4483" s="1" t="s">
        <v>22369</v>
      </c>
      <c r="C4483" s="1" t="s">
        <v>22370</v>
      </c>
      <c r="D4483" s="1" t="s">
        <v>22371</v>
      </c>
      <c r="E4483" s="1" t="s">
        <v>22371</v>
      </c>
      <c r="F4483" s="1" t="s">
        <v>22372</v>
      </c>
      <c r="G4483" s="1" t="s">
        <v>22373</v>
      </c>
      <c r="H4483" s="1" t="str">
        <f>IFERROR(__xludf.DUMMYFUNCTION("GOOGLETRANSLATE(D4483,""EN"",""JA"")"),"ST部分、T波、U波")</f>
        <v>ST部分、T波、U波</v>
      </c>
      <c r="I4483" s="1" t="str">
        <f>IFERROR(__xludf.DUMMYFUNCTION("GOOGLETRANSLATE(E4483,""EN"",""JA"")"),"ST部分、T波、U波")</f>
        <v>ST部分、T波、U波</v>
      </c>
      <c r="J4483" s="1" t="str">
        <f>IFERROR(__xludf.DUMMYFUNCTION("GOOGLETRANSLATE(F4483,""EN"",""JA"")"),"ST 部分、T 波、U 波の特徴を心電図で評価します。")</f>
        <v>ST 部分、T 波、U 波の特徴を心電図で評価します。</v>
      </c>
      <c r="K4483" s="1" t="str">
        <f>IFERROR(__xludf.DUMMYFUNCTION("GOOGLETRANSLATE(G4483,""EN"",""JA"")"),"ST部分、T波、U波の心電図評価")</f>
        <v>ST部分、T波、U波の心電図評価</v>
      </c>
    </row>
    <row r="4484" ht="13.5" customHeight="1">
      <c r="A4484" s="1" t="s">
        <v>1168</v>
      </c>
      <c r="B4484" s="1" t="s">
        <v>22369</v>
      </c>
      <c r="C4484" s="1" t="s">
        <v>22370</v>
      </c>
      <c r="D4484" s="1" t="s">
        <v>22371</v>
      </c>
      <c r="E4484" s="1" t="s">
        <v>22371</v>
      </c>
      <c r="F4484" s="1" t="s">
        <v>22372</v>
      </c>
      <c r="G4484" s="1" t="s">
        <v>22373</v>
      </c>
      <c r="H4484" s="1" t="str">
        <f>IFERROR(__xludf.DUMMYFUNCTION("GOOGLETRANSLATE(D4484,""EN"",""JA"")"),"ST部分、T波、U波")</f>
        <v>ST部分、T波、U波</v>
      </c>
      <c r="I4484" s="1" t="str">
        <f>IFERROR(__xludf.DUMMYFUNCTION("GOOGLETRANSLATE(E4484,""EN"",""JA"")"),"ST部分、T波、U波")</f>
        <v>ST部分、T波、U波</v>
      </c>
      <c r="J4484" s="1" t="str">
        <f>IFERROR(__xludf.DUMMYFUNCTION("GOOGLETRANSLATE(F4484,""EN"",""JA"")"),"ST 部分、T 波、U 波の特徴を心電図で評価します。")</f>
        <v>ST 部分、T 波、U 波の特徴を心電図で評価します。</v>
      </c>
      <c r="K4484" s="1" t="str">
        <f>IFERROR(__xludf.DUMMYFUNCTION("GOOGLETRANSLATE(G4484,""EN"",""JA"")"),"ST部分、T波、U波の心電図評価")</f>
        <v>ST部分、T波、U波の心電図評価</v>
      </c>
    </row>
    <row r="4485" ht="13.5" customHeight="1">
      <c r="A4485" s="1" t="s">
        <v>1168</v>
      </c>
      <c r="B4485" s="1" t="s">
        <v>22369</v>
      </c>
      <c r="C4485" s="1" t="s">
        <v>22370</v>
      </c>
      <c r="D4485" s="1" t="s">
        <v>22371</v>
      </c>
      <c r="E4485" s="1" t="s">
        <v>22371</v>
      </c>
      <c r="F4485" s="1" t="s">
        <v>22372</v>
      </c>
      <c r="G4485" s="1" t="s">
        <v>22373</v>
      </c>
      <c r="H4485" s="1" t="str">
        <f>IFERROR(__xludf.DUMMYFUNCTION("GOOGLETRANSLATE(D4485,""EN"",""JA"")"),"ST部分、T波、U波")</f>
        <v>ST部分、T波、U波</v>
      </c>
      <c r="I4485" s="1" t="str">
        <f>IFERROR(__xludf.DUMMYFUNCTION("GOOGLETRANSLATE(E4485,""EN"",""JA"")"),"ST部分、T波、U波")</f>
        <v>ST部分、T波、U波</v>
      </c>
      <c r="J4485" s="1" t="str">
        <f>IFERROR(__xludf.DUMMYFUNCTION("GOOGLETRANSLATE(F4485,""EN"",""JA"")"),"ST 部分、T 波、U 波の特徴を心電図で評価します。")</f>
        <v>ST 部分、T 波、U 波の特徴を心電図で評価します。</v>
      </c>
      <c r="K4485" s="1" t="str">
        <f>IFERROR(__xludf.DUMMYFUNCTION("GOOGLETRANSLATE(G4485,""EN"",""JA"")"),"ST部分、T波、U波の心電図評価")</f>
        <v>ST部分、T波、U波の心電図評価</v>
      </c>
    </row>
    <row r="4486" ht="13.5" customHeight="1">
      <c r="A4486" s="1" t="s">
        <v>1168</v>
      </c>
      <c r="B4486" s="1" t="s">
        <v>22369</v>
      </c>
      <c r="C4486" s="1" t="s">
        <v>22370</v>
      </c>
      <c r="D4486" s="1" t="s">
        <v>22371</v>
      </c>
      <c r="E4486" s="1" t="s">
        <v>22371</v>
      </c>
      <c r="F4486" s="1" t="s">
        <v>22372</v>
      </c>
      <c r="G4486" s="1" t="s">
        <v>22373</v>
      </c>
      <c r="H4486" s="1" t="str">
        <f>IFERROR(__xludf.DUMMYFUNCTION("GOOGLETRANSLATE(D4486,""EN"",""JA"")"),"ST部分、T波、U波")</f>
        <v>ST部分、T波、U波</v>
      </c>
      <c r="I4486" s="1" t="str">
        <f>IFERROR(__xludf.DUMMYFUNCTION("GOOGLETRANSLATE(E4486,""EN"",""JA"")"),"ST部分、T波、U波")</f>
        <v>ST部分、T波、U波</v>
      </c>
      <c r="J4486" s="1" t="str">
        <f>IFERROR(__xludf.DUMMYFUNCTION("GOOGLETRANSLATE(F4486,""EN"",""JA"")"),"ST 部分、T 波、U 波の特徴を心電図で評価します。")</f>
        <v>ST 部分、T 波、U 波の特徴を心電図で評価します。</v>
      </c>
      <c r="K4486" s="1" t="str">
        <f>IFERROR(__xludf.DUMMYFUNCTION("GOOGLETRANSLATE(G4486,""EN"",""JA"")"),"ST部分、T波、U波の心電図評価")</f>
        <v>ST部分、T波、U波の心電図評価</v>
      </c>
    </row>
    <row r="4487" ht="13.5" customHeight="1">
      <c r="A4487" s="1" t="s">
        <v>397</v>
      </c>
      <c r="B4487" s="1" t="s">
        <v>22374</v>
      </c>
      <c r="C4487" s="1" t="s">
        <v>22375</v>
      </c>
      <c r="D4487" s="1" t="s">
        <v>22376</v>
      </c>
      <c r="E4487" s="1" t="s">
        <v>22377</v>
      </c>
      <c r="F4487" s="1" t="s">
        <v>22378</v>
      </c>
      <c r="G4487" s="1" t="s">
        <v>22376</v>
      </c>
      <c r="H4487" s="1" t="str">
        <f>IFERROR(__xludf.DUMMYFUNCTION("GOOGLETRANSLATE(D4487,""EN"",""JA"")"),"研究の種類")</f>
        <v>研究の種類</v>
      </c>
      <c r="I4487" s="1" t="str">
        <f>IFERROR(__xludf.DUMMYFUNCTION("GOOGLETRANSLATE(E4487,""EN"",""JA"")"),"研究の種類; 研究の種類分類")</f>
        <v>研究の種類; 研究の種類分類</v>
      </c>
      <c r="J4487" s="1" t="str">
        <f>IFERROR(__xludf.DUMMYFUNCTION("GOOGLETRANSLATE(F4487,""EN"",""JA"")"),"研究情報を収集する対象となる調査の性質。（clinicaltrials.gov より引用）")</f>
        <v>研究情報を収集する対象となる調査の性質。（clinicaltrials.gov より引用）</v>
      </c>
      <c r="K4487" s="1" t="str">
        <f>IFERROR(__xludf.DUMMYFUNCTION("GOOGLETRANSLATE(G4487,""EN"",""JA"")"),"研究の種類")</f>
        <v>研究の種類</v>
      </c>
    </row>
    <row r="4488" ht="13.5" customHeight="1">
      <c r="A4488" s="1" t="s">
        <v>1997</v>
      </c>
      <c r="B4488" s="1" t="s">
        <v>22379</v>
      </c>
      <c r="C4488" s="1" t="s">
        <v>22380</v>
      </c>
      <c r="D4488" s="1" t="s">
        <v>22381</v>
      </c>
      <c r="E4488" s="1" t="s">
        <v>22381</v>
      </c>
      <c r="F4488" s="1" t="s">
        <v>22382</v>
      </c>
      <c r="G4488" s="1" t="s">
        <v>22383</v>
      </c>
      <c r="H4488" s="1" t="str">
        <f>IFERROR(__xludf.DUMMYFUNCTION("GOOGLETRANSLATE(D4488,""EN"",""JA"")"),"視力検査表による実際の距離")</f>
        <v>視力検査表による実際の距離</v>
      </c>
      <c r="I4488" s="1" t="str">
        <f>IFERROR(__xludf.DUMMYFUNCTION("GOOGLETRANSLATE(E4488,""EN"",""JA"")"),"視力検査表による実際の距離")</f>
        <v>視力検査表による実際の距離</v>
      </c>
      <c r="J4488" s="1" t="str">
        <f>IFERROR(__xludf.DUMMYFUNCTION("GOOGLETRANSLATE(F4488,""EN"",""JA"")"),"視力検査中の被験者と視力検査表間の実際の距離。")</f>
        <v>視力検査中の被験者と視力検査表間の実際の距離。</v>
      </c>
      <c r="K4488" s="1" t="str">
        <f>IFERROR(__xludf.DUMMYFUNCTION("GOOGLETRANSLATE(G4488,""EN"",""JA"")"),"実際の被写体と視力検査表の距離")</f>
        <v>実際の被写体と視力検査表の距離</v>
      </c>
    </row>
    <row r="4489" ht="13.5" customHeight="1">
      <c r="A4489" s="1" t="s">
        <v>1997</v>
      </c>
      <c r="B4489" s="1" t="s">
        <v>22384</v>
      </c>
      <c r="C4489" s="1" t="s">
        <v>22385</v>
      </c>
      <c r="D4489" s="1" t="s">
        <v>22386</v>
      </c>
      <c r="E4489" s="1" t="s">
        <v>22386</v>
      </c>
      <c r="F4489" s="1" t="s">
        <v>22387</v>
      </c>
      <c r="G4489" s="1" t="s">
        <v>22388</v>
      </c>
      <c r="H4489" s="1" t="str">
        <f>IFERROR(__xludf.DUMMYFUNCTION("GOOGLETRANSLATE(D4489,""EN"",""JA"")"),"視力検査表による予定距離")</f>
        <v>視力検査表による予定距離</v>
      </c>
      <c r="I4489" s="1" t="str">
        <f>IFERROR(__xludf.DUMMYFUNCTION("GOOGLETRANSLATE(E4489,""EN"",""JA"")"),"視力検査表による予定距離")</f>
        <v>視力検査表による予定距離</v>
      </c>
      <c r="J4489" s="1" t="str">
        <f>IFERROR(__xludf.DUMMYFUNCTION("GOOGLETRANSLATE(F4489,""EN"",""JA"")"),"視力検査中に被験者と視力検査表との間に予定される距離。")</f>
        <v>視力検査中に被験者と視力検査表との間に予定される距離。</v>
      </c>
      <c r="K4489" s="1" t="str">
        <f>IFERROR(__xludf.DUMMYFUNCTION("GOOGLETRANSLATE(G4489,""EN"",""JA"")"),"視力検査表の距離に応じて計画")</f>
        <v>視力検査表の距離に応じて計画</v>
      </c>
    </row>
    <row r="4490" ht="13.5" customHeight="1">
      <c r="A4490" s="1" t="s">
        <v>176</v>
      </c>
      <c r="B4490" s="1" t="s">
        <v>22389</v>
      </c>
      <c r="C4490" s="1" t="s">
        <v>22390</v>
      </c>
      <c r="D4490" s="1" t="s">
        <v>22391</v>
      </c>
      <c r="E4490" s="1" t="s">
        <v>22391</v>
      </c>
      <c r="F4490" s="1" t="s">
        <v>22392</v>
      </c>
      <c r="G4490" s="1" t="s">
        <v>22391</v>
      </c>
      <c r="H4490" s="1" t="str">
        <f>IFERROR(__xludf.DUMMYFUNCTION("GOOGLETRANSLATE(D4490,""EN"",""JA"")"),"吸啜反射")</f>
        <v>吸啜反射</v>
      </c>
      <c r="I4490" s="1" t="str">
        <f>IFERROR(__xludf.DUMMYFUNCTION("GOOGLETRANSLATE(E4490,""EN"",""JA"")"),"吸啜反射")</f>
        <v>吸啜反射</v>
      </c>
      <c r="J4490" s="1" t="str">
        <f>IFERROR(__xludf.DUMMYFUNCTION("GOOGLETRANSLATE(F4490,""EN"",""JA"")"),"乳首を乳児の唇に当てたときの新生児の無意識の原始的反応。")</f>
        <v>乳首を乳児の唇に当てたときの新生児の無意識の原始的反応。</v>
      </c>
      <c r="K4490" s="1" t="str">
        <f>IFERROR(__xludf.DUMMYFUNCTION("GOOGLETRANSLATE(G4490,""EN"",""JA"")"),"吸啜反射")</f>
        <v>吸啜反射</v>
      </c>
    </row>
    <row r="4491" ht="13.5" customHeight="1">
      <c r="A4491" s="1" t="s">
        <v>11</v>
      </c>
      <c r="B4491" s="1" t="s">
        <v>22393</v>
      </c>
      <c r="C4491" s="1" t="s">
        <v>22394</v>
      </c>
      <c r="D4491" s="1" t="s">
        <v>22395</v>
      </c>
      <c r="E4491" s="1" t="s">
        <v>22395</v>
      </c>
      <c r="F4491" s="1" t="s">
        <v>22396</v>
      </c>
      <c r="G4491" s="1" t="s">
        <v>22397</v>
      </c>
      <c r="H4491" s="1" t="str">
        <f>IFERROR(__xludf.DUMMYFUNCTION("GOOGLETRANSLATE(D4491,""EN"",""JA"")"),"スフェンタニル")</f>
        <v>スフェンタニル</v>
      </c>
      <c r="I4491" s="1" t="str">
        <f>IFERROR(__xludf.DUMMYFUNCTION("GOOGLETRANSLATE(E4491,""EN"",""JA"")"),"スフェンタニル")</f>
        <v>スフェンタニル</v>
      </c>
      <c r="J4491" s="1" t="str">
        <f>IFERROR(__xludf.DUMMYFUNCTION("GOOGLETRANSLATE(F4491,""EN"",""JA"")"),"生物標本中のスフェンタニルの測定。")</f>
        <v>生物標本中のスフェンタニルの測定。</v>
      </c>
      <c r="K4491" s="1" t="str">
        <f>IFERROR(__xludf.DUMMYFUNCTION("GOOGLETRANSLATE(G4491,""EN"",""JA"")"),"スフェンタニル測定")</f>
        <v>スフェンタニル測定</v>
      </c>
    </row>
    <row r="4492" ht="13.5" customHeight="1">
      <c r="A4492" s="1" t="s">
        <v>11</v>
      </c>
      <c r="B4492" s="1" t="s">
        <v>22398</v>
      </c>
      <c r="C4492" s="1" t="s">
        <v>22399</v>
      </c>
      <c r="D4492" s="1" t="s">
        <v>22400</v>
      </c>
      <c r="E4492" s="1" t="s">
        <v>22401</v>
      </c>
      <c r="F4492" s="1" t="s">
        <v>22402</v>
      </c>
      <c r="G4492" s="1" t="s">
        <v>22403</v>
      </c>
      <c r="H4492" s="1" t="str">
        <f>IFERROR(__xludf.DUMMYFUNCTION("GOOGLETRANSLATE(D4492,""EN"",""JA"")"),"硫酸塩")</f>
        <v>硫酸塩</v>
      </c>
      <c r="I4492" s="1" t="str">
        <f>IFERROR(__xludf.DUMMYFUNCTION("GOOGLETRANSLATE(E4492,""EN"",""JA"")"),"硫酸塩")</f>
        <v>硫酸塩</v>
      </c>
      <c r="J4492" s="1" t="str">
        <f>IFERROR(__xludf.DUMMYFUNCTION("GOOGLETRANSLATE(F4492,""EN"",""JA"")"),"生物標本中の硫酸塩の測定。")</f>
        <v>生物標本中の硫酸塩の測定。</v>
      </c>
      <c r="K4492" s="1" t="str">
        <f>IFERROR(__xludf.DUMMYFUNCTION("GOOGLETRANSLATE(G4492,""EN"",""JA"")"),"硫酸塩測定")</f>
        <v>硫酸塩測定</v>
      </c>
    </row>
    <row r="4493" ht="13.5" customHeight="1">
      <c r="A4493" s="1" t="s">
        <v>233</v>
      </c>
      <c r="B4493" s="1" t="s">
        <v>22404</v>
      </c>
      <c r="C4493" s="1" t="s">
        <v>22405</v>
      </c>
      <c r="D4493" s="1" t="s">
        <v>22406</v>
      </c>
      <c r="E4493" s="1" t="s">
        <v>22407</v>
      </c>
      <c r="F4493" s="1" t="s">
        <v>22408</v>
      </c>
      <c r="G4493" s="1" t="s">
        <v>22409</v>
      </c>
      <c r="H4493" s="1" t="str">
        <f>IFERROR(__xludf.DUMMYFUNCTION("GOOGLETRANSLATE(D4493,""EN"",""JA"")"),"除脂肪体重補正SUV最大値")</f>
        <v>除脂肪体重補正SUV最大値</v>
      </c>
      <c r="I4493" s="1" t="str">
        <f>IFERROR(__xludf.DUMMYFUNCTION("GOOGLETRANSLATE(E4493,""EN"",""JA"")"),"標準摂取値最大値（除脂肪体重補正）；SUV最大値（除脂肪体重補正）")</f>
        <v>標準摂取値最大値（除脂肪体重補正）；SUV最大値（除脂肪体重補正）</v>
      </c>
      <c r="J4493" s="1" t="str">
        <f>IFERROR(__xludf.DUMMYFUNCTION("GOOGLETRANSLATE(F4493,""EN"",""JA"")"),"定義された領域または関心体積 (VOI) 内で、最も強い信号を持つピクセルまたはボクセルの除脂肪体重に対して補正された標準化された摂取値。")</f>
        <v>定義された領域または関心体積 (VOI) 内で、最も強い信号を持つピクセルまたはボクセルの除脂肪体重に対して補正された標準化された摂取値。</v>
      </c>
      <c r="K4493" s="1" t="str">
        <f>IFERROR(__xludf.DUMMYFUNCTION("GOOGLETRANSLATE(G4493,""EN"",""JA"")"),"除脂肪体重補正最大標準化摂取量値")</f>
        <v>除脂肪体重補正最大標準化摂取量値</v>
      </c>
    </row>
    <row r="4494" ht="13.5" customHeight="1">
      <c r="A4494" s="1" t="s">
        <v>233</v>
      </c>
      <c r="B4494" s="1" t="s">
        <v>22410</v>
      </c>
      <c r="C4494" s="1" t="s">
        <v>22411</v>
      </c>
      <c r="D4494" s="1" t="s">
        <v>22412</v>
      </c>
      <c r="E4494" s="1" t="s">
        <v>22413</v>
      </c>
      <c r="F4494" s="1" t="s">
        <v>22414</v>
      </c>
      <c r="G4494" s="1" t="s">
        <v>22415</v>
      </c>
      <c r="H4494" s="1" t="str">
        <f>IFERROR(__xludf.DUMMYFUNCTION("GOOGLETRANSLATE(D4494,""EN"",""JA"")"),"除脂肪体重補正SUV平均")</f>
        <v>除脂肪体重補正SUV平均</v>
      </c>
      <c r="I4494" s="1" t="str">
        <f>IFERROR(__xludf.DUMMYFUNCTION("GOOGLETRANSLATE(E4494,""EN"",""JA"")"),"標準化摂取値平均（除脂肪体重補正）；SUV平均（除脂肪体重補正）")</f>
        <v>標準化摂取値平均（除脂肪体重補正）；SUV平均（除脂肪体重補正）</v>
      </c>
      <c r="J4494" s="1" t="str">
        <f>IFERROR(__xludf.DUMMYFUNCTION("GOOGLETRANSLATE(F4494,""EN"",""JA"")"),"定義された領域または関心体積 (VOI) 内の除脂肪体重に対して補正された標準化摂取値のグループの算術平均。")</f>
        <v>定義された領域または関心体積 (VOI) 内の除脂肪体重に対して補正された標準化摂取値のグループの算術平均。</v>
      </c>
      <c r="K4494" s="1" t="str">
        <f>IFERROR(__xludf.DUMMYFUNCTION("GOOGLETRANSLATE(G4494,""EN"",""JA"")"),"除脂肪体重補正平均標準化摂取量")</f>
        <v>除脂肪体重補正平均標準化摂取量</v>
      </c>
    </row>
    <row r="4495" ht="13.5" customHeight="1">
      <c r="A4495" s="1" t="s">
        <v>233</v>
      </c>
      <c r="B4495" s="1" t="s">
        <v>22416</v>
      </c>
      <c r="C4495" s="1" t="s">
        <v>22417</v>
      </c>
      <c r="D4495" s="1" t="s">
        <v>22418</v>
      </c>
      <c r="E4495" s="1" t="s">
        <v>22419</v>
      </c>
      <c r="F4495" s="1" t="s">
        <v>22420</v>
      </c>
      <c r="G4495" s="1" t="s">
        <v>22421</v>
      </c>
      <c r="H4495" s="1" t="str">
        <f>IFERROR(__xludf.DUMMYFUNCTION("GOOGLETRANSLATE(D4495,""EN"",""JA"")"),"除脂肪体重補正SUVピーク")</f>
        <v>除脂肪体重補正SUVピーク</v>
      </c>
      <c r="I4495" s="1" t="str">
        <f>IFERROR(__xludf.DUMMYFUNCTION("GOOGLETRANSLATE(E4495,""EN"",""JA"")"),"標準化摂取値ピーク（除脂肪体重補正）; SUVピーク（除脂肪体重補正）")</f>
        <v>標準化摂取値ピーク（除脂肪体重補正）; SUVピーク（除脂肪体重補正）</v>
      </c>
      <c r="J4495" s="1" t="str">
        <f>IFERROR(__xludf.DUMMYFUNCTION("GOOGLETRANSLATE(F4495,""EN"",""JA"")"),"定義された領域または関心体積 (VOI) 全体にわたるすべての SUV 値のヒストグラムによって生成された、除脂肪体重分布に合わせて補正された標準化摂取値のピーク。")</f>
        <v>定義された領域または関心体積 (VOI) 全体にわたるすべての SUV 値のヒストグラムによって生成された、除脂肪体重分布に合わせて補正された標準化摂取値のピーク。</v>
      </c>
      <c r="K4495" s="1" t="str">
        <f>IFERROR(__xludf.DUMMYFUNCTION("GOOGLETRANSLATE(G4495,""EN"",""JA"")"),"除脂肪体重補正された標準摂取量のピーク値")</f>
        <v>除脂肪体重補正された標準摂取量のピーク値</v>
      </c>
    </row>
    <row r="4496" ht="13.5" customHeight="1">
      <c r="A4496" s="1" t="s">
        <v>233</v>
      </c>
      <c r="B4496" s="1" t="s">
        <v>22422</v>
      </c>
      <c r="C4496" s="1" t="s">
        <v>22423</v>
      </c>
      <c r="D4496" s="1" t="s">
        <v>22424</v>
      </c>
      <c r="E4496" s="1" t="s">
        <v>22424</v>
      </c>
      <c r="F4496" s="1" t="s">
        <v>22425</v>
      </c>
      <c r="G4496" s="1" t="s">
        <v>22426</v>
      </c>
      <c r="H4496" s="1" t="str">
        <f>IFERROR(__xludf.DUMMYFUNCTION("GOOGLETRANSLATE(D4496,""EN"",""JA"")"),"直径の合計")</f>
        <v>直径の合計</v>
      </c>
      <c r="I4496" s="1" t="str">
        <f>IFERROR(__xludf.DUMMYFUNCTION("GOOGLETRANSLATE(E4496,""EN"",""JA"")"),"直径の合計")</f>
        <v>直径の合計</v>
      </c>
      <c r="J4496" s="1" t="str">
        <f>IFERROR(__xludf.DUMMYFUNCTION("GOOGLETRANSLATE(F4496,""EN"",""JA"")"),"集計された直径値の計算。")</f>
        <v>集計された直径値の計算。</v>
      </c>
      <c r="K4496" s="1" t="str">
        <f>IFERROR(__xludf.DUMMYFUNCTION("GOOGLETRANSLATE(G4496,""EN"",""JA"")"),"直径の合計")</f>
        <v>直径の合計</v>
      </c>
    </row>
    <row r="4497" ht="13.5" customHeight="1">
      <c r="A4497" s="1" t="s">
        <v>233</v>
      </c>
      <c r="B4497" s="1" t="s">
        <v>22427</v>
      </c>
      <c r="C4497" s="1" t="s">
        <v>22428</v>
      </c>
      <c r="D4497" s="1" t="s">
        <v>22429</v>
      </c>
      <c r="E4497" s="1" t="s">
        <v>22429</v>
      </c>
      <c r="F4497" s="1" t="s">
        <v>22430</v>
      </c>
      <c r="G4497" s="1" t="s">
        <v>22431</v>
      </c>
      <c r="H4497" s="1" t="str">
        <f>IFERROR(__xludf.DUMMYFUNCTION("GOOGLETRANSLATE(D4497,""EN"",""JA"")"),"最長直径の合計")</f>
        <v>最長直径の合計</v>
      </c>
      <c r="I4497" s="1" t="str">
        <f>IFERROR(__xludf.DUMMYFUNCTION("GOOGLETRANSLATE(E4497,""EN"",""JA"")"),"最長直径の合計")</f>
        <v>最長直径の合計</v>
      </c>
      <c r="J4497" s="1" t="str">
        <f>IFERROR(__xludf.DUMMYFUNCTION("GOOGLETRANSLATE(F4497,""EN"",""JA"")"),"集計された最長直径値の計算。")</f>
        <v>集計された最長直径値の計算。</v>
      </c>
      <c r="K4497" s="1" t="str">
        <f>IFERROR(__xludf.DUMMYFUNCTION("GOOGLETRANSLATE(G4497,""EN"",""JA"")"),"最長直径の合計")</f>
        <v>最長直径の合計</v>
      </c>
    </row>
    <row r="4498" ht="13.5" customHeight="1">
      <c r="A4498" s="1" t="s">
        <v>233</v>
      </c>
      <c r="B4498" s="1" t="s">
        <v>22432</v>
      </c>
      <c r="C4498" s="1" t="s">
        <v>22433</v>
      </c>
      <c r="D4498" s="1" t="s">
        <v>22434</v>
      </c>
      <c r="E4498" s="1" t="s">
        <v>22434</v>
      </c>
      <c r="F4498" s="1" t="s">
        <v>22435</v>
      </c>
      <c r="G4498" s="1" t="s">
        <v>22436</v>
      </c>
      <c r="H4498" s="1" t="str">
        <f>IFERROR(__xludf.DUMMYFUNCTION("GOOGLETRANSLATE(D4498,""EN"",""JA"")"),"最長垂線の合計")</f>
        <v>最長垂線の合計</v>
      </c>
      <c r="I4498" s="1" t="str">
        <f>IFERROR(__xludf.DUMMYFUNCTION("GOOGLETRANSLATE(E4498,""EN"",""JA"")"),"最長垂線の合計")</f>
        <v>最長垂線の合計</v>
      </c>
      <c r="J4498" s="1" t="str">
        <f>IFERROR(__xludf.DUMMYFUNCTION("GOOGLETRANSLATE(F4498,""EN"",""JA"")"),"集計された最長垂直値の計算。")</f>
        <v>集計された最長垂直値の計算。</v>
      </c>
      <c r="K4498" s="1" t="str">
        <f>IFERROR(__xludf.DUMMYFUNCTION("GOOGLETRANSLATE(G4498,""EN"",""JA"")"),"最長垂線の合計")</f>
        <v>最長垂線の合計</v>
      </c>
    </row>
    <row r="4499" ht="13.5" customHeight="1">
      <c r="A4499" s="1" t="s">
        <v>233</v>
      </c>
      <c r="B4499" s="1" t="s">
        <v>22437</v>
      </c>
      <c r="C4499" s="1" t="s">
        <v>22438</v>
      </c>
      <c r="D4499" s="1" t="s">
        <v>22439</v>
      </c>
      <c r="E4499" s="1" t="s">
        <v>22439</v>
      </c>
      <c r="F4499" s="1" t="s">
        <v>22440</v>
      </c>
      <c r="G4499" s="1" t="s">
        <v>22441</v>
      </c>
      <c r="H4499" s="1" t="str">
        <f>IFERROR(__xludf.DUMMYFUNCTION("GOOGLETRANSLATE(D4499,""EN"",""JA"")"),"リンパ節以外の腫瘍の合計直径")</f>
        <v>リンパ節以外の腫瘍の合計直径</v>
      </c>
      <c r="I4499" s="1" t="str">
        <f>IFERROR(__xludf.DUMMYFUNCTION("GOOGLETRANSLATE(E4499,""EN"",""JA"")"),"リンパ節以外の腫瘍の合計直径")</f>
        <v>リンパ節以外の腫瘍の合計直径</v>
      </c>
      <c r="J4499" s="1" t="str">
        <f>IFERROR(__xludf.DUMMYFUNCTION("GOOGLETRANSLATE(F4499,""EN"",""JA"")"),"リンパ節以外の腫瘍の合計直径値の計算。")</f>
        <v>リンパ節以外の腫瘍の合計直径値の計算。</v>
      </c>
      <c r="K4499" s="1" t="str">
        <f>IFERROR(__xludf.DUMMYFUNCTION("GOOGLETRANSLATE(G4499,""EN"",""JA"")"),"リンパ節以外の腫瘍の直径の合計")</f>
        <v>リンパ節以外の腫瘍の直径の合計</v>
      </c>
    </row>
    <row r="4500" ht="13.5" customHeight="1">
      <c r="A4500" s="1" t="s">
        <v>233</v>
      </c>
      <c r="B4500" s="1" t="s">
        <v>22442</v>
      </c>
      <c r="C4500" s="1" t="s">
        <v>22443</v>
      </c>
      <c r="D4500" s="1" t="s">
        <v>22444</v>
      </c>
      <c r="E4500" s="1" t="s">
        <v>22444</v>
      </c>
      <c r="F4500" s="1" t="s">
        <v>22445</v>
      </c>
      <c r="G4500" s="1" t="s">
        <v>22446</v>
      </c>
      <c r="H4500" s="1" t="str">
        <f>IFERROR(__xludf.DUMMYFUNCTION("GOOGLETRANSLATE(D4500,""EN"",""JA"")"),"非胸膜病変の合計直径")</f>
        <v>非胸膜病変の合計直径</v>
      </c>
      <c r="I4500" s="1" t="str">
        <f>IFERROR(__xludf.DUMMYFUNCTION("GOOGLETRANSLATE(E4500,""EN"",""JA"")"),"非胸膜病変の合計直径")</f>
        <v>非胸膜病変の合計直径</v>
      </c>
      <c r="J4500" s="1" t="str">
        <f>IFERROR(__xludf.DUMMYFUNCTION("GOOGLETRANSLATE(F4500,""EN"",""JA"")"),"胸膜病変以外の腫瘍の合計直径値の計算。")</f>
        <v>胸膜病変以外の腫瘍の合計直径値の計算。</v>
      </c>
      <c r="K4500" s="1" t="str">
        <f>IFERROR(__xludf.DUMMYFUNCTION("GOOGLETRANSLATE(G4500,""EN"",""JA"")"),"胸膜以外の病変の直径の合計")</f>
        <v>胸膜以外の病変の直径の合計</v>
      </c>
    </row>
    <row r="4501" ht="13.5" customHeight="1">
      <c r="A4501" s="1" t="s">
        <v>233</v>
      </c>
      <c r="B4501" s="1" t="s">
        <v>22447</v>
      </c>
      <c r="C4501" s="1" t="s">
        <v>22448</v>
      </c>
      <c r="D4501" s="1" t="s">
        <v>22449</v>
      </c>
      <c r="E4501" s="1" t="s">
        <v>22450</v>
      </c>
      <c r="F4501" s="1" t="s">
        <v>22451</v>
      </c>
      <c r="G4501" s="1" t="s">
        <v>22452</v>
      </c>
      <c r="H4501" s="1" t="str">
        <f>IFERROR(__xludf.DUMMYFUNCTION("GOOGLETRANSLATE(D4501,""EN"",""JA"")"),"垂直直径の積の和")</f>
        <v>垂直直径の積の和</v>
      </c>
      <c r="I4501" s="1" t="str">
        <f>IFERROR(__xludf.DUMMYFUNCTION("GOOGLETRANSLATE(E4501,""EN"",""JA"")"),"SPD; 垂直直径の積の合計; 垂直直径の積の合計")</f>
        <v>SPD; 垂直直径の積の合計; 垂直直径の積の合計</v>
      </c>
      <c r="J4501" s="1" t="str">
        <f>IFERROR(__xludf.DUMMYFUNCTION("GOOGLETRANSLATE(F4501,""EN"",""JA"")"),"垂直な直径の積の加算の結果。")</f>
        <v>垂直な直径の積の加算の結果。</v>
      </c>
      <c r="K4501" s="1" t="str">
        <f>IFERROR(__xludf.DUMMYFUNCTION("GOOGLETRANSLATE(G4501,""EN"",""JA"")"),"垂直直径の積の和")</f>
        <v>垂直直径の積の和</v>
      </c>
    </row>
    <row r="4502" ht="13.5" customHeight="1">
      <c r="A4502" s="1" t="s">
        <v>233</v>
      </c>
      <c r="B4502" s="1" t="s">
        <v>22453</v>
      </c>
      <c r="C4502" s="1" t="s">
        <v>22454</v>
      </c>
      <c r="D4502" s="1" t="s">
        <v>22455</v>
      </c>
      <c r="E4502" s="1" t="s">
        <v>22455</v>
      </c>
      <c r="F4502" s="1" t="s">
        <v>22456</v>
      </c>
      <c r="G4502" s="1" t="s">
        <v>22457</v>
      </c>
      <c r="H4502" s="1" t="str">
        <f>IFERROR(__xludf.DUMMYFUNCTION("GOOGLETRANSLATE(D4502,""EN"",""JA"")"),"生存直径の合計")</f>
        <v>生存直径の合計</v>
      </c>
      <c r="I4502" s="1" t="str">
        <f>IFERROR(__xludf.DUMMYFUNCTION("GOOGLETRANSLATE(E4502,""EN"",""JA"")"),"生存直径の合計")</f>
        <v>生存直径の合計</v>
      </c>
      <c r="J4502" s="1" t="str">
        <f>IFERROR(__xludf.DUMMYFUNCTION("GOOGLETRANSLATE(F4502,""EN"",""JA"")"),"腫瘍塊の生存部分から採取した合計直径値の計算。")</f>
        <v>腫瘍塊の生存部分から採取した合計直径値の計算。</v>
      </c>
      <c r="K4502" s="1" t="str">
        <f>IFERROR(__xludf.DUMMYFUNCTION("GOOGLETRANSLATE(G4502,""EN"",""JA"")"),"生存直径の合計")</f>
        <v>生存直径の合計</v>
      </c>
    </row>
    <row r="4503" ht="13.5" customHeight="1">
      <c r="A4503" s="1" t="s">
        <v>233</v>
      </c>
      <c r="B4503" s="1" t="s">
        <v>22458</v>
      </c>
      <c r="C4503" s="1" t="s">
        <v>22459</v>
      </c>
      <c r="D4503" s="1" t="s">
        <v>22460</v>
      </c>
      <c r="E4503" s="1" t="s">
        <v>22460</v>
      </c>
      <c r="F4503" s="1" t="s">
        <v>22461</v>
      </c>
      <c r="G4503" s="1" t="s">
        <v>22462</v>
      </c>
      <c r="H4503" s="1" t="str">
        <f>IFERROR(__xludf.DUMMYFUNCTION("GOOGLETRANSLATE(D4503,""EN"",""JA"")"),"合計量")</f>
        <v>合計量</v>
      </c>
      <c r="I4503" s="1" t="str">
        <f>IFERROR(__xludf.DUMMYFUNCTION("GOOGLETRANSLATE(E4503,""EN"",""JA"")"),"合計量")</f>
        <v>合計量</v>
      </c>
      <c r="J4503" s="1" t="str">
        <f>IFERROR(__xludf.DUMMYFUNCTION("GOOGLETRANSLATE(F4503,""EN"",""JA"")"),"集計されたボリューム値の計算。")</f>
        <v>集計されたボリューム値の計算。</v>
      </c>
      <c r="K4503" s="1" t="str">
        <f>IFERROR(__xludf.DUMMYFUNCTION("GOOGLETRANSLATE(G4503,""EN"",""JA"")"),"ボリュームの合計")</f>
        <v>ボリュームの合計</v>
      </c>
    </row>
    <row r="4504" ht="13.5" customHeight="1">
      <c r="A4504" s="1" t="s">
        <v>9590</v>
      </c>
      <c r="B4504" s="1" t="s">
        <v>22463</v>
      </c>
      <c r="C4504" s="1" t="s">
        <v>22464</v>
      </c>
      <c r="D4504" s="1" t="s">
        <v>22465</v>
      </c>
      <c r="E4504" s="1" t="s">
        <v>22465</v>
      </c>
      <c r="F4504" s="1" t="s">
        <v>22466</v>
      </c>
      <c r="G4504" s="1" t="s">
        <v>22467</v>
      </c>
      <c r="H4504" s="1" t="str">
        <f>IFERROR(__xludf.DUMMYFUNCTION("GOOGLETRANSLATE(D4504,""EN"",""JA"")"),"生存状況")</f>
        <v>生存状況</v>
      </c>
      <c r="I4504" s="1" t="str">
        <f>IFERROR(__xludf.DUMMYFUNCTION("GOOGLETRANSLATE(E4504,""EN"",""JA"")"),"生存状況")</f>
        <v>生存状況</v>
      </c>
      <c r="J4504" s="1" t="str">
        <f>IFERROR(__xludf.DUMMYFUNCTION("GOOGLETRANSLATE(F4504,""EN"",""JA"")"),"生きているか死亡しているかの状態。生存状態が不明な場合も含む。")</f>
        <v>生きているか死亡しているかの状態。生存状態が不明な場合も含む。</v>
      </c>
      <c r="K4504" s="1" t="str">
        <f>IFERROR(__xludf.DUMMYFUNCTION("GOOGLETRANSLATE(G4504,""EN"",""JA"")"),"生命状態")</f>
        <v>生命状態</v>
      </c>
    </row>
    <row r="4505" ht="13.5" customHeight="1">
      <c r="A4505" s="1" t="s">
        <v>7009</v>
      </c>
      <c r="B4505" s="1" t="s">
        <v>22468</v>
      </c>
      <c r="C4505" s="1" t="s">
        <v>22469</v>
      </c>
      <c r="D4505" s="1" t="s">
        <v>22470</v>
      </c>
      <c r="E4505" s="1" t="s">
        <v>22470</v>
      </c>
      <c r="F4505" s="1" t="s">
        <v>22471</v>
      </c>
      <c r="G4505" s="1" t="s">
        <v>22470</v>
      </c>
      <c r="H4505" s="1" t="str">
        <f>IFERROR(__xludf.DUMMYFUNCTION("GOOGLETRANSLATE(D4505,""EN"",""JA"")"),"感受性スコア変異指標")</f>
        <v>感受性スコア変異指標</v>
      </c>
      <c r="I4505" s="1" t="str">
        <f>IFERROR(__xludf.DUMMYFUNCTION("GOOGLETRANSLATE(E4505,""EN"",""JA"")"),"感受性スコア変異指標")</f>
        <v>感受性スコア変異指標</v>
      </c>
      <c r="J4505" s="1" t="str">
        <f>IFERROR(__xludf.DUMMYFUNCTION("GOOGLETRANSLATE(F4505,""EN"",""JA"")"),"微生物に感受性を付与する可能性のある、スコア付けされた 1 つ以上の関心対象の変異が存在するかどうかを示します。")</f>
        <v>微生物に感受性を付与する可能性のある、スコア付けされた 1 つ以上の関心対象の変異が存在するかどうかを示します。</v>
      </c>
      <c r="K4505" s="1" t="str">
        <f>IFERROR(__xludf.DUMMYFUNCTION("GOOGLETRANSLATE(G4505,""EN"",""JA"")"),"感受性スコア変異指標")</f>
        <v>感受性スコア変異指標</v>
      </c>
    </row>
    <row r="4506" ht="13.5" customHeight="1">
      <c r="A4506" s="1" t="s">
        <v>176</v>
      </c>
      <c r="B4506" s="1" t="s">
        <v>22472</v>
      </c>
      <c r="C4506" s="1" t="s">
        <v>22473</v>
      </c>
      <c r="D4506" s="1" t="s">
        <v>22474</v>
      </c>
      <c r="E4506" s="1" t="s">
        <v>22474</v>
      </c>
      <c r="F4506" s="1" t="s">
        <v>22475</v>
      </c>
      <c r="G4506" s="1" t="s">
        <v>22476</v>
      </c>
      <c r="H4506" s="1" t="str">
        <f>IFERROR(__xludf.DUMMYFUNCTION("GOOGLETRANSLATE(D4506,""EN"",""JA"")"),"標準摂取値")</f>
        <v>標準摂取値</v>
      </c>
      <c r="I4506" s="1" t="str">
        <f>IFERROR(__xludf.DUMMYFUNCTION("GOOGLETRANSLATE(E4506,""EN"",""JA"")"),"標準摂取値")</f>
        <v>標準摂取値</v>
      </c>
      <c r="J4506" s="1" t="str">
        <f>IFERROR(__xludf.DUMMYFUNCTION("GOOGLETRANSLATE(F4506,""EN"",""JA"")"),"ある時点 C(T) における組織の放射能濃度と患者の体重 1 キログラムあたりの注入放射能量との比率。")</f>
        <v>ある時点 C(T) における組織の放射能濃度と患者の体重 1 キログラムあたりの注入放射能量との比率。</v>
      </c>
      <c r="K4506" s="1" t="str">
        <f>IFERROR(__xludf.DUMMYFUNCTION("GOOGLETRANSLATE(G4506,""EN"",""JA"")"),"標準化摂取値")</f>
        <v>標準化摂取値</v>
      </c>
    </row>
    <row r="4507" ht="13.5" customHeight="1">
      <c r="A4507" s="1" t="s">
        <v>233</v>
      </c>
      <c r="B4507" s="1" t="s">
        <v>22477</v>
      </c>
      <c r="C4507" s="1" t="s">
        <v>22478</v>
      </c>
      <c r="D4507" s="1" t="s">
        <v>22479</v>
      </c>
      <c r="E4507" s="1" t="s">
        <v>22479</v>
      </c>
      <c r="F4507" s="1" t="s">
        <v>22480</v>
      </c>
      <c r="G4507" s="1" t="s">
        <v>22479</v>
      </c>
      <c r="H4507" s="1" t="str">
        <f>IFERROR(__xludf.DUMMYFUNCTION("GOOGLETRANSLATE(D4507,""EN"",""JA"")"),"標準化摂取値最大値")</f>
        <v>標準化摂取値最大値</v>
      </c>
      <c r="I4507" s="1" t="str">
        <f>IFERROR(__xludf.DUMMYFUNCTION("GOOGLETRANSLATE(E4507,""EN"",""JA"")"),"標準化摂取値最大値")</f>
        <v>標準化摂取値最大値</v>
      </c>
      <c r="J4507" s="1" t="str">
        <f>IFERROR(__xludf.DUMMYFUNCTION("GOOGLETRANSLATE(F4507,""EN"",""JA"")"),"定義された領域または関心体積 (VOI) 内で、最も強い信号を持つピクセルまたはボクセルの標準化された (総体重による) 取り込み値。")</f>
        <v>定義された領域または関心体積 (VOI) 内で、最も強い信号を持つピクセルまたはボクセルの標準化された (総体重による) 取り込み値。</v>
      </c>
      <c r="K4507" s="1" t="str">
        <f>IFERROR(__xludf.DUMMYFUNCTION("GOOGLETRANSLATE(G4507,""EN"",""JA"")"),"標準化摂取値最大値")</f>
        <v>標準化摂取値最大値</v>
      </c>
    </row>
    <row r="4508" ht="13.5" customHeight="1">
      <c r="A4508" s="1" t="s">
        <v>233</v>
      </c>
      <c r="B4508" s="1" t="s">
        <v>22481</v>
      </c>
      <c r="C4508" s="1" t="s">
        <v>22482</v>
      </c>
      <c r="D4508" s="1" t="s">
        <v>22483</v>
      </c>
      <c r="E4508" s="1" t="s">
        <v>22484</v>
      </c>
      <c r="F4508" s="1" t="s">
        <v>22485</v>
      </c>
      <c r="G4508" s="1" t="s">
        <v>22483</v>
      </c>
      <c r="H4508" s="1" t="str">
        <f>IFERROR(__xludf.DUMMYFUNCTION("GOOGLETRANSLATE(D4508,""EN"",""JA"")"),"標準化摂取値平均")</f>
        <v>標準化摂取値平均</v>
      </c>
      <c r="I4508" s="1" t="str">
        <f>IFERROR(__xludf.DUMMYFUNCTION("GOOGLETRANSLATE(E4508,""EN"",""JA"")"),"平均代謝標準摂取値; 標準化摂取値平均")</f>
        <v>平均代謝標準摂取値; 標準化摂取値平均</v>
      </c>
      <c r="J4508" s="1" t="str">
        <f>IFERROR(__xludf.DUMMYFUNCTION("GOOGLETRANSLATE(F4508,""EN"",""JA"")"),"定義された領域または関心体積 (VOI) 内の標準化された (体重ごとに) 摂取値のグループの算術平均。")</f>
        <v>定義された領域または関心体積 (VOI) 内の標準化された (体重ごとに) 摂取値のグループの算術平均。</v>
      </c>
      <c r="K4508" s="1" t="str">
        <f>IFERROR(__xludf.DUMMYFUNCTION("GOOGLETRANSLATE(G4508,""EN"",""JA"")"),"標準化摂取値平均")</f>
        <v>標準化摂取値平均</v>
      </c>
    </row>
    <row r="4509" ht="13.5" customHeight="1">
      <c r="A4509" s="1" t="s">
        <v>233</v>
      </c>
      <c r="B4509" s="1" t="s">
        <v>22486</v>
      </c>
      <c r="C4509" s="1" t="s">
        <v>22487</v>
      </c>
      <c r="D4509" s="1" t="s">
        <v>22488</v>
      </c>
      <c r="F4509" s="1" t="s">
        <v>22489</v>
      </c>
      <c r="G4509" s="1" t="s">
        <v>22488</v>
      </c>
      <c r="H4509" s="1" t="str">
        <f>IFERROR(__xludf.DUMMYFUNCTION("GOOGLETRANSLATE(D4509,""EN"",""JA"")"),"標準化摂取値の最小値")</f>
        <v>標準化摂取値の最小値</v>
      </c>
      <c r="I4509" s="1" t="str">
        <f>IFERROR(__xludf.DUMMYFUNCTION("GOOGLETRANSLATE(E4509,""EN"",""JA"")"),"#VALUE!")</f>
        <v>#VALUE!</v>
      </c>
      <c r="J4509" s="1" t="str">
        <f>IFERROR(__xludf.DUMMYFUNCTION("GOOGLETRANSLATE(F4509,""EN"",""JA"")"),"定義された領域または関心体積 (VOI) 内で、信号が最も低いピクセルまたはボクセルの標準化された (総体重による) 取り込み値。")</f>
        <v>定義された領域または関心体積 (VOI) 内で、信号が最も低いピクセルまたはボクセルの標準化された (総体重による) 取り込み値。</v>
      </c>
      <c r="K4509" s="1" t="str">
        <f>IFERROR(__xludf.DUMMYFUNCTION("GOOGLETRANSLATE(G4509,""EN"",""JA"")"),"標準化摂取値の最小値")</f>
        <v>標準化摂取値の最小値</v>
      </c>
    </row>
    <row r="4510" ht="13.5" customHeight="1">
      <c r="A4510" s="1" t="s">
        <v>233</v>
      </c>
      <c r="B4510" s="1" t="s">
        <v>22490</v>
      </c>
      <c r="C4510" s="1" t="s">
        <v>22491</v>
      </c>
      <c r="D4510" s="1" t="s">
        <v>22492</v>
      </c>
      <c r="E4510" s="1" t="s">
        <v>22492</v>
      </c>
      <c r="F4510" s="1" t="s">
        <v>22493</v>
      </c>
      <c r="G4510" s="1" t="s">
        <v>22492</v>
      </c>
      <c r="H4510" s="1" t="str">
        <f>IFERROR(__xludf.DUMMYFUNCTION("GOOGLETRANSLATE(D4510,""EN"",""JA"")"),"標準化摂取値ピーク")</f>
        <v>標準化摂取値ピーク</v>
      </c>
      <c r="I4510" s="1" t="str">
        <f>IFERROR(__xludf.DUMMYFUNCTION("GOOGLETRANSLATE(E4510,""EN"",""JA"")"),"標準化摂取値ピーク")</f>
        <v>標準化摂取値ピーク</v>
      </c>
      <c r="J4510" s="1" t="str">
        <f>IFERROR(__xludf.DUMMYFUNCTION("GOOGLETRANSLATE(F4510,""EN"",""JA"")"),"定義された領域または関心体積 (VOI) 全体にわたるすべての SUV 値のヒストグラムによって生成された、標準化された (体重ごとに) 摂取値分布の最大平均 (ピーク)。")</f>
        <v>定義された領域または関心体積 (VOI) 全体にわたるすべての SUV 値のヒストグラムによって生成された、標準化された (体重ごとに) 摂取値分布の最大平均 (ピーク)。</v>
      </c>
      <c r="K4510" s="1" t="str">
        <f>IFERROR(__xludf.DUMMYFUNCTION("GOOGLETRANSLATE(G4510,""EN"",""JA"")"),"標準化摂取値ピーク")</f>
        <v>標準化摂取値ピーク</v>
      </c>
    </row>
    <row r="4511" ht="13.5" customHeight="1">
      <c r="A4511" s="1" t="s">
        <v>176</v>
      </c>
      <c r="B4511" s="1" t="s">
        <v>22494</v>
      </c>
      <c r="C4511" s="1" t="s">
        <v>22495</v>
      </c>
      <c r="D4511" s="1" t="s">
        <v>22496</v>
      </c>
      <c r="E4511" s="1" t="s">
        <v>22496</v>
      </c>
      <c r="F4511" s="1" t="s">
        <v>22497</v>
      </c>
      <c r="G4511" s="1" t="s">
        <v>22496</v>
      </c>
      <c r="H4511" s="1" t="str">
        <f>IFERROR(__xludf.DUMMYFUNCTION("GOOGLETRANSLATE(D4511,""EN"",""JA"")"),"標準摂取値比率")</f>
        <v>標準摂取値比率</v>
      </c>
      <c r="I4511" s="1" t="str">
        <f>IFERROR(__xludf.DUMMYFUNCTION("GOOGLETRANSLATE(E4511,""EN"",""JA"")"),"標準摂取値比率")</f>
        <v>標準摂取値比率</v>
      </c>
      <c r="J4511" s="1" t="str">
        <f>IFERROR(__xludf.DUMMYFUNCTION("GOOGLETRANSLATE(F4511,""EN"",""JA"")"),"関心のある解剖学的領域とコンテキストで定義された参照解剖学的領域における放射性医薬品の取り込みまたは結合の比率。")</f>
        <v>関心のある解剖学的領域とコンテキストで定義された参照解剖学的領域における放射性医薬品の取り込みまたは結合の比率。</v>
      </c>
      <c r="K4511" s="1" t="str">
        <f>IFERROR(__xludf.DUMMYFUNCTION("GOOGLETRANSLATE(G4511,""EN"",""JA"")"),"標準摂取値比率")</f>
        <v>標準摂取値比率</v>
      </c>
    </row>
    <row r="4512" ht="13.5" customHeight="1">
      <c r="A4512" s="1" t="s">
        <v>1034</v>
      </c>
      <c r="B4512" s="1" t="s">
        <v>22498</v>
      </c>
      <c r="C4512" s="1" t="s">
        <v>22499</v>
      </c>
      <c r="D4512" s="1" t="s">
        <v>22500</v>
      </c>
      <c r="E4512" s="1" t="s">
        <v>22500</v>
      </c>
      <c r="F4512" s="1" t="s">
        <v>22501</v>
      </c>
      <c r="G4512" s="1" t="s">
        <v>22502</v>
      </c>
      <c r="H4512" s="1" t="str">
        <f>IFERROR(__xludf.DUMMYFUNCTION("GOOGLETRANSLATE(D4512,""EN"",""JA"")"),"シャープ/ファンデルハイデ骨侵食スコア")</f>
        <v>シャープ/ファンデルハイデ骨侵食スコア</v>
      </c>
      <c r="I4512" s="1" t="str">
        <f>IFERROR(__xludf.DUMMYFUNCTION("GOOGLETRANSLATE(E4512,""EN"",""JA"")"),"シャープ/ファンデルハイデ骨侵食スコア")</f>
        <v>シャープ/ファンデルハイデ骨侵食スコア</v>
      </c>
      <c r="J4512" s="1" t="str">
        <f>IFERROR(__xludf.DUMMYFUNCTION("GOOGLETRANSLATE(F4512,""EN"",""JA"")"),"シャープ関節侵食評価のファン・デル・ハイデ修正法（ファン・デル・ハイデ DM、ファン・リエル PL、Nuver-Zwart IH、グリブナウ FW、ファン・デ・プッテ LB）に基づく骨侵食の臨床評価の結果を表す数値。")</f>
        <v>シャープ関節侵食評価のファン・デル・ハイデ修正法（ファン・デル・ハイデ DM、ファン・リエル PL、Nuver-Zwart IH、グリブナウ FW、ファン・デ・プッテ LB）に基づく骨侵食の臨床評価の結果を表す数値。</v>
      </c>
      <c r="K4512" s="1" t="str">
        <f>IFERROR(__xludf.DUMMYFUNCTION("GOOGLETRANSLATE(G4512,""EN"",""JA"")"),"シャープ ファン デル ハイデ骨侵食スコア")</f>
        <v>シャープ ファン デル ハイデ骨侵食スコア</v>
      </c>
    </row>
    <row r="4513" ht="13.5" customHeight="1">
      <c r="A4513" s="1" t="s">
        <v>580</v>
      </c>
      <c r="B4513" s="1" t="s">
        <v>22503</v>
      </c>
      <c r="C4513" s="1" t="s">
        <v>22504</v>
      </c>
      <c r="D4513" s="1" t="s">
        <v>22505</v>
      </c>
      <c r="E4513" s="1" t="s">
        <v>22505</v>
      </c>
      <c r="F4513" s="1" t="s">
        <v>22506</v>
      </c>
      <c r="G4513" s="1" t="s">
        <v>22505</v>
      </c>
      <c r="H4513" s="1" t="str">
        <f>IFERROR(__xludf.DUMMYFUNCTION("GOOGLETRANSLATE(D4513,""EN"",""JA"")"),"肺活量の低下")</f>
        <v>肺活量の低下</v>
      </c>
      <c r="I4513" s="1" t="str">
        <f>IFERROR(__xludf.DUMMYFUNCTION("GOOGLETRANSLATE(E4513,""EN"",""JA"")"),"肺活量の低下")</f>
        <v>肺活量の低下</v>
      </c>
      <c r="J4513" s="1" t="str">
        <f>IFERROR(__xludf.DUMMYFUNCTION("GOOGLETRANSLATE(F4513,""EN"",""JA"")"),"ゆっくりと最大限に吸い込んだ後に吐き出せる空気の最大量。")</f>
        <v>ゆっくりと最大限に吸い込んだ後に吐き出せる空気の最大量。</v>
      </c>
      <c r="K4513" s="1" t="str">
        <f>IFERROR(__xludf.DUMMYFUNCTION("GOOGLETRANSLATE(G4513,""EN"",""JA"")"),"肺活量の低下")</f>
        <v>肺活量の低下</v>
      </c>
    </row>
    <row r="4514" ht="13.5" customHeight="1">
      <c r="A4514" s="1" t="s">
        <v>11</v>
      </c>
      <c r="B4514" s="1" t="s">
        <v>22507</v>
      </c>
      <c r="C4514" s="1" t="s">
        <v>22508</v>
      </c>
      <c r="D4514" s="1" t="s">
        <v>22509</v>
      </c>
      <c r="E4514" s="1" t="s">
        <v>22509</v>
      </c>
      <c r="F4514" s="1" t="s">
        <v>22510</v>
      </c>
      <c r="G4514" s="1" t="s">
        <v>22511</v>
      </c>
      <c r="H4514" s="1" t="str">
        <f>IFERROR(__xludf.DUMMYFUNCTION("GOOGLETRANSLATE(D4514,""EN"",""JA"")"),"可溶性血管細胞接着分子1")</f>
        <v>可溶性血管細胞接着分子1</v>
      </c>
      <c r="I4514" s="1" t="str">
        <f>IFERROR(__xludf.DUMMYFUNCTION("GOOGLETRANSLATE(E4514,""EN"",""JA"")"),"可溶性血管細胞接着分子1")</f>
        <v>可溶性血管細胞接着分子1</v>
      </c>
      <c r="J4514" s="1" t="str">
        <f>IFERROR(__xludf.DUMMYFUNCTION("GOOGLETRANSLATE(F4514,""EN"",""JA"")"),"生物標本中の可溶性血管細胞接着分子 1 の測定。")</f>
        <v>生物標本中の可溶性血管細胞接着分子 1 の測定。</v>
      </c>
      <c r="K4514" s="1" t="str">
        <f>IFERROR(__xludf.DUMMYFUNCTION("GOOGLETRANSLATE(G4514,""EN"",""JA"")"),"可溶性血管細胞接着分子1")</f>
        <v>可溶性血管細胞接着分子1</v>
      </c>
    </row>
    <row r="4515" ht="13.5" customHeight="1">
      <c r="A4515" s="1" t="s">
        <v>580</v>
      </c>
      <c r="B4515" s="1" t="s">
        <v>22512</v>
      </c>
      <c r="C4515" s="1" t="s">
        <v>22513</v>
      </c>
      <c r="D4515" s="1" t="s">
        <v>22514</v>
      </c>
      <c r="E4515" s="1" t="s">
        <v>22514</v>
      </c>
      <c r="F4515" s="1" t="s">
        <v>22515</v>
      </c>
      <c r="G4515" s="1" t="s">
        <v>22514</v>
      </c>
      <c r="H4515" s="1" t="str">
        <f>IFERROR(__xludf.DUMMYFUNCTION("GOOGLETRANSLATE(D4515,""EN"",""JA"")"),"予測される緩徐肺活量の割合")</f>
        <v>予測される緩徐肺活量の割合</v>
      </c>
      <c r="I4515" s="1" t="str">
        <f>IFERROR(__xludf.DUMMYFUNCTION("GOOGLETRANSLATE(E4515,""EN"",""JA"")"),"予測される緩徐肺活量の割合")</f>
        <v>予測される緩徐肺活量の割合</v>
      </c>
      <c r="J4515" s="1" t="str">
        <f>IFERROR(__xludf.DUMMYFUNCTION("GOOGLETRANSLATE(F4515,""EN"",""JA"")"),"ゆっくりと最大限に吸入した後に吐き出せる空気の最大量を、予測される正常値の割合として表します。")</f>
        <v>ゆっくりと最大限に吸入した後に吐き出せる空気の最大量を、予測される正常値の割合として表します。</v>
      </c>
      <c r="K4515" s="1" t="str">
        <f>IFERROR(__xludf.DUMMYFUNCTION("GOOGLETRANSLATE(G4515,""EN"",""JA"")"),"予測される緩徐肺活量の割合")</f>
        <v>予測される緩徐肺活量の割合</v>
      </c>
    </row>
    <row r="4516" ht="13.5" customHeight="1">
      <c r="A4516" s="1" t="s">
        <v>67</v>
      </c>
      <c r="B4516" s="1" t="s">
        <v>22516</v>
      </c>
      <c r="C4516" s="1" t="s">
        <v>22517</v>
      </c>
      <c r="D4516" s="1" t="s">
        <v>22518</v>
      </c>
      <c r="E4516" s="1" t="s">
        <v>22518</v>
      </c>
      <c r="F4516" s="1" t="s">
        <v>22519</v>
      </c>
      <c r="G4516" s="1" t="s">
        <v>22520</v>
      </c>
      <c r="H4516" s="1" t="str">
        <f>IFERROR(__xludf.DUMMYFUNCTION("GOOGLETRANSLATE(D4516,""EN"",""JA"")"),"ストレプトコッカス・ビリダンス")</f>
        <v>ストレプトコッカス・ビリダンス</v>
      </c>
      <c r="I4516" s="1" t="str">
        <f>IFERROR(__xludf.DUMMYFUNCTION("GOOGLETRANSLATE(E4516,""EN"",""JA"")"),"ストレプトコッカス・ビリダンス")</f>
        <v>ストレプトコッカス・ビリダンス</v>
      </c>
      <c r="J4516" s="1" t="str">
        <f>IFERROR(__xludf.DUMMYFUNCTION("GOOGLETRANSLATE(F4516,""EN"",""JA"")"),"生物標本中の Streptococcus viridans の測定。")</f>
        <v>生物標本中の Streptococcus viridans の測定。</v>
      </c>
      <c r="K4516" s="1" t="str">
        <f>IFERROR(__xludf.DUMMYFUNCTION("GOOGLETRANSLATE(G4516,""EN"",""JA"")"),"ストレプトコッカス・ビリダンス測定")</f>
        <v>ストレプトコッカス・ビリダンス測定</v>
      </c>
    </row>
    <row r="4517" ht="13.5" customHeight="1">
      <c r="A4517" s="1" t="s">
        <v>1034</v>
      </c>
      <c r="B4517" s="1" t="s">
        <v>22521</v>
      </c>
      <c r="C4517" s="1" t="s">
        <v>22522</v>
      </c>
      <c r="D4517" s="1" t="s">
        <v>22523</v>
      </c>
      <c r="E4517" s="1" t="s">
        <v>22523</v>
      </c>
      <c r="F4517" s="1" t="s">
        <v>22524</v>
      </c>
      <c r="G4517" s="1" t="s">
        <v>22525</v>
      </c>
      <c r="H4517" s="1" t="str">
        <f>IFERROR(__xludf.DUMMYFUNCTION("GOOGLETRANSLATE(D4517,""EN"",""JA"")"),"シャープ/ファン・デル・ハイデ JSN スコア")</f>
        <v>シャープ/ファン・デル・ハイデ JSN スコア</v>
      </c>
      <c r="I4517" s="1" t="str">
        <f>IFERROR(__xludf.DUMMYFUNCTION("GOOGLETRANSLATE(E4517,""EN"",""JA"")"),"シャープ/ファン・デル・ハイデ JSN スコア")</f>
        <v>シャープ/ファン・デル・ハイデ JSN スコア</v>
      </c>
      <c r="J4517" s="1" t="str">
        <f>IFERROR(__xludf.DUMMYFUNCTION("GOOGLETRANSLATE(F4517,""EN"",""JA"")"),"シャープ関節間隙狭窄評価のファンデルハイデ修正版（ファンデルハイデDM、ファンリエルPL、ヌバーズワルトIH、グリブナウFW、ファンデプット）に基づく関節間隙狭窄の臨床評価の結果を表す数値。")</f>
        <v>シャープ関節間隙狭窄評価のファンデルハイデ修正版（ファンデルハイデDM、ファンリエルPL、ヌバーズワルトIH、グリブナウFW、ファンデプット）に基づく関節間隙狭窄の臨床評価の結果を表す数値。</v>
      </c>
      <c r="K4517" s="1" t="str">
        <f>IFERROR(__xludf.DUMMYFUNCTION("GOOGLETRANSLATE(G4517,""EN"",""JA"")"),"シャープ ファン デル ハイデ関節腔狭窄スコア")</f>
        <v>シャープ ファン デル ハイデ関節腔狭窄スコア</v>
      </c>
    </row>
    <row r="4518" ht="13.5" customHeight="1">
      <c r="A4518" s="1" t="s">
        <v>90</v>
      </c>
      <c r="B4518" s="1" t="s">
        <v>22526</v>
      </c>
      <c r="C4518" s="1" t="s">
        <v>22527</v>
      </c>
      <c r="D4518" s="1" t="s">
        <v>22528</v>
      </c>
      <c r="E4518" s="1" t="s">
        <v>22529</v>
      </c>
      <c r="F4518" s="1" t="s">
        <v>22530</v>
      </c>
      <c r="G4518" s="1" t="s">
        <v>22528</v>
      </c>
      <c r="H4518" s="1" t="str">
        <f>IFERROR(__xludf.DUMMYFUNCTION("GOOGLETRANSLATE(D4518,""EN"",""JA"")"),"全身血管抵抗")</f>
        <v>全身血管抵抗</v>
      </c>
      <c r="I4518" s="1" t="str">
        <f>IFERROR(__xludf.DUMMYFUNCTION("GOOGLETRANSLATE(E4518,""EN"",""JA"")"),"全身血管抵抗；全末梢抵抗")</f>
        <v>全身血管抵抗；全末梢抵抗</v>
      </c>
      <c r="J4518" s="1" t="str">
        <f>IFERROR(__xludf.DUMMYFUNCTION("GOOGLETRANSLATE(F4518,""EN"",""JA"")"),"全身の血管を通る血流に対する抵抗。")</f>
        <v>全身の血管を通る血流に対する抵抗。</v>
      </c>
      <c r="K4518" s="1" t="str">
        <f>IFERROR(__xludf.DUMMYFUNCTION("GOOGLETRANSLATE(G4518,""EN"",""JA"")"),"全身血管抵抗")</f>
        <v>全身血管抵抗</v>
      </c>
    </row>
    <row r="4519" ht="13.5" customHeight="1">
      <c r="A4519" s="1" t="s">
        <v>1168</v>
      </c>
      <c r="B4519" s="1" t="s">
        <v>22531</v>
      </c>
      <c r="C4519" s="1" t="s">
        <v>22532</v>
      </c>
      <c r="D4519" s="1" t="s">
        <v>22533</v>
      </c>
      <c r="E4519" s="1" t="s">
        <v>22533</v>
      </c>
      <c r="F4519" s="1" t="s">
        <v>22534</v>
      </c>
      <c r="G4519" s="1" t="s">
        <v>22535</v>
      </c>
      <c r="H4519" s="1" t="str">
        <f>IFERROR(__xludf.DUMMYFUNCTION("GOOGLETRANSLATE(D4519,""EN"",""JA"")"),"S波振幅、全体")</f>
        <v>S波振幅、全体</v>
      </c>
      <c r="I4519" s="1" t="str">
        <f>IFERROR(__xludf.DUMMYFUNCTION("GOOGLETRANSLATE(E4519,""EN"",""JA"")"),"S波振幅、全体")</f>
        <v>S波振幅、全体</v>
      </c>
      <c r="J4519" s="1" t="str">
        <f>IFERROR(__xludf.DUMMYFUNCTION("GOOGLETRANSLATE(F4519,""EN"",""JA"")"),"単一の心電図における複数の心拍のS波振幅の測定に基づく、S波振幅の集計値。集計方法は様々ですが、通常は平均値などの中心傾向を示す指標が用いられます。")</f>
        <v>単一の心電図における複数の心拍のS波振幅の測定に基づく、S波振幅の集計値。集計方法は様々ですが、通常は平均値などの中心傾向を示す指標が用いられます。</v>
      </c>
      <c r="K4519" s="1" t="str">
        <f>IFERROR(__xludf.DUMMYFUNCTION("GOOGLETRANSLATE(G4519,""EN"",""JA"")"),"S波振幅総計")</f>
        <v>S波振幅総計</v>
      </c>
    </row>
    <row r="4520" ht="13.5" customHeight="1">
      <c r="A4520" s="1" t="s">
        <v>1168</v>
      </c>
      <c r="B4520" s="1" t="s">
        <v>22536</v>
      </c>
      <c r="C4520" s="1" t="s">
        <v>22537</v>
      </c>
      <c r="D4520" s="1" t="s">
        <v>22538</v>
      </c>
      <c r="E4520" s="1" t="s">
        <v>22538</v>
      </c>
      <c r="F4520" s="1" t="s">
        <v>22539</v>
      </c>
      <c r="G4520" s="1" t="s">
        <v>22540</v>
      </c>
      <c r="H4520" s="1" t="str">
        <f>IFERROR(__xludf.DUMMYFUNCTION("GOOGLETRANSLATE(D4520,""EN"",""JA"")"),"S波振幅、単拍")</f>
        <v>S波振幅、単拍</v>
      </c>
      <c r="I4520" s="1" t="str">
        <f>IFERROR(__xludf.DUMMYFUNCTION("GOOGLETRANSLATE(E4520,""EN"",""JA"")"),"S波振幅、単拍")</f>
        <v>S波振幅、単拍</v>
      </c>
      <c r="J4520" s="1" t="str">
        <f>IFERROR(__xludf.DUMMYFUNCTION("GOOGLETRANSLATE(F4520,""EN"",""JA"")"),"心電図において、1回または複数回の誘導を用いて、等電位基線からS波のピークまでのS波の平均振幅（通常はmm単位）を測定する。記録ゲインに基づいて、この測定値は")</f>
        <v>心電図において、1回または複数回の誘導を用いて、等電位基線からS波のピークまでのS波の平均振幅（通常はmm単位）を測定する。記録ゲインに基づいて、この測定値は</v>
      </c>
      <c r="K4520" s="1" t="str">
        <f>IFERROR(__xludf.DUMMYFUNCTION("GOOGLETRANSLATE(G4520,""EN"",""JA"")"),"S波振幅単拍")</f>
        <v>S波振幅単拍</v>
      </c>
    </row>
    <row r="4521" ht="13.5" customHeight="1">
      <c r="A4521" s="1" t="s">
        <v>870</v>
      </c>
      <c r="B4521" s="1" t="s">
        <v>22541</v>
      </c>
      <c r="C4521" s="1" t="s">
        <v>22542</v>
      </c>
      <c r="D4521" s="1" t="s">
        <v>22543</v>
      </c>
      <c r="E4521" s="1" t="s">
        <v>22543</v>
      </c>
      <c r="F4521" s="1" t="s">
        <v>22544</v>
      </c>
      <c r="G4521" s="1" t="s">
        <v>22545</v>
      </c>
      <c r="H4521" s="1" t="str">
        <f>IFERROR(__xludf.DUMMYFUNCTION("GOOGLETRANSLATE(D4521,""EN"",""JA"")"),"スイング")</f>
        <v>スイング</v>
      </c>
      <c r="I4521" s="1" t="str">
        <f>IFERROR(__xludf.DUMMYFUNCTION("GOOGLETRANSLATE(E4521,""EN"",""JA"")"),"スイング")</f>
        <v>スイング</v>
      </c>
      <c r="J4521" s="1" t="str">
        <f>IFERROR(__xludf.DUMMYFUNCTION("GOOGLETRANSLATE(F4521,""EN"",""JA"")"),"投与間隔内で Cmin に標準化された Cmax と Cmin の差。")</f>
        <v>投与間隔内で Cmin に標準化された Cmax と Cmin の差。</v>
      </c>
      <c r="K4521" s="1" t="str">
        <f>IFERROR(__xludf.DUMMYFUNCTION("GOOGLETRANSLATE(G4521,""EN"",""JA"")"),"PKスイング")</f>
        <v>PKスイング</v>
      </c>
    </row>
    <row r="4522" ht="13.5" customHeight="1">
      <c r="A4522" s="1" t="s">
        <v>1034</v>
      </c>
      <c r="B4522" s="1" t="s">
        <v>22546</v>
      </c>
      <c r="C4522" s="1" t="s">
        <v>22547</v>
      </c>
      <c r="D4522" s="1" t="s">
        <v>22548</v>
      </c>
      <c r="E4522" s="1" t="s">
        <v>22548</v>
      </c>
      <c r="F4522" s="1" t="s">
        <v>22549</v>
      </c>
      <c r="G4522" s="1" t="s">
        <v>22548</v>
      </c>
      <c r="H4522" s="1" t="str">
        <f>IFERROR(__xludf.DUMMYFUNCTION("GOOGLETRANSLATE(D4522,""EN"",""JA"")"),"腫れインジケーター")</f>
        <v>腫れインジケーター</v>
      </c>
      <c r="I4522" s="1" t="str">
        <f>IFERROR(__xludf.DUMMYFUNCTION("GOOGLETRANSLATE(E4522,""EN"",""JA"")"),"腫れインジケーター")</f>
        <v>腫れインジケーター</v>
      </c>
      <c r="J4522" s="1" t="str">
        <f>IFERROR(__xludf.DUMMYFUNCTION("GOOGLETRANSLATE(F4522,""EN"",""JA"")"),"腫れの症状があるかどうかを示します。")</f>
        <v>腫れの症状があるかどうかを示します。</v>
      </c>
      <c r="K4522" s="1" t="str">
        <f>IFERROR(__xludf.DUMMYFUNCTION("GOOGLETRANSLATE(G4522,""EN"",""JA"")"),"腫れインジケーター")</f>
        <v>腫れインジケーター</v>
      </c>
    </row>
    <row r="4523" ht="13.5" customHeight="1">
      <c r="A4523" s="1" t="s">
        <v>601</v>
      </c>
      <c r="B4523" s="1" t="s">
        <v>22550</v>
      </c>
      <c r="C4523" s="1" t="s">
        <v>22551</v>
      </c>
      <c r="D4523" s="1" t="s">
        <v>22552</v>
      </c>
      <c r="E4523" s="1" t="s">
        <v>22552</v>
      </c>
      <c r="F4523" s="1" t="s">
        <v>22553</v>
      </c>
      <c r="G4523" s="1" t="s">
        <v>22554</v>
      </c>
      <c r="H4523" s="1" t="str">
        <f>IFERROR(__xludf.DUMMYFUNCTION("GOOGLETRANSLATE(D4523,""EN"",""JA"")"),"臨床使用のためのセックス")</f>
        <v>臨床使用のためのセックス</v>
      </c>
      <c r="I4523" s="1" t="str">
        <f>IFERROR(__xludf.DUMMYFUNCTION("GOOGLETRANSLATE(E4523,""EN"",""JA"")"),"臨床使用のためのセックス")</f>
        <v>臨床使用のためのセックス</v>
      </c>
      <c r="J4523" s="1" t="str">
        <f>IFERROR(__xludf.DUMMYFUNCTION("GOOGLETRANSLATE(F4523,""EN"",""JA"")"),"生殖に関連する身体的特性の集合に基づいて個体を恣意的に分類すること。一般的には女性や男性といったカテゴリーの指定と関連付けられる。この分類は、観察結果のいくつかの組合せに基づいている。")</f>
        <v>生殖に関連する身体的特性の集合に基づいて個体を恣意的に分類すること。一般的には女性や男性といったカテゴリーの指定と関連付けられる。この分類は、観察結果のいくつかの組合せに基づいている。</v>
      </c>
      <c r="K4523" s="1" t="str">
        <f>IFERROR(__xludf.DUMMYFUNCTION("GOOGLETRANSLATE(G4523,""EN"",""JA"")"),"臨床目的で割り当てられた性別")</f>
        <v>臨床目的で割り当てられた性別</v>
      </c>
    </row>
    <row r="4524" ht="13.5" customHeight="1">
      <c r="A4524" s="1" t="s">
        <v>160</v>
      </c>
      <c r="B4524" s="1" t="s">
        <v>22555</v>
      </c>
      <c r="C4524" s="1" t="s">
        <v>22556</v>
      </c>
      <c r="D4524" s="1" t="s">
        <v>22557</v>
      </c>
      <c r="E4524" s="1" t="s">
        <v>22558</v>
      </c>
      <c r="F4524" s="1" t="s">
        <v>22559</v>
      </c>
      <c r="G4524" s="1" t="s">
        <v>22557</v>
      </c>
      <c r="H4524" s="1" t="str">
        <f>IFERROR(__xludf.DUMMYFUNCTION("GOOGLETRANSLATE(D4524,""EN"",""JA"")"),"女性の性的パートナーの数")</f>
        <v>女性の性的パートナーの数</v>
      </c>
      <c r="I4524" s="1" t="str">
        <f>IFERROR(__xludf.DUMMYFUNCTION("GOOGLETRANSLATE(E4524,""EN"",""JA"")"),"女性の性的パートナーの総数")</f>
        <v>女性の性的パートナーの総数</v>
      </c>
      <c r="J4524" s="1" t="str">
        <f>IFERROR(__xludf.DUMMYFUNCTION("GOOGLETRANSLATE(F4524,""EN"",""JA"")"),"指定された期間内に性行為を行った女性の数。")</f>
        <v>指定された期間内に性行為を行った女性の数。</v>
      </c>
      <c r="K4524" s="1" t="str">
        <f>IFERROR(__xludf.DUMMYFUNCTION("GOOGLETRANSLATE(G4524,""EN"",""JA"")"),"女性の性的パートナーの数")</f>
        <v>女性の性的パートナーの数</v>
      </c>
    </row>
    <row r="4525" ht="13.5" customHeight="1">
      <c r="A4525" s="1" t="s">
        <v>160</v>
      </c>
      <c r="B4525" s="1" t="s">
        <v>22560</v>
      </c>
      <c r="C4525" s="1" t="s">
        <v>22561</v>
      </c>
      <c r="D4525" s="1" t="s">
        <v>22562</v>
      </c>
      <c r="E4525" s="1" t="s">
        <v>22563</v>
      </c>
      <c r="F4525" s="1" t="s">
        <v>22564</v>
      </c>
      <c r="G4525" s="1" t="s">
        <v>22562</v>
      </c>
      <c r="H4525" s="1" t="str">
        <f>IFERROR(__xludf.DUMMYFUNCTION("GOOGLETRANSLATE(D4525,""EN"",""JA"")"),"男性の性的パートナーの数")</f>
        <v>男性の性的パートナーの数</v>
      </c>
      <c r="I4525" s="1" t="str">
        <f>IFERROR(__xludf.DUMMYFUNCTION("GOOGLETRANSLATE(E4525,""EN"",""JA"")"),"男性の性的パートナーの総数")</f>
        <v>男性の性的パートナーの総数</v>
      </c>
      <c r="J4525" s="1" t="str">
        <f>IFERROR(__xludf.DUMMYFUNCTION("GOOGLETRANSLATE(F4525,""EN"",""JA"")"),"特定の期間内に性行為を行った男性の数。")</f>
        <v>特定の期間内に性行為を行った男性の数。</v>
      </c>
      <c r="K4525" s="1" t="str">
        <f>IFERROR(__xludf.DUMMYFUNCTION("GOOGLETRANSLATE(G4525,""EN"",""JA"")"),"男性の性的パートナーの数")</f>
        <v>男性の性的パートナーの数</v>
      </c>
    </row>
    <row r="4526" ht="13.5" customHeight="1">
      <c r="A4526" s="1" t="s">
        <v>160</v>
      </c>
      <c r="B4526" s="1" t="s">
        <v>22565</v>
      </c>
      <c r="C4526" s="1" t="s">
        <v>22566</v>
      </c>
      <c r="D4526" s="1" t="s">
        <v>22567</v>
      </c>
      <c r="E4526" s="1" t="s">
        <v>22567</v>
      </c>
      <c r="F4526" s="1" t="s">
        <v>22568</v>
      </c>
      <c r="G4526" s="1" t="s">
        <v>22567</v>
      </c>
      <c r="H4526" s="1" t="str">
        <f>IFERROR(__xludf.DUMMYFUNCTION("GOOGLETRANSLATE(D4526,""EN"",""JA"")"),"新たな女性の性的パートナーの数")</f>
        <v>新たな女性の性的パートナーの数</v>
      </c>
      <c r="I4526" s="1" t="str">
        <f>IFERROR(__xludf.DUMMYFUNCTION("GOOGLETRANSLATE(E4526,""EN"",""JA"")"),"新たな女性の性的パートナーの数")</f>
        <v>新たな女性の性的パートナーの数</v>
      </c>
      <c r="J4526" s="1" t="str">
        <f>IFERROR(__xludf.DUMMYFUNCTION("GOOGLETRANSLATE(F4526,""EN"",""JA"")"),"指定された期間内に新たに出会った女性の性的パートナーの数。")</f>
        <v>指定された期間内に新たに出会った女性の性的パートナーの数。</v>
      </c>
      <c r="K4526" s="1" t="str">
        <f>IFERROR(__xludf.DUMMYFUNCTION("GOOGLETRANSLATE(G4526,""EN"",""JA"")"),"新たな女性の性的パートナーの数")</f>
        <v>新たな女性の性的パートナーの数</v>
      </c>
    </row>
    <row r="4527" ht="13.5" customHeight="1">
      <c r="A4527" s="1" t="s">
        <v>160</v>
      </c>
      <c r="B4527" s="1" t="s">
        <v>22569</v>
      </c>
      <c r="C4527" s="1" t="s">
        <v>22570</v>
      </c>
      <c r="D4527" s="1" t="s">
        <v>22571</v>
      </c>
      <c r="E4527" s="1" t="s">
        <v>22571</v>
      </c>
      <c r="F4527" s="1" t="s">
        <v>22572</v>
      </c>
      <c r="G4527" s="1" t="s">
        <v>22571</v>
      </c>
      <c r="H4527" s="1" t="str">
        <f>IFERROR(__xludf.DUMMYFUNCTION("GOOGLETRANSLATE(D4527,""EN"",""JA"")"),"新たな男性の性的パートナーの数")</f>
        <v>新たな男性の性的パートナーの数</v>
      </c>
      <c r="I4527" s="1" t="str">
        <f>IFERROR(__xludf.DUMMYFUNCTION("GOOGLETRANSLATE(E4527,""EN"",""JA"")"),"新たな男性の性的パートナーの数")</f>
        <v>新たな男性の性的パートナーの数</v>
      </c>
      <c r="J4527" s="1" t="str">
        <f>IFERROR(__xludf.DUMMYFUNCTION("GOOGLETRANSLATE(F4527,""EN"",""JA"")"),"指定された時間間隔内で新たに出会った男性の性的パートナーの数。")</f>
        <v>指定された時間間隔内で新たに出会った男性の性的パートナーの数。</v>
      </c>
      <c r="K4527" s="1" t="str">
        <f>IFERROR(__xludf.DUMMYFUNCTION("GOOGLETRANSLATE(G4527,""EN"",""JA"")"),"新たな男性の性的パートナーの数")</f>
        <v>新たな男性の性的パートナーの数</v>
      </c>
    </row>
    <row r="4528" ht="13.5" customHeight="1">
      <c r="A4528" s="1" t="s">
        <v>160</v>
      </c>
      <c r="B4528" s="1" t="s">
        <v>22573</v>
      </c>
      <c r="C4528" s="1" t="s">
        <v>22574</v>
      </c>
      <c r="D4528" s="1" t="s">
        <v>22575</v>
      </c>
      <c r="E4528" s="1" t="s">
        <v>22575</v>
      </c>
      <c r="F4528" s="1" t="s">
        <v>22576</v>
      </c>
      <c r="G4528" s="1" t="s">
        <v>22575</v>
      </c>
      <c r="H4528" s="1" t="str">
        <f>IFERROR(__xludf.DUMMYFUNCTION("GOOGLETRANSLATE(D4528,""EN"",""JA"")"),"新たなオーラルセックスパートナーの数")</f>
        <v>新たなオーラルセックスパートナーの数</v>
      </c>
      <c r="I4528" s="1" t="str">
        <f>IFERROR(__xludf.DUMMYFUNCTION("GOOGLETRANSLATE(E4528,""EN"",""JA"")"),"新たなオーラルセックスパートナーの数")</f>
        <v>新たなオーラルセックスパートナーの数</v>
      </c>
      <c r="J4528" s="1" t="str">
        <f>IFERROR(__xludf.DUMMYFUNCTION("GOOGLETRANSLATE(F4528,""EN"",""JA"")"),"指定された時間間隔内にオーラルセックスを行った新たな相手の数。")</f>
        <v>指定された時間間隔内にオーラルセックスを行った新たな相手の数。</v>
      </c>
      <c r="K4528" s="1" t="str">
        <f>IFERROR(__xludf.DUMMYFUNCTION("GOOGLETRANSLATE(G4528,""EN"",""JA"")"),"新たなオーラルセックスパートナーの数")</f>
        <v>新たなオーラルセックスパートナーの数</v>
      </c>
    </row>
    <row r="4529" ht="13.5" customHeight="1">
      <c r="A4529" s="1" t="s">
        <v>160</v>
      </c>
      <c r="B4529" s="1" t="s">
        <v>22577</v>
      </c>
      <c r="C4529" s="1" t="s">
        <v>22578</v>
      </c>
      <c r="D4529" s="1" t="s">
        <v>22579</v>
      </c>
      <c r="E4529" s="1" t="s">
        <v>22580</v>
      </c>
      <c r="F4529" s="1" t="s">
        <v>22581</v>
      </c>
      <c r="G4529" s="1" t="s">
        <v>22579</v>
      </c>
      <c r="H4529" s="1" t="str">
        <f>IFERROR(__xludf.DUMMYFUNCTION("GOOGLETRANSLATE(D4529,""EN"",""JA"")"),"オーラルセックスのパートナーの数")</f>
        <v>オーラルセックスのパートナーの数</v>
      </c>
      <c r="I4529" s="1" t="str">
        <f>IFERROR(__xludf.DUMMYFUNCTION("GOOGLETRANSLATE(E4529,""EN"",""JA"")"),"オーラルセックスの相手の総数")</f>
        <v>オーラルセックスの相手の総数</v>
      </c>
      <c r="J4529" s="1" t="str">
        <f>IFERROR(__xludf.DUMMYFUNCTION("GOOGLETRANSLATE(F4529,""EN"",""JA"")"),"特定の時間間隔内にオーラルセックス行為を行った相手の人数。")</f>
        <v>特定の時間間隔内にオーラルセックス行為を行った相手の人数。</v>
      </c>
      <c r="K4529" s="1" t="str">
        <f>IFERROR(__xludf.DUMMYFUNCTION("GOOGLETRANSLATE(G4529,""EN"",""JA"")"),"オーラルセックスのパートナーの数")</f>
        <v>オーラルセックスのパートナーの数</v>
      </c>
    </row>
    <row r="4530" ht="13.5" customHeight="1">
      <c r="A4530" s="1" t="s">
        <v>1342</v>
      </c>
      <c r="B4530" s="1" t="s">
        <v>22582</v>
      </c>
      <c r="C4530" s="1" t="s">
        <v>22583</v>
      </c>
      <c r="D4530" s="1" t="s">
        <v>22584</v>
      </c>
      <c r="E4530" s="1" t="s">
        <v>22584</v>
      </c>
      <c r="F4530" s="1" t="s">
        <v>22585</v>
      </c>
      <c r="G4530" s="1" t="s">
        <v>22584</v>
      </c>
      <c r="H4530" s="1" t="str">
        <f>IFERROR(__xludf.DUMMYFUNCTION("GOOGLETRANSLATE(D4530,""EN"",""JA"")"),"症状の悪化")</f>
        <v>症状の悪化</v>
      </c>
      <c r="I4530" s="1" t="str">
        <f>IFERROR(__xludf.DUMMYFUNCTION("GOOGLETRANSLATE(E4530,""EN"",""JA"")"),"症状の悪化")</f>
        <v>症状の悪化</v>
      </c>
      <c r="J4530" s="1" t="str">
        <f>IFERROR(__xludf.DUMMYFUNCTION("GOOGLETRANSLATE(F4530,""EN"",""JA"")"),"疾患反応基準（例：RECIST）でカバーされない疾患進行の証拠を示す健康状態の全般的な悪化。")</f>
        <v>疾患反応基準（例：RECIST）でカバーされない疾患進行の証拠を示す健康状態の全般的な悪化。</v>
      </c>
      <c r="K4530" s="1" t="str">
        <f>IFERROR(__xludf.DUMMYFUNCTION("GOOGLETRANSLATE(G4530,""EN"",""JA"")"),"症状の悪化")</f>
        <v>症状の悪化</v>
      </c>
    </row>
    <row r="4531" ht="13.5" customHeight="1">
      <c r="A4531" s="1" t="s">
        <v>601</v>
      </c>
      <c r="B4531" s="1" t="s">
        <v>22586</v>
      </c>
      <c r="C4531" s="1" t="s">
        <v>22587</v>
      </c>
      <c r="D4531" s="1" t="s">
        <v>22588</v>
      </c>
      <c r="E4531" s="1" t="s">
        <v>22588</v>
      </c>
      <c r="F4531" s="1" t="s">
        <v>22589</v>
      </c>
      <c r="G4531" s="1" t="s">
        <v>22588</v>
      </c>
      <c r="H4531" s="1" t="str">
        <f>IFERROR(__xludf.DUMMYFUNCTION("GOOGLETRANSLATE(D4531,""EN"",""JA"")"),"症状")</f>
        <v>症状</v>
      </c>
      <c r="I4531" s="1" t="str">
        <f>IFERROR(__xludf.DUMMYFUNCTION("GOOGLETRANSLATE(E4531,""EN"",""JA"")"),"症状")</f>
        <v>症状</v>
      </c>
      <c r="J4531" s="1" t="str">
        <f>IFERROR(__xludf.DUMMYFUNCTION("GOOGLETRANSLATE(F4531,""EN"",""JA"")"),"患者が報告した、病気を示唆する可能性のある身体的または精神的な経験または観察。")</f>
        <v>患者が報告した、病気を示唆する可能性のある身体的または精神的な経験または観察。</v>
      </c>
      <c r="K4531" s="1" t="str">
        <f>IFERROR(__xludf.DUMMYFUNCTION("GOOGLETRANSLATE(G4531,""EN"",""JA"")"),"症状")</f>
        <v>症状</v>
      </c>
    </row>
    <row r="4532" ht="13.5" customHeight="1">
      <c r="A4532" s="1" t="s">
        <v>11</v>
      </c>
      <c r="B4532" s="1" t="s">
        <v>22590</v>
      </c>
      <c r="C4532" s="1" t="s">
        <v>22591</v>
      </c>
      <c r="D4532" s="1" t="s">
        <v>22592</v>
      </c>
      <c r="E4532" s="1" t="s">
        <v>22593</v>
      </c>
      <c r="F4532" s="1" t="s">
        <v>22594</v>
      </c>
      <c r="G4532" s="1" t="s">
        <v>22595</v>
      </c>
      <c r="H4532" s="1" t="str">
        <f>IFERROR(__xludf.DUMMYFUNCTION("GOOGLETRANSLATE(D4532,""EN"",""JA"")"),"滑膜細胞")</f>
        <v>滑膜細胞</v>
      </c>
      <c r="I4532" s="1" t="str">
        <f>IFERROR(__xludf.DUMMYFUNCTION("GOOGLETRANSLATE(E4532,""EN"",""JA"")"),"滑膜細胞; 総滑膜細胞")</f>
        <v>滑膜細胞; 総滑膜細胞</v>
      </c>
      <c r="J4532" s="1" t="str">
        <f>IFERROR(__xludf.DUMMYFUNCTION("GOOGLETRANSLATE(F4532,""EN"",""JA"")"),"生物標本中の滑膜細胞の総数の測定。")</f>
        <v>生物標本中の滑膜細胞の総数の測定。</v>
      </c>
      <c r="K4532" s="1" t="str">
        <f>IFERROR(__xludf.DUMMYFUNCTION("GOOGLETRANSLATE(G4532,""EN"",""JA"")"),"滑膜細胞数")</f>
        <v>滑膜細胞数</v>
      </c>
    </row>
    <row r="4533" ht="13.5" customHeight="1">
      <c r="A4533" s="1" t="s">
        <v>11</v>
      </c>
      <c r="B4533" s="1" t="s">
        <v>22596</v>
      </c>
      <c r="C4533" s="1" t="s">
        <v>22597</v>
      </c>
      <c r="D4533" s="1" t="s">
        <v>22598</v>
      </c>
      <c r="E4533" s="1" t="s">
        <v>22599</v>
      </c>
      <c r="F4533" s="1" t="s">
        <v>22600</v>
      </c>
      <c r="G4533" s="1" t="s">
        <v>22601</v>
      </c>
      <c r="H4533" s="1" t="str">
        <f>IFERROR(__xludf.DUMMYFUNCTION("GOOGLETRANSLATE(D4533,""EN"",""JA"")"),"滑膜細胞/白血球")</f>
        <v>滑膜細胞/白血球</v>
      </c>
      <c r="I4533" s="1" t="str">
        <f>IFERROR(__xludf.DUMMYFUNCTION("GOOGLETRANSLATE(E4533,""EN"",""JA"")"),"滑膜細胞/白血球; 総滑膜細胞/白血球")</f>
        <v>滑膜細胞/白血球; 総滑膜細胞/白血球</v>
      </c>
      <c r="J4533" s="1" t="str">
        <f>IFERROR(__xludf.DUMMYFUNCTION("GOOGLETRANSLATE(F4533,""EN"",""JA"")"),"生物学的標本中のすべての白血球に対する滑膜細胞の相対的な測定値（比率またはパーセンテージ）。")</f>
        <v>生物学的標本中のすべての白血球に対する滑膜細胞の相対的な測定値（比率またはパーセンテージ）。</v>
      </c>
      <c r="K4533" s="1" t="str">
        <f>IFERROR(__xludf.DUMMYFUNCTION("GOOGLETRANSLATE(G4533,""EN"",""JA"")"),"滑膜細胞と白血球の比率測定")</f>
        <v>滑膜細胞と白血球の比率測定</v>
      </c>
    </row>
    <row r="4534" ht="13.5" customHeight="1">
      <c r="A4534" s="1" t="s">
        <v>129</v>
      </c>
      <c r="B4534" s="1" t="s">
        <v>22602</v>
      </c>
      <c r="C4534" s="1" t="s">
        <v>22603</v>
      </c>
      <c r="D4534" s="1" t="s">
        <v>22604</v>
      </c>
      <c r="E4534" s="1" t="s">
        <v>22604</v>
      </c>
      <c r="F4534" s="1" t="s">
        <v>22605</v>
      </c>
      <c r="G4534" s="1" t="s">
        <v>22604</v>
      </c>
      <c r="H4534" s="1" t="str">
        <f>IFERROR(__xludf.DUMMYFUNCTION("GOOGLETRANSLATE(D4534,""EN"",""JA"")"),"収縮期血圧")</f>
        <v>収縮期血圧</v>
      </c>
      <c r="I4534" s="1" t="str">
        <f>IFERROR(__xludf.DUMMYFUNCTION("GOOGLETRANSLATE(E4534,""EN"",""JA"")"),"収縮期血圧")</f>
        <v>収縮期血圧</v>
      </c>
      <c r="J4534" s="1" t="str">
        <f>IFERROR(__xludf.DUMMYFUNCTION("GOOGLETRANSLATE(F4534,""EN"",""JA"")"),"心臓周期中の全身動脈循環における最大血圧。")</f>
        <v>心臓周期中の全身動脈循環における最大血圧。</v>
      </c>
      <c r="K4534" s="1" t="str">
        <f>IFERROR(__xludf.DUMMYFUNCTION("GOOGLETRANSLATE(G4534,""EN"",""JA"")"),"収縮期血圧")</f>
        <v>収縮期血圧</v>
      </c>
    </row>
    <row r="4535" ht="13.5" customHeight="1">
      <c r="A4535" s="1" t="s">
        <v>90</v>
      </c>
      <c r="B4535" s="1" t="s">
        <v>22606</v>
      </c>
      <c r="C4535" s="1" t="s">
        <v>22607</v>
      </c>
      <c r="D4535" s="1" t="s">
        <v>22608</v>
      </c>
      <c r="E4535" s="1" t="s">
        <v>22608</v>
      </c>
      <c r="F4535" s="1" t="s">
        <v>22609</v>
      </c>
      <c r="G4535" s="1" t="s">
        <v>22610</v>
      </c>
      <c r="H4535" s="1" t="str">
        <f>IFERROR(__xludf.DUMMYFUNCTION("GOOGLETRANSLATE(D4535,""EN"",""JA"")"),"収縮期血圧（推定値）")</f>
        <v>収縮期血圧（推定値）</v>
      </c>
      <c r="I4535" s="1" t="str">
        <f>IFERROR(__xludf.DUMMYFUNCTION("GOOGLETRANSLATE(E4535,""EN"",""JA"")"),"収縮期血圧（推定値）")</f>
        <v>収縮期血圧（推定値）</v>
      </c>
      <c r="J4535" s="1" t="str">
        <f>IFERROR(__xludf.DUMMYFUNCTION("GOOGLETRANSLATE(F4535,""EN"",""JA"")"),"心室収縮期における特定の心血管構造内の圧力の定量的な推定。")</f>
        <v>心室収縮期における特定の心血管構造内の圧力の定量的な推定。</v>
      </c>
      <c r="K4535" s="1" t="str">
        <f>IFERROR(__xludf.DUMMYFUNCTION("GOOGLETRANSLATE(G4535,""EN"",""JA"")"),"推定収縮期血圧")</f>
        <v>推定収縮期血圧</v>
      </c>
    </row>
    <row r="4536" ht="13.5" customHeight="1">
      <c r="A4536" s="1" t="s">
        <v>1168</v>
      </c>
      <c r="B4536" s="1" t="s">
        <v>22611</v>
      </c>
      <c r="C4536" s="1" t="s">
        <v>22612</v>
      </c>
      <c r="D4536" s="1" t="s">
        <v>22613</v>
      </c>
      <c r="E4536" s="1" t="s">
        <v>22613</v>
      </c>
      <c r="F4536" s="1" t="s">
        <v>22614</v>
      </c>
      <c r="G4536" s="1" t="s">
        <v>22613</v>
      </c>
      <c r="H4536" s="1" t="str">
        <f>IFERROR(__xludf.DUMMYFUNCTION("GOOGLETRANSLATE(D4536,""EN"",""JA"")"),"T波軸")</f>
        <v>T波軸</v>
      </c>
      <c r="I4536" s="1" t="str">
        <f>IFERROR(__xludf.DUMMYFUNCTION("GOOGLETRANSLATE(E4536,""EN"",""JA"")"),"T波軸")</f>
        <v>T波軸</v>
      </c>
      <c r="J4536" s="1" t="str">
        <f>IFERROR(__xludf.DUMMYFUNCTION("GOOGLETRANSLATE(F4536,""EN"",""JA"")"),"等電位ベースラインからの T 波の最大偏差で評価された心電図ベクトルの数値表現。通常は前頭部面で報告されます。")</f>
        <v>等電位ベースラインからの T 波の最大偏差で評価された心電図ベクトルの数値表現。通常は前頭部面で報告されます。</v>
      </c>
      <c r="K4536" s="1" t="str">
        <f>IFERROR(__xludf.DUMMYFUNCTION("GOOGLETRANSLATE(G4536,""EN"",""JA"")"),"T波軸")</f>
        <v>T波軸</v>
      </c>
    </row>
    <row r="4537" ht="13.5" customHeight="1">
      <c r="A4537" s="1" t="s">
        <v>90</v>
      </c>
      <c r="B4537" s="1" t="s">
        <v>22615</v>
      </c>
      <c r="C4537" s="1" t="s">
        <v>22616</v>
      </c>
      <c r="D4537" s="1" t="s">
        <v>22617</v>
      </c>
      <c r="E4537" s="1" t="s">
        <v>22618</v>
      </c>
      <c r="F4537" s="1" t="s">
        <v>22619</v>
      </c>
      <c r="G4537" s="1" t="s">
        <v>22617</v>
      </c>
      <c r="H4537" s="1" t="str">
        <f>IFERROR(__xludf.DUMMYFUNCTION("GOOGLETRANSLATE(D4537,""EN"",""JA"")"),"縦方向緩和時間")</f>
        <v>縦方向緩和時間</v>
      </c>
      <c r="I4537" s="1" t="str">
        <f>IFERROR(__xludf.DUMMYFUNCTION("GOOGLETRANSLATE(E4537,""EN"",""JA"")"),"縦緩和時間; スピン格子緩和時間; T1緩和時間; T1時間")</f>
        <v>縦緩和時間; スピン格子緩和時間; T1緩和時間; T1時間</v>
      </c>
      <c r="J4537" s="1" t="str">
        <f>IFERROR(__xludf.DUMMYFUNCTION("GOOGLETRANSLATE(F4537,""EN"",""JA"")"),"縦磁化の減衰を表す時定数。")</f>
        <v>縦磁化の減衰を表す時定数。</v>
      </c>
      <c r="K4537" s="1" t="str">
        <f>IFERROR(__xludf.DUMMYFUNCTION("GOOGLETRANSLATE(G4537,""EN"",""JA"")"),"縦方向緩和時間")</f>
        <v>縦方向緩和時間</v>
      </c>
    </row>
    <row r="4538" ht="13.5" customHeight="1">
      <c r="A4538" s="1" t="s">
        <v>90</v>
      </c>
      <c r="B4538" s="1" t="s">
        <v>22620</v>
      </c>
      <c r="C4538" s="1" t="s">
        <v>22621</v>
      </c>
      <c r="D4538" s="1" t="s">
        <v>22622</v>
      </c>
      <c r="E4538" s="1" t="s">
        <v>22623</v>
      </c>
      <c r="F4538" s="1" t="s">
        <v>22624</v>
      </c>
      <c r="G4538" s="1" t="s">
        <v>22625</v>
      </c>
      <c r="H4538" s="1" t="str">
        <f>IFERROR(__xludf.DUMMYFUNCTION("GOOGLETRANSLATE(D4538,""EN"",""JA"")"),"横緩和時間")</f>
        <v>横緩和時間</v>
      </c>
      <c r="I4538" s="1" t="str">
        <f>IFERROR(__xludf.DUMMYFUNCTION("GOOGLETRANSLATE(E4538,""EN"",""JA"")"),"スピン-スピン緩和; T2緩和時間; T2時間; 横緩和時間")</f>
        <v>スピン-スピン緩和; T2緩和時間; T2時間; 横緩和時間</v>
      </c>
      <c r="J4538" s="1" t="str">
        <f>IFERROR(__xludf.DUMMYFUNCTION("GOOGLETRANSLATE(F4538,""EN"",""JA"")"),"横磁化の減衰を表す時定数。")</f>
        <v>横磁化の減衰を表す時定数。</v>
      </c>
      <c r="K4538" s="1" t="str">
        <f>IFERROR(__xludf.DUMMYFUNCTION("GOOGLETRANSLATE(G4538,""EN"",""JA"")"),"横スピン緩和時間")</f>
        <v>横スピン緩和時間</v>
      </c>
    </row>
    <row r="4539" ht="13.5" customHeight="1">
      <c r="A4539" s="1" t="s">
        <v>11</v>
      </c>
      <c r="B4539" s="1" t="s">
        <v>22626</v>
      </c>
      <c r="C4539" s="1" t="s">
        <v>22627</v>
      </c>
      <c r="D4539" s="1" t="s">
        <v>22628</v>
      </c>
      <c r="E4539" s="1" t="s">
        <v>22629</v>
      </c>
      <c r="F4539" s="1" t="s">
        <v>22630</v>
      </c>
      <c r="G4539" s="1" t="s">
        <v>22631</v>
      </c>
      <c r="H4539" s="1" t="str">
        <f>IFERROR(__xludf.DUMMYFUNCTION("GOOGLETRANSLATE(D4539,""EN"",""JA"")"),"トリヨードチロニン")</f>
        <v>トリヨードチロニン</v>
      </c>
      <c r="I4539" s="1" t="str">
        <f>IFERROR(__xludf.DUMMYFUNCTION("GOOGLETRANSLATE(E4539,""EN"",""JA"")"),"総T3; トリヨードチロニン")</f>
        <v>総T3; トリヨードチロニン</v>
      </c>
      <c r="J4539" s="1" t="str">
        <f>IFERROR(__xludf.DUMMYFUNCTION("GOOGLETRANSLATE(F4539,""EN"",""JA"")"),"生物標本中のトリヨードチロニンの総量（遊離および結合）の測定。")</f>
        <v>生物標本中のトリヨードチロニンの総量（遊離および結合）の測定。</v>
      </c>
      <c r="K4539" s="1" t="str">
        <f>IFERROR(__xludf.DUMMYFUNCTION("GOOGLETRANSLATE(G4539,""EN"",""JA"")"),"トリヨードチロニン測定")</f>
        <v>トリヨードチロニン測定</v>
      </c>
    </row>
    <row r="4540" ht="13.5" customHeight="1">
      <c r="A4540" s="1" t="s">
        <v>11</v>
      </c>
      <c r="B4540" s="1" t="s">
        <v>22632</v>
      </c>
      <c r="C4540" s="1" t="s">
        <v>22633</v>
      </c>
      <c r="D4540" s="1" t="s">
        <v>22634</v>
      </c>
      <c r="E4540" s="1" t="s">
        <v>22635</v>
      </c>
      <c r="F4540" s="1" t="s">
        <v>22636</v>
      </c>
      <c r="G4540" s="1" t="s">
        <v>22637</v>
      </c>
      <c r="H4540" s="1" t="str">
        <f>IFERROR(__xludf.DUMMYFUNCTION("GOOGLETRANSLATE(D4540,""EN"",""JA"")"),"トリヨードチロニン、遊離")</f>
        <v>トリヨードチロニン、遊離</v>
      </c>
      <c r="I4540" s="1" t="str">
        <f>IFERROR(__xludf.DUMMYFUNCTION("GOOGLETRANSLATE(E4540,""EN"",""JA"")"),"遊離T3; トリヨードチロニン、遊離")</f>
        <v>遊離T3; トリヨードチロニン、遊離</v>
      </c>
      <c r="J4540" s="1" t="str">
        <f>IFERROR(__xludf.DUMMYFUNCTION("GOOGLETRANSLATE(F4540,""EN"",""JA"")"),"生物標本中の遊離トリヨードチロニンの測定。")</f>
        <v>生物標本中の遊離トリヨードチロニンの測定。</v>
      </c>
      <c r="K4540" s="1" t="str">
        <f>IFERROR(__xludf.DUMMYFUNCTION("GOOGLETRANSLATE(G4540,""EN"",""JA"")"),"遊離トリヨードチロニン測定")</f>
        <v>遊離トリヨードチロニン測定</v>
      </c>
    </row>
    <row r="4541" ht="13.5" customHeight="1">
      <c r="A4541" s="1" t="s">
        <v>11</v>
      </c>
      <c r="B4541" s="1" t="s">
        <v>22638</v>
      </c>
      <c r="C4541" s="1" t="s">
        <v>22639</v>
      </c>
      <c r="D4541" s="1" t="s">
        <v>22640</v>
      </c>
      <c r="E4541" s="1" t="s">
        <v>22641</v>
      </c>
      <c r="F4541" s="1" t="s">
        <v>22642</v>
      </c>
      <c r="G4541" s="1" t="s">
        <v>22643</v>
      </c>
      <c r="H4541" s="1" t="str">
        <f>IFERROR(__xludf.DUMMYFUNCTION("GOOGLETRANSLATE(D4541,""EN"",""JA"")"),"トランス-3ヒドロキシコチニン")</f>
        <v>トランス-3ヒドロキシコチニン</v>
      </c>
      <c r="I4541" s="1" t="str">
        <f>IFERROR(__xludf.DUMMYFUNCTION("GOOGLETRANSLATE(E4541,""EN"",""JA"")"),"3-HC; 3HC; トランス-3-ヒドロキシコチニン")</f>
        <v>3-HC; 3HC; トランス-3-ヒドロキシコチニン</v>
      </c>
      <c r="J4541" s="1" t="str">
        <f>IFERROR(__xludf.DUMMYFUNCTION("GOOGLETRANSLATE(F4541,""EN"",""JA"")"),"検体中のトランス-3'-ヒドロキシコチニンの総量の測定。")</f>
        <v>検体中のトランス-3'-ヒドロキシコチニンの総量の測定。</v>
      </c>
      <c r="K4541" s="1" t="str">
        <f>IFERROR(__xludf.DUMMYFUNCTION("GOOGLETRANSLATE(G4541,""EN"",""JA"")"),"トランス-3ヒドロキシコチニン測定")</f>
        <v>トランス-3ヒドロキシコチニン測定</v>
      </c>
    </row>
    <row r="4542" ht="13.5" customHeight="1">
      <c r="A4542" s="1" t="s">
        <v>11</v>
      </c>
      <c r="B4542" s="1" t="s">
        <v>22644</v>
      </c>
      <c r="C4542" s="1" t="s">
        <v>22645</v>
      </c>
      <c r="D4542" s="1" t="s">
        <v>22646</v>
      </c>
      <c r="E4542" s="1" t="s">
        <v>22647</v>
      </c>
      <c r="F4542" s="1" t="s">
        <v>22648</v>
      </c>
      <c r="G4542" s="1" t="s">
        <v>22649</v>
      </c>
      <c r="H4542" s="1" t="str">
        <f>IFERROR(__xludf.DUMMYFUNCTION("GOOGLETRANSLATE(D4542,""EN"",""JA"")"),"トランス-3'-ヒドロキシコチニン、遊離")</f>
        <v>トランス-3'-ヒドロキシコチニン、遊離</v>
      </c>
      <c r="I4542" s="1" t="str">
        <f>IFERROR(__xludf.DUMMYFUNCTION("GOOGLETRANSLATE(E4542,""EN"",""JA"")"),"遊離3-HC; 遊離3HC; トランス-3'-ヒドロキシコチニン、遊離")</f>
        <v>遊離3-HC; 遊離3HC; トランス-3'-ヒドロキシコチニン、遊離</v>
      </c>
      <c r="J4542" s="1" t="str">
        <f>IFERROR(__xludf.DUMMYFUNCTION("GOOGLETRANSLATE(F4542,""EN"",""JA"")"),"検体中の遊離（非結合）トランス-3'-ヒドロキシコチニンの測定。")</f>
        <v>検体中の遊離（非結合）トランス-3'-ヒドロキシコチニンの測定。</v>
      </c>
      <c r="K4542" s="1" t="str">
        <f>IFERROR(__xludf.DUMMYFUNCTION("GOOGLETRANSLATE(G4542,""EN"",""JA"")"),"遊離トランス-3'-ヒドロキシコチニン測定")</f>
        <v>遊離トランス-3'-ヒドロキシコチニン測定</v>
      </c>
    </row>
    <row r="4543" ht="13.5" customHeight="1">
      <c r="A4543" s="1" t="s">
        <v>11</v>
      </c>
      <c r="B4543" s="1" t="s">
        <v>22650</v>
      </c>
      <c r="C4543" s="1" t="s">
        <v>22651</v>
      </c>
      <c r="D4543" s="1" t="s">
        <v>22652</v>
      </c>
      <c r="E4543" s="1" t="s">
        <v>22653</v>
      </c>
      <c r="F4543" s="1" t="s">
        <v>22654</v>
      </c>
      <c r="G4543" s="1" t="s">
        <v>22655</v>
      </c>
      <c r="H4543" s="1" t="str">
        <f>IFERROR(__xludf.DUMMYFUNCTION("GOOGLETRANSLATE(D4543,""EN"",""JA"")"),"トランス-3'-ヒドロキシコチニングルクロニド")</f>
        <v>トランス-3'-ヒドロキシコチニングルクロニド</v>
      </c>
      <c r="I4543" s="1" t="str">
        <f>IFERROR(__xludf.DUMMYFUNCTION("GOOGLETRANSLATE(E4543,""EN"",""JA"")"),"3HC-グルク; トランス-3'-ヒドロキシコチニングルクロニド; トランス-3'-ヒドロキシコチニン-O-グルクロニド")</f>
        <v>3HC-グルク; トランス-3'-ヒドロキシコチニングルクロニド; トランス-3'-ヒドロキシコチニン-O-グルクロニド</v>
      </c>
      <c r="J4543" s="1" t="str">
        <f>IFERROR(__xludf.DUMMYFUNCTION("GOOGLETRANSLATE(F4543,""EN"",""JA"")"),"検体中のトランス-3'-ヒドロキシコチニングルクロニドの測定。")</f>
        <v>検体中のトランス-3'-ヒドロキシコチニングルクロニドの測定。</v>
      </c>
      <c r="K4543" s="1" t="str">
        <f>IFERROR(__xludf.DUMMYFUNCTION("GOOGLETRANSLATE(G4543,""EN"",""JA"")"),"トランス-3'-ヒドロキシコチニングルクロニド測定")</f>
        <v>トランス-3'-ヒドロキシコチニングルクロニド測定</v>
      </c>
    </row>
    <row r="4544" ht="13.5" customHeight="1">
      <c r="A4544" s="1" t="s">
        <v>11</v>
      </c>
      <c r="B4544" s="1" t="s">
        <v>22656</v>
      </c>
      <c r="C4544" s="1" t="s">
        <v>22657</v>
      </c>
      <c r="D4544" s="1" t="s">
        <v>22658</v>
      </c>
      <c r="E4544" s="1" t="s">
        <v>22659</v>
      </c>
      <c r="F4544" s="1" t="s">
        <v>22660</v>
      </c>
      <c r="G4544" s="1" t="s">
        <v>22661</v>
      </c>
      <c r="H4544" s="1" t="str">
        <f>IFERROR(__xludf.DUMMYFUNCTION("GOOGLETRANSLATE(D4544,""EN"",""JA"")"),"トリヨードチロニンの取り込み")</f>
        <v>トリヨードチロニンの取り込み</v>
      </c>
      <c r="I4544" s="1" t="str">
        <f>IFERROR(__xludf.DUMMYFUNCTION("GOOGLETRANSLATE(E4544,""EN"",""JA"")"),"T3RU; T3U; トリヨードチロニンの取り込み")</f>
        <v>T3RU; T3U; トリヨードチロニンの取り込み</v>
      </c>
      <c r="J4544" s="1" t="str">
        <f>IFERROR(__xludf.DUMMYFUNCTION("GOOGLETRANSLATE(F4544,""EN"",""JA"")"),"生物標本中のチロキシン結合グロブリンタンパク質へのトリヨードチロニンの結合の測定。")</f>
        <v>生物標本中のチロキシン結合グロブリンタンパク質へのトリヨードチロニンの結合の測定。</v>
      </c>
      <c r="K4544" s="1" t="str">
        <f>IFERROR(__xludf.DUMMYFUNCTION("GOOGLETRANSLATE(G4544,""EN"",""JA"")"),"トリヨードチロニン摂取測定")</f>
        <v>トリヨードチロニン摂取測定</v>
      </c>
    </row>
    <row r="4545" ht="13.5" customHeight="1">
      <c r="A4545" s="1" t="s">
        <v>11</v>
      </c>
      <c r="B4545" s="1" t="s">
        <v>22662</v>
      </c>
      <c r="C4545" s="1" t="s">
        <v>22663</v>
      </c>
      <c r="D4545" s="1" t="s">
        <v>22664</v>
      </c>
      <c r="E4545" s="1" t="s">
        <v>22665</v>
      </c>
      <c r="F4545" s="1" t="s">
        <v>22666</v>
      </c>
      <c r="G4545" s="1" t="s">
        <v>22667</v>
      </c>
      <c r="H4545" s="1" t="str">
        <f>IFERROR(__xludf.DUMMYFUNCTION("GOOGLETRANSLATE(D4545,""EN"",""JA"")"),"チロキシン")</f>
        <v>チロキシン</v>
      </c>
      <c r="I4545" s="1" t="str">
        <f>IFERROR(__xludf.DUMMYFUNCTION("GOOGLETRANSLATE(E4545,""EN"",""JA"")"),"チロキシン; 総T4")</f>
        <v>チロキシン; 総T4</v>
      </c>
      <c r="J4545" s="1" t="str">
        <f>IFERROR(__xludf.DUMMYFUNCTION("GOOGLETRANSLATE(F4545,""EN"",""JA"")"),"生物標本中のチロキシンの総量（遊離および結合）の測定。")</f>
        <v>生物標本中のチロキシンの総量（遊離および結合）の測定。</v>
      </c>
      <c r="K4545" s="1" t="str">
        <f>IFERROR(__xludf.DUMMYFUNCTION("GOOGLETRANSLATE(G4545,""EN"",""JA"")"),"総チロキシン測定")</f>
        <v>総チロキシン測定</v>
      </c>
    </row>
    <row r="4546" ht="13.5" customHeight="1">
      <c r="A4546" s="1" t="s">
        <v>11</v>
      </c>
      <c r="B4546" s="1" t="s">
        <v>22668</v>
      </c>
      <c r="C4546" s="1" t="s">
        <v>22669</v>
      </c>
      <c r="D4546" s="1" t="s">
        <v>22670</v>
      </c>
      <c r="E4546" s="1" t="s">
        <v>22671</v>
      </c>
      <c r="F4546" s="1" t="s">
        <v>22672</v>
      </c>
      <c r="G4546" s="1" t="s">
        <v>22673</v>
      </c>
      <c r="H4546" s="1" t="str">
        <f>IFERROR(__xludf.DUMMYFUNCTION("GOOGLETRANSLATE(D4546,""EN"",""JA"")"),"チロキシン、遊離")</f>
        <v>チロキシン、遊離</v>
      </c>
      <c r="I4546" s="1" t="str">
        <f>IFERROR(__xludf.DUMMYFUNCTION("GOOGLETRANSLATE(E4546,""EN"",""JA"")"),"遊離T4; チロキシン、遊離")</f>
        <v>遊離T4; チロキシン、遊離</v>
      </c>
      <c r="J4546" s="1" t="str">
        <f>IFERROR(__xludf.DUMMYFUNCTION("GOOGLETRANSLATE(F4546,""EN"",""JA"")"),"生物標本中の遊離チロキシンの測定。")</f>
        <v>生物標本中の遊離チロキシンの測定。</v>
      </c>
      <c r="K4546" s="1" t="str">
        <f>IFERROR(__xludf.DUMMYFUNCTION("GOOGLETRANSLATE(G4546,""EN"",""JA"")"),"遊離チロキシン測定")</f>
        <v>遊離チロキシン測定</v>
      </c>
    </row>
    <row r="4547" ht="13.5" customHeight="1">
      <c r="A4547" s="1" t="s">
        <v>11</v>
      </c>
      <c r="B4547" s="1" t="s">
        <v>22674</v>
      </c>
      <c r="C4547" s="1" t="s">
        <v>22675</v>
      </c>
      <c r="D4547" s="1" t="s">
        <v>22676</v>
      </c>
      <c r="E4547" s="1" t="s">
        <v>22676</v>
      </c>
      <c r="F4547" s="1" t="s">
        <v>22677</v>
      </c>
      <c r="G4547" s="1" t="s">
        <v>22678</v>
      </c>
      <c r="H4547" s="1" t="str">
        <f>IFERROR(__xludf.DUMMYFUNCTION("GOOGLETRANSLATE(D4547,""EN"",""JA"")"),"チロキシン、フリーインデックス")</f>
        <v>チロキシン、フリーインデックス</v>
      </c>
      <c r="I4547" s="1" t="str">
        <f>IFERROR(__xludf.DUMMYFUNCTION("GOOGLETRANSLATE(E4547,""EN"",""JA"")"),"チロキシン、フリーインデックス")</f>
        <v>チロキシン、フリーインデックス</v>
      </c>
      <c r="J4547" s="1" t="str">
        <f>IFERROR(__xludf.DUMMYFUNCTION("GOOGLETRANSLATE(F4547,""EN"",""JA"")"),"生物標本における甲状腺の状態の測定値。総チロキシン量と遊離チロキシン結合グロブリン量を考慮した数式によって算出されます。")</f>
        <v>生物標本における甲状腺の状態の測定値。総チロキシン量と遊離チロキシン結合グロブリン量を考慮した数式によって算出されます。</v>
      </c>
      <c r="K4547" s="1" t="str">
        <f>IFERROR(__xludf.DUMMYFUNCTION("GOOGLETRANSLATE(G4547,""EN"",""JA"")"),"遊離チロキシン指数")</f>
        <v>遊離チロキシン指数</v>
      </c>
    </row>
    <row r="4548" ht="13.5" customHeight="1">
      <c r="A4548" s="1" t="s">
        <v>11</v>
      </c>
      <c r="B4548" s="1" t="s">
        <v>22679</v>
      </c>
      <c r="C4548" s="1" t="s">
        <v>22680</v>
      </c>
      <c r="D4548" s="1" t="s">
        <v>22681</v>
      </c>
      <c r="E4548" s="1" t="s">
        <v>22681</v>
      </c>
      <c r="F4548" s="1" t="s">
        <v>22682</v>
      </c>
      <c r="G4548" s="1" t="s">
        <v>22683</v>
      </c>
      <c r="H4548" s="1" t="str">
        <f>IFERROR(__xludf.DUMMYFUNCTION("GOOGLETRANSLATE(D4548,""EN"",""JA"")"),"チロキシン、遊離、間接")</f>
        <v>チロキシン、遊離、間接</v>
      </c>
      <c r="I4548" s="1" t="str">
        <f>IFERROR(__xludf.DUMMYFUNCTION("GOOGLETRANSLATE(E4548,""EN"",""JA"")"),"チロキシン、遊離、間接")</f>
        <v>チロキシン、遊離、間接</v>
      </c>
      <c r="J4548" s="1" t="str">
        <f>IFERROR(__xludf.DUMMYFUNCTION("GOOGLETRANSLATE(F4548,""EN"",""JA"")"),"生物標本中の遊離チロキシンの間接測定。")</f>
        <v>生物標本中の遊離チロキシンの間接測定。</v>
      </c>
      <c r="K4548" s="1" t="str">
        <f>IFERROR(__xludf.DUMMYFUNCTION("GOOGLETRANSLATE(G4548,""EN"",""JA"")"),"間接遊離チロキシン測定")</f>
        <v>間接遊離チロキシン測定</v>
      </c>
    </row>
    <row r="4549" ht="13.5" customHeight="1">
      <c r="A4549" s="1" t="s">
        <v>11</v>
      </c>
      <c r="B4549" s="1" t="s">
        <v>22684</v>
      </c>
      <c r="C4549" s="1" t="s">
        <v>22685</v>
      </c>
      <c r="D4549" s="1" t="s">
        <v>22686</v>
      </c>
      <c r="E4549" s="1" t="s">
        <v>22687</v>
      </c>
      <c r="F4549" s="1" t="s">
        <v>22688</v>
      </c>
      <c r="G4549" s="1" t="s">
        <v>22689</v>
      </c>
      <c r="H4549" s="1" t="str">
        <f>IFERROR(__xludf.DUMMYFUNCTION("GOOGLETRANSLATE(D4549,""EN"",""JA"")"),"総抗酸化能")</f>
        <v>総抗酸化能</v>
      </c>
      <c r="I4549" s="1" t="str">
        <f>IFERROR(__xludf.DUMMYFUNCTION("GOOGLETRANSLATE(E4549,""EN"",""JA"")"),"総抗酸化能; 総抗酸化能")</f>
        <v>総抗酸化能; 総抗酸化能</v>
      </c>
      <c r="J4549" s="1" t="str">
        <f>IFERROR(__xludf.DUMMYFUNCTION("GOOGLETRANSLATE(F4549,""EN"",""JA"")"),"標本中の抗酸化物質の量および/または活性の測定。")</f>
        <v>標本中の抗酸化物質の量および/または活性の測定。</v>
      </c>
      <c r="K4549" s="1" t="str">
        <f>IFERROR(__xludf.DUMMYFUNCTION("GOOGLETRANSLATE(G4549,""EN"",""JA"")"),"総抗酸化能測定")</f>
        <v>総抗酸化能測定</v>
      </c>
    </row>
    <row r="4550" ht="13.5" customHeight="1">
      <c r="A4550" s="1" t="s">
        <v>134</v>
      </c>
      <c r="B4550" s="1" t="s">
        <v>22690</v>
      </c>
      <c r="C4550" s="1" t="s">
        <v>22691</v>
      </c>
      <c r="D4550" s="1" t="s">
        <v>22692</v>
      </c>
      <c r="E4550" s="1" t="s">
        <v>22693</v>
      </c>
      <c r="F4550" s="1" t="s">
        <v>22694</v>
      </c>
      <c r="G4550" s="1" t="s">
        <v>22695</v>
      </c>
      <c r="H4550" s="1" t="str">
        <f>IFERROR(__xludf.DUMMYFUNCTION("GOOGLETRANSLATE(D4550,""EN"",""JA"")"),"腫瘍関連カルシウムシグナル伝達因子2")</f>
        <v>腫瘍関連カルシウムシグナル伝達因子2</v>
      </c>
      <c r="I4550" s="1" t="str">
        <f>IFERROR(__xludf.DUMMYFUNCTION("GOOGLETRANSLATE(E4550,""EN"",""JA"")"),"細胞表面糖タンパク質 Trop-2; EGP1; 上皮糖タンパク質 1; TROP2; 栄養芽細胞表面抗原 2; 腫瘍関連カルシウムシグナル伝達物質 2; 腫瘍関連カルシウムシグナル伝達物質 2")</f>
        <v>細胞表面糖タンパク質 Trop-2; EGP1; 上皮糖タンパク質 1; TROP2; 栄養芽細胞表面抗原 2; 腫瘍関連カルシウムシグナル伝達物質 2; 腫瘍関連カルシウムシグナル伝達物質 2</v>
      </c>
      <c r="J4550" s="1" t="str">
        <f>IFERROR(__xludf.DUMMYFUNCTION("GOOGLETRANSLATE(F4550,""EN"",""JA"")"),"生物標本中の腫瘍関連カルシウム信号トランスデューサー 2 の測定。")</f>
        <v>生物標本中の腫瘍関連カルシウム信号トランスデューサー 2 の測定。</v>
      </c>
      <c r="K4550" s="1" t="str">
        <f>IFERROR(__xludf.DUMMYFUNCTION("GOOGLETRANSLATE(G4550,""EN"",""JA"")"),"腫瘍関連カルシウムシグナルトランスデューサー2の測定")</f>
        <v>腫瘍関連カルシウムシグナルトランスデューサー2の測定</v>
      </c>
    </row>
    <row r="4551" ht="13.5" customHeight="1">
      <c r="A4551" s="1" t="s">
        <v>11</v>
      </c>
      <c r="B4551" s="1" t="s">
        <v>22696</v>
      </c>
      <c r="C4551" s="1" t="s">
        <v>22697</v>
      </c>
      <c r="D4551" s="1" t="s">
        <v>22698</v>
      </c>
      <c r="E4551" s="1" t="s">
        <v>22699</v>
      </c>
      <c r="F4551" s="1" t="s">
        <v>22700</v>
      </c>
      <c r="G4551" s="1" t="s">
        <v>22701</v>
      </c>
      <c r="H4551" s="1" t="str">
        <f>IFERROR(__xludf.DUMMYFUNCTION("GOOGLETRANSLATE(D4551,""EN"",""JA"")"),"ペプチドトランスポーターTAP1")</f>
        <v>ペプチドトランスポーターTAP1</v>
      </c>
      <c r="I4551" s="1" t="str">
        <f>IFERROR(__xludf.DUMMYFUNCTION("GOOGLETRANSLATE(E4551,""EN"",""JA"")"),"抗原ペプチドトランスポーター1; ペプチドトランスポーターTAP1")</f>
        <v>抗原ペプチドトランスポーター1; ペプチドトランスポーターTAP1</v>
      </c>
      <c r="J4551" s="1" t="str">
        <f>IFERROR(__xludf.DUMMYFUNCTION("GOOGLETRANSLATE(F4551,""EN"",""JA"")"),"生物標本中のペプチドトランスポーター TAP1 の測定。")</f>
        <v>生物標本中のペプチドトランスポーター TAP1 の測定。</v>
      </c>
      <c r="K4551" s="1" t="str">
        <f>IFERROR(__xludf.DUMMYFUNCTION("GOOGLETRANSLATE(G4551,""EN"",""JA"")"),"ペプチドトランスポーターTAP1測定")</f>
        <v>ペプチドトランスポーターTAP1測定</v>
      </c>
    </row>
    <row r="4552" ht="13.5" customHeight="1">
      <c r="A4552" s="1" t="s">
        <v>11</v>
      </c>
      <c r="B4552" s="1" t="s">
        <v>22702</v>
      </c>
      <c r="C4552" s="1" t="s">
        <v>22703</v>
      </c>
      <c r="D4552" s="1" t="s">
        <v>22704</v>
      </c>
      <c r="E4552" s="1" t="s">
        <v>22705</v>
      </c>
      <c r="F4552" s="1" t="s">
        <v>22706</v>
      </c>
      <c r="G4552" s="1" t="s">
        <v>22707</v>
      </c>
      <c r="H4552" s="1" t="str">
        <f>IFERROR(__xludf.DUMMYFUNCTION("GOOGLETRANSLATE(D4552,""EN"",""JA"")"),"トロンビン/アンチトロンビン")</f>
        <v>トロンビン/アンチトロンビン</v>
      </c>
      <c r="I4552" s="1" t="str">
        <f>IFERROR(__xludf.DUMMYFUNCTION("GOOGLETRANSLATE(E4552,""EN"",""JA"")"),"トロンビン/アンチトロンビン; トロンビン/アンチトロンビンIII")</f>
        <v>トロンビン/アンチトロンビン; トロンビン/アンチトロンビンIII</v>
      </c>
      <c r="J4552" s="1" t="str">
        <f>IFERROR(__xludf.DUMMYFUNCTION("GOOGLETRANSLATE(F4552,""EN"",""JA"")"),"サンプル中に存在するトロンビンとアンチトロンビンの相対的な測定値 (比率またはパーセンテージ)。")</f>
        <v>サンプル中に存在するトロンビンとアンチトロンビンの相対的な測定値 (比率またはパーセンテージ)。</v>
      </c>
      <c r="K4552" s="1" t="str">
        <f>IFERROR(__xludf.DUMMYFUNCTION("GOOGLETRANSLATE(G4552,""EN"",""JA"")"),"トロンビン対アンチトロンビン比測定")</f>
        <v>トロンビン対アンチトロンビン比測定</v>
      </c>
    </row>
    <row r="4553" ht="13.5" customHeight="1">
      <c r="A4553" s="1" t="s">
        <v>11</v>
      </c>
      <c r="B4553" s="1" t="s">
        <v>22708</v>
      </c>
      <c r="C4553" s="1" t="s">
        <v>22709</v>
      </c>
      <c r="D4553" s="1" t="s">
        <v>22710</v>
      </c>
      <c r="E4553" s="1" t="s">
        <v>22711</v>
      </c>
      <c r="F4553" s="1" t="s">
        <v>22712</v>
      </c>
      <c r="G4553" s="1" t="s">
        <v>22713</v>
      </c>
      <c r="H4553" s="1" t="str">
        <f>IFERROR(__xludf.DUMMYFUNCTION("GOOGLETRANSLATE(D4553,""EN"",""JA"")"),"トロンビン・アンチトロンビン複合体")</f>
        <v>トロンビン・アンチトロンビン複合体</v>
      </c>
      <c r="I4553" s="1" t="str">
        <f>IFERROR(__xludf.DUMMYFUNCTION("GOOGLETRANSLATE(E4553,""EN"",""JA"")"),"TAT; トロンビン・アンチトロンビン複合体; トロンビン・アンチトロンビン複合体抗原")</f>
        <v>TAT; トロンビン・アンチトロンビン複合体; トロンビン・アンチトロンビン複合体抗原</v>
      </c>
      <c r="J4553" s="1" t="str">
        <f>IFERROR(__xludf.DUMMYFUNCTION("GOOGLETRANSLATE(F4553,""EN"",""JA"")"),"生物学的標本中のトロンビン-アンチトロンビン複合体の測定。")</f>
        <v>生物学的標本中のトロンビン-アンチトロンビン複合体の測定。</v>
      </c>
      <c r="K4553" s="1" t="str">
        <f>IFERROR(__xludf.DUMMYFUNCTION("GOOGLETRANSLATE(G4553,""EN"",""JA"")"),"トロンビン・アンチトロンビン複合体測定")</f>
        <v>トロンビン・アンチトロンビン複合体測定</v>
      </c>
    </row>
    <row r="4554" ht="13.5" customHeight="1">
      <c r="A4554" s="1" t="s">
        <v>870</v>
      </c>
      <c r="B4554" s="1" t="s">
        <v>22714</v>
      </c>
      <c r="C4554" s="1" t="s">
        <v>22715</v>
      </c>
      <c r="D4554" s="1" t="s">
        <v>22716</v>
      </c>
      <c r="E4554" s="1" t="s">
        <v>22716</v>
      </c>
      <c r="F4554" s="1" t="s">
        <v>22717</v>
      </c>
      <c r="G4554" s="1" t="s">
        <v>22716</v>
      </c>
      <c r="H4554" s="1" t="str">
        <f>IFERROR(__xludf.DUMMYFUNCTION("GOOGLETRANSLATE(D4554,""EN"",""JA"")"),"投与間隔")</f>
        <v>投与間隔</v>
      </c>
      <c r="I4554" s="1" t="str">
        <f>IFERROR(__xludf.DUMMYFUNCTION("GOOGLETRANSLATE(E4554,""EN"",""JA"")"),"投与間隔")</f>
        <v>投与間隔</v>
      </c>
      <c r="J4554" s="1" t="str">
        <f>IFERROR(__xludf.DUMMYFUNCTION("GOOGLETRANSLATE(F4554,""EN"",""JA"")"),"2 回の投与間の期間。")</f>
        <v>2 回の投与間の期間。</v>
      </c>
      <c r="K4554" s="1" t="str">
        <f>IFERROR(__xludf.DUMMYFUNCTION("GOOGLETRANSLATE(G4554,""EN"",""JA"")"),"投与間隔")</f>
        <v>投与間隔</v>
      </c>
    </row>
    <row r="4555" ht="13.5" customHeight="1">
      <c r="A4555" s="1" t="s">
        <v>11</v>
      </c>
      <c r="B4555" s="1" t="s">
        <v>22718</v>
      </c>
      <c r="C4555" s="1" t="s">
        <v>22719</v>
      </c>
      <c r="D4555" s="1" t="s">
        <v>22720</v>
      </c>
      <c r="E4555" s="1" t="s">
        <v>22721</v>
      </c>
      <c r="F4555" s="1" t="s">
        <v>22722</v>
      </c>
      <c r="G4555" s="1" t="s">
        <v>22723</v>
      </c>
      <c r="H4555" s="1" t="str">
        <f>IFERROR(__xludf.DUMMYFUNCTION("GOOGLETRANSLATE(D4555,""EN"",""JA"")"),"リン酸化タウタンパク質181")</f>
        <v>リン酸化タウタンパク質181</v>
      </c>
      <c r="I4555" s="1" t="str">
        <f>IFERROR(__xludf.DUMMYFUNCTION("GOOGLETRANSLATE(E4555,""EN"",""JA"")"),"リン酸化タウ181; リン酸化タウタンパク質181; pTau181")</f>
        <v>リン酸化タウ181; リン酸化タウタンパク質181; pTau181</v>
      </c>
      <c r="J4555" s="1" t="str">
        <f>IFERROR(__xludf.DUMMYFUNCTION("GOOGLETRANSLATE(F4555,""EN"",""JA"")"),"生物標本中のリン酸化タウタンパク質 181 の測定。")</f>
        <v>生物標本中のリン酸化タウタンパク質 181 の測定。</v>
      </c>
      <c r="K4555" s="1" t="str">
        <f>IFERROR(__xludf.DUMMYFUNCTION("GOOGLETRANSLATE(G4555,""EN"",""JA"")"),"リン酸化タウタンパク質181の測定")</f>
        <v>リン酸化タウタンパク質181の測定</v>
      </c>
    </row>
    <row r="4556" ht="13.5" customHeight="1">
      <c r="A4556" s="1" t="s">
        <v>11</v>
      </c>
      <c r="B4556" s="1" t="s">
        <v>22724</v>
      </c>
      <c r="C4556" s="1" t="s">
        <v>22725</v>
      </c>
      <c r="D4556" s="1" t="s">
        <v>22726</v>
      </c>
      <c r="E4556" s="1" t="s">
        <v>22727</v>
      </c>
      <c r="F4556" s="1" t="s">
        <v>22728</v>
      </c>
      <c r="G4556" s="1" t="s">
        <v>22729</v>
      </c>
      <c r="H4556" s="1" t="str">
        <f>IFERROR(__xludf.DUMMYFUNCTION("GOOGLETRANSLATE(D4556,""EN"",""JA"")"),"リン酸化タウタンパク質212")</f>
        <v>リン酸化タウタンパク質212</v>
      </c>
      <c r="I4556" s="1" t="str">
        <f>IFERROR(__xludf.DUMMYFUNCTION("GOOGLETRANSLATE(E4556,""EN"",""JA"")"),"リン酸化タウ212; リン酸化タウタンパク質212; pTau212")</f>
        <v>リン酸化タウ212; リン酸化タウタンパク質212; pTau212</v>
      </c>
      <c r="J4556" s="1" t="str">
        <f>IFERROR(__xludf.DUMMYFUNCTION("GOOGLETRANSLATE(F4556,""EN"",""JA"")"),"生物標本中のリン酸化タウタンパク質 212 の測定。")</f>
        <v>生物標本中のリン酸化タウタンパク質 212 の測定。</v>
      </c>
      <c r="K4556" s="1" t="str">
        <f>IFERROR(__xludf.DUMMYFUNCTION("GOOGLETRANSLATE(G4556,""EN"",""JA"")"),"リン酸化タウタンパク質212の測定")</f>
        <v>リン酸化タウタンパク質212の測定</v>
      </c>
    </row>
    <row r="4557" ht="13.5" customHeight="1">
      <c r="A4557" s="1" t="s">
        <v>11</v>
      </c>
      <c r="B4557" s="1" t="s">
        <v>22730</v>
      </c>
      <c r="C4557" s="1" t="s">
        <v>22731</v>
      </c>
      <c r="D4557" s="1" t="s">
        <v>22732</v>
      </c>
      <c r="E4557" s="1" t="s">
        <v>22733</v>
      </c>
      <c r="F4557" s="1" t="s">
        <v>22734</v>
      </c>
      <c r="G4557" s="1" t="s">
        <v>22735</v>
      </c>
      <c r="H4557" s="1" t="str">
        <f>IFERROR(__xludf.DUMMYFUNCTION("GOOGLETRANSLATE(D4557,""EN"",""JA"")"),"リン酸化タウタンパク質217")</f>
        <v>リン酸化タウタンパク質217</v>
      </c>
      <c r="I4557" s="1" t="str">
        <f>IFERROR(__xludf.DUMMYFUNCTION("GOOGLETRANSLATE(E4557,""EN"",""JA"")"),"リン酸化タウ217; リン酸化タウタンパク質217; pTau217")</f>
        <v>リン酸化タウ217; リン酸化タウタンパク質217; pTau217</v>
      </c>
      <c r="J4557" s="1" t="str">
        <f>IFERROR(__xludf.DUMMYFUNCTION("GOOGLETRANSLATE(F4557,""EN"",""JA"")"),"生物標本中のリン酸化タウタンパク質 217 の測定。")</f>
        <v>生物標本中のリン酸化タウタンパク質 217 の測定。</v>
      </c>
      <c r="K4557" s="1" t="str">
        <f>IFERROR(__xludf.DUMMYFUNCTION("GOOGLETRANSLATE(G4557,""EN"",""JA"")"),"リン酸化タウタンパク質217の測定")</f>
        <v>リン酸化タウタンパク質217の測定</v>
      </c>
    </row>
    <row r="4558" ht="13.5" customHeight="1">
      <c r="A4558" s="1" t="s">
        <v>11</v>
      </c>
      <c r="B4558" s="1" t="s">
        <v>22736</v>
      </c>
      <c r="C4558" s="1" t="s">
        <v>22737</v>
      </c>
      <c r="D4558" s="1" t="s">
        <v>22738</v>
      </c>
      <c r="E4558" s="1" t="s">
        <v>22739</v>
      </c>
      <c r="F4558" s="1" t="s">
        <v>22740</v>
      </c>
      <c r="G4558" s="1" t="s">
        <v>22741</v>
      </c>
      <c r="H4558" s="1" t="str">
        <f>IFERROR(__xludf.DUMMYFUNCTION("GOOGLETRANSLATE(D4558,""EN"",""JA"")"),"リン酸化タウタンパク質231")</f>
        <v>リン酸化タウタンパク質231</v>
      </c>
      <c r="I4558" s="1" t="str">
        <f>IFERROR(__xludf.DUMMYFUNCTION("GOOGLETRANSLATE(E4558,""EN"",""JA"")"),"リン酸化タウ231; リン酸化タウタンパク質231; pTau231")</f>
        <v>リン酸化タウ231; リン酸化タウタンパク質231; pTau231</v>
      </c>
      <c r="J4558" s="1" t="str">
        <f>IFERROR(__xludf.DUMMYFUNCTION("GOOGLETRANSLATE(F4558,""EN"",""JA"")"),"生物標本中のリン酸化タウタンパク質 231 の測定。")</f>
        <v>生物標本中のリン酸化タウタンパク質 231 の測定。</v>
      </c>
      <c r="K4558" s="1" t="str">
        <f>IFERROR(__xludf.DUMMYFUNCTION("GOOGLETRANSLATE(G4558,""EN"",""JA"")"),"リン酸化タウタンパク質231の測定")</f>
        <v>リン酸化タウタンパク質231の測定</v>
      </c>
    </row>
    <row r="4559" ht="13.5" customHeight="1">
      <c r="A4559" s="1" t="s">
        <v>870</v>
      </c>
      <c r="B4559" s="1" t="s">
        <v>22742</v>
      </c>
      <c r="C4559" s="1" t="s">
        <v>22743</v>
      </c>
      <c r="D4559" s="1" t="s">
        <v>22744</v>
      </c>
      <c r="E4559" s="1" t="s">
        <v>22744</v>
      </c>
      <c r="F4559" s="1" t="s">
        <v>22745</v>
      </c>
      <c r="G4559" s="1" t="s">
        <v>22744</v>
      </c>
      <c r="H4559" s="1" t="str">
        <f>IFERROR(__xludf.DUMMYFUNCTION("GOOGLETRANSLATE(D4559,""EN"",""JA"")"),"ハーフライフTAU")</f>
        <v>ハーフライフTAU</v>
      </c>
      <c r="I4559" s="1" t="str">
        <f>IFERROR(__xludf.DUMMYFUNCTION("GOOGLETRANSLATE(E4559,""EN"",""JA"")"),"ハーフライフTAU")</f>
        <v>ハーフライフTAU</v>
      </c>
      <c r="J4559" s="1" t="str">
        <f>IFERROR(__xludf.DUMMYFUNCTION("GOOGLETRANSLATE(F4559,""EN"",""JA"")"),"投与間隔内で計算された半減期。")</f>
        <v>投与間隔内で計算された半減期。</v>
      </c>
      <c r="K4559" s="1" t="str">
        <f>IFERROR(__xludf.DUMMYFUNCTION("GOOGLETRANSLATE(G4559,""EN"",""JA"")"),"ハーフライフTAU")</f>
        <v>ハーフライフTAU</v>
      </c>
    </row>
    <row r="4560" ht="13.5" customHeight="1">
      <c r="A4560" s="1" t="s">
        <v>11</v>
      </c>
      <c r="B4560" s="1" t="s">
        <v>22746</v>
      </c>
      <c r="C4560" s="1" t="s">
        <v>22747</v>
      </c>
      <c r="D4560" s="1" t="s">
        <v>22748</v>
      </c>
      <c r="E4560" s="1" t="s">
        <v>22748</v>
      </c>
      <c r="F4560" s="1" t="s">
        <v>22749</v>
      </c>
      <c r="G4560" s="1" t="s">
        <v>22750</v>
      </c>
      <c r="H4560" s="1" t="str">
        <f>IFERROR(__xludf.DUMMYFUNCTION("GOOGLETRANSLATE(D4560,""EN"",""JA"")"),"タウリン/クレアチニン")</f>
        <v>タウリン/クレアチニン</v>
      </c>
      <c r="I4560" s="1" t="str">
        <f>IFERROR(__xludf.DUMMYFUNCTION("GOOGLETRANSLATE(E4560,""EN"",""JA"")"),"タウリン/クレアチニン")</f>
        <v>タウリン/クレアチニン</v>
      </c>
      <c r="J4560" s="1" t="str">
        <f>IFERROR(__xludf.DUMMYFUNCTION("GOOGLETRANSLATE(F4560,""EN"",""JA"")"),"生物標本中のタウリンとクレアチニンの相対的な測定値（比率）。")</f>
        <v>生物標本中のタウリンとクレアチニンの相対的な測定値（比率）。</v>
      </c>
      <c r="K4560" s="1" t="str">
        <f>IFERROR(__xludf.DUMMYFUNCTION("GOOGLETRANSLATE(G4560,""EN"",""JA"")"),"タウリンとクレアチニンの比率測定")</f>
        <v>タウリンとクレアチニンの比率測定</v>
      </c>
    </row>
    <row r="4561" ht="13.5" customHeight="1">
      <c r="A4561" s="1" t="s">
        <v>11</v>
      </c>
      <c r="B4561" s="1" t="s">
        <v>22751</v>
      </c>
      <c r="C4561" s="1" t="s">
        <v>22752</v>
      </c>
      <c r="D4561" s="1" t="s">
        <v>22753</v>
      </c>
      <c r="E4561" s="1" t="s">
        <v>22754</v>
      </c>
      <c r="F4561" s="1" t="s">
        <v>22755</v>
      </c>
      <c r="G4561" s="1" t="s">
        <v>22756</v>
      </c>
      <c r="H4561" s="1" t="str">
        <f>IFERROR(__xludf.DUMMYFUNCTION("GOOGLETRANSLATE(D4561,""EN"",""JA"")"),"タウリン")</f>
        <v>タウリン</v>
      </c>
      <c r="I4561" s="1" t="str">
        <f>IFERROR(__xludf.DUMMYFUNCTION("GOOGLETRANSLATE(E4561,""EN"",""JA"")"),"タウリン酸; タウリン")</f>
        <v>タウリン酸; タウリン</v>
      </c>
      <c r="J4561" s="1" t="str">
        <f>IFERROR(__xludf.DUMMYFUNCTION("GOOGLETRANSLATE(F4561,""EN"",""JA"")"),"生物標本中のタウリンの測定。")</f>
        <v>生物標本中のタウリンの測定。</v>
      </c>
      <c r="K4561" s="1" t="str">
        <f>IFERROR(__xludf.DUMMYFUNCTION("GOOGLETRANSLATE(G4561,""EN"",""JA"")"),"タウリン測定")</f>
        <v>タウリン測定</v>
      </c>
    </row>
    <row r="4562" ht="13.5" customHeight="1">
      <c r="A4562" s="1" t="s">
        <v>11</v>
      </c>
      <c r="B4562" s="1" t="s">
        <v>22757</v>
      </c>
      <c r="C4562" s="1" t="s">
        <v>22758</v>
      </c>
      <c r="D4562" s="1" t="s">
        <v>22759</v>
      </c>
      <c r="E4562" s="1" t="s">
        <v>22759</v>
      </c>
      <c r="F4562" s="1" t="s">
        <v>22760</v>
      </c>
      <c r="G4562" s="1" t="s">
        <v>22761</v>
      </c>
      <c r="H4562" s="1" t="str">
        <f>IFERROR(__xludf.DUMMYFUNCTION("GOOGLETRANSLATE(D4562,""EN"",""JA"")"),"チロキシン結合グロブリン")</f>
        <v>チロキシン結合グロブリン</v>
      </c>
      <c r="I4562" s="1" t="str">
        <f>IFERROR(__xludf.DUMMYFUNCTION("GOOGLETRANSLATE(E4562,""EN"",""JA"")"),"チロキシン結合グロブリン")</f>
        <v>チロキシン結合グロブリン</v>
      </c>
      <c r="J4562" s="1" t="str">
        <f>IFERROR(__xludf.DUMMYFUNCTION("GOOGLETRANSLATE(F4562,""EN"",""JA"")"),"生物学的標本中のチロキシン結合グロブリンタンパク質の測定。")</f>
        <v>生物学的標本中のチロキシン結合グロブリンタンパク質の測定。</v>
      </c>
      <c r="K4562" s="1" t="str">
        <f>IFERROR(__xludf.DUMMYFUNCTION("GOOGLETRANSLATE(G4562,""EN"",""JA"")"),"チロキシン結合グロブリンタンパク質測定")</f>
        <v>チロキシン結合グロブリンタンパク質測定</v>
      </c>
    </row>
    <row r="4563" ht="13.5" customHeight="1">
      <c r="A4563" s="1" t="s">
        <v>201</v>
      </c>
      <c r="B4563" s="1" t="s">
        <v>22762</v>
      </c>
      <c r="C4563" s="1" t="s">
        <v>22763</v>
      </c>
      <c r="D4563" s="1" t="s">
        <v>22764</v>
      </c>
      <c r="E4563" s="1" t="s">
        <v>22765</v>
      </c>
      <c r="F4563" s="1" t="s">
        <v>22766</v>
      </c>
      <c r="G4563" s="1" t="s">
        <v>22767</v>
      </c>
      <c r="H4563" s="1" t="str">
        <f>IFERROR(__xludf.DUMMYFUNCTION("GOOGLETRANSLATE(D4563,""EN"",""JA"")"),"自己抗体、TBII")</f>
        <v>自己抗体、TBII</v>
      </c>
      <c r="I4563" s="1" t="str">
        <f>IFERROR(__xludf.DUMMYFUNCTION("GOOGLETRANSLATE(E4563,""EN"",""JA"")"),"自己抗体、TBII；自己抗体、甲状腺刺激ホルモン結合阻害免疫グロブリン")</f>
        <v>自己抗体、TBII；自己抗体、甲状腺刺激ホルモン結合阻害免疫グロブリン</v>
      </c>
      <c r="J4563" s="1" t="str">
        <f>IFERROR(__xludf.DUMMYFUNCTION("GOOGLETRANSLATE(F4563,""EN"",""JA"")"),"生物学的標本中の甲状腺刺激ホルモン結合阻害免疫グロブリン自己抗体の測定。")</f>
        <v>生物学的標本中の甲状腺刺激ホルモン結合阻害免疫グロブリン自己抗体の測定。</v>
      </c>
      <c r="K4563" s="1" t="str">
        <f>IFERROR(__xludf.DUMMYFUNCTION("GOOGLETRANSLATE(G4563,""EN"",""JA"")"),"甲状腺刺激ホルモン結合阻害免疫グロブリン自己抗体測定")</f>
        <v>甲状腺刺激ホルモン結合阻害免疫グロブリン自己抗体測定</v>
      </c>
    </row>
    <row r="4564" ht="13.5" customHeight="1">
      <c r="A4564" s="1" t="s">
        <v>134</v>
      </c>
      <c r="B4564" s="1" t="s">
        <v>22768</v>
      </c>
      <c r="C4564" s="1" t="s">
        <v>22769</v>
      </c>
      <c r="D4564" s="1" t="s">
        <v>22770</v>
      </c>
      <c r="E4564" s="1" t="s">
        <v>22770</v>
      </c>
      <c r="F4564" s="1" t="s">
        <v>22771</v>
      </c>
      <c r="G4564" s="1" t="s">
        <v>22772</v>
      </c>
      <c r="H4564" s="1" t="str">
        <f>IFERROR(__xludf.DUMMYFUNCTION("GOOGLETRANSLATE(D4564,""EN"",""JA"")"),"尿細管の形成")</f>
        <v>尿細管の形成</v>
      </c>
      <c r="I4564" s="1" t="str">
        <f>IFERROR(__xludf.DUMMYFUNCTION("GOOGLETRANSLATE(E4564,""EN"",""JA"")"),"尿細管の形成")</f>
        <v>尿細管の形成</v>
      </c>
      <c r="J4564" s="1" t="str">
        <f>IFERROR(__xludf.DUMMYFUNCTION("GOOGLETRANSLATE(F4564,""EN"",""JA"")"),"生物標本における尿細管形成の評価。")</f>
        <v>生物標本における尿細管形成の評価。</v>
      </c>
      <c r="K4564" s="1" t="str">
        <f>IFERROR(__xludf.DUMMYFUNCTION("GOOGLETRANSLATE(G4564,""EN"",""JA"")"),"尿細管形成評価")</f>
        <v>尿細管形成評価</v>
      </c>
    </row>
    <row r="4565" ht="13.5" customHeight="1">
      <c r="A4565" s="1" t="s">
        <v>397</v>
      </c>
      <c r="B4565" s="1" t="s">
        <v>22773</v>
      </c>
      <c r="C4565" s="1" t="s">
        <v>22774</v>
      </c>
      <c r="D4565" s="1" t="s">
        <v>22775</v>
      </c>
      <c r="E4565" s="1" t="s">
        <v>22776</v>
      </c>
      <c r="F4565" s="1" t="s">
        <v>22777</v>
      </c>
      <c r="G4565" s="1" t="s">
        <v>22775</v>
      </c>
      <c r="H4565" s="1" t="str">
        <f>IFERROR(__xludf.DUMMYFUNCTION("GOOGLETRANSLATE(D4565,""EN"",""JA"")"),"試験の盲検化スキーマ")</f>
        <v>試験の盲検化スキーマ</v>
      </c>
      <c r="I4565" s="1" t="str">
        <f>IFERROR(__xludf.DUMMYFUNCTION("GOOGLETRANSLATE(E4565,""EN"",""JA"")"),"研究ブラインドデザイン、研究ブラインドスキーマ、研究マスキングデザイン、試験ブラインドデザイン、試験ブラインドスキーマ、試験マスキングデザイン")</f>
        <v>研究ブラインドデザイン、研究ブラインドスキーマ、研究マスキングデザイン、試験ブラインドデザイン、試験ブラインドスキーマ、試験マスキングデザイン</v>
      </c>
      <c r="J4565" s="1" t="str">
        <f>IFERROR(__xludf.DUMMYFUNCTION("GOOGLETRANSLATE(F4565,""EN"",""JA"")"),"観察、受け、または管理されるそれぞれの介入または評価に関連して、研究対象者および/または研究担当者の認識レベルを説明するために使用される実験設計のタイプ。")</f>
        <v>観察、受け、または管理されるそれぞれの介入または評価に関連して、研究対象者および/または研究担当者の認識レベルを説明するために使用される実験設計のタイプ。</v>
      </c>
      <c r="K4565" s="1" t="str">
        <f>IFERROR(__xludf.DUMMYFUNCTION("GOOGLETRANSLATE(G4565,""EN"",""JA"")"),"試験の盲検化スキーマ")</f>
        <v>試験の盲検化スキーマ</v>
      </c>
    </row>
    <row r="4566" ht="13.5" customHeight="1">
      <c r="A4566" s="1" t="s">
        <v>11</v>
      </c>
      <c r="B4566" s="1" t="s">
        <v>22778</v>
      </c>
      <c r="C4566" s="1" t="s">
        <v>22779</v>
      </c>
      <c r="D4566" s="1" t="s">
        <v>22780</v>
      </c>
      <c r="E4566" s="1" t="s">
        <v>22781</v>
      </c>
      <c r="F4566" s="1" t="s">
        <v>22782</v>
      </c>
      <c r="G4566" s="1" t="s">
        <v>22783</v>
      </c>
      <c r="H4566" s="1" t="str">
        <f>IFERROR(__xludf.DUMMYFUNCTION("GOOGLETRANSLATE(D4566,""EN"",""JA"")"),"TATAボックス結合タンパク質")</f>
        <v>TATAボックス結合タンパク質</v>
      </c>
      <c r="I4566" s="1" t="str">
        <f>IFERROR(__xludf.DUMMYFUNCTION("GOOGLETRANSLATE(E4566,""EN"",""JA"")"),"TATAボックス結合タンパク質; TATA結合タンパク質")</f>
        <v>TATAボックス結合タンパク質; TATA結合タンパク質</v>
      </c>
      <c r="J4566" s="1" t="str">
        <f>IFERROR(__xludf.DUMMYFUNCTION("GOOGLETRANSLATE(F4566,""EN"",""JA"")"),"生物標本中の TATA ボックス結合タンパク質の測定。")</f>
        <v>生物標本中の TATA ボックス結合タンパク質の測定。</v>
      </c>
      <c r="K4566" s="1" t="str">
        <f>IFERROR(__xludf.DUMMYFUNCTION("GOOGLETRANSLATE(G4566,""EN"",""JA"")"),"TATAボックス結合タンパク質測定")</f>
        <v>TATAボックス結合タンパク質測定</v>
      </c>
    </row>
    <row r="4567" ht="13.5" customHeight="1">
      <c r="A4567" s="1" t="s">
        <v>397</v>
      </c>
      <c r="B4567" s="1" t="s">
        <v>22784</v>
      </c>
      <c r="C4567" s="1" t="s">
        <v>22785</v>
      </c>
      <c r="D4567" s="1" t="s">
        <v>22786</v>
      </c>
      <c r="E4567" s="1" t="s">
        <v>22786</v>
      </c>
      <c r="F4567" s="1" t="s">
        <v>22787</v>
      </c>
      <c r="G4567" s="1" t="s">
        <v>22786</v>
      </c>
      <c r="H4567" s="1" t="str">
        <f>IFERROR(__xludf.DUMMYFUNCTION("GOOGLETRANSLATE(D4567,""EN"",""JA"")"),"タバコ製品")</f>
        <v>タバコ製品</v>
      </c>
      <c r="I4567" s="1" t="str">
        <f>IFERROR(__xludf.DUMMYFUNCTION("GOOGLETRANSLATE(E4567,""EN"",""JA"")"),"タバコ製品")</f>
        <v>タバコ製品</v>
      </c>
      <c r="J4567" s="1" t="str">
        <f>IFERROR(__xludf.DUMMYFUNCTION("GOOGLETRANSLATE(F4567,""EN"",""JA"")"),"タバコから製造または派生した製品、またはあらゆる供給源からのニコチンを含む、人間の消費を目的とした製品。これには、タバコ製品のあらゆる構成部品、部品、または付属品（タバコ製品の製造に使用されるタバコ以外の原材料を除く）が含まれます。")</f>
        <v>タバコから製造または派生した製品、またはあらゆる供給源からのニコチンを含む、人間の消費を目的とした製品。これには、タバコ製品のあらゆる構成部品、部品、または付属品（タバコ製品の製造に使用されるタバコ以外の原材料を除く）が含まれます。</v>
      </c>
      <c r="K4567" s="1" t="str">
        <f>IFERROR(__xludf.DUMMYFUNCTION("GOOGLETRANSLATE(G4567,""EN"",""JA"")"),"タバコ製品")</f>
        <v>タバコ製品</v>
      </c>
    </row>
    <row r="4568" ht="13.5" customHeight="1">
      <c r="A4568" s="1" t="s">
        <v>1997</v>
      </c>
      <c r="B4568" s="1" t="s">
        <v>22788</v>
      </c>
      <c r="C4568" s="1" t="s">
        <v>22789</v>
      </c>
      <c r="D4568" s="1" t="s">
        <v>22790</v>
      </c>
      <c r="E4568" s="1" t="s">
        <v>22791</v>
      </c>
      <c r="F4568" s="1" t="s">
        <v>22792</v>
      </c>
      <c r="G4568" s="1" t="s">
        <v>22793</v>
      </c>
      <c r="H4568" s="1" t="str">
        <f>IFERROR(__xludf.DUMMYFUNCTION("GOOGLETRANSLATE(D4568,""EN"",""JA"")"),"涙の分解時間")</f>
        <v>涙の分解時間</v>
      </c>
      <c r="I4568" s="1" t="str">
        <f>IFERROR(__xludf.DUMMYFUNCTION("GOOGLETRANSLATE(E4568,""EN"",""JA"")"),"涙液破砕時間; 涙液破砕時間; 涙液膜破砕時間")</f>
        <v>涙液破砕時間; 涙液破砕時間; 涙液膜破砕時間</v>
      </c>
      <c r="J4568" s="1" t="str">
        <f>IFERROR(__xludf.DUMMYFUNCTION("GOOGLETRANSLATE(F4568,""EN"",""JA"")"),"最後の瞬きからフルオレセイン染色された涙液膜に黒い斑点が最初に現れるまでの時間間隔。")</f>
        <v>最後の瞬きからフルオレセイン染色された涙液膜に黒い斑点が最初に現れるまでの時間間隔。</v>
      </c>
      <c r="K4568" s="1" t="str">
        <f>IFERROR(__xludf.DUMMYFUNCTION("GOOGLETRANSLATE(G4568,""EN"",""JA"")"),"涙液分離時間の評価")</f>
        <v>涙液分離時間の評価</v>
      </c>
    </row>
    <row r="4569" ht="13.5" customHeight="1">
      <c r="A4569" s="1" t="s">
        <v>129</v>
      </c>
      <c r="B4569" s="1" t="s">
        <v>22794</v>
      </c>
      <c r="C4569" s="1" t="s">
        <v>22795</v>
      </c>
      <c r="D4569" s="1" t="s">
        <v>22796</v>
      </c>
      <c r="E4569" s="1" t="s">
        <v>22796</v>
      </c>
      <c r="F4569" s="1" t="s">
        <v>22797</v>
      </c>
      <c r="G4569" s="1" t="s">
        <v>22798</v>
      </c>
      <c r="H4569" s="1" t="str">
        <f>IFERROR(__xludf.DUMMYFUNCTION("GOOGLETRANSLATE(D4569,""EN"",""JA"")"),"体水分量")</f>
        <v>体水分量</v>
      </c>
      <c r="I4569" s="1" t="str">
        <f>IFERROR(__xludf.DUMMYFUNCTION("GOOGLETRANSLATE(E4569,""EN"",""JA"")"),"体水分量")</f>
        <v>体水分量</v>
      </c>
      <c r="J4569" s="1" t="str">
        <f>IFERROR(__xludf.DUMMYFUNCTION("GOOGLETRANSLATE(F4569,""EN"",""JA"")"),"細胞内と細胞外の両方の区画を含む体内の水分量の測定値。")</f>
        <v>細胞内と細胞外の両方の区画を含む体内の水分量の測定値。</v>
      </c>
      <c r="K4569" s="1" t="str">
        <f>IFERROR(__xludf.DUMMYFUNCTION("GOOGLETRANSLATE(G4569,""EN"",""JA"")"),"体内水分量測定")</f>
        <v>体内水分量測定</v>
      </c>
    </row>
    <row r="4570" ht="13.5" customHeight="1">
      <c r="A4570" s="1" t="s">
        <v>176</v>
      </c>
      <c r="B4570" s="1" t="s">
        <v>22799</v>
      </c>
      <c r="C4570" s="1" t="s">
        <v>22800</v>
      </c>
      <c r="D4570" s="1" t="s">
        <v>22801</v>
      </c>
      <c r="E4570" s="1" t="s">
        <v>22802</v>
      </c>
      <c r="F4570" s="1" t="s">
        <v>22803</v>
      </c>
      <c r="G4570" s="1" t="s">
        <v>22804</v>
      </c>
      <c r="H4570" s="1" t="str">
        <f>IFERROR(__xludf.DUMMYFUNCTION("GOOGLETRANSLATE(D4570,""EN"",""JA"")"),"トリカルボン酸サイクル速度")</f>
        <v>トリカルボン酸サイクル速度</v>
      </c>
      <c r="I4570" s="1" t="str">
        <f>IFERROR(__xludf.DUMMYFUNCTION("GOOGLETRANSLATE(E4570,""EN"",""JA"")"),"クエン酸回路速度; クレブス回路クエン酸回路速度; TCA回路速度; トリカルボン酸回路速度")</f>
        <v>クエン酸回路速度; クレブス回路クエン酸回路速度; TCA回路速度; トリカルボン酸回路速度</v>
      </c>
      <c r="J4570" s="1" t="str">
        <f>IFERROR(__xludf.DUMMYFUNCTION("GOOGLETRANSLATE(F4570,""EN"",""JA"")"),"生物標本におけるトリカルボン酸回路の代謝速度の測定。")</f>
        <v>生物標本におけるトリカルボン酸回路の代謝速度の測定。</v>
      </c>
      <c r="K4570" s="1" t="str">
        <f>IFERROR(__xludf.DUMMYFUNCTION("GOOGLETRANSLATE(G4570,""EN"",""JA"")"),"トリカルボン酸サイクル速度測定")</f>
        <v>トリカルボン酸サイクル速度測定</v>
      </c>
    </row>
    <row r="4571" ht="13.5" customHeight="1">
      <c r="A4571" s="1" t="s">
        <v>11</v>
      </c>
      <c r="B4571" s="1" t="s">
        <v>22805</v>
      </c>
      <c r="C4571" s="1" t="s">
        <v>22806</v>
      </c>
      <c r="D4571" s="1" t="s">
        <v>22807</v>
      </c>
      <c r="E4571" s="1" t="s">
        <v>22808</v>
      </c>
      <c r="F4571" s="1" t="s">
        <v>22809</v>
      </c>
      <c r="G4571" s="1" t="s">
        <v>22810</v>
      </c>
      <c r="H4571" s="1" t="str">
        <f>IFERROR(__xludf.DUMMYFUNCTION("GOOGLETRANSLATE(D4571,""EN"",""JA"")"),"タウロケノデオキシコール酸")</f>
        <v>タウロケノデオキシコール酸</v>
      </c>
      <c r="I4571" s="1" t="str">
        <f>IFERROR(__xludf.DUMMYFUNCTION("GOOGLETRANSLATE(E4571,""EN"",""JA"")"),"タウロケノデオキシコール酸")</f>
        <v>タウロケノデオキシコール酸</v>
      </c>
      <c r="J4571" s="1" t="str">
        <f>IFERROR(__xludf.DUMMYFUNCTION("GOOGLETRANSLATE(F4571,""EN"",""JA"")"),"生物標本中のタウロケノデオキシコール酸の測定。")</f>
        <v>生物標本中のタウロケノデオキシコール酸の測定。</v>
      </c>
      <c r="K4571" s="1" t="str">
        <f>IFERROR(__xludf.DUMMYFUNCTION("GOOGLETRANSLATE(G4571,""EN"",""JA"")"),"タウロケノデオキシコール酸測定")</f>
        <v>タウロケノデオキシコール酸測定</v>
      </c>
    </row>
    <row r="4572" ht="13.5" customHeight="1">
      <c r="A4572" s="1" t="s">
        <v>11</v>
      </c>
      <c r="B4572" s="1" t="s">
        <v>22811</v>
      </c>
      <c r="C4572" s="1" t="s">
        <v>22812</v>
      </c>
      <c r="D4572" s="1" t="s">
        <v>22813</v>
      </c>
      <c r="E4572" s="1" t="s">
        <v>22814</v>
      </c>
      <c r="F4572" s="1" t="s">
        <v>22815</v>
      </c>
      <c r="G4572" s="1" t="s">
        <v>22816</v>
      </c>
      <c r="H4572" s="1" t="str">
        <f>IFERROR(__xludf.DUMMYFUNCTION("GOOGLETRANSLATE(D4572,""EN"",""JA"")"),"タウロコール酸")</f>
        <v>タウロコール酸</v>
      </c>
      <c r="I4572" s="1" t="str">
        <f>IFERROR(__xludf.DUMMYFUNCTION("GOOGLETRANSLATE(E4572,""EN"",""JA"")"),"タウロコール酸")</f>
        <v>タウロコール酸</v>
      </c>
      <c r="J4572" s="1" t="str">
        <f>IFERROR(__xludf.DUMMYFUNCTION("GOOGLETRANSLATE(F4572,""EN"",""JA"")"),"生物標本中のタウロコール酸の測定。")</f>
        <v>生物標本中のタウロコール酸の測定。</v>
      </c>
      <c r="K4572" s="1" t="str">
        <f>IFERROR(__xludf.DUMMYFUNCTION("GOOGLETRANSLATE(G4572,""EN"",""JA"")"),"タウロコール酸測定")</f>
        <v>タウロコール酸測定</v>
      </c>
    </row>
    <row r="4573" ht="13.5" customHeight="1">
      <c r="A4573" s="1" t="s">
        <v>397</v>
      </c>
      <c r="B4573" s="1" t="s">
        <v>22817</v>
      </c>
      <c r="C4573" s="1" t="s">
        <v>22818</v>
      </c>
      <c r="D4573" s="1" t="s">
        <v>22819</v>
      </c>
      <c r="E4573" s="1" t="s">
        <v>22819</v>
      </c>
      <c r="F4573" s="1" t="s">
        <v>22820</v>
      </c>
      <c r="G4573" s="1" t="s">
        <v>22819</v>
      </c>
      <c r="H4573" s="1" t="str">
        <f>IFERROR(__xludf.DUMMYFUNCTION("GOOGLETRANSLATE(D4573,""EN"",""JA"")"),"コントロールタイプ")</f>
        <v>コントロールタイプ</v>
      </c>
      <c r="I4573" s="1" t="str">
        <f>IFERROR(__xludf.DUMMYFUNCTION("GOOGLETRANSLATE(E4573,""EN"",""JA"")"),"コントロールタイプ")</f>
        <v>コントロールタイプ</v>
      </c>
      <c r="J4573" s="1" t="str">
        <f>IFERROR(__xludf.DUMMYFUNCTION("GOOGLETRANSLATE(F4573,""EN"",""JA"")"),"研究治療を評価するための比較対象。")</f>
        <v>研究治療を評価するための比較対象。</v>
      </c>
      <c r="K4573" s="1" t="str">
        <f>IFERROR(__xludf.DUMMYFUNCTION("GOOGLETRANSLATE(G4573,""EN"",""JA"")"),"コントロールタイプ")</f>
        <v>コントロールタイプ</v>
      </c>
    </row>
    <row r="4574" ht="13.5" customHeight="1">
      <c r="A4574" s="1" t="s">
        <v>601</v>
      </c>
      <c r="B4574" s="1" t="s">
        <v>22821</v>
      </c>
      <c r="C4574" s="1" t="s">
        <v>22822</v>
      </c>
      <c r="D4574" s="1" t="s">
        <v>22823</v>
      </c>
      <c r="E4574" s="1" t="s">
        <v>22823</v>
      </c>
      <c r="F4574" s="1" t="s">
        <v>22824</v>
      </c>
      <c r="G4574" s="1" t="s">
        <v>22823</v>
      </c>
      <c r="H4574" s="1" t="str">
        <f>IFERROR(__xludf.DUMMYFUNCTION("GOOGLETRANSLATE(D4574,""EN"",""JA"")"),"禁煙カウンセリング指標")</f>
        <v>禁煙カウンセリング指標</v>
      </c>
      <c r="I4574" s="1" t="str">
        <f>IFERROR(__xludf.DUMMYFUNCTION("GOOGLETRANSLATE(E4574,""EN"",""JA"")"),"禁煙カウンセリング指標")</f>
        <v>禁煙カウンセリング指標</v>
      </c>
      <c r="J4574" s="1" t="str">
        <f>IFERROR(__xludf.DUMMYFUNCTION("GOOGLETRANSLATE(F4574,""EN"",""JA"")"),"個人が禁煙カウンセリングを受けたかどうかを示します。")</f>
        <v>個人が禁煙カウンセリングを受けたかどうかを示します。</v>
      </c>
      <c r="K4574" s="1" t="str">
        <f>IFERROR(__xludf.DUMMYFUNCTION("GOOGLETRANSLATE(G4574,""EN"",""JA"")"),"禁煙カウンセリング指標")</f>
        <v>禁煙カウンセリング指標</v>
      </c>
    </row>
    <row r="4575" ht="13.5" customHeight="1">
      <c r="A4575" s="1" t="s">
        <v>397</v>
      </c>
      <c r="B4575" s="1" t="s">
        <v>22825</v>
      </c>
      <c r="C4575" s="1" t="s">
        <v>22826</v>
      </c>
      <c r="D4575" s="1" t="s">
        <v>22827</v>
      </c>
      <c r="E4575" s="1" t="s">
        <v>22827</v>
      </c>
      <c r="F4575" s="1" t="s">
        <v>22828</v>
      </c>
      <c r="G4575" s="1" t="s">
        <v>22827</v>
      </c>
      <c r="H4575" s="1" t="str">
        <f>IFERROR(__xludf.DUMMYFUNCTION("GOOGLETRANSLATE(D4575,""EN"",""JA"")"),"診断グループ")</f>
        <v>診断グループ</v>
      </c>
      <c r="I4575" s="1" t="str">
        <f>IFERROR(__xludf.DUMMYFUNCTION("GOOGLETRANSLATE(E4575,""EN"",""JA"")"),"診断グループ")</f>
        <v>診断グループ</v>
      </c>
      <c r="J4575" s="1" t="str">
        <f>IFERROR(__xludf.DUMMYFUNCTION("GOOGLETRANSLATE(F4575,""EN"",""JA"")"),"共通の処置や病気、あるいはその欠如に基づいて個人をグループ化すること。")</f>
        <v>共通の処置や病気、あるいはその欠如に基づいて個人をグループ化すること。</v>
      </c>
      <c r="K4575" s="1" t="str">
        <f>IFERROR(__xludf.DUMMYFUNCTION("GOOGLETRANSLATE(G4575,""EN"",""JA"")"),"診断グループ")</f>
        <v>診断グループ</v>
      </c>
    </row>
    <row r="4576" ht="13.5" customHeight="1">
      <c r="A4576" s="1" t="s">
        <v>11</v>
      </c>
      <c r="B4576" s="1" t="s">
        <v>22829</v>
      </c>
      <c r="C4576" s="1" t="s">
        <v>22830</v>
      </c>
      <c r="D4576" s="1" t="s">
        <v>22831</v>
      </c>
      <c r="E4576" s="1" t="s">
        <v>22832</v>
      </c>
      <c r="F4576" s="1" t="s">
        <v>22833</v>
      </c>
      <c r="G4576" s="1" t="s">
        <v>22834</v>
      </c>
      <c r="H4576" s="1" t="str">
        <f>IFERROR(__xludf.DUMMYFUNCTION("GOOGLETRANSLATE(D4576,""EN"",""JA"")"),"末端デオキシヌクレオチド転移酵素Ag")</f>
        <v>末端デオキシヌクレオチド転移酵素Ag</v>
      </c>
      <c r="I4576" s="1" t="str">
        <f>IFERROR(__xludf.DUMMYFUNCTION("GOOGLETRANSLATE(E4576,""EN"",""JA"")"),"末端デオキシヌクレオチジルトランスフェラーゼ抗原")</f>
        <v>末端デオキシヌクレオチジルトランスフェラーゼ抗原</v>
      </c>
      <c r="J4576" s="1" t="str">
        <f>IFERROR(__xludf.DUMMYFUNCTION("GOOGLETRANSLATE(F4576,""EN"",""JA"")"),"生物標本中の末端デオキシヌクレオチド転移酵素抗原の測定。")</f>
        <v>生物標本中の末端デオキシヌクレオチド転移酵素抗原の測定。</v>
      </c>
      <c r="K4576" s="1" t="str">
        <f>IFERROR(__xludf.DUMMYFUNCTION("GOOGLETRANSLATE(G4576,""EN"",""JA"")"),"末端デオキシヌクレオチド転移酵素抗原測定")</f>
        <v>末端デオキシヌクレオチド転移酵素抗原測定</v>
      </c>
    </row>
    <row r="4577" ht="13.5" customHeight="1">
      <c r="A4577" s="1" t="s">
        <v>11</v>
      </c>
      <c r="B4577" s="1" t="s">
        <v>22835</v>
      </c>
      <c r="C4577" s="1" t="s">
        <v>22836</v>
      </c>
      <c r="D4577" s="1" t="s">
        <v>22837</v>
      </c>
      <c r="E4577" s="1" t="s">
        <v>22838</v>
      </c>
      <c r="F4577" s="1" t="s">
        <v>22839</v>
      </c>
      <c r="G4577" s="1" t="s">
        <v>22840</v>
      </c>
      <c r="H4577" s="1" t="str">
        <f>IFERROR(__xludf.DUMMYFUNCTION("GOOGLETRANSLATE(D4577,""EN"",""JA"")"),"涙液細胞")</f>
        <v>涙液細胞</v>
      </c>
      <c r="I4577" s="1" t="str">
        <f>IFERROR(__xludf.DUMMYFUNCTION("GOOGLETRANSLATE(E4577,""EN"",""JA"")"),"涙滴細胞; 涙形赤血球; 涙滴細胞")</f>
        <v>涙滴細胞; 涙形赤血球; 涙滴細胞</v>
      </c>
      <c r="J4577" s="1" t="str">
        <f>IFERROR(__xludf.DUMMYFUNCTION("GOOGLETRANSLATE(F4577,""EN"",""JA"")"),"生物標本中の涙液細胞の測定。")</f>
        <v>生物標本中の涙液細胞の測定。</v>
      </c>
      <c r="K4577" s="1" t="str">
        <f>IFERROR(__xludf.DUMMYFUNCTION("GOOGLETRANSLATE(G4577,""EN"",""JA"")"),"涙液細胞分析")</f>
        <v>涙液細胞分析</v>
      </c>
    </row>
    <row r="4578" ht="13.5" customHeight="1">
      <c r="A4578" s="1" t="s">
        <v>1997</v>
      </c>
      <c r="B4578" s="1" t="s">
        <v>22841</v>
      </c>
      <c r="C4578" s="1" t="s">
        <v>22842</v>
      </c>
      <c r="D4578" s="1" t="s">
        <v>22843</v>
      </c>
      <c r="E4578" s="1" t="s">
        <v>22844</v>
      </c>
      <c r="F4578" s="1" t="s">
        <v>22845</v>
      </c>
      <c r="G4578" s="1" t="s">
        <v>22846</v>
      </c>
      <c r="H4578" s="1" t="str">
        <f>IFERROR(__xludf.DUMMYFUNCTION("GOOGLETRANSLATE(D4578,""EN"",""JA"")"),"涙液分泌")</f>
        <v>涙液分泌</v>
      </c>
      <c r="I4578" s="1" t="str">
        <f>IFERROR(__xludf.DUMMYFUNCTION("GOOGLETRANSLATE(E4578,""EN"",""JA"")"),"流涙; 涙液産生; 涙液分泌")</f>
        <v>流涙; 涙液産生; 涙液分泌</v>
      </c>
      <c r="J4578" s="1" t="str">
        <f>IFERROR(__xludf.DUMMYFUNCTION("GOOGLETRANSLATE(F4578,""EN"",""JA"")"),"被験者の涙液産生量の測定値。")</f>
        <v>被験者の涙液産生量の測定値。</v>
      </c>
      <c r="K4578" s="1" t="str">
        <f>IFERROR(__xludf.DUMMYFUNCTION("GOOGLETRANSLATE(G4578,""EN"",""JA"")"),"涙液分泌量")</f>
        <v>涙液分泌量</v>
      </c>
    </row>
    <row r="4579" ht="13.5" customHeight="1">
      <c r="A4579" s="1" t="s">
        <v>1997</v>
      </c>
      <c r="B4579" s="1" t="s">
        <v>22847</v>
      </c>
      <c r="C4579" s="1" t="s">
        <v>22848</v>
      </c>
      <c r="D4579" s="1" t="s">
        <v>22849</v>
      </c>
      <c r="E4579" s="1" t="s">
        <v>22849</v>
      </c>
      <c r="F4579" s="1" t="s">
        <v>22850</v>
      </c>
      <c r="G4579" s="1" t="s">
        <v>22849</v>
      </c>
      <c r="H4579" s="1" t="str">
        <f>IFERROR(__xludf.DUMMYFUNCTION("GOOGLETRANSLATE(D4579,""EN"",""JA"")"),"涙液分泌量")</f>
        <v>涙液分泌量</v>
      </c>
      <c r="I4579" s="1" t="str">
        <f>IFERROR(__xludf.DUMMYFUNCTION("GOOGLETRANSLATE(E4579,""EN"",""JA"")"),"涙液分泌量")</f>
        <v>涙液分泌量</v>
      </c>
      <c r="J4579" s="1" t="str">
        <f>IFERROR(__xludf.DUMMYFUNCTION("GOOGLETRANSLATE(F4579,""EN"",""JA"")"),"定められた時間（例：5 分）に分泌される涙の量を測定します。")</f>
        <v>定められた時間（例：5 分）に分泌される涙の量を測定します。</v>
      </c>
      <c r="K4579" s="1" t="str">
        <f>IFERROR(__xludf.DUMMYFUNCTION("GOOGLETRANSLATE(G4579,""EN"",""JA"")"),"涙液分泌量")</f>
        <v>涙液分泌量</v>
      </c>
    </row>
    <row r="4580" ht="13.5" customHeight="1">
      <c r="A4580" s="1" t="s">
        <v>1168</v>
      </c>
      <c r="B4580" s="1" t="s">
        <v>22851</v>
      </c>
      <c r="C4580" s="1" t="s">
        <v>22852</v>
      </c>
      <c r="D4580" s="1" t="s">
        <v>22853</v>
      </c>
      <c r="E4580" s="1" t="s">
        <v>22853</v>
      </c>
      <c r="F4580" s="1" t="s">
        <v>22854</v>
      </c>
      <c r="G4580" s="1" t="s">
        <v>22855</v>
      </c>
      <c r="H4580" s="1" t="str">
        <f>IFERROR(__xludf.DUMMYFUNCTION("GOOGLETRANSLATE(D4580,""EN"",""JA"")"),"技術品質")</f>
        <v>技術品質</v>
      </c>
      <c r="I4580" s="1" t="str">
        <f>IFERROR(__xludf.DUMMYFUNCTION("GOOGLETRANSLATE(E4580,""EN"",""JA"")"),"技術品質")</f>
        <v>技術品質</v>
      </c>
      <c r="J4580" s="1" t="str">
        <f>IFERROR(__xludf.DUMMYFUNCTION("GOOGLETRANSLATE(F4580,""EN"",""JA"")"),"心電図記録に関する記述であり、データの記録、処理、または送信中に発生した技術的な問題または干渉について説明しています。これは心電図診断を示すものではありません。")</f>
        <v>心電図記録に関する記述であり、データの記録、処理、または送信中に発生した技術的な問題または干渉について説明しています。これは心電図診断を示すものではありません。</v>
      </c>
      <c r="K4580" s="1" t="str">
        <f>IFERROR(__xludf.DUMMYFUNCTION("GOOGLETRANSLATE(G4580,""EN"",""JA"")"),"ECGの技術的品質")</f>
        <v>ECGの技術的品質</v>
      </c>
    </row>
    <row r="4581" ht="13.5" customHeight="1">
      <c r="A4581" s="1" t="s">
        <v>1168</v>
      </c>
      <c r="B4581" s="1" t="s">
        <v>22851</v>
      </c>
      <c r="C4581" s="1" t="s">
        <v>22852</v>
      </c>
      <c r="D4581" s="1" t="s">
        <v>22853</v>
      </c>
      <c r="E4581" s="1" t="s">
        <v>22853</v>
      </c>
      <c r="F4581" s="1" t="s">
        <v>22854</v>
      </c>
      <c r="G4581" s="1" t="s">
        <v>22855</v>
      </c>
      <c r="H4581" s="1" t="str">
        <f>IFERROR(__xludf.DUMMYFUNCTION("GOOGLETRANSLATE(D4581,""EN"",""JA"")"),"技術品質")</f>
        <v>技術品質</v>
      </c>
      <c r="I4581" s="1" t="str">
        <f>IFERROR(__xludf.DUMMYFUNCTION("GOOGLETRANSLATE(E4581,""EN"",""JA"")"),"技術品質")</f>
        <v>技術品質</v>
      </c>
      <c r="J4581" s="1" t="str">
        <f>IFERROR(__xludf.DUMMYFUNCTION("GOOGLETRANSLATE(F4581,""EN"",""JA"")"),"心電図記録に関する記述であり、データの記録、処理、または送信中に発生した技術的な問題または干渉について説明しています。これは心電図診断を示すものではありません。")</f>
        <v>心電図記録に関する記述であり、データの記録、処理、または送信中に発生した技術的な問題または干渉について説明しています。これは心電図診断を示すものではありません。</v>
      </c>
      <c r="K4581" s="1" t="str">
        <f>IFERROR(__xludf.DUMMYFUNCTION("GOOGLETRANSLATE(G4581,""EN"",""JA"")"),"ECGの技術的品質")</f>
        <v>ECGの技術的品質</v>
      </c>
    </row>
    <row r="4582" ht="13.5" customHeight="1">
      <c r="A4582" s="1" t="s">
        <v>1168</v>
      </c>
      <c r="B4582" s="1" t="s">
        <v>22851</v>
      </c>
      <c r="C4582" s="1" t="s">
        <v>22852</v>
      </c>
      <c r="D4582" s="1" t="s">
        <v>22853</v>
      </c>
      <c r="E4582" s="1" t="s">
        <v>22853</v>
      </c>
      <c r="F4582" s="1" t="s">
        <v>22854</v>
      </c>
      <c r="G4582" s="1" t="s">
        <v>22855</v>
      </c>
      <c r="H4582" s="1" t="str">
        <f>IFERROR(__xludf.DUMMYFUNCTION("GOOGLETRANSLATE(D4582,""EN"",""JA"")"),"技術品質")</f>
        <v>技術品質</v>
      </c>
      <c r="I4582" s="1" t="str">
        <f>IFERROR(__xludf.DUMMYFUNCTION("GOOGLETRANSLATE(E4582,""EN"",""JA"")"),"技術品質")</f>
        <v>技術品質</v>
      </c>
      <c r="J4582" s="1" t="str">
        <f>IFERROR(__xludf.DUMMYFUNCTION("GOOGLETRANSLATE(F4582,""EN"",""JA"")"),"心電図記録に関する記述であり、データの記録、処理、または送信中に発生した技術的な問題または干渉について説明しています。これは心電図診断を示すものではありません。")</f>
        <v>心電図記録に関する記述であり、データの記録、処理、または送信中に発生した技術的な問題または干渉について説明しています。これは心電図診断を示すものではありません。</v>
      </c>
      <c r="K4582" s="1" t="str">
        <f>IFERROR(__xludf.DUMMYFUNCTION("GOOGLETRANSLATE(G4582,""EN"",""JA"")"),"ECGの技術的品質")</f>
        <v>ECGの技術的品質</v>
      </c>
    </row>
    <row r="4583" ht="13.5" customHeight="1">
      <c r="A4583" s="1" t="s">
        <v>1168</v>
      </c>
      <c r="B4583" s="1" t="s">
        <v>22851</v>
      </c>
      <c r="C4583" s="1" t="s">
        <v>22852</v>
      </c>
      <c r="D4583" s="1" t="s">
        <v>22853</v>
      </c>
      <c r="E4583" s="1" t="s">
        <v>22853</v>
      </c>
      <c r="F4583" s="1" t="s">
        <v>22854</v>
      </c>
      <c r="G4583" s="1" t="s">
        <v>22855</v>
      </c>
      <c r="H4583" s="1" t="str">
        <f>IFERROR(__xludf.DUMMYFUNCTION("GOOGLETRANSLATE(D4583,""EN"",""JA"")"),"技術品質")</f>
        <v>技術品質</v>
      </c>
      <c r="I4583" s="1" t="str">
        <f>IFERROR(__xludf.DUMMYFUNCTION("GOOGLETRANSLATE(E4583,""EN"",""JA"")"),"技術品質")</f>
        <v>技術品質</v>
      </c>
      <c r="J4583" s="1" t="str">
        <f>IFERROR(__xludf.DUMMYFUNCTION("GOOGLETRANSLATE(F4583,""EN"",""JA"")"),"心電図記録に関する記述であり、データの記録、処理、または送信中に発生した技術的な問題または干渉について説明しています。これは心電図診断を示すものではありません。")</f>
        <v>心電図記録に関する記述であり、データの記録、処理、または送信中に発生した技術的な問題または干渉について説明しています。これは心電図診断を示すものではありません。</v>
      </c>
      <c r="K4583" s="1" t="str">
        <f>IFERROR(__xludf.DUMMYFUNCTION("GOOGLETRANSLATE(G4583,""EN"",""JA"")"),"ECGの技術的品質")</f>
        <v>ECGの技術的品質</v>
      </c>
    </row>
    <row r="4584" ht="13.5" customHeight="1">
      <c r="A4584" s="1" t="s">
        <v>129</v>
      </c>
      <c r="B4584" s="1" t="s">
        <v>22856</v>
      </c>
      <c r="C4584" s="1" t="s">
        <v>22857</v>
      </c>
      <c r="D4584" s="1" t="s">
        <v>22858</v>
      </c>
      <c r="E4584" s="1" t="s">
        <v>22859</v>
      </c>
      <c r="F4584" s="1" t="s">
        <v>22860</v>
      </c>
      <c r="G4584" s="1" t="s">
        <v>22861</v>
      </c>
      <c r="H4584" s="1" t="str">
        <f>IFERROR(__xludf.DUMMYFUNCTION("GOOGLETRANSLATE(D4584,""EN"",""JA"")"),"温度")</f>
        <v>温度</v>
      </c>
      <c r="I4584" s="1" t="str">
        <f>IFERROR(__xludf.DUMMYFUNCTION("GOOGLETRANSLATE(E4584,""EN"",""JA"")"),"体温; 温度")</f>
        <v>体温; 温度</v>
      </c>
      <c r="J4584" s="1" t="str">
        <f>IFERROR(__xludf.DUMMYFUNCTION("GOOGLETRANSLATE(F4584,""EN"",""JA"")"),"体温の測定値。")</f>
        <v>体温の測定値。</v>
      </c>
      <c r="K4584" s="1" t="str">
        <f>IFERROR(__xludf.DUMMYFUNCTION("GOOGLETRANSLATE(G4584,""EN"",""JA"")"),"体温")</f>
        <v>体温</v>
      </c>
    </row>
    <row r="4585" ht="13.5" customHeight="1">
      <c r="A4585" s="1" t="s">
        <v>129</v>
      </c>
      <c r="B4585" s="1" t="s">
        <v>22862</v>
      </c>
      <c r="C4585" s="1" t="s">
        <v>22863</v>
      </c>
      <c r="D4585" s="1" t="s">
        <v>22864</v>
      </c>
      <c r="E4585" s="1" t="s">
        <v>22864</v>
      </c>
      <c r="F4585" s="1" t="s">
        <v>22865</v>
      </c>
      <c r="G4585" s="1" t="s">
        <v>22864</v>
      </c>
      <c r="H4585" s="1" t="str">
        <f>IFERROR(__xludf.DUMMYFUNCTION("GOOGLETRANSLATE(D4585,""EN"",""JA"")"),"体幹温度")</f>
        <v>体幹温度</v>
      </c>
      <c r="I4585" s="1" t="str">
        <f>IFERROR(__xludf.DUMMYFUNCTION("GOOGLETRANSLATE(E4585,""EN"",""JA"")"),"体幹温度")</f>
        <v>体幹温度</v>
      </c>
      <c r="J4585" s="1" t="str">
        <f>IFERROR(__xludf.DUMMYFUNCTION("GOOGLETRANSLATE(F4585,""EN"",""JA"")"),"体の深部組織内の温度の測定値。")</f>
        <v>体の深部組織内の温度の測定値。</v>
      </c>
      <c r="K4585" s="1" t="str">
        <f>IFERROR(__xludf.DUMMYFUNCTION("GOOGLETRANSLATE(G4585,""EN"",""JA"")"),"体幹温度")</f>
        <v>体幹温度</v>
      </c>
    </row>
    <row r="4586" ht="13.5" customHeight="1">
      <c r="A4586" s="1" t="s">
        <v>129</v>
      </c>
      <c r="B4586" s="1" t="s">
        <v>22866</v>
      </c>
      <c r="C4586" s="1" t="s">
        <v>22867</v>
      </c>
      <c r="D4586" s="1" t="s">
        <v>22868</v>
      </c>
      <c r="E4586" s="1" t="s">
        <v>22868</v>
      </c>
      <c r="F4586" s="1" t="s">
        <v>22869</v>
      </c>
      <c r="G4586" s="1" t="s">
        <v>22868</v>
      </c>
      <c r="H4586" s="1" t="str">
        <f>IFERROR(__xludf.DUMMYFUNCTION("GOOGLETRANSLATE(D4586,""EN"",""JA"")"),"末梢体温")</f>
        <v>末梢体温</v>
      </c>
      <c r="I4586" s="1" t="str">
        <f>IFERROR(__xludf.DUMMYFUNCTION("GOOGLETRANSLATE(E4586,""EN"",""JA"")"),"末梢体温")</f>
        <v>末梢体温</v>
      </c>
      <c r="J4586" s="1" t="str">
        <f>IFERROR(__xludf.DUMMYFUNCTION("GOOGLETRANSLATE(F4586,""EN"",""JA"")"),"物体の表面またはその近くの温度の測定値。")</f>
        <v>物体の表面またはその近くの温度の測定値。</v>
      </c>
      <c r="K4586" s="1" t="str">
        <f>IFERROR(__xludf.DUMMYFUNCTION("GOOGLETRANSLATE(G4586,""EN"",""JA"")"),"末梢体温")</f>
        <v>末梢体温</v>
      </c>
    </row>
    <row r="4587" ht="13.5" customHeight="1">
      <c r="A4587" s="1" t="s">
        <v>11</v>
      </c>
      <c r="B4587" s="1" t="s">
        <v>22870</v>
      </c>
      <c r="C4587" s="1" t="s">
        <v>22871</v>
      </c>
      <c r="D4587" s="1" t="s">
        <v>22872</v>
      </c>
      <c r="E4587" s="1" t="s">
        <v>22873</v>
      </c>
      <c r="F4587" s="1" t="s">
        <v>22874</v>
      </c>
      <c r="G4587" s="1" t="s">
        <v>22875</v>
      </c>
      <c r="H4587" s="1" t="str">
        <f>IFERROR(__xludf.DUMMYFUNCTION("GOOGLETRANSLATE(D4587,""EN"",""JA"")"),"テストステロン")</f>
        <v>テストステロン</v>
      </c>
      <c r="I4587" s="1" t="str">
        <f>IFERROR(__xludf.DUMMYFUNCTION("GOOGLETRANSLATE(E4587,""EN"",""JA"")"),"テストステロン; 総テストステロン")</f>
        <v>テストステロン; 総テストステロン</v>
      </c>
      <c r="J4587" s="1" t="str">
        <f>IFERROR(__xludf.DUMMYFUNCTION("GOOGLETRANSLATE(F4587,""EN"",""JA"")"),"生物学的標本中の総テストステロン（遊離および結合）の測定値。")</f>
        <v>生物学的標本中の総テストステロン（遊離および結合）の測定値。</v>
      </c>
      <c r="K4587" s="1" t="str">
        <f>IFERROR(__xludf.DUMMYFUNCTION("GOOGLETRANSLATE(G4587,""EN"",""JA"")"),"総テストステロン測定")</f>
        <v>総テストステロン測定</v>
      </c>
    </row>
    <row r="4588" ht="13.5" customHeight="1">
      <c r="A4588" s="1" t="s">
        <v>11</v>
      </c>
      <c r="B4588" s="1" t="s">
        <v>22876</v>
      </c>
      <c r="C4588" s="1" t="s">
        <v>22877</v>
      </c>
      <c r="D4588" s="1" t="s">
        <v>22878</v>
      </c>
      <c r="E4588" s="1" t="s">
        <v>22878</v>
      </c>
      <c r="F4588" s="1" t="s">
        <v>22879</v>
      </c>
      <c r="G4588" s="1" t="s">
        <v>22880</v>
      </c>
      <c r="H4588" s="1" t="str">
        <f>IFERROR(__xludf.DUMMYFUNCTION("GOOGLETRANSLATE(D4588,""EN"",""JA"")"),"生体利用性テストステロン")</f>
        <v>生体利用性テストステロン</v>
      </c>
      <c r="I4588" s="1" t="str">
        <f>IFERROR(__xludf.DUMMYFUNCTION("GOOGLETRANSLATE(E4588,""EN"",""JA"")"),"生体利用性テストステロン")</f>
        <v>生体利用性テストステロン</v>
      </c>
      <c r="J4588" s="1" t="str">
        <f>IFERROR(__xludf.DUMMYFUNCTION("GOOGLETRANSLATE(F4588,""EN"",""JA"")"),"生物学的標本中の生物学的に利用可能なテストステロンの測定。")</f>
        <v>生物学的標本中の生物学的に利用可能なテストステロンの測定。</v>
      </c>
      <c r="K4588" s="1" t="str">
        <f>IFERROR(__xludf.DUMMYFUNCTION("GOOGLETRANSLATE(G4588,""EN"",""JA"")"),"生物学的利用能のあるテストステロンの測定")</f>
        <v>生物学的利用能のあるテストステロンの測定</v>
      </c>
    </row>
    <row r="4589" ht="13.5" customHeight="1">
      <c r="A4589" s="1" t="s">
        <v>11</v>
      </c>
      <c r="B4589" s="1" t="s">
        <v>22881</v>
      </c>
      <c r="C4589" s="1" t="s">
        <v>22882</v>
      </c>
      <c r="D4589" s="1" t="s">
        <v>22883</v>
      </c>
      <c r="E4589" s="1" t="s">
        <v>22883</v>
      </c>
      <c r="F4589" s="1" t="s">
        <v>22884</v>
      </c>
      <c r="G4589" s="1" t="s">
        <v>22885</v>
      </c>
      <c r="H4589" s="1" t="str">
        <f>IFERROR(__xludf.DUMMYFUNCTION("GOOGLETRANSLATE(D4589,""EN"",""JA"")"),"テストステロン、遊離")</f>
        <v>テストステロン、遊離</v>
      </c>
      <c r="I4589" s="1" t="str">
        <f>IFERROR(__xludf.DUMMYFUNCTION("GOOGLETRANSLATE(E4589,""EN"",""JA"")"),"テストステロン、遊離")</f>
        <v>テストステロン、遊離</v>
      </c>
      <c r="J4589" s="1" t="str">
        <f>IFERROR(__xludf.DUMMYFUNCTION("GOOGLETRANSLATE(F4589,""EN"",""JA"")"),"生物学的標本中の遊離テストステロンの測定。")</f>
        <v>生物学的標本中の遊離テストステロンの測定。</v>
      </c>
      <c r="K4589" s="1" t="str">
        <f>IFERROR(__xludf.DUMMYFUNCTION("GOOGLETRANSLATE(G4589,""EN"",""JA"")"),"遊離テストステロン測定")</f>
        <v>遊離テストステロン測定</v>
      </c>
    </row>
    <row r="4590" ht="13.5" customHeight="1">
      <c r="A4590" s="1" t="s">
        <v>11</v>
      </c>
      <c r="B4590" s="1" t="s">
        <v>22886</v>
      </c>
      <c r="C4590" s="1" t="s">
        <v>22887</v>
      </c>
      <c r="D4590" s="1" t="s">
        <v>22888</v>
      </c>
      <c r="E4590" s="1" t="s">
        <v>22888</v>
      </c>
      <c r="F4590" s="1" t="s">
        <v>22889</v>
      </c>
      <c r="G4590" s="1" t="s">
        <v>22890</v>
      </c>
      <c r="H4590" s="1" t="str">
        <f>IFERROR(__xludf.DUMMYFUNCTION("GOOGLETRANSLATE(D4590,""EN"",""JA"")"),"弱結合テストステロン")</f>
        <v>弱結合テストステロン</v>
      </c>
      <c r="I4590" s="1" t="str">
        <f>IFERROR(__xludf.DUMMYFUNCTION("GOOGLETRANSLATE(E4590,""EN"",""JA"")"),"弱結合テストステロン")</f>
        <v>弱結合テストステロン</v>
      </c>
      <c r="J4590" s="1" t="str">
        <f>IFERROR(__xludf.DUMMYFUNCTION("GOOGLETRANSLATE(F4590,""EN"",""JA"")"),"生物学的標本中の弱く結合したテストステロン（アルブミンに結合したテストステロン）の測定。")</f>
        <v>生物学的標本中の弱く結合したテストステロン（アルブミンに結合したテストステロン）の測定。</v>
      </c>
      <c r="K4590" s="1" t="str">
        <f>IFERROR(__xludf.DUMMYFUNCTION("GOOGLETRANSLATE(G4590,""EN"",""JA"")"),"弱結合テストステロン測定")</f>
        <v>弱結合テストステロン測定</v>
      </c>
    </row>
    <row r="4591" ht="13.5" customHeight="1">
      <c r="A4591" s="1" t="s">
        <v>11</v>
      </c>
      <c r="B4591" s="1" t="s">
        <v>22891</v>
      </c>
      <c r="C4591" s="1" t="s">
        <v>22892</v>
      </c>
      <c r="D4591" s="1" t="s">
        <v>22893</v>
      </c>
      <c r="E4591" s="1" t="s">
        <v>22894</v>
      </c>
      <c r="F4591" s="1" t="s">
        <v>22895</v>
      </c>
      <c r="G4591" s="1" t="s">
        <v>22896</v>
      </c>
      <c r="H4591" s="1" t="str">
        <f>IFERROR(__xludf.DUMMYFUNCTION("GOOGLETRANSLATE(D4591,""EN"",""JA"")"),"トランスフェリン")</f>
        <v>トランスフェリン</v>
      </c>
      <c r="I4591" s="1" t="str">
        <f>IFERROR(__xludf.DUMMYFUNCTION("GOOGLETRANSLATE(E4591,""EN"",""JA"")"),"β1金属結合グロブリン; セロトランスフェリン; シデロフィリン; トランスフェリン")</f>
        <v>β1金属結合グロブリン; セロトランスフェリン; シデロフィリン; トランスフェリン</v>
      </c>
      <c r="J4591" s="1" t="str">
        <f>IFERROR(__xludf.DUMMYFUNCTION("GOOGLETRANSLATE(F4591,""EN"",""JA"")"),"生物標本中のトランスフェリンの総量の測定。")</f>
        <v>生物標本中のトランスフェリンの総量の測定。</v>
      </c>
      <c r="K4591" s="1" t="str">
        <f>IFERROR(__xludf.DUMMYFUNCTION("GOOGLETRANSLATE(G4591,""EN"",""JA"")"),"トランスフェリン測定")</f>
        <v>トランスフェリン測定</v>
      </c>
    </row>
    <row r="4592" ht="13.5" customHeight="1">
      <c r="A4592" s="1" t="s">
        <v>11</v>
      </c>
      <c r="B4592" s="1" t="s">
        <v>22897</v>
      </c>
      <c r="C4592" s="1" t="s">
        <v>22898</v>
      </c>
      <c r="D4592" s="1" t="s">
        <v>22899</v>
      </c>
      <c r="E4592" s="1" t="s">
        <v>22899</v>
      </c>
      <c r="F4592" s="1" t="s">
        <v>22900</v>
      </c>
      <c r="G4592" s="1" t="s">
        <v>22901</v>
      </c>
      <c r="H4592" s="1" t="str">
        <f>IFERROR(__xludf.DUMMYFUNCTION("GOOGLETRANSLATE(D4592,""EN"",""JA"")"),"トレフォイルファクター3")</f>
        <v>トレフォイルファクター3</v>
      </c>
      <c r="I4592" s="1" t="str">
        <f>IFERROR(__xludf.DUMMYFUNCTION("GOOGLETRANSLATE(E4592,""EN"",""JA"")"),"トレフォイルファクター3")</f>
        <v>トレフォイルファクター3</v>
      </c>
      <c r="J4592" s="1" t="str">
        <f>IFERROR(__xludf.DUMMYFUNCTION("GOOGLETRANSLATE(F4592,""EN"",""JA"")"),"生物標本におけるトレフォイル因子 3 の測定。")</f>
        <v>生物標本におけるトレフォイル因子 3 の測定。</v>
      </c>
      <c r="K4592" s="1" t="str">
        <f>IFERROR(__xludf.DUMMYFUNCTION("GOOGLETRANSLATE(G4592,""EN"",""JA"")"),"トレフォイルファクター3測定")</f>
        <v>トレフォイルファクター3測定</v>
      </c>
    </row>
    <row r="4593" ht="13.5" customHeight="1">
      <c r="A4593" s="1" t="s">
        <v>11</v>
      </c>
      <c r="B4593" s="1" t="s">
        <v>22902</v>
      </c>
      <c r="C4593" s="1" t="s">
        <v>22903</v>
      </c>
      <c r="D4593" s="1" t="s">
        <v>22904</v>
      </c>
      <c r="E4593" s="1" t="s">
        <v>22905</v>
      </c>
      <c r="F4593" s="1" t="s">
        <v>22906</v>
      </c>
      <c r="G4593" s="1" t="s">
        <v>22907</v>
      </c>
      <c r="H4593" s="1" t="str">
        <f>IFERROR(__xludf.DUMMYFUNCTION("GOOGLETRANSLATE(D4593,""EN"",""JA"")"),"組織因子経路阻害剤、フリー")</f>
        <v>組織因子経路阻害剤、フリー</v>
      </c>
      <c r="I4593" s="1" t="str">
        <f>IFERROR(__xludf.DUMMYFUNCTION("GOOGLETRANSLATE(E4593,""EN"",""JA"")"),"遊離組織因子経路阻害抗原；遊離組織因子経路阻害因子")</f>
        <v>遊離組織因子経路阻害抗原；遊離組織因子経路阻害因子</v>
      </c>
      <c r="J4593" s="1" t="str">
        <f>IFERROR(__xludf.DUMMYFUNCTION("GOOGLETRANSLATE(F4593,""EN"",""JA"")"),"生物標本中の遊離組織因子経路阻害剤の測定。")</f>
        <v>生物標本中の遊離組織因子経路阻害剤の測定。</v>
      </c>
      <c r="K4593" s="1" t="str">
        <f>IFERROR(__xludf.DUMMYFUNCTION("GOOGLETRANSLATE(G4593,""EN"",""JA"")"),"遊離組織因子経路阻害抗原測定")</f>
        <v>遊離組織因子経路阻害抗原測定</v>
      </c>
    </row>
    <row r="4594" ht="13.5" customHeight="1">
      <c r="A4594" s="1" t="s">
        <v>11</v>
      </c>
      <c r="B4594" s="1" t="s">
        <v>22908</v>
      </c>
      <c r="C4594" s="1" t="s">
        <v>22909</v>
      </c>
      <c r="D4594" s="1" t="s">
        <v>22910</v>
      </c>
      <c r="E4594" s="1" t="s">
        <v>22911</v>
      </c>
      <c r="F4594" s="1" t="s">
        <v>22912</v>
      </c>
      <c r="G4594" s="1" t="s">
        <v>22913</v>
      </c>
      <c r="H4594" s="1" t="str">
        <f>IFERROR(__xludf.DUMMYFUNCTION("GOOGLETRANSLATE(D4594,""EN"",""JA"")"),"トランスフェリン受容体タンパク質1")</f>
        <v>トランスフェリン受容体タンパク質1</v>
      </c>
      <c r="I4594" s="1" t="str">
        <f>IFERROR(__xludf.DUMMYFUNCTION("GOOGLETRANSLATE(E4594,""EN"",""JA"")"),"P90; 可溶性CD71; TfR1; トランスフェリン受容体タンパク質1")</f>
        <v>P90; 可溶性CD71; TfR1; トランスフェリン受容体タンパク質1</v>
      </c>
      <c r="J4594" s="1" t="str">
        <f>IFERROR(__xludf.DUMMYFUNCTION("GOOGLETRANSLATE(F4594,""EN"",""JA"")"),"生物標本中のトランスフェリン受容体タンパク質 1 の測定。")</f>
        <v>生物標本中のトランスフェリン受容体タンパク質 1 の測定。</v>
      </c>
      <c r="K4594" s="1" t="str">
        <f>IFERROR(__xludf.DUMMYFUNCTION("GOOGLETRANSLATE(G4594,""EN"",""JA"")"),"トランスフェリン受容体タンパク質1の測定")</f>
        <v>トランスフェリン受容体タンパク質1の測定</v>
      </c>
    </row>
    <row r="4595" ht="13.5" customHeight="1">
      <c r="A4595" s="1" t="s">
        <v>11</v>
      </c>
      <c r="B4595" s="1" t="s">
        <v>22914</v>
      </c>
      <c r="C4595" s="1" t="s">
        <v>22915</v>
      </c>
      <c r="D4595" s="1" t="s">
        <v>22916</v>
      </c>
      <c r="E4595" s="1" t="s">
        <v>22917</v>
      </c>
      <c r="F4595" s="1" t="s">
        <v>22918</v>
      </c>
      <c r="G4595" s="1" t="s">
        <v>22919</v>
      </c>
      <c r="H4595" s="1" t="str">
        <f>IFERROR(__xludf.DUMMYFUNCTION("GOOGLETRANSLATE(D4595,""EN"",""JA"")"),"トランスフェリン飽和度")</f>
        <v>トランスフェリン飽和度</v>
      </c>
      <c r="I4595" s="1" t="str">
        <f>IFERROR(__xludf.DUMMYFUNCTION("GOOGLETRANSLATE(E4595,""EN"",""JA"")"),"鉄結合能飽和度；鉄飽和度；TIBCに対する鉄；トランスフェリン飽和度")</f>
        <v>鉄結合能飽和度；鉄飽和度；TIBCに対する鉄；トランスフェリン飽和度</v>
      </c>
      <c r="J4595" s="1" t="str">
        <f>IFERROR(__xludf.DUMMYFUNCTION("GOOGLETRANSLATE(F4595,""EN"",""JA"")"),"生物標本中のトランスフェリンに結合した鉄の測定。")</f>
        <v>生物標本中のトランスフェリンに結合した鉄の測定。</v>
      </c>
      <c r="K4595" s="1" t="str">
        <f>IFERROR(__xludf.DUMMYFUNCTION("GOOGLETRANSLATE(G4595,""EN"",""JA"")"),"トランスフェリン飽和度測定")</f>
        <v>トランスフェリン飽和度測定</v>
      </c>
    </row>
    <row r="4596" ht="13.5" customHeight="1">
      <c r="A4596" s="1" t="s">
        <v>11</v>
      </c>
      <c r="B4596" s="1" t="s">
        <v>22920</v>
      </c>
      <c r="C4596" s="1" t="s">
        <v>22921</v>
      </c>
      <c r="D4596" s="1" t="s">
        <v>22922</v>
      </c>
      <c r="E4596" s="1" t="s">
        <v>22923</v>
      </c>
      <c r="F4596" s="1" t="s">
        <v>22924</v>
      </c>
      <c r="G4596" s="1" t="s">
        <v>22925</v>
      </c>
      <c r="H4596" s="1" t="str">
        <f>IFERROR(__xludf.DUMMYFUNCTION("GOOGLETRANSLATE(D4596,""EN"",""JA"")"),"トランスフォーミング成長因子アルファ")</f>
        <v>トランスフォーミング成長因子アルファ</v>
      </c>
      <c r="I4596" s="1" t="str">
        <f>IFERROR(__xludf.DUMMYFUNCTION("GOOGLETRANSLATE(E4596,""EN"",""JA"")"),"プロトランスフォーミング成長因子アルファ; TGF-アルファ; トランスフォーミング成長因子アルファ")</f>
        <v>プロトランスフォーミング成長因子アルファ; TGF-アルファ; トランスフォーミング成長因子アルファ</v>
      </c>
      <c r="J4596" s="1" t="str">
        <f>IFERROR(__xludf.DUMMYFUNCTION("GOOGLETRANSLATE(F4596,""EN"",""JA"")"),"生物標本中のトランスフォーミング成長因子アルファの測定。")</f>
        <v>生物標本中のトランスフォーミング成長因子アルファの測定。</v>
      </c>
      <c r="K4596" s="1" t="str">
        <f>IFERROR(__xludf.DUMMYFUNCTION("GOOGLETRANSLATE(G4596,""EN"",""JA"")"),"トランスフォーミング成長因子アルファ測定")</f>
        <v>トランスフォーミング成長因子アルファ測定</v>
      </c>
    </row>
    <row r="4597" ht="13.5" customHeight="1">
      <c r="A4597" s="1" t="s">
        <v>11</v>
      </c>
      <c r="B4597" s="1" t="s">
        <v>22926</v>
      </c>
      <c r="C4597" s="1" t="s">
        <v>22927</v>
      </c>
      <c r="D4597" s="1" t="s">
        <v>22928</v>
      </c>
      <c r="E4597" s="1" t="s">
        <v>22928</v>
      </c>
      <c r="F4597" s="1" t="s">
        <v>22929</v>
      </c>
      <c r="G4597" s="1" t="s">
        <v>22930</v>
      </c>
      <c r="H4597" s="1" t="str">
        <f>IFERROR(__xludf.DUMMYFUNCTION("GOOGLETRANSLATE(D4597,""EN"",""JA"")"),"トランスフォーミング成長因子ベータ")</f>
        <v>トランスフォーミング成長因子ベータ</v>
      </c>
      <c r="I4597" s="1" t="str">
        <f>IFERROR(__xludf.DUMMYFUNCTION("GOOGLETRANSLATE(E4597,""EN"",""JA"")"),"トランスフォーミング成長因子ベータ")</f>
        <v>トランスフォーミング成長因子ベータ</v>
      </c>
      <c r="J4597" s="1" t="str">
        <f>IFERROR(__xludf.DUMMYFUNCTION("GOOGLETRANSLATE(F4597,""EN"",""JA"")"),"生物標本中の総形質転換成長因子ベータの測定。")</f>
        <v>生物標本中の総形質転換成長因子ベータの測定。</v>
      </c>
      <c r="K4597" s="1" t="str">
        <f>IFERROR(__xludf.DUMMYFUNCTION("GOOGLETRANSLATE(G4597,""EN"",""JA"")"),"トランスフォーミング成長因子ベータ測定")</f>
        <v>トランスフォーミング成長因子ベータ測定</v>
      </c>
    </row>
    <row r="4598" ht="13.5" customHeight="1">
      <c r="A4598" s="1" t="s">
        <v>134</v>
      </c>
      <c r="B4598" s="1" t="s">
        <v>22931</v>
      </c>
      <c r="C4598" s="1" t="s">
        <v>22932</v>
      </c>
      <c r="D4598" s="1" t="s">
        <v>22933</v>
      </c>
      <c r="E4598" s="1" t="s">
        <v>22933</v>
      </c>
      <c r="F4598" s="1" t="s">
        <v>22934</v>
      </c>
      <c r="G4598" s="1" t="s">
        <v>22935</v>
      </c>
      <c r="H4598" s="1" t="str">
        <f>IFERROR(__xludf.DUMMYFUNCTION("GOOGLETRANSLATE(D4598,""EN"",""JA"")"),"トランスフォーミング成長因子ベータ1")</f>
        <v>トランスフォーミング成長因子ベータ1</v>
      </c>
      <c r="I4598" s="1" t="str">
        <f>IFERROR(__xludf.DUMMYFUNCTION("GOOGLETRANSLATE(E4598,""EN"",""JA"")"),"トランスフォーミング成長因子ベータ1")</f>
        <v>トランスフォーミング成長因子ベータ1</v>
      </c>
      <c r="J4598" s="1" t="str">
        <f>IFERROR(__xludf.DUMMYFUNCTION("GOOGLETRANSLATE(F4598,""EN"",""JA"")"),"生物標本中のトランスフォーミング成長因子ベータ 1 の測定。")</f>
        <v>生物標本中のトランスフォーミング成長因子ベータ 1 の測定。</v>
      </c>
      <c r="K4598" s="1" t="str">
        <f>IFERROR(__xludf.DUMMYFUNCTION("GOOGLETRANSLATE(G4598,""EN"",""JA"")"),"トランスフォーミング成長因子ベータ1測定")</f>
        <v>トランスフォーミング成長因子ベータ1測定</v>
      </c>
    </row>
    <row r="4599" ht="13.5" customHeight="1">
      <c r="A4599" s="1" t="s">
        <v>11</v>
      </c>
      <c r="B4599" s="1" t="s">
        <v>22931</v>
      </c>
      <c r="C4599" s="1" t="s">
        <v>22932</v>
      </c>
      <c r="D4599" s="1" t="s">
        <v>22933</v>
      </c>
      <c r="E4599" s="1" t="s">
        <v>22933</v>
      </c>
      <c r="F4599" s="1" t="s">
        <v>22934</v>
      </c>
      <c r="G4599" s="1" t="s">
        <v>22935</v>
      </c>
      <c r="H4599" s="1" t="str">
        <f>IFERROR(__xludf.DUMMYFUNCTION("GOOGLETRANSLATE(D4599,""EN"",""JA"")"),"トランスフォーミング成長因子ベータ1")</f>
        <v>トランスフォーミング成長因子ベータ1</v>
      </c>
      <c r="I4599" s="1" t="str">
        <f>IFERROR(__xludf.DUMMYFUNCTION("GOOGLETRANSLATE(E4599,""EN"",""JA"")"),"トランスフォーミング成長因子ベータ1")</f>
        <v>トランスフォーミング成長因子ベータ1</v>
      </c>
      <c r="J4599" s="1" t="str">
        <f>IFERROR(__xludf.DUMMYFUNCTION("GOOGLETRANSLATE(F4599,""EN"",""JA"")"),"生物標本中のトランスフォーミング成長因子ベータ 1 の測定。")</f>
        <v>生物標本中のトランスフォーミング成長因子ベータ 1 の測定。</v>
      </c>
      <c r="K4599" s="1" t="str">
        <f>IFERROR(__xludf.DUMMYFUNCTION("GOOGLETRANSLATE(G4599,""EN"",""JA"")"),"トランスフォーミング成長因子ベータ1測定")</f>
        <v>トランスフォーミング成長因子ベータ1測定</v>
      </c>
    </row>
    <row r="4600" ht="13.5" customHeight="1">
      <c r="A4600" s="1" t="s">
        <v>11</v>
      </c>
      <c r="B4600" s="1" t="s">
        <v>22936</v>
      </c>
      <c r="C4600" s="1" t="s">
        <v>22937</v>
      </c>
      <c r="D4600" s="1" t="s">
        <v>22938</v>
      </c>
      <c r="E4600" s="1" t="s">
        <v>22939</v>
      </c>
      <c r="F4600" s="1" t="s">
        <v>22940</v>
      </c>
      <c r="G4600" s="1" t="s">
        <v>22941</v>
      </c>
      <c r="H4600" s="1" t="str">
        <f>IFERROR(__xludf.DUMMYFUNCTION("GOOGLETRANSLATE(D4600,""EN"",""JA"")"),"トランスフォーミング成長因子ベータ2")</f>
        <v>トランスフォーミング成長因子ベータ2</v>
      </c>
      <c r="I4600" s="1" t="str">
        <f>IFERROR(__xludf.DUMMYFUNCTION("GOOGLETRANSLATE(E4600,""EN"",""JA"")"),"G-TSF; LDS4; TGF-beta2; 形質転換成長因子ベータ2")</f>
        <v>G-TSF; LDS4; TGF-beta2; 形質転換成長因子ベータ2</v>
      </c>
      <c r="J4600" s="1" t="str">
        <f>IFERROR(__xludf.DUMMYFUNCTION("GOOGLETRANSLATE(F4600,""EN"",""JA"")"),"生物標本中のトランスフォーミング成長因子ベータ 2 の測定。")</f>
        <v>生物標本中のトランスフォーミング成長因子ベータ 2 の測定。</v>
      </c>
      <c r="K4600" s="1" t="str">
        <f>IFERROR(__xludf.DUMMYFUNCTION("GOOGLETRANSLATE(G4600,""EN"",""JA"")"),"トランスフォーミング成長因子ベータ2測定")</f>
        <v>トランスフォーミング成長因子ベータ2測定</v>
      </c>
    </row>
    <row r="4601" ht="13.5" customHeight="1">
      <c r="A4601" s="1" t="s">
        <v>11</v>
      </c>
      <c r="B4601" s="1" t="s">
        <v>22942</v>
      </c>
      <c r="C4601" s="1" t="s">
        <v>22943</v>
      </c>
      <c r="D4601" s="1" t="s">
        <v>22944</v>
      </c>
      <c r="E4601" s="1" t="s">
        <v>22945</v>
      </c>
      <c r="F4601" s="1" t="s">
        <v>22946</v>
      </c>
      <c r="G4601" s="1" t="s">
        <v>22947</v>
      </c>
      <c r="H4601" s="1" t="str">
        <f>IFERROR(__xludf.DUMMYFUNCTION("GOOGLETRANSLATE(D4601,""EN"",""JA"")"),"トランスフォーミング成長因子ベータ3")</f>
        <v>トランスフォーミング成長因子ベータ3</v>
      </c>
      <c r="I4601" s="1" t="str">
        <f>IFERROR(__xludf.DUMMYFUNCTION("GOOGLETRANSLATE(E4601,""EN"",""JA"")"),"ARVD; ARVD1; LDS5; RNHF; TGF-beta3; 形質転換成長因子ベータ3")</f>
        <v>ARVD; ARVD1; LDS5; RNHF; TGF-beta3; 形質転換成長因子ベータ3</v>
      </c>
      <c r="J4601" s="1" t="str">
        <f>IFERROR(__xludf.DUMMYFUNCTION("GOOGLETRANSLATE(F4601,""EN"",""JA"")"),"生物標本中のトランスフォーミング成長因子ベータ 3 の測定。")</f>
        <v>生物標本中のトランスフォーミング成長因子ベータ 3 の測定。</v>
      </c>
      <c r="K4601" s="1" t="str">
        <f>IFERROR(__xludf.DUMMYFUNCTION("GOOGLETRANSLATE(G4601,""EN"",""JA"")"),"トランスフォーミング成長因子ベータ3測定")</f>
        <v>トランスフォーミング成長因子ベータ3測定</v>
      </c>
    </row>
    <row r="4602" ht="13.5" customHeight="1">
      <c r="A4602" s="1" t="s">
        <v>11</v>
      </c>
      <c r="B4602" s="1" t="s">
        <v>22948</v>
      </c>
      <c r="C4602" s="1" t="s">
        <v>22949</v>
      </c>
      <c r="D4602" s="1" t="s">
        <v>22950</v>
      </c>
      <c r="E4602" s="1" t="s">
        <v>22951</v>
      </c>
      <c r="F4602" s="1" t="s">
        <v>22952</v>
      </c>
      <c r="G4602" s="1" t="s">
        <v>22953</v>
      </c>
      <c r="H4602" s="1" t="str">
        <f>IFERROR(__xludf.DUMMYFUNCTION("GOOGLETRANSLATE(D4602,""EN"",""JA"")"),"チログロブリン")</f>
        <v>チログロブリン</v>
      </c>
      <c r="I4602" s="1" t="str">
        <f>IFERROR(__xludf.DUMMYFUNCTION("GOOGLETRANSLATE(E4602,""EN"",""JA"")"),"TG; チログロブリン")</f>
        <v>TG; チログロブリン</v>
      </c>
      <c r="J4602" s="1" t="str">
        <f>IFERROR(__xludf.DUMMYFUNCTION("GOOGLETRANSLATE(F4602,""EN"",""JA"")"),"生物標本中の甲状腺グロブリンの測定。")</f>
        <v>生物標本中の甲状腺グロブリンの測定。</v>
      </c>
      <c r="K4602" s="1" t="str">
        <f>IFERROR(__xludf.DUMMYFUNCTION("GOOGLETRANSLATE(G4602,""EN"",""JA"")"),"甲状腺グロブリン測定")</f>
        <v>甲状腺グロブリン測定</v>
      </c>
    </row>
    <row r="4603" ht="13.5" customHeight="1">
      <c r="A4603" s="1" t="s">
        <v>11</v>
      </c>
      <c r="B4603" s="1" t="s">
        <v>22954</v>
      </c>
      <c r="C4603" s="1" t="s">
        <v>22955</v>
      </c>
      <c r="D4603" s="1" t="s">
        <v>22956</v>
      </c>
      <c r="E4603" s="1" t="s">
        <v>22956</v>
      </c>
      <c r="F4603" s="1" t="s">
        <v>22957</v>
      </c>
      <c r="G4603" s="1" t="s">
        <v>22956</v>
      </c>
      <c r="H4603" s="1" t="str">
        <f>IFERROR(__xludf.DUMMYFUNCTION("GOOGLETRANSLATE(D4603,""EN"",""JA"")"),"甲状腺グロブリン回収率")</f>
        <v>甲状腺グロブリン回収率</v>
      </c>
      <c r="I4603" s="1" t="str">
        <f>IFERROR(__xludf.DUMMYFUNCTION("GOOGLETRANSLATE(E4603,""EN"",""JA"")"),"甲状腺グロブリン回収率")</f>
        <v>甲状腺グロブリン回収率</v>
      </c>
      <c r="J4603" s="1" t="str">
        <f>IFERROR(__xludf.DUMMYFUNCTION("GOOGLETRANSLATE(F4603,""EN"",""JA"")"),"既知量のチログロブリンを生物標本に添加する前と添加した後のチログロブリン濃度を測定することにより得られる、生物標本中のチログロブリンの回収率の測定値。")</f>
        <v>既知量のチログロブリンを生物標本に添加する前と添加した後のチログロブリン濃度を測定することにより得られる、生物標本中のチログロブリンの回収率の測定値。</v>
      </c>
      <c r="K4603" s="1" t="str">
        <f>IFERROR(__xludf.DUMMYFUNCTION("GOOGLETRANSLATE(G4603,""EN"",""JA"")"),"甲状腺グロブリン回収率")</f>
        <v>甲状腺グロブリン回収率</v>
      </c>
    </row>
    <row r="4604" ht="13.5" customHeight="1">
      <c r="A4604" s="1" t="s">
        <v>67</v>
      </c>
      <c r="B4604" s="1" t="s">
        <v>22958</v>
      </c>
      <c r="C4604" s="1" t="s">
        <v>22959</v>
      </c>
      <c r="D4604" s="1" t="s">
        <v>22960</v>
      </c>
      <c r="E4604" s="1" t="s">
        <v>22960</v>
      </c>
      <c r="F4604" s="1" t="s">
        <v>22961</v>
      </c>
      <c r="G4604" s="1" t="s">
        <v>22962</v>
      </c>
      <c r="H4604" s="1" t="str">
        <f>IFERROR(__xludf.DUMMYFUNCTION("GOOGLETRANSLATE(D4604,""EN"",""JA"")"),"トキソプラズマ・ゴンディDNA")</f>
        <v>トキソプラズマ・ゴンディDNA</v>
      </c>
      <c r="I4604" s="1" t="str">
        <f>IFERROR(__xludf.DUMMYFUNCTION("GOOGLETRANSLATE(E4604,""EN"",""JA"")"),"トキソプラズマ・ゴンディDNA")</f>
        <v>トキソプラズマ・ゴンディDNA</v>
      </c>
      <c r="J4604" s="1" t="str">
        <f>IFERROR(__xludf.DUMMYFUNCTION("GOOGLETRANSLATE(F4604,""EN"",""JA"")"),"生物標本中のトキソプラズマ原虫 DNA の測定。")</f>
        <v>生物標本中のトキソプラズマ原虫 DNA の測定。</v>
      </c>
      <c r="K4604" s="1" t="str">
        <f>IFERROR(__xludf.DUMMYFUNCTION("GOOGLETRANSLATE(G4604,""EN"",""JA"")"),"トキソプラズマ・ゴンディDNA測定")</f>
        <v>トキソプラズマ・ゴンディDNA測定</v>
      </c>
    </row>
    <row r="4605" ht="13.5" customHeight="1">
      <c r="A4605" s="1" t="s">
        <v>580</v>
      </c>
      <c r="B4605" s="1" t="s">
        <v>22963</v>
      </c>
      <c r="C4605" s="1" t="s">
        <v>22964</v>
      </c>
      <c r="D4605" s="1" t="s">
        <v>22965</v>
      </c>
      <c r="E4605" s="1" t="s">
        <v>22965</v>
      </c>
      <c r="F4605" s="1" t="s">
        <v>22966</v>
      </c>
      <c r="G4605" s="1" t="s">
        <v>22965</v>
      </c>
      <c r="H4605" s="1" t="str">
        <f>IFERROR(__xludf.DUMMYFUNCTION("GOOGLETRANSLATE(D4605,""EN"",""JA"")"),"胸郭ガス量")</f>
        <v>胸郭ガス量</v>
      </c>
      <c r="I4605" s="1" t="str">
        <f>IFERROR(__xludf.DUMMYFUNCTION("GOOGLETRANSLATE(E4605,""EN"",""JA"")"),"胸郭ガス量")</f>
        <v>胸郭ガス量</v>
      </c>
      <c r="J4605" s="1" t="str">
        <f>IFERROR(__xludf.DUMMYFUNCTION("GOOGLETRANSLATE(F4605,""EN"",""JA"")"),"任意の時点および任意の肺胞圧レベルで胸腔内に含まれる空気の絶対量。")</f>
        <v>任意の時点および任意の肺胞圧レベルで胸腔内に含まれる空気の絶対量。</v>
      </c>
      <c r="K4605" s="1" t="str">
        <f>IFERROR(__xludf.DUMMYFUNCTION("GOOGLETRANSLATE(G4605,""EN"",""JA"")"),"胸郭ガス量")</f>
        <v>胸郭ガス量</v>
      </c>
    </row>
    <row r="4606" ht="13.5" customHeight="1">
      <c r="A4606" s="1" t="s">
        <v>11</v>
      </c>
      <c r="B4606" s="1" t="s">
        <v>22967</v>
      </c>
      <c r="C4606" s="1" t="s">
        <v>22968</v>
      </c>
      <c r="D4606" s="1" t="s">
        <v>22969</v>
      </c>
      <c r="E4606" s="1" t="s">
        <v>22970</v>
      </c>
      <c r="F4606" s="1" t="s">
        <v>22971</v>
      </c>
      <c r="G4606" s="1" t="s">
        <v>22972</v>
      </c>
      <c r="H4606" s="1" t="str">
        <f>IFERROR(__xludf.DUMMYFUNCTION("GOOGLETRANSLATE(D4606,""EN"",""JA"")"),"トロンボモジュリン")</f>
        <v>トロンボモジュリン</v>
      </c>
      <c r="I4606" s="1" t="str">
        <f>IFERROR(__xludf.DUMMYFUNCTION("GOOGLETRANSLATE(E4606,""EN"",""JA"")"),"BDCA3; トロンボモジュリン")</f>
        <v>BDCA3; トロンボモジュリン</v>
      </c>
      <c r="J4606" s="1" t="str">
        <f>IFERROR(__xludf.DUMMYFUNCTION("GOOGLETRANSLATE(F4606,""EN"",""JA"")"),"生物標本中のトロンボモジュリンの測定。")</f>
        <v>生物標本中のトロンボモジュリンの測定。</v>
      </c>
      <c r="K4606" s="1" t="str">
        <f>IFERROR(__xludf.DUMMYFUNCTION("GOOGLETRANSLATE(G4606,""EN"",""JA"")"),"トロンボモジュリン測定")</f>
        <v>トロンボモジュリン測定</v>
      </c>
    </row>
    <row r="4607" ht="13.5" customHeight="1">
      <c r="A4607" s="1" t="s">
        <v>11</v>
      </c>
      <c r="B4607" s="1" t="s">
        <v>22973</v>
      </c>
      <c r="C4607" s="1" t="s">
        <v>22974</v>
      </c>
      <c r="D4607" s="1" t="s">
        <v>22975</v>
      </c>
      <c r="E4607" s="1" t="s">
        <v>22976</v>
      </c>
      <c r="F4607" s="1" t="s">
        <v>22977</v>
      </c>
      <c r="G4607" s="1" t="s">
        <v>22978</v>
      </c>
      <c r="H4607" s="1" t="str">
        <f>IFERROR(__xludf.DUMMYFUNCTION("GOOGLETRANSLATE(D4607,""EN"",""JA"")"),"テトラヒドロカンナビノール")</f>
        <v>テトラヒドロカンナビノール</v>
      </c>
      <c r="I4607" s="1" t="str">
        <f>IFERROR(__xludf.DUMMYFUNCTION("GOOGLETRANSLATE(E4607,""EN"",""JA"")"),"デルタ-9-テトラヒドロカンナビノール; テトラヒドロカンナビノール; THC")</f>
        <v>デルタ-9-テトラヒドロカンナビノール; テトラヒドロカンナビノール; THC</v>
      </c>
      <c r="J4607" s="1" t="str">
        <f>IFERROR(__xludf.DUMMYFUNCTION("GOOGLETRANSLATE(F4607,""EN"",""JA"")"),"生物標本中のテトラヒドロカンナビノールの測定。")</f>
        <v>生物標本中のテトラヒドロカンナビノールの測定。</v>
      </c>
      <c r="K4607" s="1" t="str">
        <f>IFERROR(__xludf.DUMMYFUNCTION("GOOGLETRANSLATE(G4607,""EN"",""JA"")"),"テトラヒドロカンナビノール測定")</f>
        <v>テトラヒドロカンナビノール測定</v>
      </c>
    </row>
    <row r="4608" ht="13.5" customHeight="1">
      <c r="A4608" s="1" t="s">
        <v>11</v>
      </c>
      <c r="B4608" s="1" t="s">
        <v>22979</v>
      </c>
      <c r="C4608" s="1" t="s">
        <v>22980</v>
      </c>
      <c r="D4608" s="1" t="s">
        <v>22981</v>
      </c>
      <c r="E4608" s="1" t="s">
        <v>22982</v>
      </c>
      <c r="F4608" s="1" t="s">
        <v>22983</v>
      </c>
      <c r="G4608" s="1" t="s">
        <v>22984</v>
      </c>
      <c r="H4608" s="1" t="str">
        <f>IFERROR(__xludf.DUMMYFUNCTION("GOOGLETRANSLATE(D4608,""EN"",""JA"")"),"11-ノル-デルタ9-THC-9-カルボン酸")</f>
        <v>11-ノル-デルタ9-THC-9-カルボン酸</v>
      </c>
      <c r="I4608" s="1" t="str">
        <f>IFERROR(__xludf.DUMMYFUNCTION("GOOGLETRANSLATE(E4608,""EN"",""JA"")"),"11-ノル-デルタ9-THC-9-カルボン酸; THC-COOH")</f>
        <v>11-ノル-デルタ9-THC-9-カルボン酸; THC-COOH</v>
      </c>
      <c r="J4608" s="1" t="str">
        <f>IFERROR(__xludf.DUMMYFUNCTION("GOOGLETRANSLATE(F4608,""EN"",""JA"")"),"生物学的標本中に存在する 11-ノル-デルタ-9-テトラヒドロカンナビノール-9-カルボン酸の測定。")</f>
        <v>生物学的標本中に存在する 11-ノル-デルタ-9-テトラヒドロカンナビノール-9-カルボン酸の測定。</v>
      </c>
      <c r="K4608" s="1" t="str">
        <f>IFERROR(__xludf.DUMMYFUNCTION("GOOGLETRANSLATE(G4608,""EN"",""JA"")"),"11-ノル-デルタ9-THC-9-カルボン酸測定")</f>
        <v>11-ノル-デルタ9-THC-9-カルボン酸測定</v>
      </c>
    </row>
    <row r="4609" ht="13.5" customHeight="1">
      <c r="A4609" s="1" t="s">
        <v>90</v>
      </c>
      <c r="B4609" s="1" t="s">
        <v>22985</v>
      </c>
      <c r="C4609" s="1" t="s">
        <v>22986</v>
      </c>
      <c r="D4609" s="1" t="s">
        <v>22987</v>
      </c>
      <c r="E4609" s="1" t="s">
        <v>22988</v>
      </c>
      <c r="F4609" s="1" t="s">
        <v>22989</v>
      </c>
      <c r="G4609" s="1" t="s">
        <v>22990</v>
      </c>
      <c r="H4609" s="1" t="str">
        <f>IFERROR(__xludf.DUMMYFUNCTION("GOOGLETRANSLATE(D4609,""EN"",""JA"")"),"断面厚さ、EVD")</f>
        <v>断面厚さ、EVD</v>
      </c>
      <c r="I4609" s="1" t="str">
        <f>IFERROR(__xludf.DUMMYFUNCTION("GOOGLETRANSLATE(E4609,""EN"",""JA"")"),"断面厚さ、EVD; 断面厚さ、心室拡張末期")</f>
        <v>断面厚さ、EVD; 断面厚さ、心室拡張末期</v>
      </c>
      <c r="J4609" s="1" t="str">
        <f>IFERROR(__xludf.DUMMYFUNCTION("GOOGLETRANSLATE(F4609,""EN"",""JA"")"),"心室拡張期末期に測定された心血管構造の断面の厚さ。")</f>
        <v>心室拡張期末期に測定された心血管構造の断面の厚さ。</v>
      </c>
      <c r="K4609" s="1" t="str">
        <f>IFERROR(__xludf.DUMMYFUNCTION("GOOGLETRANSLATE(G4609,""EN"",""JA"")"),"心室拡張期末における断面厚さ")</f>
        <v>心室拡張期末における断面厚さ</v>
      </c>
    </row>
    <row r="4610" ht="13.5" customHeight="1">
      <c r="A4610" s="1" t="s">
        <v>90</v>
      </c>
      <c r="B4610" s="1" t="s">
        <v>22991</v>
      </c>
      <c r="C4610" s="1" t="s">
        <v>22992</v>
      </c>
      <c r="D4610" s="1" t="s">
        <v>22993</v>
      </c>
      <c r="E4610" s="1" t="s">
        <v>22994</v>
      </c>
      <c r="F4610" s="1" t="s">
        <v>22995</v>
      </c>
      <c r="G4610" s="1" t="s">
        <v>22996</v>
      </c>
      <c r="H4610" s="1" t="str">
        <f>IFERROR(__xludf.DUMMYFUNCTION("GOOGLETRANSLATE(D4610,""EN"",""JA"")"),"断面厚さ、EVS")</f>
        <v>断面厚さ、EVS</v>
      </c>
      <c r="I4610" s="1" t="str">
        <f>IFERROR(__xludf.DUMMYFUNCTION("GOOGLETRANSLATE(E4610,""EN"",""JA"")"),"断面厚さ、EVS; 断面厚さ、心室収縮終期")</f>
        <v>断面厚さ、EVS; 断面厚さ、心室収縮終期</v>
      </c>
      <c r="J4610" s="1" t="str">
        <f>IFERROR(__xludf.DUMMYFUNCTION("GOOGLETRANSLATE(F4610,""EN"",""JA"")"),"心室収縮末期に測定された心血管構造の断面の厚さ。")</f>
        <v>心室収縮末期に測定された心血管構造の断面の厚さ。</v>
      </c>
      <c r="K4610" s="1" t="str">
        <f>IFERROR(__xludf.DUMMYFUNCTION("GOOGLETRANSLATE(G4610,""EN"",""JA"")"),"心室収縮終期における断面厚さ")</f>
        <v>心室収縮終期における断面厚さ</v>
      </c>
    </row>
    <row r="4611" ht="13.5" customHeight="1">
      <c r="A4611" s="1" t="s">
        <v>11</v>
      </c>
      <c r="B4611" s="1" t="s">
        <v>22997</v>
      </c>
      <c r="C4611" s="1" t="s">
        <v>22998</v>
      </c>
      <c r="D4611" s="1" t="s">
        <v>22999</v>
      </c>
      <c r="E4611" s="1" t="s">
        <v>22999</v>
      </c>
      <c r="F4611" s="1" t="s">
        <v>23000</v>
      </c>
      <c r="G4611" s="1" t="s">
        <v>23001</v>
      </c>
      <c r="H4611" s="1" t="str">
        <f>IFERROR(__xludf.DUMMYFUNCTION("GOOGLETRANSLATE(D4611,""EN"",""JA"")"),"5-アルファテトラヒドロコルチゾール")</f>
        <v>5-アルファテトラヒドロコルチゾール</v>
      </c>
      <c r="I4611" s="1" t="str">
        <f>IFERROR(__xludf.DUMMYFUNCTION("GOOGLETRANSLATE(E4611,""EN"",""JA"")"),"5-アルファテトラヒドロコルチゾール")</f>
        <v>5-アルファテトラヒドロコルチゾール</v>
      </c>
      <c r="J4611" s="1" t="str">
        <f>IFERROR(__xludf.DUMMYFUNCTION("GOOGLETRANSLATE(F4611,""EN"",""JA"")"),"生物標本中の 5-α-テトラヒドロコルチゾールの測定。")</f>
        <v>生物標本中の 5-α-テトラヒドロコルチゾールの測定。</v>
      </c>
      <c r="K4611" s="1" t="str">
        <f>IFERROR(__xludf.DUMMYFUNCTION("GOOGLETRANSLATE(G4611,""EN"",""JA"")"),"5-α-テトラヒドロコルチゾール測定")</f>
        <v>5-α-テトラヒドロコルチゾール測定</v>
      </c>
    </row>
    <row r="4612" ht="13.5" customHeight="1">
      <c r="A4612" s="1" t="s">
        <v>11</v>
      </c>
      <c r="B4612" s="1" t="s">
        <v>23002</v>
      </c>
      <c r="C4612" s="1" t="s">
        <v>23003</v>
      </c>
      <c r="D4612" s="1" t="s">
        <v>23004</v>
      </c>
      <c r="E4612" s="1" t="s">
        <v>23004</v>
      </c>
      <c r="F4612" s="1" t="s">
        <v>23005</v>
      </c>
      <c r="G4612" s="1" t="s">
        <v>23006</v>
      </c>
      <c r="H4612" s="1" t="str">
        <f>IFERROR(__xludf.DUMMYFUNCTION("GOOGLETRANSLATE(D4612,""EN"",""JA"")"),"テバイン")</f>
        <v>テバイン</v>
      </c>
      <c r="I4612" s="1" t="str">
        <f>IFERROR(__xludf.DUMMYFUNCTION("GOOGLETRANSLATE(E4612,""EN"",""JA"")"),"テバイン")</f>
        <v>テバイン</v>
      </c>
      <c r="J4612" s="1" t="str">
        <f>IFERROR(__xludf.DUMMYFUNCTION("GOOGLETRANSLATE(F4612,""EN"",""JA"")"),"生物標本中のテバインの測定。")</f>
        <v>生物標本中のテバインの測定。</v>
      </c>
      <c r="K4612" s="1" t="str">
        <f>IFERROR(__xludf.DUMMYFUNCTION("GOOGLETRANSLATE(G4612,""EN"",""JA"")"),"テバインの測定")</f>
        <v>テバインの測定</v>
      </c>
    </row>
    <row r="4613" ht="13.5" customHeight="1">
      <c r="A4613" s="1" t="s">
        <v>11</v>
      </c>
      <c r="B4613" s="1" t="s">
        <v>23007</v>
      </c>
      <c r="C4613" s="1" t="s">
        <v>23008</v>
      </c>
      <c r="D4613" s="1" t="s">
        <v>23009</v>
      </c>
      <c r="E4613" s="1" t="s">
        <v>23009</v>
      </c>
      <c r="F4613" s="1" t="s">
        <v>23010</v>
      </c>
      <c r="G4613" s="1" t="s">
        <v>23011</v>
      </c>
      <c r="H4613" s="1" t="str">
        <f>IFERROR(__xludf.DUMMYFUNCTION("GOOGLETRANSLATE(D4613,""EN"",""JA"")"),"テオフィリン")</f>
        <v>テオフィリン</v>
      </c>
      <c r="I4613" s="1" t="str">
        <f>IFERROR(__xludf.DUMMYFUNCTION("GOOGLETRANSLATE(E4613,""EN"",""JA"")"),"テオフィリン")</f>
        <v>テオフィリン</v>
      </c>
      <c r="J4613" s="1" t="str">
        <f>IFERROR(__xludf.DUMMYFUNCTION("GOOGLETRANSLATE(F4613,""EN"",""JA"")"),"生物標本中に存在するテオフィリンの測定。")</f>
        <v>生物標本中に存在するテオフィリンの測定。</v>
      </c>
      <c r="K4613" s="1" t="str">
        <f>IFERROR(__xludf.DUMMYFUNCTION("GOOGLETRANSLATE(G4613,""EN"",""JA"")"),"テオフィリン測定")</f>
        <v>テオフィリン測定</v>
      </c>
    </row>
    <row r="4614" ht="13.5" customHeight="1">
      <c r="A4614" s="1" t="s">
        <v>397</v>
      </c>
      <c r="B4614" s="1" t="s">
        <v>23012</v>
      </c>
      <c r="C4614" s="1" t="s">
        <v>23013</v>
      </c>
      <c r="D4614" s="1" t="s">
        <v>23014</v>
      </c>
      <c r="E4614" s="1" t="s">
        <v>23014</v>
      </c>
      <c r="F4614" s="1" t="s">
        <v>23015</v>
      </c>
      <c r="G4614" s="1" t="s">
        <v>23014</v>
      </c>
      <c r="H4614" s="1" t="str">
        <f>IFERROR(__xludf.DUMMYFUNCTION("GOOGLETRANSLATE(D4614,""EN"",""JA"")"),"治療領域")</f>
        <v>治療領域</v>
      </c>
      <c r="I4614" s="1" t="str">
        <f>IFERROR(__xludf.DUMMYFUNCTION("GOOGLETRANSLATE(E4614,""EN"",""JA"")"),"治療領域")</f>
        <v>治療領域</v>
      </c>
      <c r="J4614" s="1" t="str">
        <f>IFERROR(__xludf.DUMMYFUNCTION("GOOGLETRANSLATE(F4614,""EN"",""JA"")"),"共通の特徴に基づいて病気、障害、またはその他の状態を分類したもので、治療と予防を目的とした特定の治療介入の研究開発に重点を置いた医学の専門分野と関連付けられることが多い。")</f>
        <v>共通の特徴に基づいて病気、障害、またはその他の状態を分類したもので、治療と予防を目的とした特定の治療介入の研究開発に重点を置いた医学の専門分野と関連付けられることが多い。</v>
      </c>
      <c r="K4614" s="1" t="str">
        <f>IFERROR(__xludf.DUMMYFUNCTION("GOOGLETRANSLATE(G4614,""EN"",""JA"")"),"治療領域")</f>
        <v>治療領域</v>
      </c>
    </row>
    <row r="4615" ht="13.5" customHeight="1">
      <c r="A4615" s="1" t="s">
        <v>11</v>
      </c>
      <c r="B4615" s="1" t="s">
        <v>23016</v>
      </c>
      <c r="C4615" s="1" t="s">
        <v>23017</v>
      </c>
      <c r="D4615" s="1" t="s">
        <v>23018</v>
      </c>
      <c r="E4615" s="1" t="s">
        <v>23018</v>
      </c>
      <c r="F4615" s="1" t="s">
        <v>23019</v>
      </c>
      <c r="G4615" s="1" t="s">
        <v>23020</v>
      </c>
      <c r="H4615" s="1" t="str">
        <f>IFERROR(__xludf.DUMMYFUNCTION("GOOGLETRANSLATE(D4615,""EN"",""JA"")"),"テトラヒドロゲストリノン")</f>
        <v>テトラヒドロゲストリノン</v>
      </c>
      <c r="I4615" s="1" t="str">
        <f>IFERROR(__xludf.DUMMYFUNCTION("GOOGLETRANSLATE(E4615,""EN"",""JA"")"),"テトラヒドロゲストリノン")</f>
        <v>テトラヒドロゲストリノン</v>
      </c>
      <c r="J4615" s="1" t="str">
        <f>IFERROR(__xludf.DUMMYFUNCTION("GOOGLETRANSLATE(F4615,""EN"",""JA"")"),"生物標本中のテトラヒドロゲストリノンの測定。")</f>
        <v>生物標本中のテトラヒドロゲストリノンの測定。</v>
      </c>
      <c r="K4615" s="1" t="str">
        <f>IFERROR(__xludf.DUMMYFUNCTION("GOOGLETRANSLATE(G4615,""EN"",""JA"")"),"テトラヒドロゲストリノン測定")</f>
        <v>テトラヒドロゲストリノン測定</v>
      </c>
    </row>
    <row r="4616" ht="13.5" customHeight="1">
      <c r="A4616" s="1" t="s">
        <v>160</v>
      </c>
      <c r="B4616" s="1" t="s">
        <v>23021</v>
      </c>
      <c r="C4616" s="1" t="s">
        <v>23022</v>
      </c>
      <c r="D4616" s="1" t="s">
        <v>23023</v>
      </c>
      <c r="E4616" s="1" t="s">
        <v>23023</v>
      </c>
      <c r="F4616" s="1" t="s">
        <v>23024</v>
      </c>
      <c r="G4616" s="1" t="s">
        <v>23023</v>
      </c>
      <c r="H4616" s="1" t="str">
        <f>IFERROR(__xludf.DUMMYFUNCTION("GOOGLETRANSLATE(D4616,""EN"",""JA"")"),"厚さ")</f>
        <v>厚さ</v>
      </c>
      <c r="I4616" s="1" t="str">
        <f>IFERROR(__xludf.DUMMYFUNCTION("GOOGLETRANSLATE(E4616,""EN"",""JA"")"),"厚さ")</f>
        <v>厚さ</v>
      </c>
      <c r="J4616" s="1" t="str">
        <f>IFERROR(__xludf.DUMMYFUNCTION("GOOGLETRANSLATE(F4616,""EN"",""JA"")"),"物体の 2 つの表面間の寸法。通常は、幅や長さとは対照的に最小の寸法です。")</f>
        <v>物体の 2 つの表面間の寸法。通常は、幅や長さとは対照的に最小の寸法です。</v>
      </c>
      <c r="K4616" s="1" t="str">
        <f>IFERROR(__xludf.DUMMYFUNCTION("GOOGLETRANSLATE(G4616,""EN"",""JA"")"),"厚さ")</f>
        <v>厚さ</v>
      </c>
    </row>
    <row r="4617" ht="13.5" customHeight="1">
      <c r="A4617" s="1" t="s">
        <v>134</v>
      </c>
      <c r="B4617" s="1" t="s">
        <v>23021</v>
      </c>
      <c r="C4617" s="1" t="s">
        <v>23022</v>
      </c>
      <c r="D4617" s="1" t="s">
        <v>23023</v>
      </c>
      <c r="E4617" s="1" t="s">
        <v>23023</v>
      </c>
      <c r="F4617" s="1" t="s">
        <v>23024</v>
      </c>
      <c r="G4617" s="1" t="s">
        <v>23023</v>
      </c>
      <c r="H4617" s="1" t="str">
        <f>IFERROR(__xludf.DUMMYFUNCTION("GOOGLETRANSLATE(D4617,""EN"",""JA"")"),"厚さ")</f>
        <v>厚さ</v>
      </c>
      <c r="I4617" s="1" t="str">
        <f>IFERROR(__xludf.DUMMYFUNCTION("GOOGLETRANSLATE(E4617,""EN"",""JA"")"),"厚さ")</f>
        <v>厚さ</v>
      </c>
      <c r="J4617" s="1" t="str">
        <f>IFERROR(__xludf.DUMMYFUNCTION("GOOGLETRANSLATE(F4617,""EN"",""JA"")"),"物体の 2 つの表面間の寸法。通常は、幅や長さとは対照的に最小の寸法です。")</f>
        <v>物体の 2 つの表面間の寸法。通常は、幅や長さとは対照的に最小の寸法です。</v>
      </c>
      <c r="K4617" s="1" t="str">
        <f>IFERROR(__xludf.DUMMYFUNCTION("GOOGLETRANSLATE(G4617,""EN"",""JA"")"),"厚さ")</f>
        <v>厚さ</v>
      </c>
    </row>
    <row r="4618" ht="13.5" customHeight="1">
      <c r="A4618" s="1" t="s">
        <v>176</v>
      </c>
      <c r="B4618" s="1" t="s">
        <v>23021</v>
      </c>
      <c r="C4618" s="1" t="s">
        <v>23022</v>
      </c>
      <c r="D4618" s="1" t="s">
        <v>23023</v>
      </c>
      <c r="E4618" s="1" t="s">
        <v>23023</v>
      </c>
      <c r="F4618" s="1" t="s">
        <v>23024</v>
      </c>
      <c r="G4618" s="1" t="s">
        <v>23023</v>
      </c>
      <c r="H4618" s="1" t="str">
        <f>IFERROR(__xludf.DUMMYFUNCTION("GOOGLETRANSLATE(D4618,""EN"",""JA"")"),"厚さ")</f>
        <v>厚さ</v>
      </c>
      <c r="I4618" s="1" t="str">
        <f>IFERROR(__xludf.DUMMYFUNCTION("GOOGLETRANSLATE(E4618,""EN"",""JA"")"),"厚さ")</f>
        <v>厚さ</v>
      </c>
      <c r="J4618" s="1" t="str">
        <f>IFERROR(__xludf.DUMMYFUNCTION("GOOGLETRANSLATE(F4618,""EN"",""JA"")"),"物体の 2 つの表面間の寸法。通常は、幅や長さとは対照的に最小の寸法です。")</f>
        <v>物体の 2 つの表面間の寸法。通常は、幅や長さとは対照的に最小の寸法です。</v>
      </c>
      <c r="K4618" s="1" t="str">
        <f>IFERROR(__xludf.DUMMYFUNCTION("GOOGLETRANSLATE(G4618,""EN"",""JA"")"),"厚さ")</f>
        <v>厚さ</v>
      </c>
    </row>
    <row r="4619" ht="13.5" customHeight="1">
      <c r="A4619" s="1" t="s">
        <v>1997</v>
      </c>
      <c r="B4619" s="1" t="s">
        <v>23021</v>
      </c>
      <c r="C4619" s="1" t="s">
        <v>23022</v>
      </c>
      <c r="D4619" s="1" t="s">
        <v>23023</v>
      </c>
      <c r="E4619" s="1" t="s">
        <v>23023</v>
      </c>
      <c r="F4619" s="1" t="s">
        <v>23024</v>
      </c>
      <c r="G4619" s="1" t="s">
        <v>23023</v>
      </c>
      <c r="H4619" s="1" t="str">
        <f>IFERROR(__xludf.DUMMYFUNCTION("GOOGLETRANSLATE(D4619,""EN"",""JA"")"),"厚さ")</f>
        <v>厚さ</v>
      </c>
      <c r="I4619" s="1" t="str">
        <f>IFERROR(__xludf.DUMMYFUNCTION("GOOGLETRANSLATE(E4619,""EN"",""JA"")"),"厚さ")</f>
        <v>厚さ</v>
      </c>
      <c r="J4619" s="1" t="str">
        <f>IFERROR(__xludf.DUMMYFUNCTION("GOOGLETRANSLATE(F4619,""EN"",""JA"")"),"物体の 2 つの表面間の寸法。通常は、幅や長さとは対照的に最小の寸法です。")</f>
        <v>物体の 2 つの表面間の寸法。通常は、幅や長さとは対照的に最小の寸法です。</v>
      </c>
      <c r="K4619" s="1" t="str">
        <f>IFERROR(__xludf.DUMMYFUNCTION("GOOGLETRANSLATE(G4619,""EN"",""JA"")"),"厚さ")</f>
        <v>厚さ</v>
      </c>
    </row>
    <row r="4620" ht="13.5" customHeight="1">
      <c r="A4620" s="1" t="s">
        <v>1997</v>
      </c>
      <c r="B4620" s="1" t="s">
        <v>23025</v>
      </c>
      <c r="C4620" s="1" t="s">
        <v>23026</v>
      </c>
      <c r="D4620" s="1" t="s">
        <v>23027</v>
      </c>
      <c r="E4620" s="1" t="s">
        <v>23027</v>
      </c>
      <c r="F4620" s="1" t="s">
        <v>23028</v>
      </c>
      <c r="G4620" s="1" t="s">
        <v>23029</v>
      </c>
      <c r="H4620" s="1" t="str">
        <f>IFERROR(__xludf.DUMMYFUNCTION("GOOGLETRANSLATE(D4620,""EN"",""JA"")"),"厚さ、最大")</f>
        <v>厚さ、最大</v>
      </c>
      <c r="I4620" s="1" t="str">
        <f>IFERROR(__xludf.DUMMYFUNCTION("GOOGLETRANSLATE(E4620,""EN"",""JA"")"),"厚さ、最大")</f>
        <v>厚さ、最大</v>
      </c>
      <c r="J4620" s="1" t="str">
        <f>IFERROR(__xludf.DUMMYFUNCTION("GOOGLETRANSLATE(F4620,""EN"",""JA"")"),"オブジェクトの厚さを表す値のグループ内の最大数。")</f>
        <v>オブジェクトの厚さを表す値のグループ内の最大数。</v>
      </c>
      <c r="K4620" s="1" t="str">
        <f>IFERROR(__xludf.DUMMYFUNCTION("GOOGLETRANSLATE(G4620,""EN"",""JA"")"),"最大厚さ")</f>
        <v>最大厚さ</v>
      </c>
    </row>
    <row r="4621" ht="13.5" customHeight="1">
      <c r="A4621" s="1" t="s">
        <v>1997</v>
      </c>
      <c r="B4621" s="1" t="s">
        <v>23030</v>
      </c>
      <c r="C4621" s="1" t="s">
        <v>23031</v>
      </c>
      <c r="D4621" s="1" t="s">
        <v>23032</v>
      </c>
      <c r="E4621" s="1" t="s">
        <v>23032</v>
      </c>
      <c r="F4621" s="1" t="s">
        <v>23033</v>
      </c>
      <c r="G4621" s="1" t="s">
        <v>23034</v>
      </c>
      <c r="H4621" s="1" t="str">
        <f>IFERROR(__xludf.DUMMYFUNCTION("GOOGLETRANSLATE(D4621,""EN"",""JA"")"),"厚さ（最小）")</f>
        <v>厚さ（最小）</v>
      </c>
      <c r="I4621" s="1" t="str">
        <f>IFERROR(__xludf.DUMMYFUNCTION("GOOGLETRANSLATE(E4621,""EN"",""JA"")"),"厚さ（最小）")</f>
        <v>厚さ（最小）</v>
      </c>
      <c r="J4621" s="1" t="str">
        <f>IFERROR(__xludf.DUMMYFUNCTION("GOOGLETRANSLATE(F4621,""EN"",""JA"")"),"オブジェクトの厚さを表す値のグループ内の最小値。")</f>
        <v>オブジェクトの厚さを表す値のグループ内の最小値。</v>
      </c>
      <c r="K4621" s="1" t="str">
        <f>IFERROR(__xludf.DUMMYFUNCTION("GOOGLETRANSLATE(G4621,""EN"",""JA"")"),"最小厚さ")</f>
        <v>最小厚さ</v>
      </c>
    </row>
    <row r="4622" ht="13.5" customHeight="1">
      <c r="A4622" s="1" t="s">
        <v>1997</v>
      </c>
      <c r="B4622" s="1" t="s">
        <v>23035</v>
      </c>
      <c r="C4622" s="1" t="s">
        <v>23036</v>
      </c>
      <c r="D4622" s="1" t="s">
        <v>23037</v>
      </c>
      <c r="E4622" s="1" t="s">
        <v>23037</v>
      </c>
      <c r="F4622" s="1" t="s">
        <v>23038</v>
      </c>
      <c r="G4622" s="1" t="s">
        <v>23039</v>
      </c>
      <c r="H4622" s="1" t="str">
        <f>IFERROR(__xludf.DUMMYFUNCTION("GOOGLETRANSLATE(D4622,""EN"",""JA"")"),"厚さ、平均")</f>
        <v>厚さ、平均</v>
      </c>
      <c r="I4622" s="1" t="str">
        <f>IFERROR(__xludf.DUMMYFUNCTION("GOOGLETRANSLATE(E4622,""EN"",""JA"")"),"厚さ、平均")</f>
        <v>厚さ、平均</v>
      </c>
      <c r="J4622" s="1" t="str">
        <f>IFERROR(__xludf.DUMMYFUNCTION("GOOGLETRANSLATE(F4622,""EN"",""JA"")"),"物体の厚さを表す値のグループ内の平均数。")</f>
        <v>物体の厚さを表す値のグループ内の平均数。</v>
      </c>
      <c r="K4622" s="1" t="str">
        <f>IFERROR(__xludf.DUMMYFUNCTION("GOOGLETRANSLATE(G4622,""EN"",""JA"")"),"平均厚さ")</f>
        <v>平均厚さ</v>
      </c>
    </row>
    <row r="4623" ht="13.5" customHeight="1">
      <c r="A4623" s="1" t="s">
        <v>1997</v>
      </c>
      <c r="B4623" s="1" t="s">
        <v>23040</v>
      </c>
      <c r="C4623" s="1" t="s">
        <v>23041</v>
      </c>
      <c r="D4623" s="1" t="s">
        <v>23042</v>
      </c>
      <c r="E4623" s="1" t="s">
        <v>23042</v>
      </c>
      <c r="F4623" s="1" t="s">
        <v>23043</v>
      </c>
      <c r="G4623" s="1" t="s">
        <v>23044</v>
      </c>
      <c r="H4623" s="1" t="str">
        <f>IFERROR(__xludf.DUMMYFUNCTION("GOOGLETRANSLATE(D4623,""EN"",""JA"")"),"厚さ、標準偏差")</f>
        <v>厚さ、標準偏差</v>
      </c>
      <c r="I4623" s="1" t="str">
        <f>IFERROR(__xludf.DUMMYFUNCTION("GOOGLETRANSLATE(E4623,""EN"",""JA"")"),"厚さ、標準偏差")</f>
        <v>厚さ、標準偏差</v>
      </c>
      <c r="J4623" s="1" t="str">
        <f>IFERROR(__xludf.DUMMYFUNCTION("GOOGLETRANSLATE(F4623,""EN"",""JA"")"),"物体の厚さを表す値のグループ内の標準偏差。")</f>
        <v>物体の厚さを表す値のグループ内の標準偏差。</v>
      </c>
      <c r="K4623" s="1" t="str">
        <f>IFERROR(__xludf.DUMMYFUNCTION("GOOGLETRANSLATE(G4623,""EN"",""JA"")"),"厚さの標準偏差")</f>
        <v>厚さの標準偏差</v>
      </c>
    </row>
    <row r="4624" ht="13.5" customHeight="1">
      <c r="A4624" s="1" t="s">
        <v>11</v>
      </c>
      <c r="B4624" s="1" t="s">
        <v>23045</v>
      </c>
      <c r="C4624" s="1" t="s">
        <v>23046</v>
      </c>
      <c r="D4624" s="1" t="s">
        <v>23047</v>
      </c>
      <c r="E4624" s="1" t="s">
        <v>23047</v>
      </c>
      <c r="F4624" s="1" t="s">
        <v>23048</v>
      </c>
      <c r="G4624" s="1" t="s">
        <v>23049</v>
      </c>
      <c r="H4624" s="1" t="str">
        <f>IFERROR(__xludf.DUMMYFUNCTION("GOOGLETRANSLATE(D4624,""EN"",""JA"")"),"チオペンタール")</f>
        <v>チオペンタール</v>
      </c>
      <c r="I4624" s="1" t="str">
        <f>IFERROR(__xludf.DUMMYFUNCTION("GOOGLETRANSLATE(E4624,""EN"",""JA"")"),"チオペンタール")</f>
        <v>チオペンタール</v>
      </c>
      <c r="J4624" s="1" t="str">
        <f>IFERROR(__xludf.DUMMYFUNCTION("GOOGLETRANSLATE(F4624,""EN"",""JA"")"),"生物標本中のチオペンタールの測定。")</f>
        <v>生物標本中のチオペンタールの測定。</v>
      </c>
      <c r="K4624" s="1" t="str">
        <f>IFERROR(__xludf.DUMMYFUNCTION("GOOGLETRANSLATE(G4624,""EN"",""JA"")"),"チオペンタール測定")</f>
        <v>チオペンタール測定</v>
      </c>
    </row>
    <row r="4625" ht="13.5" customHeight="1">
      <c r="A4625" s="1" t="s">
        <v>11</v>
      </c>
      <c r="B4625" s="1" t="s">
        <v>23050</v>
      </c>
      <c r="C4625" s="1" t="s">
        <v>23051</v>
      </c>
      <c r="D4625" s="1" t="s">
        <v>23052</v>
      </c>
      <c r="E4625" s="1" t="s">
        <v>23052</v>
      </c>
      <c r="F4625" s="1" t="s">
        <v>23053</v>
      </c>
      <c r="G4625" s="1" t="s">
        <v>23054</v>
      </c>
      <c r="H4625" s="1" t="str">
        <f>IFERROR(__xludf.DUMMYFUNCTION("GOOGLETRANSLATE(D4625,""EN"",""JA"")"),"チオリダジン")</f>
        <v>チオリダジン</v>
      </c>
      <c r="I4625" s="1" t="str">
        <f>IFERROR(__xludf.DUMMYFUNCTION("GOOGLETRANSLATE(E4625,""EN"",""JA"")"),"チオリダジン")</f>
        <v>チオリダジン</v>
      </c>
      <c r="J4625" s="1" t="str">
        <f>IFERROR(__xludf.DUMMYFUNCTION("GOOGLETRANSLATE(F4625,""EN"",""JA"")"),"生物標本中のチオリダジンの測定。")</f>
        <v>生物標本中のチオリダジンの測定。</v>
      </c>
      <c r="K4625" s="1" t="str">
        <f>IFERROR(__xludf.DUMMYFUNCTION("GOOGLETRANSLATE(G4625,""EN"",""JA"")"),"チオリダジン測定")</f>
        <v>チオリダジン測定</v>
      </c>
    </row>
    <row r="4626" ht="13.5" customHeight="1">
      <c r="A4626" s="1" t="s">
        <v>11</v>
      </c>
      <c r="B4626" s="1" t="s">
        <v>23055</v>
      </c>
      <c r="C4626" s="1" t="s">
        <v>23056</v>
      </c>
      <c r="D4626" s="1" t="s">
        <v>23057</v>
      </c>
      <c r="E4626" s="1" t="s">
        <v>23057</v>
      </c>
      <c r="F4626" s="1" t="s">
        <v>23058</v>
      </c>
      <c r="G4626" s="1" t="s">
        <v>23059</v>
      </c>
      <c r="H4626" s="1" t="str">
        <f>IFERROR(__xludf.DUMMYFUNCTION("GOOGLETRANSLATE(D4626,""EN"",""JA"")"),"チオチキセン")</f>
        <v>チオチキセン</v>
      </c>
      <c r="I4626" s="1" t="str">
        <f>IFERROR(__xludf.DUMMYFUNCTION("GOOGLETRANSLATE(E4626,""EN"",""JA"")"),"チオチキセン")</f>
        <v>チオチキセン</v>
      </c>
      <c r="J4626" s="1" t="str">
        <f>IFERROR(__xludf.DUMMYFUNCTION("GOOGLETRANSLATE(F4626,""EN"",""JA"")"),"生物標本中のチオチキセンの測定。")</f>
        <v>生物標本中のチオチキセンの測定。</v>
      </c>
      <c r="K4626" s="1" t="str">
        <f>IFERROR(__xludf.DUMMYFUNCTION("GOOGLETRANSLATE(G4626,""EN"",""JA"")"),"チオチキセン測定")</f>
        <v>チオチキセン測定</v>
      </c>
    </row>
    <row r="4627" ht="13.5" customHeight="1">
      <c r="A4627" s="1" t="s">
        <v>160</v>
      </c>
      <c r="B4627" s="1" t="s">
        <v>23060</v>
      </c>
      <c r="C4627" s="1" t="s">
        <v>23061</v>
      </c>
      <c r="D4627" s="1" t="s">
        <v>23062</v>
      </c>
      <c r="E4627" s="1" t="s">
        <v>23062</v>
      </c>
      <c r="F4627" s="1" t="s">
        <v>23063</v>
      </c>
      <c r="G4627" s="1" t="s">
        <v>23062</v>
      </c>
      <c r="H4627" s="1" t="str">
        <f>IFERROR(__xludf.DUMMYFUNCTION("GOOGLETRANSLATE(D4627,""EN"",""JA"")"),"セラーシュ時代")</f>
        <v>セラーシュ時代</v>
      </c>
      <c r="I4627" s="1" t="str">
        <f>IFERROR(__xludf.DUMMYFUNCTION("GOOGLETRANSLATE(E4627,""EN"",""JA"")"),"セラーシュ時代")</f>
        <v>セラーシュ時代</v>
      </c>
      <c r="J4627" s="1" t="str">
        <f>IFERROR(__xludf.DUMMYFUNCTION("GOOGLETRANSLATE(F4627,""EN"",""JA"")"),"乳房の発達が始まる年齢。")</f>
        <v>乳房の発達が始まる年齢。</v>
      </c>
      <c r="K4627" s="1" t="str">
        <f>IFERROR(__xludf.DUMMYFUNCTION("GOOGLETRANSLATE(G4627,""EN"",""JA"")"),"セラーシュ時代")</f>
        <v>セラーシュ時代</v>
      </c>
    </row>
    <row r="4628" ht="13.5" customHeight="1">
      <c r="A4628" s="1" t="s">
        <v>11</v>
      </c>
      <c r="B4628" s="1" t="s">
        <v>23064</v>
      </c>
      <c r="C4628" s="1" t="s">
        <v>23065</v>
      </c>
      <c r="D4628" s="1" t="s">
        <v>23066</v>
      </c>
      <c r="E4628" s="1" t="s">
        <v>23067</v>
      </c>
      <c r="F4628" s="1" t="s">
        <v>23068</v>
      </c>
      <c r="G4628" s="1" t="s">
        <v>23069</v>
      </c>
      <c r="H4628" s="1" t="str">
        <f>IFERROR(__xludf.DUMMYFUNCTION("GOOGLETRANSLATE(D4628,""EN"",""JA"")"),"トロンビン活性実測値/対照値")</f>
        <v>トロンビン活性実測値/対照値</v>
      </c>
      <c r="I4628" s="1" t="str">
        <f>IFERROR(__xludf.DUMMYFUNCTION("GOOGLETRANSLATE(E4628,""EN"",""JA"")"),"トロンビン活性実測値/対照値; トロンビン活性実測値/正常値; トロンビン活性実測値/トロンビン活性対照値")</f>
        <v>トロンビン活性実測値/対照値; トロンビン活性実測値/正常値; トロンビン活性実測値/トロンビン活性対照値</v>
      </c>
      <c r="J4628" s="1" t="str">
        <f>IFERROR(__xludf.DUMMYFUNCTION("GOOGLETRANSLATE(F4628,""EN"",""JA"")"),"被験者の検体中のトロンビン依存性凝固の生物学的活性を、対照検体中の同じ活性と比較した相対的な測定値（比率またはパーセンテージ）。")</f>
        <v>被験者の検体中のトロンビン依存性凝固の生物学的活性を、対照検体中の同じ活性と比較した相対的な測定値（比率またはパーセンテージ）。</v>
      </c>
      <c r="K4628" s="1" t="str">
        <f>IFERROR(__xludf.DUMMYFUNCTION("GOOGLETRANSLATE(G4628,""EN"",""JA"")"),"トロンビン活性実測値と対照値比の測定")</f>
        <v>トロンビン活性実測値と対照値比の測定</v>
      </c>
    </row>
    <row r="4629" ht="13.5" customHeight="1">
      <c r="A4629" s="1" t="s">
        <v>11</v>
      </c>
      <c r="B4629" s="1" t="s">
        <v>23070</v>
      </c>
      <c r="C4629" s="1" t="s">
        <v>23071</v>
      </c>
      <c r="D4629" s="1" t="s">
        <v>23072</v>
      </c>
      <c r="E4629" s="1" t="s">
        <v>23072</v>
      </c>
      <c r="F4629" s="1" t="s">
        <v>23073</v>
      </c>
      <c r="G4629" s="1" t="s">
        <v>23074</v>
      </c>
      <c r="H4629" s="1" t="str">
        <f>IFERROR(__xludf.DUMMYFUNCTION("GOOGLETRANSLATE(D4629,""EN"",""JA"")"),"チアミラール")</f>
        <v>チアミラール</v>
      </c>
      <c r="I4629" s="1" t="str">
        <f>IFERROR(__xludf.DUMMYFUNCTION("GOOGLETRANSLATE(E4629,""EN"",""JA"")"),"チアミラール")</f>
        <v>チアミラール</v>
      </c>
      <c r="J4629" s="1" t="str">
        <f>IFERROR(__xludf.DUMMYFUNCTION("GOOGLETRANSLATE(F4629,""EN"",""JA"")"),"生物標本中のチアミラールの測定。")</f>
        <v>生物標本中のチアミラールの測定。</v>
      </c>
      <c r="K4629" s="1" t="str">
        <f>IFERROR(__xludf.DUMMYFUNCTION("GOOGLETRANSLATE(G4629,""EN"",""JA"")"),"チアミラール測定")</f>
        <v>チアミラール測定</v>
      </c>
    </row>
    <row r="4630" ht="13.5" customHeight="1">
      <c r="A4630" s="1" t="s">
        <v>11</v>
      </c>
      <c r="B4630" s="1" t="s">
        <v>23075</v>
      </c>
      <c r="C4630" s="1" t="s">
        <v>23076</v>
      </c>
      <c r="D4630" s="1" t="s">
        <v>23077</v>
      </c>
      <c r="E4630" s="1" t="s">
        <v>23077</v>
      </c>
      <c r="F4630" s="1" t="s">
        <v>23078</v>
      </c>
      <c r="G4630" s="1" t="s">
        <v>23079</v>
      </c>
      <c r="H4630" s="1" t="str">
        <f>IFERROR(__xludf.DUMMYFUNCTION("GOOGLETRANSLATE(D4630,""EN"",""JA"")"),"トレオニン")</f>
        <v>トレオニン</v>
      </c>
      <c r="I4630" s="1" t="str">
        <f>IFERROR(__xludf.DUMMYFUNCTION("GOOGLETRANSLATE(E4630,""EN"",""JA"")"),"トレオニン")</f>
        <v>トレオニン</v>
      </c>
      <c r="J4630" s="1" t="str">
        <f>IFERROR(__xludf.DUMMYFUNCTION("GOOGLETRANSLATE(F4630,""EN"",""JA"")"),"生物標本中のトレオニンの測定。")</f>
        <v>生物標本中のトレオニンの測定。</v>
      </c>
      <c r="K4630" s="1" t="str">
        <f>IFERROR(__xludf.DUMMYFUNCTION("GOOGLETRANSLATE(G4630,""EN"",""JA"")"),"トレオニン測定")</f>
        <v>トレオニン測定</v>
      </c>
    </row>
    <row r="4631" ht="13.5" customHeight="1">
      <c r="A4631" s="1" t="s">
        <v>11</v>
      </c>
      <c r="B4631" s="1" t="s">
        <v>23080</v>
      </c>
      <c r="C4631" s="1" t="s">
        <v>23081</v>
      </c>
      <c r="D4631" s="1" t="s">
        <v>23082</v>
      </c>
      <c r="E4631" s="1" t="s">
        <v>23082</v>
      </c>
      <c r="F4631" s="1" t="s">
        <v>23083</v>
      </c>
      <c r="G4631" s="1" t="s">
        <v>23084</v>
      </c>
      <c r="H4631" s="1" t="str">
        <f>IFERROR(__xludf.DUMMYFUNCTION("GOOGLETRANSLATE(D4631,""EN"",""JA"")"),"トレオニン/クレアチニン")</f>
        <v>トレオニン/クレアチニン</v>
      </c>
      <c r="I4631" s="1" t="str">
        <f>IFERROR(__xludf.DUMMYFUNCTION("GOOGLETRANSLATE(E4631,""EN"",""JA"")"),"トレオニン/クレアチニン")</f>
        <v>トレオニン/クレアチニン</v>
      </c>
      <c r="J4631" s="1" t="str">
        <f>IFERROR(__xludf.DUMMYFUNCTION("GOOGLETRANSLATE(F4631,""EN"",""JA"")"),"生物標本中のトレオニンとクレアチニンの相対的な測定値（比率）。")</f>
        <v>生物標本中のトレオニンとクレアチニンの相対的な測定値（比率）。</v>
      </c>
      <c r="K4631" s="1" t="str">
        <f>IFERROR(__xludf.DUMMYFUNCTION("GOOGLETRANSLATE(G4631,""EN"",""JA"")"),"トレオニン対クレアチニン比測定")</f>
        <v>トレオニン対クレアチニン比測定</v>
      </c>
    </row>
    <row r="4632" ht="13.5" customHeight="1">
      <c r="A4632" s="1" t="s">
        <v>11</v>
      </c>
      <c r="B4632" s="1" t="s">
        <v>23085</v>
      </c>
      <c r="C4632" s="1" t="s">
        <v>23086</v>
      </c>
      <c r="D4632" s="1" t="s">
        <v>23087</v>
      </c>
      <c r="E4632" s="1" t="s">
        <v>23087</v>
      </c>
      <c r="F4632" s="1" t="s">
        <v>23088</v>
      </c>
      <c r="G4632" s="1" t="s">
        <v>23089</v>
      </c>
      <c r="H4632" s="1" t="str">
        <f>IFERROR(__xludf.DUMMYFUNCTION("GOOGLETRANSLATE(D4632,""EN"",""JA"")"),"トロンボポエチン")</f>
        <v>トロンボポエチン</v>
      </c>
      <c r="I4632" s="1" t="str">
        <f>IFERROR(__xludf.DUMMYFUNCTION("GOOGLETRANSLATE(E4632,""EN"",""JA"")"),"トロンボポエチン")</f>
        <v>トロンボポエチン</v>
      </c>
      <c r="J4632" s="1" t="str">
        <f>IFERROR(__xludf.DUMMYFUNCTION("GOOGLETRANSLATE(F4632,""EN"",""JA"")"),"生物標本中のトロンボポエチン ホルモンの測定。")</f>
        <v>生物標本中のトロンボポエチン ホルモンの測定。</v>
      </c>
      <c r="K4632" s="1" t="str">
        <f>IFERROR(__xludf.DUMMYFUNCTION("GOOGLETRANSLATE(G4632,""EN"",""JA"")"),"トロンボポエチン測定")</f>
        <v>トロンボポエチン測定</v>
      </c>
    </row>
    <row r="4633" ht="13.5" customHeight="1">
      <c r="A4633" s="1" t="s">
        <v>11</v>
      </c>
      <c r="B4633" s="1" t="s">
        <v>23090</v>
      </c>
      <c r="C4633" s="1" t="s">
        <v>23091</v>
      </c>
      <c r="D4633" s="1" t="s">
        <v>23092</v>
      </c>
      <c r="E4633" s="1" t="s">
        <v>23093</v>
      </c>
      <c r="F4633" s="1" t="s">
        <v>23094</v>
      </c>
      <c r="G4633" s="1" t="s">
        <v>23095</v>
      </c>
      <c r="H4633" s="1" t="str">
        <f>IFERROR(__xludf.DUMMYFUNCTION("GOOGLETRANSLATE(D4633,""EN"",""JA"")"),"血栓球")</f>
        <v>血栓球</v>
      </c>
      <c r="I4633" s="1" t="str">
        <f>IFERROR(__xludf.DUMMYFUNCTION("GOOGLETRANSLATE(E4633,""EN"",""JA"")"),"有核血栓球; 血栓球")</f>
        <v>有核血栓球; 血栓球</v>
      </c>
      <c r="J4633" s="1" t="str">
        <f>IFERROR(__xludf.DUMMYFUNCTION("GOOGLETRANSLATE(F4633,""EN"",""JA"")"),"生物標本中の有核血小板、すなわち血小板の数の測定。典型的には鳥類やその他の非哺乳類脊椎動物で測定されます。")</f>
        <v>生物標本中の有核血小板、すなわち血小板の数の測定。典型的には鳥類やその他の非哺乳類脊椎動物で測定されます。</v>
      </c>
      <c r="K4633" s="1" t="str">
        <f>IFERROR(__xludf.DUMMYFUNCTION("GOOGLETRANSLATE(G4633,""EN"",""JA"")"),"有核血栓球数")</f>
        <v>有核血栓球数</v>
      </c>
    </row>
    <row r="4634" ht="13.5" customHeight="1">
      <c r="A4634" s="1" t="s">
        <v>11</v>
      </c>
      <c r="B4634" s="1" t="s">
        <v>23096</v>
      </c>
      <c r="C4634" s="1" t="s">
        <v>23097</v>
      </c>
      <c r="D4634" s="1" t="s">
        <v>23098</v>
      </c>
      <c r="E4634" s="1" t="s">
        <v>23099</v>
      </c>
      <c r="F4634" s="1" t="s">
        <v>23100</v>
      </c>
      <c r="G4634" s="1" t="s">
        <v>23101</v>
      </c>
      <c r="H4634" s="1" t="str">
        <f>IFERROR(__xludf.DUMMYFUNCTION("GOOGLETRANSLATE(D4634,""EN"",""JA"")"),"チロペルオキシダーゼ")</f>
        <v>チロペルオキシダーゼ</v>
      </c>
      <c r="I4634" s="1" t="str">
        <f>IFERROR(__xludf.DUMMYFUNCTION("GOOGLETRANSLATE(E4634,""EN"",""JA"")"),"甲状腺ペルオキシダーゼ; チロペルオキシダーゼ")</f>
        <v>甲状腺ペルオキシダーゼ; チロペルオキシダーゼ</v>
      </c>
      <c r="J4634" s="1" t="str">
        <f>IFERROR(__xludf.DUMMYFUNCTION("GOOGLETRANSLATE(F4634,""EN"",""JA"")"),"生物標本中の甲状腺ペルオキシダーゼの測定。")</f>
        <v>生物標本中の甲状腺ペルオキシダーゼの測定。</v>
      </c>
      <c r="K4634" s="1" t="str">
        <f>IFERROR(__xludf.DUMMYFUNCTION("GOOGLETRANSLATE(G4634,""EN"",""JA"")"),"甲状腺ペルオキシダーゼ測定")</f>
        <v>甲状腺ペルオキシダーゼ測定</v>
      </c>
    </row>
    <row r="4635" ht="13.5" customHeight="1">
      <c r="A4635" s="1" t="s">
        <v>129</v>
      </c>
      <c r="B4635" s="1" t="s">
        <v>23102</v>
      </c>
      <c r="C4635" s="1" t="s">
        <v>23103</v>
      </c>
      <c r="D4635" s="1" t="s">
        <v>23104</v>
      </c>
      <c r="E4635" s="1" t="s">
        <v>23104</v>
      </c>
      <c r="F4635" s="1" t="s">
        <v>23105</v>
      </c>
      <c r="G4635" s="1" t="s">
        <v>23104</v>
      </c>
      <c r="H4635" s="1" t="str">
        <f>IFERROR(__xludf.DUMMYFUNCTION("GOOGLETRANSLATE(D4635,""EN"",""JA"")"),"脛骨の長さ")</f>
        <v>脛骨の長さ</v>
      </c>
      <c r="I4635" s="1" t="str">
        <f>IFERROR(__xludf.DUMMYFUNCTION("GOOGLETRANSLATE(E4635,""EN"",""JA"")"),"脛骨の長さ")</f>
        <v>脛骨の長さ</v>
      </c>
      <c r="J4635" s="1" t="str">
        <f>IFERROR(__xludf.DUMMYFUNCTION("GOOGLETRANSLATE(F4635,""EN"",""JA"")"),"脛骨の長さの測定値。")</f>
        <v>脛骨の長さの測定値。</v>
      </c>
      <c r="K4635" s="1" t="str">
        <f>IFERROR(__xludf.DUMMYFUNCTION("GOOGLETRANSLATE(G4635,""EN"",""JA"")"),"脛骨の長さ")</f>
        <v>脛骨の長さ</v>
      </c>
    </row>
    <row r="4636" ht="13.5" customHeight="1">
      <c r="A4636" s="1" t="s">
        <v>134</v>
      </c>
      <c r="B4636" s="1" t="s">
        <v>23106</v>
      </c>
      <c r="C4636" s="1" t="s">
        <v>23107</v>
      </c>
      <c r="D4636" s="1" t="s">
        <v>23107</v>
      </c>
      <c r="E4636" s="1" t="s">
        <v>23108</v>
      </c>
      <c r="F4636" s="1" t="s">
        <v>23109</v>
      </c>
      <c r="G4636" s="1" t="s">
        <v>23110</v>
      </c>
      <c r="H4636" s="1" t="str">
        <f>IFERROR(__xludf.DUMMYFUNCTION("GOOGLETRANSLATE(D4636,""EN"",""JA"")"),"ティギット")</f>
        <v>ティギット</v>
      </c>
      <c r="I4636" s="1" t="str">
        <f>IFERROR(__xludf.DUMMYFUNCTION("GOOGLETRANSLATE(E4636,""EN"",""JA"")"),"IgおよびITIMドメインを有するT細胞免疫受容体; TIGIT; WUCAM")</f>
        <v>IgおよびITIMドメインを有するT細胞免疫受容体; TIGIT; WUCAM</v>
      </c>
      <c r="J4636" s="1" t="str">
        <f>IFERROR(__xludf.DUMMYFUNCTION("GOOGLETRANSLATE(F4636,""EN"",""JA"")"),"生物学的標本中の Ig および ITIM ドメインを持つ T 細胞免疫受容体の測定。")</f>
        <v>生物学的標本中の Ig および ITIM ドメインを持つ T 細胞免疫受容体の測定。</v>
      </c>
      <c r="K4636" s="1" t="str">
        <f>IFERROR(__xludf.DUMMYFUNCTION("GOOGLETRANSLATE(G4636,""EN"",""JA"")"),"IgGおよびITIMドメイン測定を伴うT細胞免疫受容体")</f>
        <v>IgGおよびITIMドメイン測定を伴うT細胞免疫受容体</v>
      </c>
    </row>
    <row r="4637" ht="13.5" customHeight="1">
      <c r="A4637" s="1" t="s">
        <v>397</v>
      </c>
      <c r="B4637" s="1" t="s">
        <v>23111</v>
      </c>
      <c r="C4637" s="1" t="s">
        <v>23112</v>
      </c>
      <c r="D4637" s="1" t="s">
        <v>23113</v>
      </c>
      <c r="E4637" s="1" t="s">
        <v>23114</v>
      </c>
      <c r="F4637" s="1" t="s">
        <v>23115</v>
      </c>
      <c r="G4637" s="1" t="s">
        <v>23116</v>
      </c>
      <c r="H4637" s="1" t="str">
        <f>IFERROR(__xludf.DUMMYFUNCTION("GOOGLETRANSLATE(D4637,""EN"",""JA"")"),"タバコIGバージョン")</f>
        <v>タバコIGバージョン</v>
      </c>
      <c r="I4637" s="1" t="str">
        <f>IFERROR(__xludf.DUMMYFUNCTION("GOOGLETRANSLATE(E4637,""EN"",""JA"")"),"タバコIGバージョン; タバコ実施ガイドバージョン")</f>
        <v>タバコIGバージョン; タバコ実施ガイドバージョン</v>
      </c>
      <c r="J4637" s="1" t="str">
        <f>IFERROR(__xludf.DUMMYFUNCTION("GOOGLETRANSLATE(F4637,""EN"",""JA"")"),"研究提出に使用されている CDISC タバコ実装ガイドのバージョン。")</f>
        <v>研究提出に使用されている CDISC タバコ実装ガイドのバージョン。</v>
      </c>
      <c r="K4637" s="1" t="str">
        <f>IFERROR(__xludf.DUMMYFUNCTION("GOOGLETRANSLATE(G4637,""EN"",""JA"")"),"CDISCタバコ実装ガイドバージョン")</f>
        <v>CDISCタバコ実装ガイドバージョン</v>
      </c>
    </row>
    <row r="4638" ht="13.5" customHeight="1">
      <c r="A4638" s="1" t="s">
        <v>134</v>
      </c>
      <c r="B4638" s="1" t="s">
        <v>23117</v>
      </c>
      <c r="C4638" s="1" t="s">
        <v>23118</v>
      </c>
      <c r="D4638" s="1" t="s">
        <v>23119</v>
      </c>
      <c r="E4638" s="1" t="s">
        <v>23120</v>
      </c>
      <c r="F4638" s="1" t="s">
        <v>23121</v>
      </c>
      <c r="G4638" s="1" t="s">
        <v>23122</v>
      </c>
      <c r="H4638" s="1" t="str">
        <f>IFERROR(__xludf.DUMMYFUNCTION("GOOGLETRANSLATE(D4638,""EN"",""JA"")"),"腫瘍浸潤リンパ球")</f>
        <v>腫瘍浸潤リンパ球</v>
      </c>
      <c r="I4638" s="1" t="str">
        <f>IFERROR(__xludf.DUMMYFUNCTION("GOOGLETRANSLATE(E4638,""EN"",""JA"")"),"TIL; 腫瘍浸潤リンパ球細胞; 腫瘍浸潤リンパ球")</f>
        <v>TIL; 腫瘍浸潤リンパ球細胞; 腫瘍浸潤リンパ球</v>
      </c>
      <c r="J4638" s="1" t="str">
        <f>IFERROR(__xludf.DUMMYFUNCTION("GOOGLETRANSLATE(F4638,""EN"",""JA"")"),"生物学的標本内の腫瘍浸潤リンパ球細胞の測定。")</f>
        <v>生物学的標本内の腫瘍浸潤リンパ球細胞の測定。</v>
      </c>
      <c r="K4638" s="1" t="str">
        <f>IFERROR(__xludf.DUMMYFUNCTION("GOOGLETRANSLATE(G4638,""EN"",""JA"")"),"腫瘍浸潤リンパ球数")</f>
        <v>腫瘍浸潤リンパ球数</v>
      </c>
    </row>
    <row r="4639" ht="13.5" customHeight="1">
      <c r="A4639" s="1" t="s">
        <v>11</v>
      </c>
      <c r="B4639" s="1" t="s">
        <v>23123</v>
      </c>
      <c r="C4639" s="1" t="s">
        <v>23124</v>
      </c>
      <c r="D4639" s="1" t="s">
        <v>23125</v>
      </c>
      <c r="E4639" s="1" t="s">
        <v>23126</v>
      </c>
      <c r="F4639" s="1" t="s">
        <v>23127</v>
      </c>
      <c r="G4639" s="1" t="s">
        <v>23128</v>
      </c>
      <c r="H4639" s="1" t="str">
        <f>IFERROR(__xludf.DUMMYFUNCTION("GOOGLETRANSLATE(D4639,""EN"",""JA"")"),"トランスロカーゼミトコンドリア内膜10")</f>
        <v>トランスロカーゼミトコンドリア内膜10</v>
      </c>
      <c r="I4639" s="1" t="str">
        <f>IFERROR(__xludf.DUMMYFUNCTION("GOOGLETRANSLATE(E4639,""EN"",""JA"")"),"ミトコンドリア内膜トランスロカーゼ 10; ミトコンドリア内膜トランスロカーゼ 10")</f>
        <v>ミトコンドリア内膜トランスロカーゼ 10; ミトコンドリア内膜トランスロカーゼ 10</v>
      </c>
      <c r="J4639" s="1" t="str">
        <f>IFERROR(__xludf.DUMMYFUNCTION("GOOGLETRANSLATE(F4639,""EN"",""JA"")"),"生物標本中のミトコンドリア内膜トランスロカーゼ 10 の測定。")</f>
        <v>生物標本中のミトコンドリア内膜トランスロカーゼ 10 の測定。</v>
      </c>
      <c r="K4639" s="1" t="str">
        <f>IFERROR(__xludf.DUMMYFUNCTION("GOOGLETRANSLATE(G4639,""EN"",""JA"")"),"トランスロカーゼミトコンドリア内膜10測定")</f>
        <v>トランスロカーゼミトコンドリア内膜10測定</v>
      </c>
    </row>
    <row r="4640" ht="13.5" customHeight="1">
      <c r="A4640" s="1" t="s">
        <v>11</v>
      </c>
      <c r="B4640" s="1" t="s">
        <v>23129</v>
      </c>
      <c r="C4640" s="1" t="s">
        <v>23130</v>
      </c>
      <c r="D4640" s="1" t="s">
        <v>23131</v>
      </c>
      <c r="E4640" s="1" t="s">
        <v>23132</v>
      </c>
      <c r="F4640" s="1" t="s">
        <v>23133</v>
      </c>
      <c r="G4640" s="1" t="s">
        <v>23134</v>
      </c>
      <c r="H4640" s="1" t="str">
        <f>IFERROR(__xludf.DUMMYFUNCTION("GOOGLETRANSLATE(D4640,""EN"",""JA"")"),"組織メタロプロテアーゼ阻害剤")</f>
        <v>組織メタロプロテアーゼ阻害剤</v>
      </c>
      <c r="I4640" s="1" t="str">
        <f>IFERROR(__xludf.DUMMYFUNCTION("GOOGLETRANSLATE(E4640,""EN"",""JA"")"),"TIM; 組織メタロプロテアーゼ阻害剤")</f>
        <v>TIM; 組織メタロプロテアーゼ阻害剤</v>
      </c>
      <c r="J4640" s="1" t="str">
        <f>IFERROR(__xludf.DUMMYFUNCTION("GOOGLETRANSLATE(F4640,""EN"",""JA"")"),"生物標本中の全組織阻害メタロプロテアーゼの測定。")</f>
        <v>生物標本中の全組織阻害メタロプロテアーゼの測定。</v>
      </c>
      <c r="K4640" s="1" t="str">
        <f>IFERROR(__xludf.DUMMYFUNCTION("GOOGLETRANSLATE(G4640,""EN"",""JA"")"),"組織メタロプロテアーゼ阻害物質測定")</f>
        <v>組織メタロプロテアーゼ阻害物質測定</v>
      </c>
    </row>
    <row r="4641" ht="13.5" customHeight="1">
      <c r="A4641" s="1" t="s">
        <v>11</v>
      </c>
      <c r="B4641" s="1" t="s">
        <v>23135</v>
      </c>
      <c r="C4641" s="1" t="s">
        <v>23136</v>
      </c>
      <c r="D4641" s="1" t="s">
        <v>23137</v>
      </c>
      <c r="E4641" s="1" t="s">
        <v>23138</v>
      </c>
      <c r="F4641" s="1" t="s">
        <v>23139</v>
      </c>
      <c r="G4641" s="1" t="s">
        <v>23140</v>
      </c>
      <c r="H4641" s="1" t="str">
        <f>IFERROR(__xludf.DUMMYFUNCTION("GOOGLETRANSLATE(D4641,""EN"",""JA"")"),"組織メタロプロテアーゼ阻害剤1")</f>
        <v>組織メタロプロテアーゼ阻害剤1</v>
      </c>
      <c r="I4641" s="1" t="str">
        <f>IFERROR(__xludf.DUMMYFUNCTION("GOOGLETRANSLATE(E4641,""EN"",""JA"")"),"EPA、赤血球増強活性、線維芽細胞コラーゲナーゼ阻害剤、メタロプロテアーゼ阻害剤1、メタロプロテアーゼ1の組織阻害剤")</f>
        <v>EPA、赤血球増強活性、線維芽細胞コラーゲナーゼ阻害剤、メタロプロテアーゼ阻害剤1、メタロプロテアーゼ1の組織阻害剤</v>
      </c>
      <c r="J4641" s="1" t="str">
        <f>IFERROR(__xludf.DUMMYFUNCTION("GOOGLETRANSLATE(F4641,""EN"",""JA"")"),"生物標本中のメタロプロテアーゼ1の組織阻害剤の測定。")</f>
        <v>生物標本中のメタロプロテアーゼ1の組織阻害剤の測定。</v>
      </c>
      <c r="K4641" s="1" t="str">
        <f>IFERROR(__xludf.DUMMYFUNCTION("GOOGLETRANSLATE(G4641,""EN"",""JA"")"),"組織メタロプロテアーゼ阻害因子1測定")</f>
        <v>組織メタロプロテアーゼ阻害因子1測定</v>
      </c>
    </row>
    <row r="4642" ht="13.5" customHeight="1">
      <c r="A4642" s="1" t="s">
        <v>11</v>
      </c>
      <c r="B4642" s="1" t="s">
        <v>23141</v>
      </c>
      <c r="C4642" s="1" t="s">
        <v>23142</v>
      </c>
      <c r="D4642" s="1" t="s">
        <v>23143</v>
      </c>
      <c r="E4642" s="1" t="s">
        <v>23144</v>
      </c>
      <c r="F4642" s="1" t="s">
        <v>23145</v>
      </c>
      <c r="G4642" s="1" t="s">
        <v>23146</v>
      </c>
      <c r="H4642" s="1" t="str">
        <f>IFERROR(__xludf.DUMMYFUNCTION("GOOGLETRANSLATE(D4642,""EN"",""JA"")"),"TIMP1/クレアチニン")</f>
        <v>TIMP1/クレアチニン</v>
      </c>
      <c r="I4642" s="1" t="str">
        <f>IFERROR(__xludf.DUMMYFUNCTION("GOOGLETRANSLATE(E4642,""EN"",""JA"")"),"TIMP1/クレアチニン; 組織メタロプロテアーゼ阻害剤1/クレアチニン")</f>
        <v>TIMP1/クレアチニン; 組織メタロプロテアーゼ阻害剤1/クレアチニン</v>
      </c>
      <c r="J4642" s="1" t="str">
        <f>IFERROR(__xludf.DUMMYFUNCTION("GOOGLETRANSLATE(F4642,""EN"",""JA"")"),"サンプル中に存在するクレアチニンに対するメタロプロテアーゼ1の組織阻害剤の相対測定値（比率またはパーセンテージ）。")</f>
        <v>サンプル中に存在するクレアチニンに対するメタロプロテアーゼ1の組織阻害剤の相対測定値（比率またはパーセンテージ）。</v>
      </c>
      <c r="K4642" s="1" t="str">
        <f>IFERROR(__xludf.DUMMYFUNCTION("GOOGLETRANSLATE(G4642,""EN"",""JA"")"),"組織メタロプロテアーゼ阻害因子1とクレアチニンの比率測定")</f>
        <v>組織メタロプロテアーゼ阻害因子1とクレアチニンの比率測定</v>
      </c>
    </row>
    <row r="4643" ht="13.5" customHeight="1">
      <c r="A4643" s="1" t="s">
        <v>11</v>
      </c>
      <c r="B4643" s="1" t="s">
        <v>23147</v>
      </c>
      <c r="C4643" s="1" t="s">
        <v>23148</v>
      </c>
      <c r="D4643" s="1" t="s">
        <v>23149</v>
      </c>
      <c r="E4643" s="1" t="s">
        <v>23150</v>
      </c>
      <c r="F4643" s="1" t="s">
        <v>23151</v>
      </c>
      <c r="G4643" s="1" t="s">
        <v>23152</v>
      </c>
      <c r="H4643" s="1" t="str">
        <f>IFERROR(__xludf.DUMMYFUNCTION("GOOGLETRANSLATE(D4643,""EN"",""JA"")"),"組織メタロプロテアーゼ阻害剤2")</f>
        <v>組織メタロプロテアーゼ阻害剤2</v>
      </c>
      <c r="I4643" s="1" t="str">
        <f>IFERROR(__xludf.DUMMYFUNCTION("GOOGLETRANSLATE(E4643,""EN"",""JA"")"),"CSC-21K; メタロプロテアーゼ阻害剤2; メタロプロテアーゼ2の組織阻害剤")</f>
        <v>CSC-21K; メタロプロテアーゼ阻害剤2; メタロプロテアーゼ2の組織阻害剤</v>
      </c>
      <c r="J4643" s="1" t="str">
        <f>IFERROR(__xludf.DUMMYFUNCTION("GOOGLETRANSLATE(F4643,""EN"",""JA"")"),"生物標本中のメタロプロテアーゼ2の組織阻害因子の測定。")</f>
        <v>生物標本中のメタロプロテアーゼ2の組織阻害因子の測定。</v>
      </c>
      <c r="K4643" s="1" t="str">
        <f>IFERROR(__xludf.DUMMYFUNCTION("GOOGLETRANSLATE(G4643,""EN"",""JA"")"),"組織メタロプロテアーゼ阻害因子2測定")</f>
        <v>組織メタロプロテアーゼ阻害因子2測定</v>
      </c>
    </row>
    <row r="4644" ht="13.5" customHeight="1">
      <c r="A4644" s="1" t="s">
        <v>11</v>
      </c>
      <c r="B4644" s="1" t="s">
        <v>23153</v>
      </c>
      <c r="C4644" s="1" t="s">
        <v>23154</v>
      </c>
      <c r="D4644" s="1" t="s">
        <v>23155</v>
      </c>
      <c r="E4644" s="1" t="s">
        <v>23156</v>
      </c>
      <c r="F4644" s="1" t="s">
        <v>23157</v>
      </c>
      <c r="G4644" s="1" t="s">
        <v>23158</v>
      </c>
      <c r="H4644" s="1" t="str">
        <f>IFERROR(__xludf.DUMMYFUNCTION("GOOGLETRANSLATE(D4644,""EN"",""JA"")"),"組織メタロプロテアーゼ阻害剤3")</f>
        <v>組織メタロプロテアーゼ阻害剤3</v>
      </c>
      <c r="I4644" s="1" t="str">
        <f>IFERROR(__xludf.DUMMYFUNCTION("GOOGLETRANSLATE(E4644,""EN"",""JA"")"),"HSMRK222; K222; K222TA2; メタロプロテアーゼ阻害剤3; タンパク質MIG-5; SFD; メタロプロテアーゼ3の組織阻害剤")</f>
        <v>HSMRK222; K222; K222TA2; メタロプロテアーゼ阻害剤3; タンパク質MIG-5; SFD; メタロプロテアーゼ3の組織阻害剤</v>
      </c>
      <c r="J4644" s="1" t="str">
        <f>IFERROR(__xludf.DUMMYFUNCTION("GOOGLETRANSLATE(F4644,""EN"",""JA"")"),"生物標本中のメタロプロテアーゼ3の組織阻害因子の測定。")</f>
        <v>生物標本中のメタロプロテアーゼ3の組織阻害因子の測定。</v>
      </c>
      <c r="K4644" s="1" t="str">
        <f>IFERROR(__xludf.DUMMYFUNCTION("GOOGLETRANSLATE(G4644,""EN"",""JA"")"),"組織メタロプロテアーゼ阻害因子3測定")</f>
        <v>組織メタロプロテアーゼ阻害因子3測定</v>
      </c>
    </row>
    <row r="4645" ht="13.5" customHeight="1">
      <c r="A4645" s="1" t="s">
        <v>6439</v>
      </c>
      <c r="B4645" s="1" t="s">
        <v>23159</v>
      </c>
      <c r="C4645" s="1" t="s">
        <v>23160</v>
      </c>
      <c r="D4645" s="1" t="s">
        <v>23161</v>
      </c>
      <c r="E4645" s="1" t="s">
        <v>23161</v>
      </c>
      <c r="F4645" s="1" t="s">
        <v>23162</v>
      </c>
      <c r="G4645" s="1" t="s">
        <v>23161</v>
      </c>
      <c r="H4645" s="1" t="str">
        <f>IFERROR(__xludf.DUMMYFUNCTION("GOOGLETRANSLATE(D4645,""EN"",""JA"")"),"ターゲット指標")</f>
        <v>ターゲット指標</v>
      </c>
      <c r="I4645" s="1" t="str">
        <f>IFERROR(__xludf.DUMMYFUNCTION("GOOGLETRANSLATE(E4645,""EN"",""JA"")"),"ターゲット指標")</f>
        <v>ターゲット指標</v>
      </c>
      <c r="J4645" s="1" t="str">
        <f>IFERROR(__xludf.DUMMYFUNCTION("GOOGLETRANSLATE(F4645,""EN"",""JA"")"),"標的の腫瘍、病変、または疾患部位が存在するかどうかを示します。")</f>
        <v>標的の腫瘍、病変、または疾患部位が存在するかどうかを示します。</v>
      </c>
      <c r="K4645" s="1" t="str">
        <f>IFERROR(__xludf.DUMMYFUNCTION("GOOGLETRANSLATE(G4645,""EN"",""JA"")"),"ターゲット指標")</f>
        <v>ターゲット指標</v>
      </c>
    </row>
    <row r="4646" ht="13.5" customHeight="1">
      <c r="A4646" s="1" t="s">
        <v>397</v>
      </c>
      <c r="B4646" s="1" t="s">
        <v>23163</v>
      </c>
      <c r="C4646" s="1" t="s">
        <v>23164</v>
      </c>
      <c r="D4646" s="1" t="s">
        <v>23165</v>
      </c>
      <c r="E4646" s="1" t="s">
        <v>23165</v>
      </c>
      <c r="F4646" s="1" t="s">
        <v>23166</v>
      </c>
      <c r="G4646" s="1" t="s">
        <v>23167</v>
      </c>
      <c r="H4646" s="1" t="str">
        <f>IFERROR(__xludf.DUMMYFUNCTION("GOOGLETRANSLATE(D4646,""EN"",""JA"")"),"トライアルの意図の種類")</f>
        <v>トライアルの意図の種類</v>
      </c>
      <c r="I4646" s="1" t="str">
        <f>IFERROR(__xludf.DUMMYFUNCTION("GOOGLETRANSLATE(E4646,""EN"",""JA"")"),"トライアルの意図の種類")</f>
        <v>トライアルの意図の種類</v>
      </c>
      <c r="J4646" s="1" t="str">
        <f>IFERROR(__xludf.DUMMYFUNCTION("GOOGLETRANSLATE(F4646,""EN"",""JA"")"),"臨床試験で研究される治療法、機器、または薬剤の予定された目的。")</f>
        <v>臨床試験で研究される治療法、機器、または薬剤の予定された目的。</v>
      </c>
      <c r="K4646" s="1" t="str">
        <f>IFERROR(__xludf.DUMMYFUNCTION("GOOGLETRANSLATE(G4646,""EN"",""JA"")"),"意図による臨床研究")</f>
        <v>意図による臨床研究</v>
      </c>
    </row>
    <row r="4647" ht="13.5" customHeight="1">
      <c r="A4647" s="1" t="s">
        <v>134</v>
      </c>
      <c r="B4647" s="1" t="s">
        <v>23168</v>
      </c>
      <c r="C4647" s="1" t="s">
        <v>23169</v>
      </c>
      <c r="D4647" s="1" t="s">
        <v>23170</v>
      </c>
      <c r="E4647" s="1" t="s">
        <v>23170</v>
      </c>
      <c r="F4647" s="1" t="s">
        <v>23171</v>
      </c>
      <c r="G4647" s="1" t="s">
        <v>23170</v>
      </c>
      <c r="H4647" s="1" t="str">
        <f>IFERROR(__xludf.DUMMYFUNCTION("GOOGLETRANSLATE(D4647,""EN"",""JA"")"),"異常組織サンプルの数")</f>
        <v>異常組織サンプルの数</v>
      </c>
      <c r="I4647" s="1" t="str">
        <f>IFERROR(__xludf.DUMMYFUNCTION("GOOGLETRANSLATE(E4647,""EN"",""JA"")"),"異常組織サンプルの数")</f>
        <v>異常組織サンプルの数</v>
      </c>
      <c r="J4647" s="1" t="str">
        <f>IFERROR(__xludf.DUMMYFUNCTION("GOOGLETRANSLATE(F4647,""EN"",""JA"")"),"病理学的異常が観察された組織サンプルの総数。")</f>
        <v>病理学的異常が観察された組織サンプルの総数。</v>
      </c>
      <c r="K4647" s="1" t="str">
        <f>IFERROR(__xludf.DUMMYFUNCTION("GOOGLETRANSLATE(G4647,""EN"",""JA"")"),"異常組織サンプルの数")</f>
        <v>異常組織サンプルの数</v>
      </c>
    </row>
    <row r="4648" ht="13.5" customHeight="1">
      <c r="A4648" s="1" t="s">
        <v>397</v>
      </c>
      <c r="B4648" s="1" t="s">
        <v>23172</v>
      </c>
      <c r="C4648" s="1" t="s">
        <v>23173</v>
      </c>
      <c r="D4648" s="1" t="s">
        <v>23174</v>
      </c>
      <c r="E4648" s="1" t="s">
        <v>23175</v>
      </c>
      <c r="F4648" s="1" t="s">
        <v>23176</v>
      </c>
      <c r="G4648" s="1" t="s">
        <v>23174</v>
      </c>
      <c r="H4648" s="1" t="str">
        <f>IFERROR(__xludf.DUMMYFUNCTION("GOOGLETRANSLATE(D4648,""EN"",""JA"")"),"裁判タイトル")</f>
        <v>裁判タイトル</v>
      </c>
      <c r="I4648" s="1" t="str">
        <f>IFERROR(__xludf.DUMMYFUNCTION("GOOGLETRANSLATE(E4648,""EN"",""JA"")"),"公式研究タイトル; 研究タイトル; 試験タイトル")</f>
        <v>公式研究タイトル; 研究タイトル; 試験タイトル</v>
      </c>
      <c r="J4648" s="1" t="str">
        <f>IFERROR(__xludf.DUMMYFUNCTION("GOOGLETRANSLATE(F4648,""EN"",""JA"")"),"スポンサーが定義した臨床試験の名前。")</f>
        <v>スポンサーが定義した臨床試験の名前。</v>
      </c>
      <c r="K4648" s="1" t="str">
        <f>IFERROR(__xludf.DUMMYFUNCTION("GOOGLETRANSLATE(G4648,""EN"",""JA"")"),"裁判タイトル")</f>
        <v>裁判タイトル</v>
      </c>
    </row>
    <row r="4649" ht="13.5" customHeight="1">
      <c r="A4649" s="1" t="s">
        <v>11</v>
      </c>
      <c r="B4649" s="1" t="s">
        <v>23177</v>
      </c>
      <c r="C4649" s="1" t="s">
        <v>23178</v>
      </c>
      <c r="D4649" s="1" t="s">
        <v>23179</v>
      </c>
      <c r="E4649" s="1" t="s">
        <v>23179</v>
      </c>
      <c r="F4649" s="1" t="s">
        <v>23180</v>
      </c>
      <c r="G4649" s="1" t="s">
        <v>23181</v>
      </c>
      <c r="H4649" s="1" t="str">
        <f>IFERROR(__xludf.DUMMYFUNCTION("GOOGLETRANSLATE(D4649,""EN"",""JA"")"),"チミジンキナーゼ")</f>
        <v>チミジンキナーゼ</v>
      </c>
      <c r="I4649" s="1" t="str">
        <f>IFERROR(__xludf.DUMMYFUNCTION("GOOGLETRANSLATE(E4649,""EN"",""JA"")"),"チミジンキナーゼ")</f>
        <v>チミジンキナーゼ</v>
      </c>
      <c r="J4649" s="1" t="str">
        <f>IFERROR(__xludf.DUMMYFUNCTION("GOOGLETRANSLATE(F4649,""EN"",""JA"")"),"生物標本中の総チミジンキナーゼの測定。")</f>
        <v>生物標本中の総チミジンキナーゼの測定。</v>
      </c>
      <c r="K4649" s="1" t="str">
        <f>IFERROR(__xludf.DUMMYFUNCTION("GOOGLETRANSLATE(G4649,""EN"",""JA"")"),"チミジンキナーゼ測定")</f>
        <v>チミジンキナーゼ測定</v>
      </c>
    </row>
    <row r="4650" ht="13.5" customHeight="1">
      <c r="A4650" s="1" t="s">
        <v>11</v>
      </c>
      <c r="B4650" s="1" t="s">
        <v>23182</v>
      </c>
      <c r="C4650" s="1" t="s">
        <v>23183</v>
      </c>
      <c r="D4650" s="1" t="s">
        <v>23184</v>
      </c>
      <c r="E4650" s="1" t="s">
        <v>23185</v>
      </c>
      <c r="F4650" s="1" t="s">
        <v>23186</v>
      </c>
      <c r="G4650" s="1" t="s">
        <v>23187</v>
      </c>
      <c r="H4650" s="1" t="str">
        <f>IFERROR(__xludf.DUMMYFUNCTION("GOOGLETRANSLATE(D4650,""EN"",""JA"")"),"チミジンキナーゼ1")</f>
        <v>チミジンキナーゼ1</v>
      </c>
      <c r="I4650" s="1" t="str">
        <f>IFERROR(__xludf.DUMMYFUNCTION("GOOGLETRANSLATE(E4650,""EN"",""JA"")"),"チミジンキナーゼ1; チミジンキナーゼ、細胞質")</f>
        <v>チミジンキナーゼ1; チミジンキナーゼ、細胞質</v>
      </c>
      <c r="J4650" s="1" t="str">
        <f>IFERROR(__xludf.DUMMYFUNCTION("GOOGLETRANSLATE(F4650,""EN"",""JA"")"),"生物標本中のチミジンキナーゼ 1 の測定。")</f>
        <v>生物標本中のチミジンキナーゼ 1 の測定。</v>
      </c>
      <c r="K4650" s="1" t="str">
        <f>IFERROR(__xludf.DUMMYFUNCTION("GOOGLETRANSLATE(G4650,""EN"",""JA"")"),"チミジンキナーゼ1測定")</f>
        <v>チミジンキナーゼ1測定</v>
      </c>
    </row>
    <row r="4651" ht="13.5" customHeight="1">
      <c r="A4651" s="1" t="s">
        <v>11</v>
      </c>
      <c r="B4651" s="1" t="s">
        <v>23188</v>
      </c>
      <c r="C4651" s="1" t="s">
        <v>23189</v>
      </c>
      <c r="D4651" s="1" t="s">
        <v>23190</v>
      </c>
      <c r="E4651" s="1" t="s">
        <v>23191</v>
      </c>
      <c r="F4651" s="1" t="s">
        <v>23192</v>
      </c>
      <c r="G4651" s="1" t="s">
        <v>23193</v>
      </c>
      <c r="H4651" s="1" t="str">
        <f>IFERROR(__xludf.DUMMYFUNCTION("GOOGLETRANSLATE(D4651,""EN"",""JA"")"),"チミジンキナーゼ2")</f>
        <v>チミジンキナーゼ2</v>
      </c>
      <c r="I4651" s="1" t="str">
        <f>IFERROR(__xludf.DUMMYFUNCTION("GOOGLETRANSLATE(E4651,""EN"",""JA"")"),"チミジンキナーゼ2; チミジンキナーゼ、ミトコンドリア")</f>
        <v>チミジンキナーゼ2; チミジンキナーゼ、ミトコンドリア</v>
      </c>
      <c r="J4651" s="1" t="str">
        <f>IFERROR(__xludf.DUMMYFUNCTION("GOOGLETRANSLATE(F4651,""EN"",""JA"")"),"生物標本中のチミジンキナーゼ 2 の測定。")</f>
        <v>生物標本中のチミジンキナーゼ 2 の測定。</v>
      </c>
      <c r="K4651" s="1" t="str">
        <f>IFERROR(__xludf.DUMMYFUNCTION("GOOGLETRANSLATE(G4651,""EN"",""JA"")"),"チミジンキナーゼ2測定")</f>
        <v>チミジンキナーゼ2測定</v>
      </c>
    </row>
    <row r="4652" ht="13.5" customHeight="1">
      <c r="A4652" s="1" t="s">
        <v>11</v>
      </c>
      <c r="B4652" s="1" t="s">
        <v>23194</v>
      </c>
      <c r="C4652" s="1" t="s">
        <v>23195</v>
      </c>
      <c r="D4652" s="1" t="s">
        <v>23196</v>
      </c>
      <c r="E4652" s="1" t="s">
        <v>23196</v>
      </c>
      <c r="F4652" s="1" t="s">
        <v>23197</v>
      </c>
      <c r="G4652" s="1" t="s">
        <v>23198</v>
      </c>
      <c r="H4652" s="1" t="str">
        <f>IFERROR(__xludf.DUMMYFUNCTION("GOOGLETRANSLATE(D4652,""EN"",""JA"")"),"T-キニノーゲン")</f>
        <v>T-キニノーゲン</v>
      </c>
      <c r="I4652" s="1" t="str">
        <f>IFERROR(__xludf.DUMMYFUNCTION("GOOGLETRANSLATE(E4652,""EN"",""JA"")"),"T-キニノーゲン")</f>
        <v>T-キニノーゲン</v>
      </c>
      <c r="J4652" s="1" t="str">
        <f>IFERROR(__xludf.DUMMYFUNCTION("GOOGLETRANSLATE(F4652,""EN"",""JA"")"),"生物標本中の総T-キニノーゲンの測定。")</f>
        <v>生物標本中の総T-キニノーゲンの測定。</v>
      </c>
      <c r="K4652" s="1" t="str">
        <f>IFERROR(__xludf.DUMMYFUNCTION("GOOGLETRANSLATE(G4652,""EN"",""JA"")"),"T-キニノーゲン測定")</f>
        <v>T-キニノーゲン測定</v>
      </c>
    </row>
    <row r="4653" ht="13.5" customHeight="1">
      <c r="A4653" s="1" t="s">
        <v>870</v>
      </c>
      <c r="B4653" s="1" t="s">
        <v>23199</v>
      </c>
      <c r="C4653" s="1" t="s">
        <v>23200</v>
      </c>
      <c r="D4653" s="1" t="s">
        <v>23201</v>
      </c>
      <c r="E4653" s="1" t="s">
        <v>23201</v>
      </c>
      <c r="F4653" s="1" t="s">
        <v>23202</v>
      </c>
      <c r="G4653" s="1" t="s">
        <v>23203</v>
      </c>
      <c r="H4653" s="1" t="str">
        <f>IFERROR(__xludf.DUMMYFUNCTION("GOOGLETRANSLATE(D4653,""EN"",""JA"")"),"最初の非ゼロ濃度までの時間")</f>
        <v>最初の非ゼロ濃度までの時間</v>
      </c>
      <c r="I4653" s="1" t="str">
        <f>IFERROR(__xludf.DUMMYFUNCTION("GOOGLETRANSLATE(E4653,""EN"",""JA"")"),"最初の非ゼロ濃度までの時間")</f>
        <v>最初の非ゼロ濃度までの時間</v>
      </c>
      <c r="J4653" s="1" t="str">
        <f>IFERROR(__xludf.DUMMYFUNCTION("GOOGLETRANSLATE(F4653,""EN"",""JA"")"),"最初の測定可能な（ゼロ以外の）濃度に達するまでの時間。")</f>
        <v>最初の測定可能な（ゼロ以外の）濃度に達するまでの時間。</v>
      </c>
      <c r="K4653" s="1" t="str">
        <f>IFERROR(__xludf.DUMMYFUNCTION("GOOGLETRANSLATE(G4653,""EN"",""JA"")"),"最初の非ゼロ濃度までの時間")</f>
        <v>最初の非ゼロ濃度までの時間</v>
      </c>
    </row>
    <row r="4654" ht="13.5" customHeight="1">
      <c r="A4654" s="1" t="s">
        <v>580</v>
      </c>
      <c r="B4654" s="1" t="s">
        <v>23204</v>
      </c>
      <c r="C4654" s="1" t="s">
        <v>23205</v>
      </c>
      <c r="D4654" s="1" t="s">
        <v>23206</v>
      </c>
      <c r="E4654" s="1" t="s">
        <v>23206</v>
      </c>
      <c r="F4654" s="1" t="s">
        <v>23207</v>
      </c>
      <c r="G4654" s="1" t="s">
        <v>23206</v>
      </c>
      <c r="H4654" s="1" t="str">
        <f>IFERROR(__xludf.DUMMYFUNCTION("GOOGLETRANSLATE(D4654,""EN"",""JA"")"),"全肺活量")</f>
        <v>全肺活量</v>
      </c>
      <c r="I4654" s="1" t="str">
        <f>IFERROR(__xludf.DUMMYFUNCTION("GOOGLETRANSLATE(E4654,""EN"",""JA"")"),"全肺活量")</f>
        <v>全肺活量</v>
      </c>
      <c r="J4654" s="1" t="str">
        <f>IFERROR(__xludf.DUMMYFUNCTION("GOOGLETRANSLATE(F4654,""EN"",""JA"")"),"最大限に吸入した後の肺の中の空気の総量。")</f>
        <v>最大限に吸入した後の肺の中の空気の総量。</v>
      </c>
      <c r="K4654" s="1" t="str">
        <f>IFERROR(__xludf.DUMMYFUNCTION("GOOGLETRANSLATE(G4654,""EN"",""JA"")"),"全肺活量")</f>
        <v>全肺活量</v>
      </c>
    </row>
    <row r="4655" ht="13.5" customHeight="1">
      <c r="A4655" s="1" t="s">
        <v>11</v>
      </c>
      <c r="B4655" s="1" t="s">
        <v>23208</v>
      </c>
      <c r="C4655" s="1" t="s">
        <v>23209</v>
      </c>
      <c r="D4655" s="1" t="s">
        <v>23210</v>
      </c>
      <c r="E4655" s="1" t="s">
        <v>23211</v>
      </c>
      <c r="F4655" s="1" t="s">
        <v>23212</v>
      </c>
      <c r="G4655" s="1" t="s">
        <v>23213</v>
      </c>
      <c r="H4655" s="1" t="str">
        <f>IFERROR(__xludf.DUMMYFUNCTION("GOOGLETRANSLATE(D4655,""EN"",""JA"")"),"タウロリトコール酸")</f>
        <v>タウロリトコール酸</v>
      </c>
      <c r="I4655" s="1" t="str">
        <f>IFERROR(__xludf.DUMMYFUNCTION("GOOGLETRANSLATE(E4655,""EN"",""JA"")"),"タウロリトコール酸")</f>
        <v>タウロリトコール酸</v>
      </c>
      <c r="J4655" s="1" t="str">
        <f>IFERROR(__xludf.DUMMYFUNCTION("GOOGLETRANSLATE(F4655,""EN"",""JA"")"),"生物標本中のタウロリトコール酸の測定。")</f>
        <v>生物標本中のタウロリトコール酸の測定。</v>
      </c>
      <c r="K4655" s="1" t="str">
        <f>IFERROR(__xludf.DUMMYFUNCTION("GOOGLETRANSLATE(G4655,""EN"",""JA"")"),"タウロリトコール酸測定")</f>
        <v>タウロリトコール酸測定</v>
      </c>
    </row>
    <row r="4656" ht="13.5" customHeight="1">
      <c r="A4656" s="1" t="s">
        <v>580</v>
      </c>
      <c r="B4656" s="1" t="s">
        <v>23214</v>
      </c>
      <c r="C4656" s="1" t="s">
        <v>23215</v>
      </c>
      <c r="D4656" s="1" t="s">
        <v>23216</v>
      </c>
      <c r="E4656" s="1" t="s">
        <v>23216</v>
      </c>
      <c r="F4656" s="1" t="s">
        <v>23217</v>
      </c>
      <c r="G4656" s="1" t="s">
        <v>23216</v>
      </c>
      <c r="H4656" s="1" t="str">
        <f>IFERROR(__xludf.DUMMYFUNCTION("GOOGLETRANSLATE(D4656,""EN"",""JA"")"),"予測総肺活量の割合")</f>
        <v>予測総肺活量の割合</v>
      </c>
      <c r="I4656" s="1" t="str">
        <f>IFERROR(__xludf.DUMMYFUNCTION("GOOGLETRANSLATE(E4656,""EN"",""JA"")"),"予測総肺活量の割合")</f>
        <v>予測総肺活量の割合</v>
      </c>
      <c r="J4656" s="1" t="str">
        <f>IFERROR(__xludf.DUMMYFUNCTION("GOOGLETRANSLATE(F4656,""EN"",""JA"")"),"最大吸入後の肺内の空気の総量を予測正常値の割合として表します。")</f>
        <v>最大吸入後の肺内の空気の総量を予測正常値の割合として表します。</v>
      </c>
      <c r="K4656" s="1" t="str">
        <f>IFERROR(__xludf.DUMMYFUNCTION("GOOGLETRANSLATE(G4656,""EN"",""JA"")"),"予測総肺活量の割合")</f>
        <v>予測総肺活量の割合</v>
      </c>
    </row>
    <row r="4657" ht="13.5" customHeight="1">
      <c r="A4657" s="1" t="s">
        <v>134</v>
      </c>
      <c r="B4657" s="1" t="s">
        <v>23218</v>
      </c>
      <c r="C4657" s="1" t="s">
        <v>23219</v>
      </c>
      <c r="D4657" s="1" t="s">
        <v>23220</v>
      </c>
      <c r="E4657" s="1" t="s">
        <v>23221</v>
      </c>
      <c r="F4657" s="1" t="s">
        <v>23222</v>
      </c>
      <c r="G4657" s="1" t="s">
        <v>23223</v>
      </c>
      <c r="H4657" s="1" t="str">
        <f>IFERROR(__xludf.DUMMYFUNCTION("GOOGLETRANSLATE(D4657,""EN"",""JA"")"),"三次リンパ組織構造")</f>
        <v>三次リンパ組織構造</v>
      </c>
      <c r="I4657" s="1" t="str">
        <f>IFERROR(__xludf.DUMMYFUNCTION("GOOGLETRANSLATE(E4657,""EN"",""JA"")"),"三次リンパ組織; TLS")</f>
        <v>三次リンパ組織; TLS</v>
      </c>
      <c r="J4657" s="1" t="str">
        <f>IFERROR(__xludf.DUMMYFUNCTION("GOOGLETRANSLATE(F4657,""EN"",""JA"")"),"生物標本における三次リンパ組織構造の評価。")</f>
        <v>生物標本における三次リンパ組織構造の評価。</v>
      </c>
      <c r="K4657" s="1" t="str">
        <f>IFERROR(__xludf.DUMMYFUNCTION("GOOGLETRANSLATE(G4657,""EN"",""JA"")"),"三次リンパ組織構造評価")</f>
        <v>三次リンパ組織構造評価</v>
      </c>
    </row>
    <row r="4658" ht="13.5" customHeight="1">
      <c r="A4658" s="1" t="s">
        <v>870</v>
      </c>
      <c r="B4658" s="1" t="s">
        <v>23224</v>
      </c>
      <c r="C4658" s="1" t="s">
        <v>23225</v>
      </c>
      <c r="D4658" s="1" t="s">
        <v>23226</v>
      </c>
      <c r="E4658" s="1" t="s">
        <v>23226</v>
      </c>
      <c r="F4658" s="1" t="s">
        <v>23227</v>
      </c>
      <c r="G4658" s="1" t="s">
        <v>23228</v>
      </c>
      <c r="H4658" s="1" t="str">
        <f>IFERROR(__xludf.DUMMYFUNCTION("GOOGLETRANSLATE(D4658,""EN"",""JA"")"),"最後の非ゼロコンクの時刻")</f>
        <v>最後の非ゼロコンクの時刻</v>
      </c>
      <c r="I4658" s="1" t="str">
        <f>IFERROR(__xludf.DUMMYFUNCTION("GOOGLETRANSLATE(E4658,""EN"",""JA"")"),"最後の非ゼロコンクの時刻")</f>
        <v>最後の非ゼロコンクの時刻</v>
      </c>
      <c r="J4658" s="1" t="str">
        <f>IFERROR(__xludf.DUMMYFUNCTION("GOOGLETRANSLATE(F4658,""EN"",""JA"")"),"最後に測定可能な（陽性の）濃度の時間。")</f>
        <v>最後に測定可能な（陽性の）濃度の時間。</v>
      </c>
      <c r="K4658" s="1" t="str">
        <f>IFERROR(__xludf.DUMMYFUNCTION("GOOGLETRANSLATE(G4658,""EN"",""JA"")"),"最後の非ゼロ濃度の時間")</f>
        <v>最後の非ゼロ濃度の時間</v>
      </c>
    </row>
    <row r="4659" ht="13.5" customHeight="1">
      <c r="A4659" s="1" t="s">
        <v>11</v>
      </c>
      <c r="B4659" s="1" t="s">
        <v>23229</v>
      </c>
      <c r="C4659" s="1" t="s">
        <v>23230</v>
      </c>
      <c r="D4659" s="1" t="s">
        <v>23231</v>
      </c>
      <c r="E4659" s="1" t="s">
        <v>23232</v>
      </c>
      <c r="F4659" s="1" t="s">
        <v>23233</v>
      </c>
      <c r="G4659" s="1" t="s">
        <v>23234</v>
      </c>
      <c r="H4659" s="1" t="str">
        <f>IFERROR(__xludf.DUMMYFUNCTION("GOOGLETRANSLATE(D4659,""EN"",""JA"")"),"Tリンパ球")</f>
        <v>Tリンパ球</v>
      </c>
      <c r="I4659" s="1" t="str">
        <f>IFERROR(__xludf.DUMMYFUNCTION("GOOGLETRANSLATE(E4659,""EN"",""JA"")"),"T細胞; T細胞リンパ球; T細胞; Tリンパ球")</f>
        <v>T細胞; T細胞リンパ球; T細胞; Tリンパ球</v>
      </c>
      <c r="J4659" s="1" t="str">
        <f>IFERROR(__xludf.DUMMYFUNCTION("GOOGLETRANSLATE(F4659,""EN"",""JA"")"),"生物学的標本中の胸腺細胞由来リンパ球の総数の測定。")</f>
        <v>生物学的標本中の胸腺細胞由来リンパ球の総数の測定。</v>
      </c>
      <c r="K4659" s="1" t="str">
        <f>IFERROR(__xludf.DUMMYFUNCTION("GOOGLETRANSLATE(G4659,""EN"",""JA"")"),"Tリンパ球数")</f>
        <v>Tリンパ球数</v>
      </c>
    </row>
    <row r="4660" ht="13.5" customHeight="1">
      <c r="A4660" s="1" t="s">
        <v>201</v>
      </c>
      <c r="B4660" s="1" t="s">
        <v>23235</v>
      </c>
      <c r="C4660" s="1" t="s">
        <v>23236</v>
      </c>
      <c r="D4660" s="1" t="s">
        <v>23237</v>
      </c>
      <c r="E4660" s="1" t="s">
        <v>23237</v>
      </c>
      <c r="F4660" s="1" t="s">
        <v>23238</v>
      </c>
      <c r="G4660" s="1" t="s">
        <v>23237</v>
      </c>
      <c r="H4660" s="1" t="str">
        <f>IFERROR(__xludf.DUMMYFUNCTION("GOOGLETRANSLATE(D4660,""EN"",""JA"")"),"Tリンパ球増殖指数")</f>
        <v>Tリンパ球増殖指数</v>
      </c>
      <c r="I4660" s="1" t="str">
        <f>IFERROR(__xludf.DUMMYFUNCTION("GOOGLETRANSLATE(E4660,""EN"",""JA"")"),"Tリンパ球増殖指数")</f>
        <v>Tリンパ球増殖指数</v>
      </c>
      <c r="J4660" s="1" t="str">
        <f>IFERROR(__xludf.DUMMYFUNCTION("GOOGLETRANSLATE(F4660,""EN"",""JA"")"),"対象抗原による刺激による T リンパ球増殖と、刺激を受けていない T リンパ球増殖コントロールの相対的な測定値 (比率またはパーセンテージ)。")</f>
        <v>対象抗原による刺激による T リンパ球増殖と、刺激を受けていない T リンパ球増殖コントロールの相対的な測定値 (比率またはパーセンテージ)。</v>
      </c>
      <c r="K4660" s="1" t="str">
        <f>IFERROR(__xludf.DUMMYFUNCTION("GOOGLETRANSLATE(G4660,""EN"",""JA"")"),"Tリンパ球増殖指数")</f>
        <v>Tリンパ球増殖指数</v>
      </c>
    </row>
    <row r="4661" ht="13.5" customHeight="1">
      <c r="A4661" s="1" t="s">
        <v>11</v>
      </c>
      <c r="B4661" s="1" t="s">
        <v>23239</v>
      </c>
      <c r="C4661" s="1" t="s">
        <v>23240</v>
      </c>
      <c r="D4661" s="1" t="s">
        <v>23241</v>
      </c>
      <c r="E4661" s="1" t="s">
        <v>23241</v>
      </c>
      <c r="F4661" s="1" t="s">
        <v>23242</v>
      </c>
      <c r="G4661" s="1" t="s">
        <v>23243</v>
      </c>
      <c r="H4661" s="1" t="str">
        <f>IFERROR(__xludf.DUMMYFUNCTION("GOOGLETRANSLATE(D4661,""EN"",""JA"")"),"Tリンパ球交差適合試験")</f>
        <v>Tリンパ球交差適合試験</v>
      </c>
      <c r="I4661" s="1" t="str">
        <f>IFERROR(__xludf.DUMMYFUNCTION("GOOGLETRANSLATE(E4661,""EN"",""JA"")"),"Tリンパ球交差適合試験")</f>
        <v>Tリンパ球交差適合試験</v>
      </c>
      <c r="J4661" s="1" t="str">
        <f>IFERROR(__xludf.DUMMYFUNCTION("GOOGLETRANSLATE(F4661,""EN"",""JA"")"),"ドナーTリンパ球上に発現するヒト白血球抗原（HLA）に対するレシピエントの抗HLA抗体反応の有無を調べることによって、レシピエントとドナー間のHLA組織適合性を決定する測定。")</f>
        <v>ドナーTリンパ球上に発現するヒト白血球抗原（HLA）に対するレシピエントの抗HLA抗体反応の有無を調べることによって、レシピエントとドナー間のHLA組織適合性を決定する測定。</v>
      </c>
      <c r="K4661" s="1" t="str">
        <f>IFERROR(__xludf.DUMMYFUNCTION("GOOGLETRANSLATE(G4661,""EN"",""JA"")"),"Tリンパ球交差適合試験")</f>
        <v>Tリンパ球交差適合試験</v>
      </c>
    </row>
    <row r="4662" ht="13.5" customHeight="1">
      <c r="A4662" s="1" t="s">
        <v>870</v>
      </c>
      <c r="B4662" s="1" t="s">
        <v>23244</v>
      </c>
      <c r="C4662" s="1" t="s">
        <v>23245</v>
      </c>
      <c r="D4662" s="1" t="s">
        <v>23246</v>
      </c>
      <c r="E4662" s="1" t="s">
        <v>23247</v>
      </c>
      <c r="F4662" s="1" t="s">
        <v>23248</v>
      </c>
      <c r="G4662" s="1" t="s">
        <v>23249</v>
      </c>
      <c r="H4662" s="1" t="str">
        <f>IFERROR(__xludf.DUMMYFUNCTION("GOOGLETRANSLATE(D4662,""EN"",""JA"")"),"CMAX観測時刻")</f>
        <v>CMAX観測時刻</v>
      </c>
      <c r="I4662" s="1" t="str">
        <f>IFERROR(__xludf.DUMMYFUNCTION("GOOGLETRANSLATE(E4662,""EN"",""JA"")"),"CMAXの時間; CMAX観測の時間")</f>
        <v>CMAXの時間; CMAX観測の時間</v>
      </c>
      <c r="J4662" s="1" t="str">
        <f>IFERROR(__xludf.DUMMYFUNCTION("GOOGLETRANSLATE(F4662,""EN"",""JA"")"),"投与間隔中にサンプリングされた最大観測濃度の時間。")</f>
        <v>投与間隔中にサンプリングされた最大観測濃度の時間。</v>
      </c>
      <c r="K4662" s="1" t="str">
        <f>IFERROR(__xludf.DUMMYFUNCTION("GOOGLETRANSLATE(G4662,""EN"",""JA"")"),"最高温度")</f>
        <v>最高温度</v>
      </c>
    </row>
    <row r="4663" ht="13.5" customHeight="1">
      <c r="A4663" s="1" t="s">
        <v>134</v>
      </c>
      <c r="B4663" s="1" t="s">
        <v>23250</v>
      </c>
      <c r="C4663" s="1" t="s">
        <v>23251</v>
      </c>
      <c r="D4663" s="1" t="s">
        <v>23252</v>
      </c>
      <c r="E4663" s="1" t="s">
        <v>23253</v>
      </c>
      <c r="F4663" s="1" t="s">
        <v>23254</v>
      </c>
      <c r="G4663" s="1" t="s">
        <v>23255</v>
      </c>
      <c r="H4663" s="1" t="str">
        <f>IFERROR(__xludf.DUMMYFUNCTION("GOOGLETRANSLATE(D4663,""EN"",""JA"")"),"腫瘍境界の構成")</f>
        <v>腫瘍境界の構成</v>
      </c>
      <c r="I4663" s="1" t="str">
        <f>IFERROR(__xludf.DUMMYFUNCTION("GOOGLETRANSLATE(E4663,""EN"",""JA"")"),"浸潤マージン; 腫瘍境界形状; 腫瘍マージン形状")</f>
        <v>浸潤マージン; 腫瘍境界形状; 腫瘍マージン形状</v>
      </c>
      <c r="J4663" s="1" t="str">
        <f>IFERROR(__xludf.DUMMYFUNCTION("GOOGLETRANSLATE(F4663,""EN"",""JA"")"),"腫瘍が隣接する非腫瘍組織と接する点における形態学的外観の評価。")</f>
        <v>腫瘍が隣接する非腫瘍組織と接する点における形態学的外観の評価。</v>
      </c>
      <c r="K4663" s="1" t="str">
        <f>IFERROR(__xludf.DUMMYFUNCTION("GOOGLETRANSLATE(G4663,""EN"",""JA"")"),"腫瘍マージン構成評価")</f>
        <v>腫瘍マージン構成評価</v>
      </c>
    </row>
    <row r="4664" ht="13.5" customHeight="1">
      <c r="A4664" s="1" t="s">
        <v>134</v>
      </c>
      <c r="B4664" s="1" t="s">
        <v>23256</v>
      </c>
      <c r="C4664" s="1" t="s">
        <v>23257</v>
      </c>
      <c r="D4664" s="1" t="s">
        <v>23258</v>
      </c>
      <c r="E4664" s="1" t="s">
        <v>23258</v>
      </c>
      <c r="F4664" s="1" t="s">
        <v>23259</v>
      </c>
      <c r="G4664" s="1" t="s">
        <v>23260</v>
      </c>
      <c r="H4664" s="1" t="str">
        <f>IFERROR(__xludf.DUMMYFUNCTION("GOOGLETRANSLATE(D4664,""EN"",""JA"")"),"腫瘍の分化")</f>
        <v>腫瘍の分化</v>
      </c>
      <c r="I4664" s="1" t="str">
        <f>IFERROR(__xludf.DUMMYFUNCTION("GOOGLETRANSLATE(E4664,""EN"",""JA"")"),"腫瘍の分化")</f>
        <v>腫瘍の分化</v>
      </c>
      <c r="J4664" s="1" t="str">
        <f>IFERROR(__xludf.DUMMYFUNCTION("GOOGLETRANSLATE(F4664,""EN"",""JA"")"),"腫瘍が発生した非病理学的組織と比較した腫瘍の組織構造の評価。")</f>
        <v>腫瘍が発生した非病理学的組織と比較した腫瘍の組織構造の評価。</v>
      </c>
      <c r="K4664" s="1" t="str">
        <f>IFERROR(__xludf.DUMMYFUNCTION("GOOGLETRANSLATE(G4664,""EN"",""JA"")"),"腫瘍分化評価")</f>
        <v>腫瘍分化評価</v>
      </c>
    </row>
    <row r="4665" ht="13.5" customHeight="1">
      <c r="A4665" s="1" t="s">
        <v>11</v>
      </c>
      <c r="B4665" s="1" t="s">
        <v>23261</v>
      </c>
      <c r="C4665" s="1" t="s">
        <v>23262</v>
      </c>
      <c r="D4665" s="1" t="s">
        <v>23263</v>
      </c>
      <c r="E4665" s="1" t="s">
        <v>23263</v>
      </c>
      <c r="F4665" s="1" t="s">
        <v>23264</v>
      </c>
      <c r="G4665" s="1" t="s">
        <v>23265</v>
      </c>
      <c r="H4665" s="1" t="str">
        <f>IFERROR(__xludf.DUMMYFUNCTION("GOOGLETRANSLATE(D4665,""EN"",""JA"")"),"トリメペリジン")</f>
        <v>トリメペリジン</v>
      </c>
      <c r="I4665" s="1" t="str">
        <f>IFERROR(__xludf.DUMMYFUNCTION("GOOGLETRANSLATE(E4665,""EN"",""JA"")"),"トリメペリジン")</f>
        <v>トリメペリジン</v>
      </c>
      <c r="J4665" s="1" t="str">
        <f>IFERROR(__xludf.DUMMYFUNCTION("GOOGLETRANSLATE(F4665,""EN"",""JA"")"),"生物標本中のトリメペリジンの測定。")</f>
        <v>生物標本中のトリメペリジンの測定。</v>
      </c>
      <c r="K4665" s="1" t="str">
        <f>IFERROR(__xludf.DUMMYFUNCTION("GOOGLETRANSLATE(G4665,""EN"",""JA"")"),"トリメペリジン測定")</f>
        <v>トリメペリジン測定</v>
      </c>
    </row>
    <row r="4666" ht="13.5" customHeight="1">
      <c r="A4666" s="1" t="s">
        <v>870</v>
      </c>
      <c r="B4666" s="1" t="s">
        <v>23266</v>
      </c>
      <c r="C4666" s="1" t="s">
        <v>23267</v>
      </c>
      <c r="D4666" s="1" t="s">
        <v>23268</v>
      </c>
      <c r="E4666" s="1" t="s">
        <v>23269</v>
      </c>
      <c r="F4666" s="1" t="s">
        <v>23270</v>
      </c>
      <c r="G4666" s="1" t="s">
        <v>23271</v>
      </c>
      <c r="H4666" s="1" t="str">
        <f>IFERROR(__xludf.DUMMYFUNCTION("GOOGLETRANSLATE(D4666,""EN"",""JA"")"),"CMIN観測時刻")</f>
        <v>CMIN観測時刻</v>
      </c>
      <c r="I4666" s="1" t="str">
        <f>IFERROR(__xludf.DUMMYFUNCTION("GOOGLETRANSLATE(E4666,""EN"",""JA"")"),"CMINの時間; CMINの観測時間")</f>
        <v>CMINの時間; CMINの観測時間</v>
      </c>
      <c r="J4666" s="1" t="str">
        <f>IFERROR(__xludf.DUMMYFUNCTION("GOOGLETRANSLATE(F4666,""EN"",""JA"")"),"投与間隔中にサンプリングされた最低濃度が観測された時間。")</f>
        <v>投与間隔中にサンプリングされた最低濃度が観測された時間。</v>
      </c>
      <c r="K4666" s="1" t="str">
        <f>IFERROR(__xludf.DUMMYFUNCTION("GOOGLETRANSLATE(G4666,""EN"",""JA"")"),"最短時間")</f>
        <v>最短時間</v>
      </c>
    </row>
    <row r="4667" ht="13.5" customHeight="1">
      <c r="A4667" s="1" t="s">
        <v>134</v>
      </c>
      <c r="B4667" s="1" t="s">
        <v>23272</v>
      </c>
      <c r="C4667" s="1" t="s">
        <v>23273</v>
      </c>
      <c r="D4667" s="1" t="s">
        <v>23274</v>
      </c>
      <c r="E4667" s="1" t="s">
        <v>23275</v>
      </c>
      <c r="F4667" s="1" t="s">
        <v>23276</v>
      </c>
      <c r="G4667" s="1" t="s">
        <v>23274</v>
      </c>
      <c r="H4667" s="1" t="str">
        <f>IFERROR(__xludf.DUMMYFUNCTION("GOOGLETRANSLATE(D4667,""EN"",""JA"")"),"腫瘍浸潤指標")</f>
        <v>腫瘍浸潤指標</v>
      </c>
      <c r="I4667" s="1" t="str">
        <f>IFERROR(__xludf.DUMMYFUNCTION("GOOGLETRANSLATE(E4667,""EN"",""JA"")"),"浸潤癌指標; 浸潤腫瘍指標; 浸潤腫瘍指標; 腫瘍浸潤指標")</f>
        <v>浸潤癌指標; 浸潤腫瘍指標; 浸潤腫瘍指標; 腫瘍浸潤指標</v>
      </c>
      <c r="J4667" s="1" t="str">
        <f>IFERROR(__xludf.DUMMYFUNCTION("GOOGLETRANSLATE(F4667,""EN"",""JA"")"),"腫瘍の浸潤が起こっているかどうかを示すもの。")</f>
        <v>腫瘍の浸潤が起こっているかどうかを示すもの。</v>
      </c>
      <c r="K4667" s="1" t="str">
        <f>IFERROR(__xludf.DUMMYFUNCTION("GOOGLETRANSLATE(G4667,""EN"",""JA"")"),"腫瘍浸潤指標")</f>
        <v>腫瘍浸潤指標</v>
      </c>
    </row>
    <row r="4668" ht="13.5" customHeight="1">
      <c r="A4668" s="1" t="s">
        <v>134</v>
      </c>
      <c r="B4668" s="1" t="s">
        <v>23277</v>
      </c>
      <c r="C4668" s="1" t="s">
        <v>23278</v>
      </c>
      <c r="D4668" s="1" t="s">
        <v>23279</v>
      </c>
      <c r="E4668" s="1" t="s">
        <v>23279</v>
      </c>
      <c r="F4668" s="1" t="s">
        <v>23280</v>
      </c>
      <c r="G4668" s="1" t="s">
        <v>23281</v>
      </c>
      <c r="H4668" s="1" t="str">
        <f>IFERROR(__xludf.DUMMYFUNCTION("GOOGLETRANSLATE(D4668,""EN"",""JA"")"),"腫瘍浸潤パターン")</f>
        <v>腫瘍浸潤パターン</v>
      </c>
      <c r="I4668" s="1" t="str">
        <f>IFERROR(__xludf.DUMMYFUNCTION("GOOGLETRANSLATE(E4668,""EN"",""JA"")"),"腫瘍浸潤パターン")</f>
        <v>腫瘍浸潤パターン</v>
      </c>
      <c r="J4668" s="1" t="str">
        <f>IFERROR(__xludf.DUMMYFUNCTION("GOOGLETRANSLATE(F4668,""EN"",""JA"")"),"生物標本における腫瘍浸潤パターンの評価。")</f>
        <v>生物標本における腫瘍浸潤パターンの評価。</v>
      </c>
      <c r="K4668" s="1" t="str">
        <f>IFERROR(__xludf.DUMMYFUNCTION("GOOGLETRANSLATE(G4668,""EN"",""JA"")"),"腫瘍浸潤パターン評価")</f>
        <v>腫瘍浸潤パターン評価</v>
      </c>
    </row>
    <row r="4669" ht="13.5" customHeight="1">
      <c r="A4669" s="1" t="s">
        <v>1342</v>
      </c>
      <c r="B4669" s="1" t="s">
        <v>23282</v>
      </c>
      <c r="C4669" s="1" t="s">
        <v>23283</v>
      </c>
      <c r="D4669" s="1" t="s">
        <v>23284</v>
      </c>
      <c r="E4669" s="1" t="s">
        <v>23284</v>
      </c>
      <c r="F4669" s="1" t="s">
        <v>23285</v>
      </c>
      <c r="G4669" s="1" t="s">
        <v>23284</v>
      </c>
      <c r="H4669" s="1" t="str">
        <f>IFERROR(__xludf.DUMMYFUNCTION("GOOGLETRANSLATE(D4669,""EN"",""JA"")"),"腫瘍マーカー反応")</f>
        <v>腫瘍マーカー反応</v>
      </c>
      <c r="I4669" s="1" t="str">
        <f>IFERROR(__xludf.DUMMYFUNCTION("GOOGLETRANSLATE(E4669,""EN"",""JA"")"),"腫瘍マーカー反応")</f>
        <v>腫瘍マーカー反応</v>
      </c>
      <c r="J4669" s="1" t="str">
        <f>IFERROR(__xludf.DUMMYFUNCTION("GOOGLETRANSLATE(F4669,""EN"",""JA"")"),"腫瘍マーカー測定に基づく治療に対する疾患反応の評価。")</f>
        <v>腫瘍マーカー測定に基づく治療に対する疾患反応の評価。</v>
      </c>
      <c r="K4669" s="1" t="str">
        <f>IFERROR(__xludf.DUMMYFUNCTION("GOOGLETRANSLATE(G4669,""EN"",""JA"")"),"腫瘍マーカー反応")</f>
        <v>腫瘍マーカー反応</v>
      </c>
    </row>
    <row r="4670" ht="13.5" customHeight="1">
      <c r="A4670" s="1" t="s">
        <v>11</v>
      </c>
      <c r="B4670" s="1" t="s">
        <v>23286</v>
      </c>
      <c r="C4670" s="1" t="s">
        <v>23287</v>
      </c>
      <c r="D4670" s="1" t="s">
        <v>23288</v>
      </c>
      <c r="E4670" s="1" t="s">
        <v>23288</v>
      </c>
      <c r="F4670" s="1" t="s">
        <v>23289</v>
      </c>
      <c r="G4670" s="1" t="s">
        <v>23290</v>
      </c>
      <c r="H4670" s="1" t="str">
        <f>IFERROR(__xludf.DUMMYFUNCTION("GOOGLETRANSLATE(D4670,""EN"",""JA"")"),"テマゼパム")</f>
        <v>テマゼパム</v>
      </c>
      <c r="I4670" s="1" t="str">
        <f>IFERROR(__xludf.DUMMYFUNCTION("GOOGLETRANSLATE(E4670,""EN"",""JA"")"),"テマゼパム")</f>
        <v>テマゼパム</v>
      </c>
      <c r="J4670" s="1" t="str">
        <f>IFERROR(__xludf.DUMMYFUNCTION("GOOGLETRANSLATE(F4670,""EN"",""JA"")"),"生物学的標本中に存在するテマゼパムの測定。")</f>
        <v>生物学的標本中に存在するテマゼパムの測定。</v>
      </c>
      <c r="K4670" s="1" t="str">
        <f>IFERROR(__xludf.DUMMYFUNCTION("GOOGLETRANSLATE(G4670,""EN"",""JA"")"),"テマゼパム測定")</f>
        <v>テマゼパム測定</v>
      </c>
    </row>
    <row r="4671" ht="13.5" customHeight="1">
      <c r="A4671" s="1" t="s">
        <v>11</v>
      </c>
      <c r="B4671" s="1" t="s">
        <v>23291</v>
      </c>
      <c r="C4671" s="1" t="s">
        <v>23292</v>
      </c>
      <c r="D4671" s="1" t="s">
        <v>23293</v>
      </c>
      <c r="E4671" s="1" t="s">
        <v>23294</v>
      </c>
      <c r="F4671" s="1" t="s">
        <v>23295</v>
      </c>
      <c r="G4671" s="1" t="s">
        <v>23296</v>
      </c>
      <c r="H4671" s="1" t="str">
        <f>IFERROR(__xludf.DUMMYFUNCTION("GOOGLETRANSLATE(D4671,""EN"",""JA"")"),"テネイシンC")</f>
        <v>テネイシンC</v>
      </c>
      <c r="I4671" s="1" t="str">
        <f>IFERROR(__xludf.DUMMYFUNCTION("GOOGLETRANSLATE(E4671,""EN"",""JA"")"),"テネイシンC; テネイシン-C; TN-C")</f>
        <v>テネイシンC; テネイシン-C; TN-C</v>
      </c>
      <c r="J4671" s="1" t="str">
        <f>IFERROR(__xludf.DUMMYFUNCTION("GOOGLETRANSLATE(F4671,""EN"",""JA"")"),"生物標本中のテネイシン C の測定。")</f>
        <v>生物標本中のテネイシン C の測定。</v>
      </c>
      <c r="K4671" s="1" t="str">
        <f>IFERROR(__xludf.DUMMYFUNCTION("GOOGLETRANSLATE(G4671,""EN"",""JA"")"),"テネイシンC測定")</f>
        <v>テネイシンC測定</v>
      </c>
    </row>
    <row r="4672" ht="13.5" customHeight="1">
      <c r="A4672" s="1" t="s">
        <v>160</v>
      </c>
      <c r="B4672" s="1" t="s">
        <v>23297</v>
      </c>
      <c r="C4672" s="1" t="s">
        <v>23298</v>
      </c>
      <c r="D4672" s="1" t="s">
        <v>23299</v>
      </c>
      <c r="E4672" s="1" t="s">
        <v>23299</v>
      </c>
      <c r="F4672" s="1" t="s">
        <v>23300</v>
      </c>
      <c r="G4672" s="1" t="s">
        <v>23299</v>
      </c>
      <c r="H4672" s="1" t="str">
        <f>IFERROR(__xludf.DUMMYFUNCTION("GOOGLETRANSLATE(D4672,""EN"",""JA"")"),"柔らかさインジケーター")</f>
        <v>柔らかさインジケーター</v>
      </c>
      <c r="I4672" s="1" t="str">
        <f>IFERROR(__xludf.DUMMYFUNCTION("GOOGLETRANSLATE(E4672,""EN"",""JA"")"),"柔らかさインジケーター")</f>
        <v>柔らかさインジケーター</v>
      </c>
      <c r="J4672" s="1" t="str">
        <f>IFERROR(__xludf.DUMMYFUNCTION("GOOGLETRANSLATE(F4672,""EN"",""JA"")"),"圧痛の症状があるかどうかの指標。")</f>
        <v>圧痛の症状があるかどうかの指標。</v>
      </c>
      <c r="K4672" s="1" t="str">
        <f>IFERROR(__xludf.DUMMYFUNCTION("GOOGLETRANSLATE(G4672,""EN"",""JA"")"),"柔らかさインジケーター")</f>
        <v>柔らかさインジケーター</v>
      </c>
    </row>
    <row r="4673" ht="13.5" customHeight="1">
      <c r="A4673" s="1" t="s">
        <v>1034</v>
      </c>
      <c r="B4673" s="1" t="s">
        <v>23297</v>
      </c>
      <c r="C4673" s="1" t="s">
        <v>23298</v>
      </c>
      <c r="D4673" s="1" t="s">
        <v>23299</v>
      </c>
      <c r="E4673" s="1" t="s">
        <v>23299</v>
      </c>
      <c r="F4673" s="1" t="s">
        <v>23300</v>
      </c>
      <c r="G4673" s="1" t="s">
        <v>23299</v>
      </c>
      <c r="H4673" s="1" t="str">
        <f>IFERROR(__xludf.DUMMYFUNCTION("GOOGLETRANSLATE(D4673,""EN"",""JA"")"),"柔らかさインジケーター")</f>
        <v>柔らかさインジケーター</v>
      </c>
      <c r="I4673" s="1" t="str">
        <f>IFERROR(__xludf.DUMMYFUNCTION("GOOGLETRANSLATE(E4673,""EN"",""JA"")"),"柔らかさインジケーター")</f>
        <v>柔らかさインジケーター</v>
      </c>
      <c r="J4673" s="1" t="str">
        <f>IFERROR(__xludf.DUMMYFUNCTION("GOOGLETRANSLATE(F4673,""EN"",""JA"")"),"圧痛の症状があるかどうかの指標。")</f>
        <v>圧痛の症状があるかどうかの指標。</v>
      </c>
      <c r="K4673" s="1" t="str">
        <f>IFERROR(__xludf.DUMMYFUNCTION("GOOGLETRANSLATE(G4673,""EN"",""JA"")"),"柔らかさインジケーター")</f>
        <v>柔らかさインジケーター</v>
      </c>
    </row>
    <row r="4674" ht="13.5" customHeight="1">
      <c r="A4674" s="1" t="s">
        <v>11</v>
      </c>
      <c r="B4674" s="1" t="s">
        <v>23301</v>
      </c>
      <c r="C4674" s="1" t="s">
        <v>23302</v>
      </c>
      <c r="D4674" s="1" t="s">
        <v>23303</v>
      </c>
      <c r="E4674" s="1" t="s">
        <v>23304</v>
      </c>
      <c r="F4674" s="1" t="s">
        <v>23305</v>
      </c>
      <c r="G4674" s="1" t="s">
        <v>23306</v>
      </c>
      <c r="H4674" s="1" t="str">
        <f>IFERROR(__xludf.DUMMYFUNCTION("GOOGLETRANSLATE(D4674,""EN"",""JA"")"),"腫瘍壊死因子")</f>
        <v>腫瘍壊死因子</v>
      </c>
      <c r="I4674" s="1" t="str">
        <f>IFERROR(__xludf.DUMMYFUNCTION("GOOGLETRANSLATE(E4674,""EN"",""JA"")"),"腫瘍壊死因子; 腫瘍壊死因子アルファ")</f>
        <v>腫瘍壊死因子; 腫瘍壊死因子アルファ</v>
      </c>
      <c r="J4674" s="1" t="str">
        <f>IFERROR(__xludf.DUMMYFUNCTION("GOOGLETRANSLATE(F4674,""EN"",""JA"")"),"生物学的標本中の総腫瘍壊死因子（カケキシン）サイトカインの測定。")</f>
        <v>生物学的標本中の総腫瘍壊死因子（カケキシン）サイトカインの測定。</v>
      </c>
      <c r="K4674" s="1" t="str">
        <f>IFERROR(__xludf.DUMMYFUNCTION("GOOGLETRANSLATE(G4674,""EN"",""JA"")"),"腫瘍壊死因子測定")</f>
        <v>腫瘍壊死因子測定</v>
      </c>
    </row>
    <row r="4675" ht="13.5" customHeight="1">
      <c r="A4675" s="1" t="s">
        <v>11</v>
      </c>
      <c r="B4675" s="1" t="s">
        <v>23307</v>
      </c>
      <c r="C4675" s="1" t="s">
        <v>23308</v>
      </c>
      <c r="D4675" s="1" t="s">
        <v>23309</v>
      </c>
      <c r="E4675" s="1" t="s">
        <v>23310</v>
      </c>
      <c r="F4675" s="1" t="s">
        <v>23311</v>
      </c>
      <c r="G4675" s="1" t="s">
        <v>23312</v>
      </c>
      <c r="H4675" s="1" t="str">
        <f>IFERROR(__xludf.DUMMYFUNCTION("GOOGLETRANSLATE(D4675,""EN"",""JA"")"),"TNFスーパーファミリーメンバー10")</f>
        <v>TNFスーパーファミリーメンバー10</v>
      </c>
      <c r="I4675" s="1" t="str">
        <f>IFERROR(__xludf.DUMMYFUNCTION("GOOGLETRANSLATE(E4675,""EN"",""JA"")"),"APO2L; 可溶性CD253; TL2; TNF関連アポトーシス誘導リガンド; TNFSF10; TNLG6A; TRAIL")</f>
        <v>APO2L; 可溶性CD253; TL2; TNF関連アポトーシス誘導リガンド; TNFSF10; TNLG6A; TRAIL</v>
      </c>
      <c r="J4675" s="1" t="str">
        <f>IFERROR(__xludf.DUMMYFUNCTION("GOOGLETRANSLATE(F4675,""EN"",""JA"")"),"生物標本中の腫瘍壊死因子スーパーファミリーメンバー 10 の総量の測定。")</f>
        <v>生物標本中の腫瘍壊死因子スーパーファミリーメンバー 10 の総量の測定。</v>
      </c>
      <c r="K4675" s="1" t="str">
        <f>IFERROR(__xludf.DUMMYFUNCTION("GOOGLETRANSLATE(G4675,""EN"",""JA"")"),"TNFスーパーファミリーメンバー10の測定")</f>
        <v>TNFスーパーファミリーメンバー10の測定</v>
      </c>
    </row>
    <row r="4676" ht="13.5" customHeight="1">
      <c r="A4676" s="1" t="s">
        <v>11</v>
      </c>
      <c r="B4676" s="1" t="s">
        <v>23313</v>
      </c>
      <c r="C4676" s="1" t="s">
        <v>23314</v>
      </c>
      <c r="D4676" s="1" t="s">
        <v>23315</v>
      </c>
      <c r="E4676" s="1" t="s">
        <v>23316</v>
      </c>
      <c r="F4676" s="1" t="s">
        <v>23317</v>
      </c>
      <c r="G4676" s="1" t="s">
        <v>23318</v>
      </c>
      <c r="H4676" s="1" t="str">
        <f>IFERROR(__xludf.DUMMYFUNCTION("GOOGLETRANSLATE(D4676,""EN"",""JA"")"),"TNF受容体スーパーファミリーメンバー10c")</f>
        <v>TNF受容体スーパーファミリーメンバー10c</v>
      </c>
      <c r="I4676" s="1" t="str">
        <f>IFERROR(__xludf.DUMMYFUNCTION("GOOGLETRANSLATE(E4676,""EN"",""JA"")"),"CD263; DcR1; TNF受容体スーパーファミリーメンバー10c; TNF関連アポトーシス誘導リガンド受容体3; TRAIL受容体3; TRAILR3")</f>
        <v>CD263; DcR1; TNF受容体スーパーファミリーメンバー10c; TNF関連アポトーシス誘導リガンド受容体3; TRAIL受容体3; TRAILR3</v>
      </c>
      <c r="J4676" s="1" t="str">
        <f>IFERROR(__xludf.DUMMYFUNCTION("GOOGLETRANSLATE(F4676,""EN"",""JA"")"),"生物標本中の TNF 受容体スーパーファミリー メンバー 10c の測定。")</f>
        <v>生物標本中の TNF 受容体スーパーファミリー メンバー 10c の測定。</v>
      </c>
      <c r="K4676" s="1" t="str">
        <f>IFERROR(__xludf.DUMMYFUNCTION("GOOGLETRANSLATE(G4676,""EN"",""JA"")"),"腫瘍壊死因子受容体スーパーファミリーメンバー10cの測定")</f>
        <v>腫瘍壊死因子受容体スーパーファミリーメンバー10cの測定</v>
      </c>
    </row>
    <row r="4677" ht="13.5" customHeight="1">
      <c r="A4677" s="1" t="s">
        <v>11</v>
      </c>
      <c r="B4677" s="1" t="s">
        <v>23319</v>
      </c>
      <c r="C4677" s="1" t="s">
        <v>23320</v>
      </c>
      <c r="D4677" s="1" t="s">
        <v>23321</v>
      </c>
      <c r="E4677" s="1" t="s">
        <v>23322</v>
      </c>
      <c r="F4677" s="1" t="s">
        <v>23323</v>
      </c>
      <c r="G4677" s="1" t="s">
        <v>23324</v>
      </c>
      <c r="H4677" s="1" t="str">
        <f>IFERROR(__xludf.DUMMYFUNCTION("GOOGLETRANSLATE(D4677,""EN"",""JA"")"),"TNFスーパーファミリーメンバー12")</f>
        <v>TNFスーパーファミリーメンバー12</v>
      </c>
      <c r="I4677" s="1" t="str">
        <f>IFERROR(__xludf.DUMMYFUNCTION("GOOGLETRANSLATE(E4677,""EN"",""JA"")"),"APO3L; DR3LG; TNFスーパーファミリーメンバー12; TNLG4A; TWEAK")</f>
        <v>APO3L; DR3LG; TNFスーパーファミリーメンバー12; TNLG4A; TWEAK</v>
      </c>
      <c r="J4677" s="1" t="str">
        <f>IFERROR(__xludf.DUMMYFUNCTION("GOOGLETRANSLATE(F4677,""EN"",""JA"")"),"生物標本中の腫瘍壊死因子スーパーファミリーメンバー 12 の総量の測定。")</f>
        <v>生物標本中の腫瘍壊死因子スーパーファミリーメンバー 12 の総量の測定。</v>
      </c>
      <c r="K4677" s="1" t="str">
        <f>IFERROR(__xludf.DUMMYFUNCTION("GOOGLETRANSLATE(G4677,""EN"",""JA"")"),"TNFスーパーファミリーメンバー12の測定")</f>
        <v>TNFスーパーファミリーメンバー12の測定</v>
      </c>
    </row>
    <row r="4678" ht="13.5" customHeight="1">
      <c r="A4678" s="1" t="s">
        <v>11</v>
      </c>
      <c r="B4678" s="1" t="s">
        <v>23325</v>
      </c>
      <c r="C4678" s="1" t="s">
        <v>23326</v>
      </c>
      <c r="D4678" s="1" t="s">
        <v>23327</v>
      </c>
      <c r="E4678" s="1" t="s">
        <v>23328</v>
      </c>
      <c r="F4678" s="1" t="s">
        <v>23329</v>
      </c>
      <c r="G4678" s="1" t="s">
        <v>23327</v>
      </c>
      <c r="H4678" s="1" t="str">
        <f>IFERROR(__xludf.DUMMYFUNCTION("GOOGLETRANSLATE(D4678,""EN"",""JA"")"),"TNFスーパーファミリーメンバー12の排泄率")</f>
        <v>TNFスーパーファミリーメンバー12の排泄率</v>
      </c>
      <c r="I4678" s="1" t="str">
        <f>IFERROR(__xludf.DUMMYFUNCTION("GOOGLETRANSLATE(E4678,""EN"",""JA"")"),"TNFスーパーファミリーメンバー12の排泄率; TWEAKの排泄率")</f>
        <v>TNFスーパーファミリーメンバー12の排泄率; TWEAKの排泄率</v>
      </c>
      <c r="J4678" s="1" t="str">
        <f>IFERROR(__xludf.DUMMYFUNCTION("GOOGLETRANSLATE(F4678,""EN"",""JA"")"),"定義された期間（例：1 時間）にわたって生物学的標本中に排出される TNF スーパーファミリー メンバー 12 の量を測定します。")</f>
        <v>定義された期間（例：1 時間）にわたって生物学的標本中に排出される TNF スーパーファミリー メンバー 12 の量を測定します。</v>
      </c>
      <c r="K4678" s="1" t="str">
        <f>IFERROR(__xludf.DUMMYFUNCTION("GOOGLETRANSLATE(G4678,""EN"",""JA"")"),"TNFスーパーファミリーメンバー12の排泄率")</f>
        <v>TNFスーパーファミリーメンバー12の排泄率</v>
      </c>
    </row>
    <row r="4679" ht="13.5" customHeight="1">
      <c r="A4679" s="1" t="s">
        <v>11</v>
      </c>
      <c r="B4679" s="1" t="s">
        <v>23330</v>
      </c>
      <c r="C4679" s="1" t="s">
        <v>23331</v>
      </c>
      <c r="D4679" s="1" t="s">
        <v>23332</v>
      </c>
      <c r="E4679" s="1" t="s">
        <v>23333</v>
      </c>
      <c r="F4679" s="1" t="s">
        <v>23334</v>
      </c>
      <c r="G4679" s="1" t="s">
        <v>23335</v>
      </c>
      <c r="H4679" s="1" t="str">
        <f>IFERROR(__xludf.DUMMYFUNCTION("GOOGLETRANSLATE(D4679,""EN"",""JA"")"),"可溶性TNFスーパーファミリーメンバー12")</f>
        <v>可溶性TNFスーパーファミリーメンバー12</v>
      </c>
      <c r="I4679" s="1" t="str">
        <f>IFERROR(__xludf.DUMMYFUNCTION("GOOGLETRANSLATE(E4679,""EN"",""JA"")"),"可溶性TNFスーパーファミリーメンバー12; 可溶性TNFSF12")</f>
        <v>可溶性TNFスーパーファミリーメンバー12; 可溶性TNFSF12</v>
      </c>
      <c r="J4679" s="1" t="str">
        <f>IFERROR(__xludf.DUMMYFUNCTION("GOOGLETRANSLATE(F4679,""EN"",""JA"")"),"生物標本中の可溶性腫瘍壊死因子スーパーファミリーメンバー 12 の測定。")</f>
        <v>生物標本中の可溶性腫瘍壊死因子スーパーファミリーメンバー 12 の測定。</v>
      </c>
      <c r="K4679" s="1" t="str">
        <f>IFERROR(__xludf.DUMMYFUNCTION("GOOGLETRANSLATE(G4679,""EN"",""JA"")"),"可溶性TNFスーパーファミリーメンバー12の測定")</f>
        <v>可溶性TNFスーパーファミリーメンバー12の測定</v>
      </c>
    </row>
    <row r="4680" ht="13.5" customHeight="1">
      <c r="A4680" s="1" t="s">
        <v>11</v>
      </c>
      <c r="B4680" s="1" t="s">
        <v>23336</v>
      </c>
      <c r="C4680" s="1" t="s">
        <v>23337</v>
      </c>
      <c r="D4680" s="1" t="s">
        <v>23338</v>
      </c>
      <c r="E4680" s="1" t="s">
        <v>23339</v>
      </c>
      <c r="F4680" s="1" t="s">
        <v>23340</v>
      </c>
      <c r="G4680" s="1" t="s">
        <v>23341</v>
      </c>
      <c r="H4680" s="1" t="str">
        <f>IFERROR(__xludf.DUMMYFUNCTION("GOOGLETRANSLATE(D4680,""EN"",""JA"")"),"可溶性TNFスーパーファミリーメンバー5")</f>
        <v>可溶性TNFスーパーファミリーメンバー5</v>
      </c>
      <c r="I4680" s="1" t="str">
        <f>IFERROR(__xludf.DUMMYFUNCTION("GOOGLETRANSLATE(E4680,""EN"",""JA"")"),"可溶性 CD154; 可溶性 CD40 リガンド; 可溶性 CD40L; 可溶性 CD40LG; 可溶性 gp39; 可溶性 T-BAM; 可溶性 TNF スーパーファミリーメンバー 5; 可溶性 TNFSF5; 可溶性 TRAP")</f>
        <v>可溶性 CD154; 可溶性 CD40 リガンド; 可溶性 CD40L; 可溶性 CD40LG; 可溶性 gp39; 可溶性 T-BAM; 可溶性 TNF スーパーファミリーメンバー 5; 可溶性 TNFSF5; 可溶性 TRAP</v>
      </c>
      <c r="J4680" s="1" t="str">
        <f>IFERROR(__xludf.DUMMYFUNCTION("GOOGLETRANSLATE(F4680,""EN"",""JA"")"),"生物標本中の可溶性腫瘍壊死因子スーパーファミリーメンバー 5 の測定。")</f>
        <v>生物標本中の可溶性腫瘍壊死因子スーパーファミリーメンバー 5 の測定。</v>
      </c>
      <c r="K4680" s="1" t="str">
        <f>IFERROR(__xludf.DUMMYFUNCTION("GOOGLETRANSLATE(G4680,""EN"",""JA"")"),"可溶性TNFスーパーファミリーメンバー5の測定")</f>
        <v>可溶性TNFスーパーファミリーメンバー5の測定</v>
      </c>
    </row>
    <row r="4681" ht="13.5" customHeight="1">
      <c r="A4681" s="1" t="s">
        <v>11</v>
      </c>
      <c r="B4681" s="1" t="s">
        <v>23342</v>
      </c>
      <c r="C4681" s="1" t="s">
        <v>23343</v>
      </c>
      <c r="D4681" s="1" t="s">
        <v>23344</v>
      </c>
      <c r="E4681" s="1" t="s">
        <v>23345</v>
      </c>
      <c r="F4681" s="1" t="s">
        <v>23346</v>
      </c>
      <c r="G4681" s="1" t="s">
        <v>23347</v>
      </c>
      <c r="H4681" s="1" t="str">
        <f>IFERROR(__xludf.DUMMYFUNCTION("GOOGLETRANSLATE(D4681,""EN"",""JA"")"),"TNF-α産生阻害")</f>
        <v>TNF-α産生阻害</v>
      </c>
      <c r="I4681" s="1" t="str">
        <f>IFERROR(__xludf.DUMMYFUNCTION("GOOGLETRANSLATE(E4681,""EN"",""JA"")"),"TNF-α産生阻害; TNF-α産生阻害活性")</f>
        <v>TNF-α産生阻害; TNF-α産生阻害活性</v>
      </c>
      <c r="J4681" s="1" t="str">
        <f>IFERROR(__xludf.DUMMYFUNCTION("GOOGLETRANSLATE(F4681,""EN"",""JA"")"),"生物標本中のTNF-a産生阻害活性の測定。")</f>
        <v>生物標本中のTNF-a産生阻害活性の測定。</v>
      </c>
      <c r="K4681" s="1" t="str">
        <f>IFERROR(__xludf.DUMMYFUNCTION("GOOGLETRANSLATE(G4681,""EN"",""JA"")"),"TNF-α産生阻害活性測定")</f>
        <v>TNF-α産生阻害活性測定</v>
      </c>
    </row>
    <row r="4682" ht="13.5" customHeight="1">
      <c r="A4682" s="1" t="s">
        <v>11</v>
      </c>
      <c r="B4682" s="1" t="s">
        <v>23348</v>
      </c>
      <c r="C4682" s="1" t="s">
        <v>23349</v>
      </c>
      <c r="D4682" s="1" t="s">
        <v>23350</v>
      </c>
      <c r="E4682" s="1" t="s">
        <v>23351</v>
      </c>
      <c r="F4682" s="1" t="s">
        <v>23352</v>
      </c>
      <c r="G4682" s="1" t="s">
        <v>23353</v>
      </c>
      <c r="H4682" s="1" t="str">
        <f>IFERROR(__xludf.DUMMYFUNCTION("GOOGLETRANSLATE(D4682,""EN"",""JA"")"),"腫瘍壊死因子受容体1")</f>
        <v>腫瘍壊死因子受容体1</v>
      </c>
      <c r="I4682" s="1" t="str">
        <f>IFERROR(__xludf.DUMMYFUNCTION("GOOGLETRANSLATE(E4682,""EN"",""JA"")"),"可溶性CD120a; 腫瘍壊死因子受容体1")</f>
        <v>可溶性CD120a; 腫瘍壊死因子受容体1</v>
      </c>
      <c r="J4682" s="1" t="str">
        <f>IFERROR(__xludf.DUMMYFUNCTION("GOOGLETRANSLATE(F4682,""EN"",""JA"")"),"生物標本中の腫瘍壊死因子受容体 1 (CD120a) の測定。")</f>
        <v>生物標本中の腫瘍壊死因子受容体 1 (CD120a) の測定。</v>
      </c>
      <c r="K4682" s="1" t="str">
        <f>IFERROR(__xludf.DUMMYFUNCTION("GOOGLETRANSLATE(G4682,""EN"",""JA"")"),"腫瘍壊死因子受容体1の測定")</f>
        <v>腫瘍壊死因子受容体1の測定</v>
      </c>
    </row>
    <row r="4683" ht="13.5" customHeight="1">
      <c r="A4683" s="1" t="s">
        <v>11</v>
      </c>
      <c r="B4683" s="1" t="s">
        <v>23354</v>
      </c>
      <c r="C4683" s="1" t="s">
        <v>23355</v>
      </c>
      <c r="D4683" s="1" t="s">
        <v>23356</v>
      </c>
      <c r="E4683" s="1" t="s">
        <v>23357</v>
      </c>
      <c r="F4683" s="1" t="s">
        <v>23358</v>
      </c>
      <c r="G4683" s="1" t="s">
        <v>23359</v>
      </c>
      <c r="H4683" s="1" t="str">
        <f>IFERROR(__xludf.DUMMYFUNCTION("GOOGLETRANSLATE(D4683,""EN"",""JA"")"),"TNF受容体1B")</f>
        <v>TNF受容体1B</v>
      </c>
      <c r="I4683" s="1" t="str">
        <f>IFERROR(__xludf.DUMMYFUNCTION("GOOGLETRANSLATE(E4683,""EN"",""JA"")"),"CD120b; p75; p75TNFR; 可溶性 CD120b; TBPII; TNF 受容体 1B; TNF-R-II; TNF-R75; TNFBR; TNFR1B; TNFR2; TNFR80; 腫瘍壊死因子受容体 2")</f>
        <v>CD120b; p75; p75TNFR; 可溶性 CD120b; TBPII; TNF 受容体 1B; TNF-R-II; TNF-R75; TNFBR; TNFR1B; TNFR2; TNFR80; 腫瘍壊死因子受容体 2</v>
      </c>
      <c r="J4683" s="1" t="str">
        <f>IFERROR(__xludf.DUMMYFUNCTION("GOOGLETRANSLATE(F4683,""EN"",""JA"")"),"生物標本中の腫瘍壊死因子受容体スーパーファミリーメンバー 1B の測定。")</f>
        <v>生物標本中の腫瘍壊死因子受容体スーパーファミリーメンバー 1B の測定。</v>
      </c>
      <c r="K4683" s="1" t="str">
        <f>IFERROR(__xludf.DUMMYFUNCTION("GOOGLETRANSLATE(G4683,""EN"",""JA"")"),"TNF受容体1B測定")</f>
        <v>TNF受容体1B測定</v>
      </c>
    </row>
    <row r="4684" ht="13.5" customHeight="1">
      <c r="A4684" s="1" t="s">
        <v>11</v>
      </c>
      <c r="B4684" s="1" t="s">
        <v>23360</v>
      </c>
      <c r="C4684" s="1" t="s">
        <v>23361</v>
      </c>
      <c r="D4684" s="1" t="s">
        <v>23362</v>
      </c>
      <c r="E4684" s="1" t="s">
        <v>23363</v>
      </c>
      <c r="F4684" s="1" t="s">
        <v>23364</v>
      </c>
      <c r="G4684" s="1" t="s">
        <v>23365</v>
      </c>
      <c r="H4684" s="1" t="str">
        <f>IFERROR(__xludf.DUMMYFUNCTION("GOOGLETRANSLATE(D4684,""EN"",""JA"")"),"可溶性TNF受容体1B")</f>
        <v>可溶性TNF受容体1B</v>
      </c>
      <c r="I4684" s="1" t="str">
        <f>IFERROR(__xludf.DUMMYFUNCTION("GOOGLETRANSLATE(E4684,""EN"",""JA"")"),"可溶性CD120b; 可溶性TNF受容体1B; 可溶性TNF受容体II型; 可溶性TNFR1B; 可溶性TNFRSF1B; 可溶性腫瘍壊死因子受容体スーパーファミリーメンバー1B")</f>
        <v>可溶性CD120b; 可溶性TNF受容体1B; 可溶性TNF受容体II型; 可溶性TNFR1B; 可溶性TNFRSF1B; 可溶性腫瘍壊死因子受容体スーパーファミリーメンバー1B</v>
      </c>
      <c r="J4684" s="1" t="str">
        <f>IFERROR(__xludf.DUMMYFUNCTION("GOOGLETRANSLATE(F4684,""EN"",""JA"")"),"生物標本中の可溶性腫瘍壊死因子受容体スーパーファミリーメンバー 1B の測定。")</f>
        <v>生物標本中の可溶性腫瘍壊死因子受容体スーパーファミリーメンバー 1B の測定。</v>
      </c>
      <c r="K4684" s="1" t="str">
        <f>IFERROR(__xludf.DUMMYFUNCTION("GOOGLETRANSLATE(G4684,""EN"",""JA"")"),"可溶性腫瘍壊死因子受容体II型測定")</f>
        <v>可溶性腫瘍壊死因子受容体II型測定</v>
      </c>
    </row>
    <row r="4685" ht="13.5" customHeight="1">
      <c r="A4685" s="1" t="s">
        <v>11</v>
      </c>
      <c r="B4685" s="1" t="s">
        <v>23366</v>
      </c>
      <c r="C4685" s="1" t="s">
        <v>23367</v>
      </c>
      <c r="D4685" s="1" t="s">
        <v>23368</v>
      </c>
      <c r="E4685" s="1" t="s">
        <v>23369</v>
      </c>
      <c r="F4685" s="1" t="s">
        <v>23370</v>
      </c>
      <c r="G4685" s="1" t="s">
        <v>23371</v>
      </c>
      <c r="H4685" s="1" t="str">
        <f>IFERROR(__xludf.DUMMYFUNCTION("GOOGLETRANSLATE(D4685,""EN"",""JA"")"),"可溶性TNF受容体スーパーファミリーMem 5")</f>
        <v>可溶性TNF受容体スーパーファミリーMem 5</v>
      </c>
      <c r="I4685" s="1" t="str">
        <f>IFERROR(__xludf.DUMMYFUNCTION("GOOGLETRANSLATE(E4685,""EN"",""JA"")"),"可溶性 B 細胞表面抗原 CD40; 可溶性 Bp50; 可溶性 CD40; 可溶性 CDW40; 可溶性 p50; 可溶性 TNF 受容体スーパーファミリー メンバー 5; 可溶性 TNF 受容体スーパーファミリー メンバー 5; 可溶性 TNFRSF5; 可溶性腫瘍壊死因子受容体スーパーファミリー メンバー 5")</f>
        <v>可溶性 B 細胞表面抗原 CD40; 可溶性 Bp50; 可溶性 CD40; 可溶性 CDW40; 可溶性 p50; 可溶性 TNF 受容体スーパーファミリー メンバー 5; 可溶性 TNF 受容体スーパーファミリー メンバー 5; 可溶性 TNFRSF5; 可溶性腫瘍壊死因子受容体スーパーファミリー メンバー 5</v>
      </c>
      <c r="J4685" s="1" t="str">
        <f>IFERROR(__xludf.DUMMYFUNCTION("GOOGLETRANSLATE(F4685,""EN"",""JA"")"),"生物標本中の可溶性腫瘍壊死因子受容体スーパーファミリーメンバー 5 (CD40) の測定。")</f>
        <v>生物標本中の可溶性腫瘍壊死因子受容体スーパーファミリーメンバー 5 (CD40) の測定。</v>
      </c>
      <c r="K4685" s="1" t="str">
        <f>IFERROR(__xludf.DUMMYFUNCTION("GOOGLETRANSLATE(G4685,""EN"",""JA"")"),"可溶性TNF受容体スーパーファミリーメンバー5の測定")</f>
        <v>可溶性TNF受容体スーパーファミリーメンバー5の測定</v>
      </c>
    </row>
    <row r="4686" ht="13.5" customHeight="1">
      <c r="A4686" s="1" t="s">
        <v>11</v>
      </c>
      <c r="B4686" s="1" t="s">
        <v>23372</v>
      </c>
      <c r="C4686" s="1" t="s">
        <v>23373</v>
      </c>
      <c r="D4686" s="1" t="s">
        <v>23374</v>
      </c>
      <c r="E4686" s="1" t="s">
        <v>23375</v>
      </c>
      <c r="F4686" s="1" t="s">
        <v>23376</v>
      </c>
      <c r="G4686" s="1" t="s">
        <v>23377</v>
      </c>
      <c r="H4686" s="1" t="str">
        <f>IFERROR(__xludf.DUMMYFUNCTION("GOOGLETRANSLATE(D4686,""EN"",""JA"")"),"可溶性TNF受容体スーパーファミリーMem 7")</f>
        <v>可溶性TNF受容体スーパーファミリーMem 7</v>
      </c>
      <c r="I4686" s="1" t="str">
        <f>IFERROR(__xludf.DUMMYFUNCTION("GOOGLETRANSLATE(E4686,""EN"",""JA"")"),"可溶性 CD27; 可溶性 CD27 抗原; 可溶性 CD27 分子; 可溶性 TNF 受容体スーパーファミリー メンバー 7; 可溶性 TNFRSF7; 可溶性腫瘍壊死因子受容体スーパーファミリー メンバー 7")</f>
        <v>可溶性 CD27; 可溶性 CD27 抗原; 可溶性 CD27 分子; 可溶性 TNF 受容体スーパーファミリー メンバー 7; 可溶性 TNFRSF7; 可溶性腫瘍壊死因子受容体スーパーファミリー メンバー 7</v>
      </c>
      <c r="J4686" s="1" t="str">
        <f>IFERROR(__xludf.DUMMYFUNCTION("GOOGLETRANSLATE(F4686,""EN"",""JA"")"),"生物学的標本中の可溶性腫瘍壊死因子受容体スーパーファミリーメンバー 7 (CD27) の測定。")</f>
        <v>生物学的標本中の可溶性腫瘍壊死因子受容体スーパーファミリーメンバー 7 (CD27) の測定。</v>
      </c>
      <c r="K4686" s="1" t="str">
        <f>IFERROR(__xludf.DUMMYFUNCTION("GOOGLETRANSLATE(G4686,""EN"",""JA"")"),"可溶性TNF受容体スーパーファミリーMem 7の測定")</f>
        <v>可溶性TNF受容体スーパーファミリーMem 7の測定</v>
      </c>
    </row>
    <row r="4687" ht="13.5" customHeight="1">
      <c r="A4687" s="1" t="s">
        <v>11</v>
      </c>
      <c r="B4687" s="1" t="s">
        <v>23378</v>
      </c>
      <c r="C4687" s="1" t="s">
        <v>23379</v>
      </c>
      <c r="D4687" s="1" t="s">
        <v>23380</v>
      </c>
      <c r="E4687" s="1" t="s">
        <v>23381</v>
      </c>
      <c r="F4687" s="1" t="s">
        <v>23382</v>
      </c>
      <c r="G4687" s="1" t="s">
        <v>23383</v>
      </c>
      <c r="H4687" s="1" t="str">
        <f>IFERROR(__xludf.DUMMYFUNCTION("GOOGLETRANSLATE(D4687,""EN"",""JA"")"),"可溶性TNF受容体スーパーファミリーMem 9")</f>
        <v>可溶性TNF受容体スーパーファミリーMem 9</v>
      </c>
      <c r="I4687" s="1" t="str">
        <f>IFERROR(__xludf.DUMMYFUNCTION("GOOGLETRANSLATE(E4687,""EN"",""JA"")"),"sCD137; 可溶性 CD137; 可溶性 TNF 受容体スーパーファミリーメンバー 9; 可溶性 TNF 受容体スーパーファミリーメンバー 9; 可溶性 TNFRSF9")</f>
        <v>sCD137; 可溶性 CD137; 可溶性 TNF 受容体スーパーファミリーメンバー 9; 可溶性 TNF 受容体スーパーファミリーメンバー 9; 可溶性 TNFRSF9</v>
      </c>
      <c r="J4687" s="1" t="str">
        <f>IFERROR(__xludf.DUMMYFUNCTION("GOOGLETRANSLATE(F4687,""EN"",""JA"")"),"生物標本中の可溶性腫瘍壊死因子受容体スーパーファミリーメンバー 9 (CD137) の測定。")</f>
        <v>生物標本中の可溶性腫瘍壊死因子受容体スーパーファミリーメンバー 9 (CD137) の測定。</v>
      </c>
      <c r="K4687" s="1" t="str">
        <f>IFERROR(__xludf.DUMMYFUNCTION("GOOGLETRANSLATE(G4687,""EN"",""JA"")"),"可溶性腫瘍壊死因子受容体スーパーファミリーメンバー9の測定")</f>
        <v>可溶性腫瘍壊死因子受容体スーパーファミリーメンバー9の測定</v>
      </c>
    </row>
    <row r="4688" ht="13.5" customHeight="1">
      <c r="A4688" s="1" t="s">
        <v>11</v>
      </c>
      <c r="B4688" s="1" t="s">
        <v>23384</v>
      </c>
      <c r="C4688" s="1" t="s">
        <v>23385</v>
      </c>
      <c r="D4688" s="1" t="s">
        <v>23386</v>
      </c>
      <c r="E4688" s="1" t="s">
        <v>23386</v>
      </c>
      <c r="F4688" s="1" t="s">
        <v>23387</v>
      </c>
      <c r="G4688" s="1" t="s">
        <v>23388</v>
      </c>
      <c r="H4688" s="1" t="str">
        <f>IFERROR(__xludf.DUMMYFUNCTION("GOOGLETRANSLATE(D4688,""EN"",""JA"")"),"可溶性腫瘍壊死因子受容体")</f>
        <v>可溶性腫瘍壊死因子受容体</v>
      </c>
      <c r="I4688" s="1" t="str">
        <f>IFERROR(__xludf.DUMMYFUNCTION("GOOGLETRANSLATE(E4688,""EN"",""JA"")"),"可溶性腫瘍壊死因子受容体")</f>
        <v>可溶性腫瘍壊死因子受容体</v>
      </c>
      <c r="J4688" s="1" t="str">
        <f>IFERROR(__xludf.DUMMYFUNCTION("GOOGLETRANSLATE(F4688,""EN"",""JA"")"),"生物標本中の可溶性腫瘍壊死因子受容体の総量の測定。")</f>
        <v>生物標本中の可溶性腫瘍壊死因子受容体の総量の測定。</v>
      </c>
      <c r="K4688" s="1" t="str">
        <f>IFERROR(__xludf.DUMMYFUNCTION("GOOGLETRANSLATE(G4688,""EN"",""JA"")"),"可溶性腫瘍壊死因子受容体測定")</f>
        <v>可溶性腫瘍壊死因子受容体測定</v>
      </c>
    </row>
    <row r="4689" ht="13.5" customHeight="1">
      <c r="A4689" s="1" t="s">
        <v>11</v>
      </c>
      <c r="B4689" s="1" t="s">
        <v>23389</v>
      </c>
      <c r="C4689" s="1" t="s">
        <v>23390</v>
      </c>
      <c r="D4689" s="1" t="s">
        <v>23391</v>
      </c>
      <c r="E4689" s="1" t="s">
        <v>23391</v>
      </c>
      <c r="F4689" s="1" t="s">
        <v>23392</v>
      </c>
      <c r="G4689" s="1" t="s">
        <v>23393</v>
      </c>
      <c r="H4689" s="1" t="str">
        <f>IFERROR(__xludf.DUMMYFUNCTION("GOOGLETRANSLATE(D4689,""EN"",""JA"")"),"可溶性TNF受容体I型")</f>
        <v>可溶性TNF受容体I型</v>
      </c>
      <c r="I4689" s="1" t="str">
        <f>IFERROR(__xludf.DUMMYFUNCTION("GOOGLETRANSLATE(E4689,""EN"",""JA"")"),"可溶性TNF受容体I型")</f>
        <v>可溶性TNF受容体I型</v>
      </c>
      <c r="J4689" s="1" t="str">
        <f>IFERROR(__xludf.DUMMYFUNCTION("GOOGLETRANSLATE(F4689,""EN"",""JA"")"),"生物標本中の可溶性腫瘍壊死因子受容体 I 型の測定。")</f>
        <v>生物標本中の可溶性腫瘍壊死因子受容体 I 型の測定。</v>
      </c>
      <c r="K4689" s="1" t="str">
        <f>IFERROR(__xludf.DUMMYFUNCTION("GOOGLETRANSLATE(G4689,""EN"",""JA"")"),"可溶性腫瘍壊死因子受容体I型測定")</f>
        <v>可溶性腫瘍壊死因子受容体I型測定</v>
      </c>
    </row>
    <row r="4690" ht="13.5" customHeight="1">
      <c r="A4690" s="1" t="s">
        <v>11</v>
      </c>
      <c r="B4690" s="1" t="s">
        <v>23394</v>
      </c>
      <c r="C4690" s="1" t="s">
        <v>23395</v>
      </c>
      <c r="D4690" s="1" t="s">
        <v>23396</v>
      </c>
      <c r="E4690" s="1" t="s">
        <v>23397</v>
      </c>
      <c r="F4690" s="1" t="s">
        <v>23398</v>
      </c>
      <c r="G4690" s="1" t="s">
        <v>23399</v>
      </c>
      <c r="H4690" s="1" t="str">
        <f>IFERROR(__xludf.DUMMYFUNCTION("GOOGLETRANSLATE(D4690,""EN"",""JA"")"),"トルエン")</f>
        <v>トルエン</v>
      </c>
      <c r="I4690" s="1" t="str">
        <f>IFERROR(__xludf.DUMMYFUNCTION("GOOGLETRANSLATE(E4690,""EN"",""JA"")"),"メチルベンゼン、フェニルメタン、トルエン、トルエンオール")</f>
        <v>メチルベンゼン、フェニルメタン、トルエン、トルエンオール</v>
      </c>
      <c r="J4690" s="1" t="str">
        <f>IFERROR(__xludf.DUMMYFUNCTION("GOOGLETRANSLATE(F4690,""EN"",""JA"")"),"標本中のトルエンの測定。")</f>
        <v>標本中のトルエンの測定。</v>
      </c>
      <c r="K4690" s="1" t="str">
        <f>IFERROR(__xludf.DUMMYFUNCTION("GOOGLETRANSLATE(G4690,""EN"",""JA"")"),"トルエン測定")</f>
        <v>トルエン測定</v>
      </c>
    </row>
    <row r="4691" ht="13.5" customHeight="1">
      <c r="A4691" s="1" t="s">
        <v>11</v>
      </c>
      <c r="B4691" s="1" t="s">
        <v>23400</v>
      </c>
      <c r="C4691" s="1" t="s">
        <v>23401</v>
      </c>
      <c r="D4691" s="1" t="s">
        <v>23402</v>
      </c>
      <c r="E4691" s="1" t="s">
        <v>23403</v>
      </c>
      <c r="F4691" s="1" t="s">
        <v>23404</v>
      </c>
      <c r="G4691" s="1" t="s">
        <v>23405</v>
      </c>
      <c r="H4691" s="1" t="str">
        <f>IFERROR(__xludf.DUMMYFUNCTION("GOOGLETRANSLATE(D4691,""EN"",""JA"")"),"トモレグリン-2")</f>
        <v>トモレグリン-2</v>
      </c>
      <c r="I4691" s="1" t="str">
        <f>IFERROR(__xludf.DUMMYFUNCTION("GOOGLETRANSLATE(E4691,""EN"",""JA"")"),"トモレグリン-2; EGF様ドメインと2つのフォリスタチン様ドメインを持つ膜貫通タンパク質2")</f>
        <v>トモレグリン-2; EGF様ドメインと2つのフォリスタチン様ドメインを持つ膜貫通タンパク質2</v>
      </c>
      <c r="J4691" s="1" t="str">
        <f>IFERROR(__xludf.DUMMYFUNCTION("GOOGLETRANSLATE(F4691,""EN"",""JA"")"),"生物標本中のトモレグリン-2の測定。")</f>
        <v>生物標本中のトモレグリン-2の測定。</v>
      </c>
      <c r="K4691" s="1" t="str">
        <f>IFERROR(__xludf.DUMMYFUNCTION("GOOGLETRANSLATE(G4691,""EN"",""JA"")"),"トモレグリン-2測定")</f>
        <v>トモレグリン-2測定</v>
      </c>
    </row>
    <row r="4692" ht="13.5" customHeight="1">
      <c r="A4692" s="1" t="s">
        <v>67</v>
      </c>
      <c r="B4692" s="1" t="s">
        <v>23406</v>
      </c>
      <c r="C4692" s="1" t="s">
        <v>23407</v>
      </c>
      <c r="D4692" s="1" t="s">
        <v>23408</v>
      </c>
      <c r="E4692" s="1" t="s">
        <v>23408</v>
      </c>
      <c r="F4692" s="1" t="s">
        <v>23409</v>
      </c>
      <c r="G4692" s="1" t="s">
        <v>23410</v>
      </c>
      <c r="H4692" s="1" t="str">
        <f>IFERROR(__xludf.DUMMYFUNCTION("GOOGLETRANSLATE(D4692,""EN"",""JA"")"),"毒素B産生クロストリジウム・ディフィシル")</f>
        <v>毒素B産生クロストリジウム・ディフィシル</v>
      </c>
      <c r="I4692" s="1" t="str">
        <f>IFERROR(__xludf.DUMMYFUNCTION("GOOGLETRANSLATE(E4692,""EN"",""JA"")"),"毒素B産生クロストリジウム・ディフィシル")</f>
        <v>毒素B産生クロストリジウム・ディフィシル</v>
      </c>
      <c r="J4692" s="1" t="str">
        <f>IFERROR(__xludf.DUMMYFUNCTION("GOOGLETRANSLATE(F4692,""EN"",""JA"")"),"生物標本中のクロストリジウム・ディフィシルの毒素B産生株の測定。")</f>
        <v>生物標本中のクロストリジウム・ディフィシルの毒素B産生株の測定。</v>
      </c>
      <c r="K4692" s="1" t="str">
        <f>IFERROR(__xludf.DUMMYFUNCTION("GOOGLETRANSLATE(G4692,""EN"",""JA"")"),"毒素B産生クロストリジウム・ディフィシルの測定")</f>
        <v>毒素B産生クロストリジウム・ディフィシルの測定</v>
      </c>
    </row>
    <row r="4693" ht="13.5" customHeight="1">
      <c r="A4693" s="1" t="s">
        <v>67</v>
      </c>
      <c r="B4693" s="1" t="s">
        <v>23411</v>
      </c>
      <c r="C4693" s="1" t="s">
        <v>23412</v>
      </c>
      <c r="D4693" s="1" t="s">
        <v>23413</v>
      </c>
      <c r="E4693" s="1" t="s">
        <v>23413</v>
      </c>
      <c r="F4693" s="1" t="s">
        <v>23414</v>
      </c>
      <c r="G4693" s="1" t="s">
        <v>23415</v>
      </c>
      <c r="H4693" s="1" t="str">
        <f>IFERROR(__xludf.DUMMYFUNCTION("GOOGLETRANSLATE(D4693,""EN"",""JA"")"),"毒素産生クロストリジウム・ディフィシル")</f>
        <v>毒素産生クロストリジウム・ディフィシル</v>
      </c>
      <c r="I4693" s="1" t="str">
        <f>IFERROR(__xludf.DUMMYFUNCTION("GOOGLETRANSLATE(E4693,""EN"",""JA"")"),"毒素産生クロストリジウム・ディフィシル")</f>
        <v>毒素産生クロストリジウム・ディフィシル</v>
      </c>
      <c r="J4693" s="1" t="str">
        <f>IFERROR(__xludf.DUMMYFUNCTION("GOOGLETRANSLATE(F4693,""EN"",""JA"")"),"生物標本中のクロストリジウム・ディフィシルの毒素産生株の測定。")</f>
        <v>生物標本中のクロストリジウム・ディフィシルの毒素産生株の測定。</v>
      </c>
      <c r="K4693" s="1" t="str">
        <f>IFERROR(__xludf.DUMMYFUNCTION("GOOGLETRANSLATE(G4693,""EN"",""JA"")"),"毒素産生クロストリジウム・ディフィシル測定")</f>
        <v>毒素産生クロストリジウム・ディフィシル測定</v>
      </c>
    </row>
    <row r="4694" ht="13.5" customHeight="1">
      <c r="A4694" s="1" t="s">
        <v>11</v>
      </c>
      <c r="B4694" s="1" t="s">
        <v>23416</v>
      </c>
      <c r="C4694" s="1" t="s">
        <v>23417</v>
      </c>
      <c r="D4694" s="1" t="s">
        <v>23418</v>
      </c>
      <c r="E4694" s="1" t="s">
        <v>23418</v>
      </c>
      <c r="F4694" s="1" t="s">
        <v>23419</v>
      </c>
      <c r="G4694" s="1" t="s">
        <v>23420</v>
      </c>
      <c r="H4694" s="1" t="str">
        <f>IFERROR(__xludf.DUMMYFUNCTION("GOOGLETRANSLATE(D4694,""EN"",""JA"")"),"毒性顆粒")</f>
        <v>毒性顆粒</v>
      </c>
      <c r="I4694" s="1" t="str">
        <f>IFERROR(__xludf.DUMMYFUNCTION("GOOGLETRANSLATE(E4694,""EN"",""JA"")"),"毒性顆粒")</f>
        <v>毒性顆粒</v>
      </c>
      <c r="J4694" s="1" t="str">
        <f>IFERROR(__xludf.DUMMYFUNCTION("GOOGLETRANSLATE(F4694,""EN"",""JA"")"),"顆粒球血液細胞内の毒性顆粒の測定。")</f>
        <v>顆粒球血液細胞内の毒性顆粒の測定。</v>
      </c>
      <c r="K4694" s="1" t="str">
        <f>IFERROR(__xludf.DUMMYFUNCTION("GOOGLETRANSLATE(G4694,""EN"",""JA"")"),"毒性顆粒測定")</f>
        <v>毒性顆粒測定</v>
      </c>
    </row>
    <row r="4695" ht="13.5" customHeight="1">
      <c r="A4695" s="1" t="s">
        <v>11</v>
      </c>
      <c r="B4695" s="1" t="s">
        <v>23421</v>
      </c>
      <c r="C4695" s="1" t="s">
        <v>23422</v>
      </c>
      <c r="D4695" s="1" t="s">
        <v>23423</v>
      </c>
      <c r="E4695" s="1" t="s">
        <v>23423</v>
      </c>
      <c r="F4695" s="1" t="s">
        <v>23424</v>
      </c>
      <c r="G4695" s="1" t="s">
        <v>23425</v>
      </c>
      <c r="H4695" s="1" t="str">
        <f>IFERROR(__xludf.DUMMYFUNCTION("GOOGLETRANSLATE(D4695,""EN"",""JA"")"),"有毒な液胞形成")</f>
        <v>有毒な液胞形成</v>
      </c>
      <c r="I4695" s="1" t="str">
        <f>IFERROR(__xludf.DUMMYFUNCTION("GOOGLETRANSLATE(E4695,""EN"",""JA"")"),"有毒な液胞形成")</f>
        <v>有毒な液胞形成</v>
      </c>
      <c r="J4695" s="1" t="str">
        <f>IFERROR(__xludf.DUMMYFUNCTION("GOOGLETRANSLATE(F4695,""EN"",""JA"")"),"顆粒球血液細胞中の毒性空胞化の測定値。")</f>
        <v>顆粒球血液細胞中の毒性空胞化の測定値。</v>
      </c>
      <c r="K4695" s="1" t="str">
        <f>IFERROR(__xludf.DUMMYFUNCTION("GOOGLETRANSLATE(G4695,""EN"",""JA"")"),"毒性液胞化評価")</f>
        <v>毒性液胞化評価</v>
      </c>
    </row>
    <row r="4696" ht="13.5" customHeight="1">
      <c r="A4696" s="1" t="s">
        <v>67</v>
      </c>
      <c r="B4696" s="1" t="s">
        <v>23426</v>
      </c>
      <c r="C4696" s="1" t="s">
        <v>23427</v>
      </c>
      <c r="D4696" s="1" t="s">
        <v>23428</v>
      </c>
      <c r="E4696" s="1" t="s">
        <v>23428</v>
      </c>
      <c r="F4696" s="1" t="s">
        <v>23429</v>
      </c>
      <c r="G4696" s="1" t="s">
        <v>23430</v>
      </c>
      <c r="H4696" s="1" t="str">
        <f>IFERROR(__xludf.DUMMYFUNCTION("GOOGLETRANSLATE(D4696,""EN"",""JA"")"),"梅毒トレポネーマ")</f>
        <v>梅毒トレポネーマ</v>
      </c>
      <c r="I4696" s="1" t="str">
        <f>IFERROR(__xludf.DUMMYFUNCTION("GOOGLETRANSLATE(E4696,""EN"",""JA"")"),"梅毒トレポネーマ")</f>
        <v>梅毒トレポネーマ</v>
      </c>
      <c r="J4696" s="1" t="str">
        <f>IFERROR(__xludf.DUMMYFUNCTION("GOOGLETRANSLATE(F4696,""EN"",""JA"")"),"生物標本中の梅毒トレポネーマの測定。")</f>
        <v>生物標本中の梅毒トレポネーマの測定。</v>
      </c>
      <c r="K4696" s="1" t="str">
        <f>IFERROR(__xludf.DUMMYFUNCTION("GOOGLETRANSLATE(G4696,""EN"",""JA"")"),"梅毒トレポネーマの測定")</f>
        <v>梅毒トレポネーマの測定</v>
      </c>
    </row>
    <row r="4697" ht="13.5" customHeight="1">
      <c r="A4697" s="1" t="s">
        <v>11</v>
      </c>
      <c r="B4697" s="1" t="s">
        <v>23431</v>
      </c>
      <c r="C4697" s="1" t="s">
        <v>23432</v>
      </c>
      <c r="D4697" s="1" t="s">
        <v>23433</v>
      </c>
      <c r="E4697" s="1" t="s">
        <v>23433</v>
      </c>
      <c r="F4697" s="1" t="s">
        <v>23434</v>
      </c>
      <c r="G4697" s="1" t="s">
        <v>23435</v>
      </c>
      <c r="H4697" s="1" t="str">
        <f>IFERROR(__xludf.DUMMYFUNCTION("GOOGLETRANSLATE(D4697,""EN"",""JA"")"),"組織プラスミノーゲン活性化因子抗原")</f>
        <v>組織プラスミノーゲン活性化因子抗原</v>
      </c>
      <c r="I4697" s="1" t="str">
        <f>IFERROR(__xludf.DUMMYFUNCTION("GOOGLETRANSLATE(E4697,""EN"",""JA"")"),"組織プラスミノーゲン活性化因子抗原")</f>
        <v>組織プラスミノーゲン活性化因子抗原</v>
      </c>
      <c r="J4697" s="1" t="str">
        <f>IFERROR(__xludf.DUMMYFUNCTION("GOOGLETRANSLATE(F4697,""EN"",""JA"")"),"生物標本中の組織プラスミノーゲン活性化因子抗原の測定。")</f>
        <v>生物標本中の組織プラスミノーゲン活性化因子抗原の測定。</v>
      </c>
      <c r="K4697" s="1" t="str">
        <f>IFERROR(__xludf.DUMMYFUNCTION("GOOGLETRANSLATE(G4697,""EN"",""JA"")"),"組織プラスミノーゲン活性化因子測定")</f>
        <v>組織プラスミノーゲン活性化因子測定</v>
      </c>
    </row>
    <row r="4698" ht="13.5" customHeight="1">
      <c r="A4698" s="1" t="s">
        <v>67</v>
      </c>
      <c r="B4698" s="1" t="s">
        <v>23436</v>
      </c>
      <c r="C4698" s="1" t="s">
        <v>23437</v>
      </c>
      <c r="D4698" s="1" t="s">
        <v>23438</v>
      </c>
      <c r="E4698" s="1" t="s">
        <v>23438</v>
      </c>
      <c r="F4698" s="1" t="s">
        <v>23439</v>
      </c>
      <c r="G4698" s="1" t="s">
        <v>23440</v>
      </c>
      <c r="H4698" s="1" t="str">
        <f>IFERROR(__xludf.DUMMYFUNCTION("GOOGLETRANSLATE(D4698,""EN"",""JA"")"),"トレポネーマ・パリダムDNA")</f>
        <v>トレポネーマ・パリダムDNA</v>
      </c>
      <c r="I4698" s="1" t="str">
        <f>IFERROR(__xludf.DUMMYFUNCTION("GOOGLETRANSLATE(E4698,""EN"",""JA"")"),"トレポネーマ・パリダムDNA")</f>
        <v>トレポネーマ・パリダムDNA</v>
      </c>
      <c r="J4698" s="1" t="str">
        <f>IFERROR(__xludf.DUMMYFUNCTION("GOOGLETRANSLATE(F4698,""EN"",""JA"")"),"生物標本中の梅毒トレポネーマ DNA の測定。")</f>
        <v>生物標本中の梅毒トレポネーマ DNA の測定。</v>
      </c>
      <c r="K4698" s="1" t="str">
        <f>IFERROR(__xludf.DUMMYFUNCTION("GOOGLETRANSLATE(G4698,""EN"",""JA"")"),"梅毒トレポネーマDNA測定")</f>
        <v>梅毒トレポネーマDNA測定</v>
      </c>
    </row>
    <row r="4699" ht="13.5" customHeight="1">
      <c r="A4699" s="1" t="s">
        <v>11</v>
      </c>
      <c r="B4699" s="1" t="s">
        <v>23441</v>
      </c>
      <c r="C4699" s="1" t="s">
        <v>23442</v>
      </c>
      <c r="D4699" s="1" t="s">
        <v>23443</v>
      </c>
      <c r="E4699" s="1" t="s">
        <v>23444</v>
      </c>
      <c r="F4699" s="1" t="s">
        <v>23445</v>
      </c>
      <c r="G4699" s="1" t="s">
        <v>23446</v>
      </c>
      <c r="H4699" s="1" t="str">
        <f>IFERROR(__xludf.DUMMYFUNCTION("GOOGLETRANSLATE(D4699,""EN"",""JA"")"),"組織ポリペプチド抗原")</f>
        <v>組織ポリペプチド抗原</v>
      </c>
      <c r="I4699" s="1" t="str">
        <f>IFERROR(__xludf.DUMMYFUNCTION("GOOGLETRANSLATE(E4699,""EN"",""JA"")"),"組織ポリペプチド抗原; TPA")</f>
        <v>組織ポリペプチド抗原; TPA</v>
      </c>
      <c r="J4699" s="1" t="str">
        <f>IFERROR(__xludf.DUMMYFUNCTION("GOOGLETRANSLATE(F4699,""EN"",""JA"")"),"生物標本中の組織ポリペプチド抗原の測定。")</f>
        <v>生物標本中の組織ポリペプチド抗原の測定。</v>
      </c>
      <c r="K4699" s="1" t="str">
        <f>IFERROR(__xludf.DUMMYFUNCTION("GOOGLETRANSLATE(G4699,""EN"",""JA"")"),"組織ポリペプチド抗原測定")</f>
        <v>組織ポリペプチド抗原測定</v>
      </c>
    </row>
    <row r="4700" ht="13.5" customHeight="1">
      <c r="A4700" s="1" t="s">
        <v>397</v>
      </c>
      <c r="B4700" s="1" t="s">
        <v>23447</v>
      </c>
      <c r="C4700" s="1" t="s">
        <v>23448</v>
      </c>
      <c r="D4700" s="1" t="s">
        <v>23449</v>
      </c>
      <c r="E4700" s="1" t="s">
        <v>23450</v>
      </c>
      <c r="F4700" s="1" t="s">
        <v>23451</v>
      </c>
      <c r="G4700" s="1" t="s">
        <v>23452</v>
      </c>
      <c r="H4700" s="1" t="str">
        <f>IFERROR(__xludf.DUMMYFUNCTION("GOOGLETRANSLATE(D4700,""EN"",""JA"")"),"試験段階の分類")</f>
        <v>試験段階の分類</v>
      </c>
      <c r="I4700" s="1" t="str">
        <f>IFERROR(__xludf.DUMMYFUNCTION("GOOGLETRANSLATE(E4700,""EN"",""JA"")"),"試験段階; 試験段階の分類")</f>
        <v>試験段階; 試験段階の分類</v>
      </c>
      <c r="J4700" s="1" t="str">
        <f>IFERROR(__xludf.DUMMYFUNCTION("GOOGLETRANSLATE(F4700,""EN"",""JA"")"),"初期臨床試験から承認後試験までの治療法の臨床研究および開発における段階。注：臨床試験は通常4段階（場合によっては5段階）に分類されます。治療介入は2～3か月で評価される場合があります。")</f>
        <v>初期臨床試験から承認後試験までの治療法の臨床研究および開発における段階。注：臨床試験は通常4段階（場合によっては5段階）に分類されます。治療介入は2～3か月で評価される場合があります。</v>
      </c>
      <c r="K4700" s="1" t="str">
        <f>IFERROR(__xludf.DUMMYFUNCTION("GOOGLETRANSLATE(G4700,""EN"",""JA"")"),"試験段階")</f>
        <v>試験段階</v>
      </c>
    </row>
    <row r="4701" ht="13.5" customHeight="1">
      <c r="A4701" s="1" t="s">
        <v>11</v>
      </c>
      <c r="B4701" s="1" t="s">
        <v>23453</v>
      </c>
      <c r="C4701" s="1" t="s">
        <v>23454</v>
      </c>
      <c r="D4701" s="1" t="s">
        <v>23455</v>
      </c>
      <c r="E4701" s="1" t="s">
        <v>23455</v>
      </c>
      <c r="F4701" s="1" t="s">
        <v>23456</v>
      </c>
      <c r="G4701" s="1" t="s">
        <v>23457</v>
      </c>
      <c r="H4701" s="1" t="str">
        <f>IFERROR(__xludf.DUMMYFUNCTION("GOOGLETRANSLATE(D4701,""EN"",""JA"")"),"タペンタドール")</f>
        <v>タペンタドール</v>
      </c>
      <c r="I4701" s="1" t="str">
        <f>IFERROR(__xludf.DUMMYFUNCTION("GOOGLETRANSLATE(E4701,""EN"",""JA"")"),"タペンタドール")</f>
        <v>タペンタドール</v>
      </c>
      <c r="J4701" s="1" t="str">
        <f>IFERROR(__xludf.DUMMYFUNCTION("GOOGLETRANSLATE(F4701,""EN"",""JA"")"),"生物標本中のタペンタドールの測定。")</f>
        <v>生物標本中のタペンタドールの測定。</v>
      </c>
      <c r="K4701" s="1" t="str">
        <f>IFERROR(__xludf.DUMMYFUNCTION("GOOGLETRANSLATE(G4701,""EN"",""JA"")"),"タペンタドール測定")</f>
        <v>タペンタドール測定</v>
      </c>
    </row>
    <row r="4702" ht="13.5" customHeight="1">
      <c r="A4702" s="1" t="s">
        <v>11</v>
      </c>
      <c r="B4702" s="1" t="s">
        <v>23458</v>
      </c>
      <c r="C4702" s="1" t="s">
        <v>23459</v>
      </c>
      <c r="D4702" s="1" t="s">
        <v>23460</v>
      </c>
      <c r="E4702" s="1" t="s">
        <v>23460</v>
      </c>
      <c r="F4702" s="1" t="s">
        <v>23461</v>
      </c>
      <c r="G4702" s="1" t="s">
        <v>23462</v>
      </c>
      <c r="H4702" s="1" t="str">
        <f>IFERROR(__xludf.DUMMYFUNCTION("GOOGLETRANSLATE(D4702,""EN"",""JA"")"),"非リン酸化タウタンパク質")</f>
        <v>非リン酸化タウタンパク質</v>
      </c>
      <c r="I4702" s="1" t="str">
        <f>IFERROR(__xludf.DUMMYFUNCTION("GOOGLETRANSLATE(E4702,""EN"",""JA"")"),"非リン酸化タウタンパク質")</f>
        <v>非リン酸化タウタンパク質</v>
      </c>
      <c r="J4702" s="1" t="str">
        <f>IFERROR(__xludf.DUMMYFUNCTION("GOOGLETRANSLATE(F4702,""EN"",""JA"")"),"生物標本中の非リン酸化タウタンパク質の測定。")</f>
        <v>生物標本中の非リン酸化タウタンパク質の測定。</v>
      </c>
      <c r="K4702" s="1" t="str">
        <f>IFERROR(__xludf.DUMMYFUNCTION("GOOGLETRANSLATE(G4702,""EN"",""JA"")"),"非リン酸化タウタンパク質測定")</f>
        <v>非リン酸化タウタンパク質測定</v>
      </c>
    </row>
    <row r="4703" ht="13.5" customHeight="1">
      <c r="A4703" s="1" t="s">
        <v>11</v>
      </c>
      <c r="B4703" s="1" t="s">
        <v>23463</v>
      </c>
      <c r="C4703" s="1" t="s">
        <v>23464</v>
      </c>
      <c r="D4703" s="1" t="s">
        <v>23465</v>
      </c>
      <c r="E4703" s="1" t="s">
        <v>23466</v>
      </c>
      <c r="F4703" s="1" t="s">
        <v>23467</v>
      </c>
      <c r="G4703" s="1" t="s">
        <v>23468</v>
      </c>
      <c r="H4703" s="1" t="str">
        <f>IFERROR(__xludf.DUMMYFUNCTION("GOOGLETRANSLATE(D4703,""EN"",""JA"")"),"タウタンパク質")</f>
        <v>タウタンパク質</v>
      </c>
      <c r="I4703" s="1" t="str">
        <f>IFERROR(__xludf.DUMMYFUNCTION("GOOGLETRANSLATE(E4703,""EN"",""JA"")"),"タウタンパク質;総タウタンパク質")</f>
        <v>タウタンパク質;総タウタンパク質</v>
      </c>
      <c r="J4703" s="1" t="str">
        <f>IFERROR(__xludf.DUMMYFUNCTION("GOOGLETRANSLATE(F4703,""EN"",""JA"")"),"生物標本中のタウタンパク質の総量の測定。")</f>
        <v>生物標本中のタウタンパク質の総量の測定。</v>
      </c>
      <c r="K4703" s="1" t="str">
        <f>IFERROR(__xludf.DUMMYFUNCTION("GOOGLETRANSLATE(G4703,""EN"",""JA"")"),"タウタンパク質測定")</f>
        <v>タウタンパク質測定</v>
      </c>
    </row>
    <row r="4704" ht="13.5" customHeight="1">
      <c r="A4704" s="1" t="s">
        <v>11</v>
      </c>
      <c r="B4704" s="1" t="s">
        <v>23469</v>
      </c>
      <c r="C4704" s="1" t="s">
        <v>23470</v>
      </c>
      <c r="D4704" s="1" t="s">
        <v>23471</v>
      </c>
      <c r="E4704" s="1" t="s">
        <v>23471</v>
      </c>
      <c r="F4704" s="1" t="s">
        <v>23472</v>
      </c>
      <c r="G4704" s="1" t="s">
        <v>23473</v>
      </c>
      <c r="H4704" s="1" t="str">
        <f>IFERROR(__xludf.DUMMYFUNCTION("GOOGLETRANSLATE(D4704,""EN"",""JA"")"),"タウプロテイン、フリー")</f>
        <v>タウプロテイン、フリー</v>
      </c>
      <c r="I4704" s="1" t="str">
        <f>IFERROR(__xludf.DUMMYFUNCTION("GOOGLETRANSLATE(E4704,""EN"",""JA"")"),"タウプロテイン、フリー")</f>
        <v>タウプロテイン、フリー</v>
      </c>
      <c r="J4704" s="1" t="str">
        <f>IFERROR(__xludf.DUMMYFUNCTION("GOOGLETRANSLATE(F4704,""EN"",""JA"")"),"生物標本中の遊離タウタンパク質の測定。")</f>
        <v>生物標本中の遊離タウタンパク質の測定。</v>
      </c>
      <c r="K4704" s="1" t="str">
        <f>IFERROR(__xludf.DUMMYFUNCTION("GOOGLETRANSLATE(G4704,""EN"",""JA"")"),"遊離タウタンパク質測定")</f>
        <v>遊離タウタンパク質測定</v>
      </c>
    </row>
    <row r="4705" ht="13.5" customHeight="1">
      <c r="A4705" s="1" t="s">
        <v>11</v>
      </c>
      <c r="B4705" s="1" t="s">
        <v>23474</v>
      </c>
      <c r="C4705" s="1" t="s">
        <v>23475</v>
      </c>
      <c r="D4705" s="1" t="s">
        <v>23476</v>
      </c>
      <c r="E4705" s="1" t="s">
        <v>23477</v>
      </c>
      <c r="F4705" s="1" t="s">
        <v>23478</v>
      </c>
      <c r="G4705" s="1" t="s">
        <v>23479</v>
      </c>
      <c r="H4705" s="1" t="str">
        <f>IFERROR(__xludf.DUMMYFUNCTION("GOOGLETRANSLATE(D4705,""EN"",""JA"")"),"リン酸化タウタンパク質")</f>
        <v>リン酸化タウタンパク質</v>
      </c>
      <c r="I4705" s="1" t="str">
        <f>IFERROR(__xludf.DUMMYFUNCTION("GOOGLETRANSLATE(E4705,""EN"",""JA"")"),"リン酸化タウタンパク質; pTau")</f>
        <v>リン酸化タウタンパク質; pTau</v>
      </c>
      <c r="J4705" s="1" t="str">
        <f>IFERROR(__xludf.DUMMYFUNCTION("GOOGLETRANSLATE(F4705,""EN"",""JA"")"),"生物標本中のリン酸化タウタンパク質の測定。")</f>
        <v>生物標本中のリン酸化タウタンパク質の測定。</v>
      </c>
      <c r="K4705" s="1" t="str">
        <f>IFERROR(__xludf.DUMMYFUNCTION("GOOGLETRANSLATE(G4705,""EN"",""JA"")"),"リン酸化タウタンパク質の測定")</f>
        <v>リン酸化タウタンパク質の測定</v>
      </c>
    </row>
    <row r="4706" ht="13.5" customHeight="1">
      <c r="A4706" s="1" t="s">
        <v>1168</v>
      </c>
      <c r="B4706" s="1" t="s">
        <v>23480</v>
      </c>
      <c r="C4706" s="1" t="s">
        <v>23481</v>
      </c>
      <c r="D4706" s="1" t="s">
        <v>23482</v>
      </c>
      <c r="E4706" s="1" t="s">
        <v>23482</v>
      </c>
      <c r="F4706" s="1" t="s">
        <v>23483</v>
      </c>
      <c r="G4706" s="1" t="s">
        <v>23484</v>
      </c>
      <c r="H4706" s="1" t="str">
        <f>IFERROR(__xludf.DUMMYFUNCTION("GOOGLETRANSLATE(D4706,""EN"",""JA"")"),"ピーク-傾向間隔、集計")</f>
        <v>ピーク-傾向間隔、集計</v>
      </c>
      <c r="I4706" s="1" t="str">
        <f>IFERROR(__xludf.DUMMYFUNCTION("GOOGLETRANSLATE(E4706,""EN"",""JA"")"),"ピーク-傾向間隔、集計")</f>
        <v>ピーク-傾向間隔、集計</v>
      </c>
      <c r="J4706" s="1" t="str">
        <f>IFERROR(__xludf.DUMMYFUNCTION("GOOGLETRANSLATE(F4706,""EN"",""JA"")"),"1回の心電図における複数の心拍から測定されたTpeak-Tend値に基づく集計Tpeak-Tend値。集計方法は様々ですが、通常は平均値などの中心傾向を示す指標が用いられます。")</f>
        <v>1回の心電図における複数の心拍から測定されたTpeak-Tend値に基づく集計Tpeak-Tend値。集計方法は様々ですが、通常は平均値などの中心傾向を示す指標が用いられます。</v>
      </c>
      <c r="K4706" s="1" t="str">
        <f>IFERROR(__xludf.DUMMYFUNCTION("GOOGLETRANSLATE(G4706,""EN"",""JA"")"),"T ピーク-T 終了間隔合計")</f>
        <v>T ピーク-T 終了間隔合計</v>
      </c>
    </row>
    <row r="4707" ht="13.5" customHeight="1">
      <c r="A4707" s="1" t="s">
        <v>1168</v>
      </c>
      <c r="B4707" s="1" t="s">
        <v>23485</v>
      </c>
      <c r="C4707" s="1" t="s">
        <v>23486</v>
      </c>
      <c r="D4707" s="1" t="s">
        <v>23487</v>
      </c>
      <c r="E4707" s="1" t="s">
        <v>23487</v>
      </c>
      <c r="F4707" s="1" t="s">
        <v>23488</v>
      </c>
      <c r="G4707" s="1" t="s">
        <v>23489</v>
      </c>
      <c r="H4707" s="1" t="str">
        <f>IFERROR(__xludf.DUMMYFUNCTION("GOOGLETRANSLATE(D4707,""EN"",""JA"")"),"Tpeak-Tend間隔、単一拍")</f>
        <v>Tpeak-Tend間隔、単一拍</v>
      </c>
      <c r="I4707" s="1" t="str">
        <f>IFERROR(__xludf.DUMMYFUNCTION("GOOGLETRANSLATE(E4707,""EN"",""JA"")"),"Tpeak-Tend間隔、単一拍")</f>
        <v>Tpeak-Tend間隔、単一拍</v>
      </c>
      <c r="J4707" s="1" t="str">
        <f>IFERROR(__xludf.DUMMYFUNCTION("GOOGLETRANSLATE(F4707,""EN"",""JA"")"),"1 つ以上のリードを使用して、単一心拍の T 波のピークから T 波のオフセットまで測定された心電図間隔。")</f>
        <v>1 つ以上のリードを使用して、単一心拍の T 波のピークから T 波のオフセットまで測定された心電図間隔。</v>
      </c>
      <c r="K4707" s="1" t="str">
        <f>IFERROR(__xludf.DUMMYFUNCTION("GOOGLETRANSLATE(G4707,""EN"",""JA"")"),"Tピーク-T終了間隔単一心拍")</f>
        <v>Tピーク-T終了間隔単一心拍</v>
      </c>
    </row>
    <row r="4708" ht="13.5" customHeight="1">
      <c r="A4708" s="1" t="s">
        <v>11</v>
      </c>
      <c r="B4708" s="1" t="s">
        <v>23490</v>
      </c>
      <c r="C4708" s="1" t="s">
        <v>23491</v>
      </c>
      <c r="D4708" s="1" t="s">
        <v>23492</v>
      </c>
      <c r="E4708" s="1" t="s">
        <v>23493</v>
      </c>
      <c r="F4708" s="1" t="s">
        <v>23494</v>
      </c>
      <c r="G4708" s="1" t="s">
        <v>23495</v>
      </c>
      <c r="H4708" s="1" t="str">
        <f>IFERROR(__xludf.DUMMYFUNCTION("GOOGLETRANSLATE(D4708,""EN"",""JA"")"),"酒石酸耐性酸性ホスファターゼ5b")</f>
        <v>酒石酸耐性酸性ホスファターゼ5b</v>
      </c>
      <c r="I4708" s="1" t="str">
        <f>IFERROR(__xludf.DUMMYFUNCTION("GOOGLETRANSLATE(E4708,""EN"",""JA"")"),"酒石酸耐性酸性ホスファターゼ5b; TRAP5B")</f>
        <v>酒石酸耐性酸性ホスファターゼ5b; TRAP5B</v>
      </c>
      <c r="J4708" s="1" t="str">
        <f>IFERROR(__xludf.DUMMYFUNCTION("GOOGLETRANSLATE(F4708,""EN"",""JA"")"),"生物標本中の酒石酸耐性酸性ホスファターゼ 5b の測定。")</f>
        <v>生物標本中の酒石酸耐性酸性ホスファターゼ 5b の測定。</v>
      </c>
      <c r="K4708" s="1" t="str">
        <f>IFERROR(__xludf.DUMMYFUNCTION("GOOGLETRANSLATE(G4708,""EN"",""JA"")"),"酒石酸耐性酸性ホスファターゼ5bの測定")</f>
        <v>酒石酸耐性酸性ホスファターゼ5bの測定</v>
      </c>
    </row>
    <row r="4709" ht="13.5" customHeight="1">
      <c r="A4709" s="1" t="s">
        <v>11</v>
      </c>
      <c r="B4709" s="1" t="s">
        <v>23496</v>
      </c>
      <c r="C4709" s="1" t="s">
        <v>23497</v>
      </c>
      <c r="D4709" s="1" t="s">
        <v>23498</v>
      </c>
      <c r="E4709" s="1" t="s">
        <v>23498</v>
      </c>
      <c r="F4709" s="1" t="s">
        <v>23499</v>
      </c>
      <c r="G4709" s="1" t="s">
        <v>23500</v>
      </c>
      <c r="H4709" s="1" t="str">
        <f>IFERROR(__xludf.DUMMYFUNCTION("GOOGLETRANSLATE(D4709,""EN"",""JA"")"),"トラマドール")</f>
        <v>トラマドール</v>
      </c>
      <c r="I4709" s="1" t="str">
        <f>IFERROR(__xludf.DUMMYFUNCTION("GOOGLETRANSLATE(E4709,""EN"",""JA"")"),"トラマドール")</f>
        <v>トラマドール</v>
      </c>
      <c r="J4709" s="1" t="str">
        <f>IFERROR(__xludf.DUMMYFUNCTION("GOOGLETRANSLATE(F4709,""EN"",""JA"")"),"生物学的標本中に存在するトラマドールの測定。")</f>
        <v>生物学的標本中に存在するトラマドールの測定。</v>
      </c>
      <c r="K4709" s="1" t="str">
        <f>IFERROR(__xludf.DUMMYFUNCTION("GOOGLETRANSLATE(G4709,""EN"",""JA"")"),"トラマドール測定")</f>
        <v>トラマドール測定</v>
      </c>
    </row>
    <row r="4710" ht="13.5" customHeight="1">
      <c r="A4710" s="1" t="s">
        <v>11</v>
      </c>
      <c r="B4710" s="1" t="s">
        <v>23501</v>
      </c>
      <c r="C4710" s="1" t="s">
        <v>23502</v>
      </c>
      <c r="D4710" s="1" t="s">
        <v>23503</v>
      </c>
      <c r="E4710" s="1" t="s">
        <v>23504</v>
      </c>
      <c r="F4710" s="1" t="s">
        <v>23505</v>
      </c>
      <c r="G4710" s="1" t="s">
        <v>23506</v>
      </c>
      <c r="H4710" s="1" t="str">
        <f>IFERROR(__xludf.DUMMYFUNCTION("GOOGLETRANSLATE(D4710,""EN"",""JA"")"),"TPR-アンキリンリピート含有タンパク質1")</f>
        <v>TPR-アンキリンリピート含有タンパク質1</v>
      </c>
      <c r="I4710" s="1" t="str">
        <f>IFERROR(__xludf.DUMMYFUNCTION("GOOGLETRANSLATE(E4710,""EN"",""JA"")"),"TPRとアンキリンリピート含有タンパク質1; TPR-アンキリンリピート含有タンパク質1")</f>
        <v>TPRとアンキリンリピート含有タンパク質1; TPR-アンキリンリピート含有タンパク質1</v>
      </c>
      <c r="J4710" s="1" t="str">
        <f>IFERROR(__xludf.DUMMYFUNCTION("GOOGLETRANSLATE(F4710,""EN"",""JA"")"),"生物標本中の TPR アンキリンリピート含有タンパク質 1 の測定。")</f>
        <v>生物標本中の TPR アンキリンリピート含有タンパク質 1 の測定。</v>
      </c>
      <c r="K4710" s="1" t="str">
        <f>IFERROR(__xludf.DUMMYFUNCTION("GOOGLETRANSLATE(G4710,""EN"",""JA"")"),"TPR-アンキリンリピート含有タンパク質1の測定")</f>
        <v>TPR-アンキリンリピート含有タンパク質1の測定</v>
      </c>
    </row>
    <row r="4711" ht="13.5" customHeight="1">
      <c r="A4711" s="1" t="s">
        <v>11</v>
      </c>
      <c r="B4711" s="1" t="s">
        <v>23507</v>
      </c>
      <c r="C4711" s="1" t="s">
        <v>23508</v>
      </c>
      <c r="D4711" s="1" t="s">
        <v>23509</v>
      </c>
      <c r="E4711" s="1" t="s">
        <v>23509</v>
      </c>
      <c r="F4711" s="1" t="s">
        <v>23510</v>
      </c>
      <c r="G4711" s="1" t="s">
        <v>23511</v>
      </c>
      <c r="H4711" s="1" t="str">
        <f>IFERROR(__xludf.DUMMYFUNCTION("GOOGLETRANSLATE(D4711,""EN"",""JA"")"),"総ラジカルトラップ抗酸化能")</f>
        <v>総ラジカルトラップ抗酸化能</v>
      </c>
      <c r="I4711" s="1" t="str">
        <f>IFERROR(__xludf.DUMMYFUNCTION("GOOGLETRANSLATE(E4711,""EN"",""JA"")"),"総ラジカルトラップ抗酸化能")</f>
        <v>総ラジカルトラップ抗酸化能</v>
      </c>
      <c r="J4711" s="1" t="str">
        <f>IFERROR(__xludf.DUMMYFUNCTION("GOOGLETRANSLATE(F4711,""EN"",""JA"")"),"生物標本中の抗酸化物質が懸濁液中のフリーラジカルを緩衝する能力の測定値。")</f>
        <v>生物標本中の抗酸化物質が懸濁液中のフリーラジカルを緩衝する能力の測定値。</v>
      </c>
      <c r="K4711" s="1" t="str">
        <f>IFERROR(__xludf.DUMMYFUNCTION("GOOGLETRANSLATE(G4711,""EN"",""JA"")"),"総ラジカルトラップ抗酸化電位測定")</f>
        <v>総ラジカルトラップ抗酸化電位測定</v>
      </c>
    </row>
    <row r="4712" ht="13.5" customHeight="1">
      <c r="A4712" s="1" t="s">
        <v>134</v>
      </c>
      <c r="B4712" s="1" t="s">
        <v>23512</v>
      </c>
      <c r="C4712" s="1" t="s">
        <v>23513</v>
      </c>
      <c r="D4712" s="1" t="s">
        <v>23514</v>
      </c>
      <c r="E4712" s="1" t="s">
        <v>23514</v>
      </c>
      <c r="F4712" s="1" t="s">
        <v>23515</v>
      </c>
      <c r="G4712" s="1" t="s">
        <v>23516</v>
      </c>
      <c r="H4712" s="1" t="str">
        <f>IFERROR(__xludf.DUMMYFUNCTION("GOOGLETRANSLATE(D4712,""EN"",""JA"")"),"移行細胞/腫瘍細胞")</f>
        <v>移行細胞/腫瘍細胞</v>
      </c>
      <c r="I4712" s="1" t="str">
        <f>IFERROR(__xludf.DUMMYFUNCTION("GOOGLETRANSLATE(E4712,""EN"",""JA"")"),"移行細胞/腫瘍細胞")</f>
        <v>移行細胞/腫瘍細胞</v>
      </c>
      <c r="J4712" s="1" t="str">
        <f>IFERROR(__xludf.DUMMYFUNCTION("GOOGLETRANSLATE(F4712,""EN"",""JA"")"),"生物標本内の移行細胞と腫瘍細胞の相対的な測定値（比率またはパーセンテージ）。")</f>
        <v>生物標本内の移行細胞と腫瘍細胞の相対的な測定値（比率またはパーセンテージ）。</v>
      </c>
      <c r="K4712" s="1" t="str">
        <f>IFERROR(__xludf.DUMMYFUNCTION("GOOGLETRANSLATE(G4712,""EN"",""JA"")"),"移行細胞と腫瘍細胞比の測定")</f>
        <v>移行細胞と腫瘍細胞比の測定</v>
      </c>
    </row>
    <row r="4713" ht="13.5" customHeight="1">
      <c r="A4713" s="1" t="s">
        <v>11</v>
      </c>
      <c r="B4713" s="1" t="s">
        <v>23517</v>
      </c>
      <c r="C4713" s="1" t="s">
        <v>23518</v>
      </c>
      <c r="D4713" s="1" t="s">
        <v>23519</v>
      </c>
      <c r="E4713" s="1" t="s">
        <v>23519</v>
      </c>
      <c r="F4713" s="1" t="s">
        <v>23520</v>
      </c>
      <c r="G4713" s="1" t="s">
        <v>23521</v>
      </c>
      <c r="H4713" s="1" t="str">
        <f>IFERROR(__xludf.DUMMYFUNCTION("GOOGLETRANSLATE(D4713,""EN"",""JA"")"),"三環系抗うつ薬")</f>
        <v>三環系抗うつ薬</v>
      </c>
      <c r="I4713" s="1" t="str">
        <f>IFERROR(__xludf.DUMMYFUNCTION("GOOGLETRANSLATE(E4713,""EN"",""JA"")"),"三環系抗うつ薬")</f>
        <v>三環系抗うつ薬</v>
      </c>
      <c r="J4713" s="1" t="str">
        <f>IFERROR(__xludf.DUMMYFUNCTION("GOOGLETRANSLATE(F4713,""EN"",""JA"")"),"生物学的標本中の三環系抗うつ薬の測定。")</f>
        <v>生物学的標本中の三環系抗うつ薬の測定。</v>
      </c>
      <c r="K4713" s="1" t="str">
        <f>IFERROR(__xludf.DUMMYFUNCTION("GOOGLETRANSLATE(G4713,""EN"",""JA"")"),"三環系抗うつ薬の測定")</f>
        <v>三環系抗うつ薬の測定</v>
      </c>
    </row>
    <row r="4714" ht="13.5" customHeight="1">
      <c r="A4714" s="1" t="s">
        <v>176</v>
      </c>
      <c r="B4714" s="1" t="s">
        <v>23522</v>
      </c>
      <c r="C4714" s="1" t="s">
        <v>23523</v>
      </c>
      <c r="D4714" s="1" t="s">
        <v>23524</v>
      </c>
      <c r="E4714" s="1" t="s">
        <v>23524</v>
      </c>
      <c r="F4714" s="1" t="s">
        <v>23525</v>
      </c>
      <c r="G4714" s="1" t="s">
        <v>23526</v>
      </c>
      <c r="H4714" s="1" t="str">
        <f>IFERROR(__xludf.DUMMYFUNCTION("GOOGLETRANSLATE(D4714,""EN"",""JA"")"),"振戦")</f>
        <v>振戦</v>
      </c>
      <c r="I4714" s="1" t="str">
        <f>IFERROR(__xludf.DUMMYFUNCTION("GOOGLETRANSLATE(E4714,""EN"",""JA"")"),"振戦")</f>
        <v>振戦</v>
      </c>
      <c r="J4714" s="1" t="str">
        <f>IFERROR(__xludf.DUMMYFUNCTION("GOOGLETRANSLATE(F4714,""EN"",""JA"")"),"振戦（筋肉の動きを司るニューロンの問題によって起こることが多い、体全体または特定の部分の震え）の評価。")</f>
        <v>振戦（筋肉の動きを司るニューロンの問題によって起こることが多い、体全体または特定の部分の震え）の評価。</v>
      </c>
      <c r="K4714" s="1" t="str">
        <f>IFERROR(__xludf.DUMMYFUNCTION("GOOGLETRANSLATE(G4714,""EN"",""JA"")"),"振戦の評価")</f>
        <v>振戦の評価</v>
      </c>
    </row>
    <row r="4715" ht="13.5" customHeight="1">
      <c r="A4715" s="1" t="s">
        <v>176</v>
      </c>
      <c r="B4715" s="1" t="s">
        <v>23527</v>
      </c>
      <c r="C4715" s="1" t="s">
        <v>23528</v>
      </c>
      <c r="D4715" s="1" t="s">
        <v>23529</v>
      </c>
      <c r="E4715" s="1" t="s">
        <v>23529</v>
      </c>
      <c r="F4715" s="1" t="s">
        <v>23530</v>
      </c>
      <c r="G4715" s="1" t="s">
        <v>23531</v>
      </c>
      <c r="H4715" s="1" t="str">
        <f>IFERROR(__xludf.DUMMYFUNCTION("GOOGLETRANSLATE(D4715,""EN"",""JA"")"),"姿勢性振戦")</f>
        <v>姿勢性振戦</v>
      </c>
      <c r="I4715" s="1" t="str">
        <f>IFERROR(__xludf.DUMMYFUNCTION("GOOGLETRANSLATE(E4715,""EN"",""JA"")"),"姿勢性振戦")</f>
        <v>姿勢性振戦</v>
      </c>
      <c r="J4715" s="1" t="str">
        <f>IFERROR(__xludf.DUMMYFUNCTION("GOOGLETRANSLATE(F4715,""EN"",""JA"")"),"姿勢振戦（重力に逆らって保持されている体の一部が不随意にリズミカルに震えること）の評価。")</f>
        <v>姿勢振戦（重力に逆らって保持されている体の一部が不随意にリズミカルに震えること）の評価。</v>
      </c>
      <c r="K4715" s="1" t="str">
        <f>IFERROR(__xludf.DUMMYFUNCTION("GOOGLETRANSLATE(G4715,""EN"",""JA"")"),"姿勢振戦の評価")</f>
        <v>姿勢振戦の評価</v>
      </c>
    </row>
    <row r="4716" ht="13.5" customHeight="1">
      <c r="A4716" s="1" t="s">
        <v>176</v>
      </c>
      <c r="B4716" s="1" t="s">
        <v>23532</v>
      </c>
      <c r="C4716" s="1" t="s">
        <v>23533</v>
      </c>
      <c r="D4716" s="1" t="s">
        <v>23534</v>
      </c>
      <c r="E4716" s="1" t="s">
        <v>23534</v>
      </c>
      <c r="F4716" s="1" t="s">
        <v>23535</v>
      </c>
      <c r="G4716" s="1" t="s">
        <v>23536</v>
      </c>
      <c r="H4716" s="1" t="str">
        <f>IFERROR(__xludf.DUMMYFUNCTION("GOOGLETRANSLATE(D4716,""EN"",""JA"")"),"安静時振戦")</f>
        <v>安静時振戦</v>
      </c>
      <c r="I4716" s="1" t="str">
        <f>IFERROR(__xludf.DUMMYFUNCTION("GOOGLETRANSLATE(E4716,""EN"",""JA"")"),"安静時振戦")</f>
        <v>安静時振戦</v>
      </c>
      <c r="J4716" s="1" t="str">
        <f>IFERROR(__xludf.DUMMYFUNCTION("GOOGLETRANSLATE(F4716,""EN"",""JA"")"),"安静時振戦（リラックスしていて重力に逆らっていない体の一部の不随意かつリズミカルな震えで、随意運動によって振戦の振幅が減少する）の評価。")</f>
        <v>安静時振戦（リラックスしていて重力に逆らっていない体の一部の不随意かつリズミカルな震えで、随意運動によって振戦の振幅が減少する）の評価。</v>
      </c>
      <c r="K4716" s="1" t="str">
        <f>IFERROR(__xludf.DUMMYFUNCTION("GOOGLETRANSLATE(G4716,""EN"",""JA"")"),"安静時振戦の評価")</f>
        <v>安静時振戦の評価</v>
      </c>
    </row>
    <row r="4717" ht="13.5" customHeight="1">
      <c r="A4717" s="1" t="s">
        <v>397</v>
      </c>
      <c r="B4717" s="1" t="s">
        <v>23537</v>
      </c>
      <c r="C4717" s="1" t="s">
        <v>23538</v>
      </c>
      <c r="D4717" s="1" t="s">
        <v>23539</v>
      </c>
      <c r="E4717" s="1" t="s">
        <v>23539</v>
      </c>
      <c r="F4717" s="1" t="s">
        <v>23540</v>
      </c>
      <c r="G4717" s="1" t="s">
        <v>23541</v>
      </c>
      <c r="H4717" s="1" t="str">
        <f>IFERROR(__xludf.DUMMYFUNCTION("GOOGLETRANSLATE(D4717,""EN"",""JA"")"),"目標フォローアップ期間")</f>
        <v>目標フォローアップ期間</v>
      </c>
      <c r="I4717" s="1" t="str">
        <f>IFERROR(__xludf.DUMMYFUNCTION("GOOGLETRANSLATE(E4717,""EN"",""JA"")"),"目標フォローアップ期間")</f>
        <v>目標フォローアップ期間</v>
      </c>
      <c r="J4717" s="1" t="str">
        <f>IFERROR(__xludf.DUMMYFUNCTION("GOOGLETRANSLATE(F4717,""EN"",""JA"")"),"各研究参加者を追跡調査する予定の期間。(ClinicalTrials.gov)")</f>
        <v>各研究参加者を追跡調査する予定の期間。(ClinicalTrials.gov)</v>
      </c>
      <c r="K4717" s="1" t="str">
        <f>IFERROR(__xludf.DUMMYFUNCTION("GOOGLETRANSLATE(G4717,""EN"",""JA"")"),"予定フォローアップ期間")</f>
        <v>予定フォローアップ期間</v>
      </c>
    </row>
    <row r="4718" ht="13.5" customHeight="1">
      <c r="A4718" s="1" t="s">
        <v>90</v>
      </c>
      <c r="B4718" s="1" t="s">
        <v>23542</v>
      </c>
      <c r="C4718" s="1" t="s">
        <v>23543</v>
      </c>
      <c r="D4718" s="1" t="s">
        <v>23544</v>
      </c>
      <c r="E4718" s="1" t="s">
        <v>23545</v>
      </c>
      <c r="F4718" s="1" t="s">
        <v>23546</v>
      </c>
      <c r="G4718" s="1" t="s">
        <v>23547</v>
      </c>
      <c r="H4718" s="1" t="str">
        <f>IFERROR(__xludf.DUMMYFUNCTION("GOOGLETRANSLATE(D4718,""EN"",""JA"")"),"逆三角、ジェット領域R、心房領域Rt")</f>
        <v>逆三角、ジェット領域R、心房領域Rt</v>
      </c>
      <c r="I4718" s="1" t="str">
        <f>IFERROR(__xludf.DUMMYFUNCTION("GOOGLETRANSLATE(E4718,""EN"",""JA"")"),"三尖弁逆流ジェット面積右心房面積右; 三尖弁逆流ジェット面積と右心房面積の比")</f>
        <v>三尖弁逆流ジェット面積右心房面積右; 三尖弁逆流ジェット面積と右心房面積の比</v>
      </c>
      <c r="J4718" s="1" t="str">
        <f>IFERROR(__xludf.DUMMYFUNCTION("GOOGLETRANSLATE(F4718,""EN"",""JA"")"),"三尖弁逆流ジェット面積と右心房面積の相対的な測定値（比率）。")</f>
        <v>三尖弁逆流ジェット面積と右心房面積の相対的な測定値（比率）。</v>
      </c>
      <c r="K4718" s="1" t="str">
        <f>IFERROR(__xludf.DUMMYFUNCTION("GOOGLETRANSLATE(G4718,""EN"",""JA"")"),"三尖弁逆流ジェット面積と右心房面積の比")</f>
        <v>三尖弁逆流ジェット面積と右心房面積の比</v>
      </c>
    </row>
    <row r="4719" ht="13.5" customHeight="1">
      <c r="A4719" s="1" t="s">
        <v>1342</v>
      </c>
      <c r="B4719" s="1" t="s">
        <v>23548</v>
      </c>
      <c r="C4719" s="1" t="s">
        <v>23549</v>
      </c>
      <c r="D4719" s="1" t="s">
        <v>23550</v>
      </c>
      <c r="E4719" s="1" t="s">
        <v>23550</v>
      </c>
      <c r="F4719" s="1" t="s">
        <v>23551</v>
      </c>
      <c r="G4719" s="1" t="s">
        <v>23550</v>
      </c>
      <c r="H4719" s="1" t="str">
        <f>IFERROR(__xludf.DUMMYFUNCTION("GOOGLETRANSLATE(D4719,""EN"",""JA"")"),"ターゲットノード応答")</f>
        <v>ターゲットノード応答</v>
      </c>
      <c r="I4719" s="1" t="str">
        <f>IFERROR(__xludf.DUMMYFUNCTION("GOOGLETRANSLATE(E4719,""EN"",""JA"")"),"ターゲットノード応答")</f>
        <v>ターゲットノード応答</v>
      </c>
      <c r="J4719" s="1" t="str">
        <f>IFERROR(__xludf.DUMMYFUNCTION("GOOGLETRANSLATE(F4719,""EN"",""JA"")"),"標的リンパ節病変の治療に対する反応の評価。")</f>
        <v>標的リンパ節病変の治療に対する反応の評価。</v>
      </c>
      <c r="K4719" s="1" t="str">
        <f>IFERROR(__xludf.DUMMYFUNCTION("GOOGLETRANSLATE(G4719,""EN"",""JA"")"),"ターゲットノード応答")</f>
        <v>ターゲットノード応答</v>
      </c>
    </row>
    <row r="4720" ht="13.5" customHeight="1">
      <c r="A4720" s="1" t="s">
        <v>1342</v>
      </c>
      <c r="B4720" s="1" t="s">
        <v>23552</v>
      </c>
      <c r="C4720" s="1" t="s">
        <v>23553</v>
      </c>
      <c r="D4720" s="1" t="s">
        <v>23554</v>
      </c>
      <c r="E4720" s="1" t="s">
        <v>23554</v>
      </c>
      <c r="F4720" s="1" t="s">
        <v>23555</v>
      </c>
      <c r="G4720" s="1" t="s">
        <v>23556</v>
      </c>
      <c r="H4720" s="1" t="str">
        <f>IFERROR(__xludf.DUMMYFUNCTION("GOOGLETRANSLATE(D4720,""EN"",""JA"")"),"ターゲットレスポンス")</f>
        <v>ターゲットレスポンス</v>
      </c>
      <c r="I4720" s="1" t="str">
        <f>IFERROR(__xludf.DUMMYFUNCTION("GOOGLETRANSLATE(E4720,""EN"",""JA"")"),"ターゲットレスポンス")</f>
        <v>ターゲットレスポンス</v>
      </c>
      <c r="J4720" s="1" t="str">
        <f>IFERROR(__xludf.DUMMYFUNCTION("GOOGLETRANSLATE(F4720,""EN"",""JA"")"),"治療に対する標的病変の反応の評価。")</f>
        <v>治療に対する標的病変の反応の評価。</v>
      </c>
      <c r="K4720" s="1" t="str">
        <f>IFERROR(__xludf.DUMMYFUNCTION("GOOGLETRANSLATE(G4720,""EN"",""JA"")"),"標的病変における反応")</f>
        <v>標的病変における反応</v>
      </c>
    </row>
    <row r="4721" ht="13.5" customHeight="1">
      <c r="A4721" s="1" t="s">
        <v>11</v>
      </c>
      <c r="B4721" s="1" t="s">
        <v>23557</v>
      </c>
      <c r="C4721" s="1" t="s">
        <v>23558</v>
      </c>
      <c r="D4721" s="1" t="s">
        <v>23559</v>
      </c>
      <c r="E4721" s="1" t="s">
        <v>23560</v>
      </c>
      <c r="F4721" s="1" t="s">
        <v>23561</v>
      </c>
      <c r="G4721" s="1" t="s">
        <v>23562</v>
      </c>
      <c r="H4721" s="1" t="str">
        <f>IFERROR(__xludf.DUMMYFUNCTION("GOOGLETRANSLATE(D4721,""EN"",""JA"")"),"標的細胞")</f>
        <v>標的細胞</v>
      </c>
      <c r="I4721" s="1" t="str">
        <f>IFERROR(__xludf.DUMMYFUNCTION("GOOGLETRANSLATE(E4721,""EN"",""JA"")"),"コドサイト; 標的細胞")</f>
        <v>コドサイト; 標的細胞</v>
      </c>
      <c r="J4721" s="1" t="str">
        <f>IFERROR(__xludf.DUMMYFUNCTION("GOOGLETRANSLATE(F4721,""EN"",""JA"")"),"生物標本内の標的細胞の測定。")</f>
        <v>生物標本内の標的細胞の測定。</v>
      </c>
      <c r="K4721" s="1" t="str">
        <f>IFERROR(__xludf.DUMMYFUNCTION("GOOGLETRANSLATE(G4721,""EN"",""JA"")"),"標的細胞数")</f>
        <v>標的細胞数</v>
      </c>
    </row>
    <row r="4722" ht="13.5" customHeight="1">
      <c r="A4722" s="1" t="s">
        <v>11</v>
      </c>
      <c r="B4722" s="1" t="s">
        <v>23563</v>
      </c>
      <c r="C4722" s="1" t="s">
        <v>23564</v>
      </c>
      <c r="D4722" s="1" t="s">
        <v>23565</v>
      </c>
      <c r="E4722" s="1" t="s">
        <v>23566</v>
      </c>
      <c r="F4722" s="1" t="s">
        <v>23567</v>
      </c>
      <c r="G4722" s="1" t="s">
        <v>23568</v>
      </c>
      <c r="H4722" s="1" t="str">
        <f>IFERROR(__xludf.DUMMYFUNCTION("GOOGLETRANSLATE(D4722,""EN"",""JA"")"),"甲状腺刺激ホルモン放出ホルモン")</f>
        <v>甲状腺刺激ホルモン放出ホルモン</v>
      </c>
      <c r="I4722" s="1" t="str">
        <f>IFERROR(__xludf.DUMMYFUNCTION("GOOGLETRANSLATE(E4722,""EN"",""JA"")"),"甲状腺刺激ホルモン放出因子; 甲状腺刺激ホルモン放出ホルモン")</f>
        <v>甲状腺刺激ホルモン放出因子; 甲状腺刺激ホルモン放出ホルモン</v>
      </c>
      <c r="J4722" s="1" t="str">
        <f>IFERROR(__xludf.DUMMYFUNCTION("GOOGLETRANSLATE(F4722,""EN"",""JA"")"),"生物標本中の甲状腺刺激ホルモン放出ホルモンの測定。")</f>
        <v>生物標本中の甲状腺刺激ホルモン放出ホルモンの測定。</v>
      </c>
      <c r="K4722" s="1" t="str">
        <f>IFERROR(__xludf.DUMMYFUNCTION("GOOGLETRANSLATE(G4722,""EN"",""JA"")"),"甲状腺刺激ホルモン放出ホルモン測定")</f>
        <v>甲状腺刺激ホルモン放出ホルモン測定</v>
      </c>
    </row>
    <row r="4723" ht="13.5" customHeight="1">
      <c r="A4723" s="1" t="s">
        <v>601</v>
      </c>
      <c r="B4723" s="1" t="s">
        <v>23569</v>
      </c>
      <c r="C4723" s="1" t="s">
        <v>23570</v>
      </c>
      <c r="D4723" s="1" t="s">
        <v>23571</v>
      </c>
      <c r="E4723" s="1" t="s">
        <v>23571</v>
      </c>
      <c r="F4723" s="1" t="s">
        <v>23572</v>
      </c>
      <c r="G4723" s="1" t="s">
        <v>23571</v>
      </c>
      <c r="H4723" s="1" t="str">
        <f>IFERROR(__xludf.DUMMYFUNCTION("GOOGLETRANSLATE(D4723,""EN"",""JA"")"),"部族の所属")</f>
        <v>部族の所属</v>
      </c>
      <c r="I4723" s="1" t="str">
        <f>IFERROR(__xludf.DUMMYFUNCTION("GOOGLETRANSLATE(E4723,""EN"",""JA"")"),"部族の所属")</f>
        <v>部族の所属</v>
      </c>
      <c r="J4723" s="1" t="str">
        <f>IFERROR(__xludf.DUMMYFUNCTION("GOOGLETRANSLATE(F4723,""EN"",""JA"")"),"個人が所属する部族または集団。(USCDI)")</f>
        <v>個人が所属する部族または集団。(USCDI)</v>
      </c>
      <c r="K4723" s="1" t="str">
        <f>IFERROR(__xludf.DUMMYFUNCTION("GOOGLETRANSLATE(G4723,""EN"",""JA"")"),"部族の所属")</f>
        <v>部族の所属</v>
      </c>
    </row>
    <row r="4724" ht="13.5" customHeight="1">
      <c r="A4724" s="1" t="s">
        <v>11</v>
      </c>
      <c r="B4724" s="1" t="s">
        <v>23573</v>
      </c>
      <c r="C4724" s="1" t="s">
        <v>23574</v>
      </c>
      <c r="D4724" s="1" t="s">
        <v>23575</v>
      </c>
      <c r="E4724" s="1" t="s">
        <v>23575</v>
      </c>
      <c r="F4724" s="1" t="s">
        <v>23576</v>
      </c>
      <c r="G4724" s="1" t="s">
        <v>23577</v>
      </c>
      <c r="H4724" s="1" t="str">
        <f>IFERROR(__xludf.DUMMYFUNCTION("GOOGLETRANSLATE(D4724,""EN"",""JA"")"),"トリコモナス")</f>
        <v>トリコモナス</v>
      </c>
      <c r="I4724" s="1" t="str">
        <f>IFERROR(__xludf.DUMMYFUNCTION("GOOGLETRANSLATE(E4724,""EN"",""JA"")"),"トリコモナス")</f>
        <v>トリコモナス</v>
      </c>
      <c r="J4724" s="1" t="str">
        <f>IFERROR(__xludf.DUMMYFUNCTION("GOOGLETRANSLATE(F4724,""EN"",""JA"")"),"トリコモナス属に属する原生動物の存在を検出するための生物標本の検査。")</f>
        <v>トリコモナス属に属する原生動物の存在を検出するための生物標本の検査。</v>
      </c>
      <c r="K4724" s="1" t="str">
        <f>IFERROR(__xludf.DUMMYFUNCTION("GOOGLETRANSLATE(G4724,""EN"",""JA"")"),"トリコモナス検査")</f>
        <v>トリコモナス検査</v>
      </c>
    </row>
    <row r="4725" ht="13.5" customHeight="1">
      <c r="A4725" s="1" t="s">
        <v>67</v>
      </c>
      <c r="B4725" s="1" t="s">
        <v>23573</v>
      </c>
      <c r="C4725" s="1" t="s">
        <v>23574</v>
      </c>
      <c r="D4725" s="1" t="s">
        <v>23575</v>
      </c>
      <c r="E4725" s="1" t="s">
        <v>23575</v>
      </c>
      <c r="F4725" s="1" t="s">
        <v>23576</v>
      </c>
      <c r="G4725" s="1" t="s">
        <v>23577</v>
      </c>
      <c r="H4725" s="1" t="str">
        <f>IFERROR(__xludf.DUMMYFUNCTION("GOOGLETRANSLATE(D4725,""EN"",""JA"")"),"トリコモナス")</f>
        <v>トリコモナス</v>
      </c>
      <c r="I4725" s="1" t="str">
        <f>IFERROR(__xludf.DUMMYFUNCTION("GOOGLETRANSLATE(E4725,""EN"",""JA"")"),"トリコモナス")</f>
        <v>トリコモナス</v>
      </c>
      <c r="J4725" s="1" t="str">
        <f>IFERROR(__xludf.DUMMYFUNCTION("GOOGLETRANSLATE(F4725,""EN"",""JA"")"),"トリコモナス属に属する原生動物の存在を検出するための生物標本の検査。")</f>
        <v>トリコモナス属に属する原生動物の存在を検出するための生物標本の検査。</v>
      </c>
      <c r="K4725" s="1" t="str">
        <f>IFERROR(__xludf.DUMMYFUNCTION("GOOGLETRANSLATE(G4725,""EN"",""JA"")"),"トリコモナス検査")</f>
        <v>トリコモナス検査</v>
      </c>
    </row>
    <row r="4726" ht="13.5" customHeight="1">
      <c r="A4726" s="1" t="s">
        <v>67</v>
      </c>
      <c r="B4726" s="1" t="s">
        <v>23578</v>
      </c>
      <c r="C4726" s="1" t="s">
        <v>23579</v>
      </c>
      <c r="D4726" s="1" t="s">
        <v>23580</v>
      </c>
      <c r="E4726" s="1" t="s">
        <v>23580</v>
      </c>
      <c r="F4726" s="1" t="s">
        <v>23581</v>
      </c>
      <c r="G4726" s="1" t="s">
        <v>23582</v>
      </c>
      <c r="H4726" s="1" t="str">
        <f>IFERROR(__xludf.DUMMYFUNCTION("GOOGLETRANSLATE(D4726,""EN"",""JA"")"),"トリコモナスRNA")</f>
        <v>トリコモナスRNA</v>
      </c>
      <c r="I4726" s="1" t="str">
        <f>IFERROR(__xludf.DUMMYFUNCTION("GOOGLETRANSLATE(E4726,""EN"",""JA"")"),"トリコモナスRNA")</f>
        <v>トリコモナスRNA</v>
      </c>
      <c r="J4726" s="1" t="str">
        <f>IFERROR(__xludf.DUMMYFUNCTION("GOOGLETRANSLATE(F4726,""EN"",""JA"")"),"生物標本中のトリコモナス属の任意の菌の RNA の測定。")</f>
        <v>生物標本中のトリコモナス属の任意の菌の RNA の測定。</v>
      </c>
      <c r="K4726" s="1" t="str">
        <f>IFERROR(__xludf.DUMMYFUNCTION("GOOGLETRANSLATE(G4726,""EN"",""JA"")"),"トリコモナスRNA測定")</f>
        <v>トリコモナスRNA測定</v>
      </c>
    </row>
    <row r="4727" ht="13.5" customHeight="1">
      <c r="A4727" s="1" t="s">
        <v>11</v>
      </c>
      <c r="B4727" s="1" t="s">
        <v>23583</v>
      </c>
      <c r="C4727" s="1" t="s">
        <v>23584</v>
      </c>
      <c r="D4727" s="1" t="s">
        <v>23585</v>
      </c>
      <c r="E4727" s="1" t="s">
        <v>23585</v>
      </c>
      <c r="F4727" s="1" t="s">
        <v>23586</v>
      </c>
      <c r="G4727" s="1" t="s">
        <v>23587</v>
      </c>
      <c r="H4727" s="1" t="str">
        <f>IFERROR(__xludf.DUMMYFUNCTION("GOOGLETRANSLATE(D4727,""EN"",""JA"")"),"トリフルオペラジン")</f>
        <v>トリフルオペラジン</v>
      </c>
      <c r="I4727" s="1" t="str">
        <f>IFERROR(__xludf.DUMMYFUNCTION("GOOGLETRANSLATE(E4727,""EN"",""JA"")"),"トリフルオペラジン")</f>
        <v>トリフルオペラジン</v>
      </c>
      <c r="J4727" s="1" t="str">
        <f>IFERROR(__xludf.DUMMYFUNCTION("GOOGLETRANSLATE(F4727,""EN"",""JA"")"),"生物標本中のトリフルオペラジンの測定。")</f>
        <v>生物標本中のトリフルオペラジンの測定。</v>
      </c>
      <c r="K4727" s="1" t="str">
        <f>IFERROR(__xludf.DUMMYFUNCTION("GOOGLETRANSLATE(G4727,""EN"",""JA"")"),"トリフルオペラジン測定")</f>
        <v>トリフルオペラジン測定</v>
      </c>
    </row>
    <row r="4728" ht="13.5" customHeight="1">
      <c r="A4728" s="1" t="s">
        <v>11</v>
      </c>
      <c r="B4728" s="1" t="s">
        <v>23588</v>
      </c>
      <c r="C4728" s="1" t="s">
        <v>23589</v>
      </c>
      <c r="D4728" s="1" t="s">
        <v>23590</v>
      </c>
      <c r="E4728" s="1" t="s">
        <v>23590</v>
      </c>
      <c r="F4728" s="1" t="s">
        <v>23591</v>
      </c>
      <c r="G4728" s="1" t="s">
        <v>23592</v>
      </c>
      <c r="H4728" s="1" t="str">
        <f>IFERROR(__xludf.DUMMYFUNCTION("GOOGLETRANSLATE(D4728,""EN"",""JA"")"),"トリグリセリド")</f>
        <v>トリグリセリド</v>
      </c>
      <c r="I4728" s="1" t="str">
        <f>IFERROR(__xludf.DUMMYFUNCTION("GOOGLETRANSLATE(E4728,""EN"",""JA"")"),"トリグリセリド")</f>
        <v>トリグリセリド</v>
      </c>
      <c r="J4728" s="1" t="str">
        <f>IFERROR(__xludf.DUMMYFUNCTION("GOOGLETRANSLATE(F4728,""EN"",""JA"")"),"生物標本中のトリグリセリドの測定。")</f>
        <v>生物標本中のトリグリセリドの測定。</v>
      </c>
      <c r="K4728" s="1" t="str">
        <f>IFERROR(__xludf.DUMMYFUNCTION("GOOGLETRANSLATE(G4728,""EN"",""JA"")"),"トリグリセリド測定")</f>
        <v>トリグリセリド測定</v>
      </c>
    </row>
    <row r="4729" ht="13.5" customHeight="1">
      <c r="A4729" s="1" t="s">
        <v>11</v>
      </c>
      <c r="B4729" s="1" t="s">
        <v>23593</v>
      </c>
      <c r="C4729" s="1" t="s">
        <v>23594</v>
      </c>
      <c r="D4729" s="1" t="s">
        <v>23595</v>
      </c>
      <c r="E4729" s="1" t="s">
        <v>23595</v>
      </c>
      <c r="F4729" s="1" t="s">
        <v>23596</v>
      </c>
      <c r="G4729" s="1" t="s">
        <v>23597</v>
      </c>
      <c r="H4729" s="1" t="str">
        <f>IFERROR(__xludf.DUMMYFUNCTION("GOOGLETRANSLATE(D4729,""EN"",""JA"")"),"トリグリセリド/HDLコレステロール")</f>
        <v>トリグリセリド/HDLコレステロール</v>
      </c>
      <c r="I4729" s="1" t="str">
        <f>IFERROR(__xludf.DUMMYFUNCTION("GOOGLETRANSLATE(E4729,""EN"",""JA"")"),"トリグリセリド/HDLコレステロール")</f>
        <v>トリグリセリド/HDLコレステロール</v>
      </c>
      <c r="J4729" s="1" t="str">
        <f>IFERROR(__xludf.DUMMYFUNCTION("GOOGLETRANSLATE(F4729,""EN"",""JA"")"),"生物標本中のトリグリセリドと高密度リポタンパク質コレステロールの相対的な測定値（比率またはパーセンテージ）。")</f>
        <v>生物標本中のトリグリセリドと高密度リポタンパク質コレステロールの相対的な測定値（比率またはパーセンテージ）。</v>
      </c>
      <c r="K4729" s="1" t="str">
        <f>IFERROR(__xludf.DUMMYFUNCTION("GOOGLETRANSLATE(G4729,""EN"",""JA"")"),"トリグリセリド対HDLコレステロール比測定")</f>
        <v>トリグリセリド対HDLコレステロール比測定</v>
      </c>
    </row>
    <row r="4730" ht="13.5" customHeight="1">
      <c r="A4730" s="1" t="s">
        <v>11</v>
      </c>
      <c r="B4730" s="1" t="s">
        <v>23598</v>
      </c>
      <c r="C4730" s="1" t="s">
        <v>23599</v>
      </c>
      <c r="D4730" s="1" t="s">
        <v>23600</v>
      </c>
      <c r="E4730" s="1" t="s">
        <v>23601</v>
      </c>
      <c r="F4730" s="1" t="s">
        <v>23602</v>
      </c>
      <c r="G4730" s="1" t="s">
        <v>23603</v>
      </c>
      <c r="H4730" s="1" t="str">
        <f>IFERROR(__xludf.DUMMYFUNCTION("GOOGLETRANSLATE(D4730,""EN"",""JA"")"),"タンパク質21を含む三者モチーフ")</f>
        <v>タンパク質21を含む三者モチーフ</v>
      </c>
      <c r="I4730" s="1" t="str">
        <f>IFERROR(__xludf.DUMMYFUNCTION("GOOGLETRANSLATE(E4730,""EN"",""JA"")"),"E3ユビキチン-タンパク質リガーゼTRIM21; Ro(SS-A); シェーグレン症候群A型抗原; タンパク質21を含む三者モチーフ")</f>
        <v>E3ユビキチン-タンパク質リガーゼTRIM21; Ro(SS-A); シェーグレン症候群A型抗原; タンパク質21を含む三者モチーフ</v>
      </c>
      <c r="J4730" s="1" t="str">
        <f>IFERROR(__xludf.DUMMYFUNCTION("GOOGLETRANSLATE(F4730,""EN"",""JA"")"),"生物標本中のタンパク質 21 を含む 3 部構成モチーフの測定。")</f>
        <v>生物標本中のタンパク質 21 を含む 3 部構成モチーフの測定。</v>
      </c>
      <c r="K4730" s="1" t="str">
        <f>IFERROR(__xludf.DUMMYFUNCTION("GOOGLETRANSLATE(G4730,""EN"",""JA"")"),"タンパク質21の測定を含む三者モチーフ")</f>
        <v>タンパク質21の測定を含む三者モチーフ</v>
      </c>
    </row>
    <row r="4731" ht="13.5" customHeight="1">
      <c r="A4731" s="1" t="s">
        <v>11</v>
      </c>
      <c r="B4731" s="1" t="s">
        <v>23604</v>
      </c>
      <c r="C4731" s="1" t="s">
        <v>23605</v>
      </c>
      <c r="D4731" s="1" t="s">
        <v>23606</v>
      </c>
      <c r="E4731" s="1" t="s">
        <v>23607</v>
      </c>
      <c r="F4731" s="1" t="s">
        <v>23608</v>
      </c>
      <c r="G4731" s="1" t="s">
        <v>23609</v>
      </c>
      <c r="H4731" s="1" t="str">
        <f>IFERROR(__xludf.DUMMYFUNCTION("GOOGLETRANSLATE(D4731,""EN"",""JA"")"),"E3ユビキチン-タンパク質リガーゼTRIM33")</f>
        <v>E3ユビキチン-タンパク質リガーゼTRIM33</v>
      </c>
      <c r="I4731" s="1" t="str">
        <f>IFERROR(__xludf.DUMMYFUNCTION("GOOGLETRANSLATE(E4731,""EN"",""JA"")"),"E3ユビキチン-タンパク質リガーゼTRIM33; 33個の3者モチーフを含む")</f>
        <v>E3ユビキチン-タンパク質リガーゼTRIM33; 33個の3者モチーフを含む</v>
      </c>
      <c r="J4731" s="1" t="str">
        <f>IFERROR(__xludf.DUMMYFUNCTION("GOOGLETRANSLATE(F4731,""EN"",""JA"")"),"生物標本中の E3 ユビキチン-タンパク質リガーゼ TRIM33 の測定。")</f>
        <v>生物標本中の E3 ユビキチン-タンパク質リガーゼ TRIM33 の測定。</v>
      </c>
      <c r="K4731" s="1" t="str">
        <f>IFERROR(__xludf.DUMMYFUNCTION("GOOGLETRANSLATE(G4731,""EN"",""JA"")"),"E3ユビキチン-タンパク質リガーゼTRIM33測定")</f>
        <v>E3ユビキチン-タンパク質リガーゼTRIM33測定</v>
      </c>
    </row>
    <row r="4732" ht="13.5" customHeight="1">
      <c r="A4732" s="1" t="s">
        <v>11</v>
      </c>
      <c r="B4732" s="1" t="s">
        <v>23610</v>
      </c>
      <c r="C4732" s="1" t="s">
        <v>23611</v>
      </c>
      <c r="D4732" s="1" t="s">
        <v>23612</v>
      </c>
      <c r="E4732" s="1" t="s">
        <v>23612</v>
      </c>
      <c r="F4732" s="1" t="s">
        <v>23613</v>
      </c>
      <c r="G4732" s="1" t="s">
        <v>23614</v>
      </c>
      <c r="H4732" s="1" t="str">
        <f>IFERROR(__xludf.DUMMYFUNCTION("GOOGLETRANSLATE(D4732,""EN"",""JA"")"),"タンパク質38を含む三者モチーフ")</f>
        <v>タンパク質38を含む三者モチーフ</v>
      </c>
      <c r="I4732" s="1" t="str">
        <f>IFERROR(__xludf.DUMMYFUNCTION("GOOGLETRANSLATE(E4732,""EN"",""JA"")"),"タンパク質38を含む三者モチーフ")</f>
        <v>タンパク質38を含む三者モチーフ</v>
      </c>
      <c r="J4732" s="1" t="str">
        <f>IFERROR(__xludf.DUMMYFUNCTION("GOOGLETRANSLATE(F4732,""EN"",""JA"")"),"生物標本中のタンパク質 38 を含む 3 部構成モチーフの測定。")</f>
        <v>生物標本中のタンパク質 38 を含む 3 部構成モチーフの測定。</v>
      </c>
      <c r="K4732" s="1" t="str">
        <f>IFERROR(__xludf.DUMMYFUNCTION("GOOGLETRANSLATE(G4732,""EN"",""JA"")"),"タンパク質38の測定を含む三者モチーフ")</f>
        <v>タンパク質38の測定を含む三者モチーフ</v>
      </c>
    </row>
    <row r="4733" ht="13.5" customHeight="1">
      <c r="A4733" s="1" t="s">
        <v>160</v>
      </c>
      <c r="B4733" s="1" t="s">
        <v>23615</v>
      </c>
      <c r="C4733" s="1" t="s">
        <v>23616</v>
      </c>
      <c r="D4733" s="1" t="s">
        <v>23617</v>
      </c>
      <c r="E4733" s="1" t="s">
        <v>23617</v>
      </c>
      <c r="F4733" s="1" t="s">
        <v>23618</v>
      </c>
      <c r="G4733" s="1" t="s">
        <v>23617</v>
      </c>
      <c r="H4733" s="1" t="str">
        <f>IFERROR(__xludf.DUMMYFUNCTION("GOOGLETRANSLATE(D4733,""EN"",""JA"")"),"正期産妊娠カテゴリー")</f>
        <v>正期産妊娠カテゴリー</v>
      </c>
      <c r="I4733" s="1" t="str">
        <f>IFERROR(__xludf.DUMMYFUNCTION("GOOGLETRANSLATE(E4733,""EN"",""JA"")"),"正期産妊娠カテゴリー")</f>
        <v>正期産妊娠カテゴリー</v>
      </c>
      <c r="J4733" s="1" t="str">
        <f>IFERROR(__xludf.DUMMYFUNCTION("GOOGLETRANSLATE(F4733,""EN"",""JA"")"),"出産時の妊娠期間の分類。")</f>
        <v>出産時の妊娠期間の分類。</v>
      </c>
      <c r="K4733" s="1" t="str">
        <f>IFERROR(__xludf.DUMMYFUNCTION("GOOGLETRANSLATE(G4733,""EN"",""JA"")"),"正期産妊娠カテゴリー")</f>
        <v>正期産妊娠カテゴリー</v>
      </c>
    </row>
    <row r="4734" ht="13.5" customHeight="1">
      <c r="A4734" s="1" t="s">
        <v>11</v>
      </c>
      <c r="B4734" s="1" t="s">
        <v>23619</v>
      </c>
      <c r="C4734" s="1" t="s">
        <v>23620</v>
      </c>
      <c r="D4734" s="1" t="s">
        <v>23621</v>
      </c>
      <c r="E4734" s="1" t="s">
        <v>23622</v>
      </c>
      <c r="F4734" s="1" t="s">
        <v>23623</v>
      </c>
      <c r="G4734" s="1" t="s">
        <v>23624</v>
      </c>
      <c r="H4734" s="1" t="str">
        <f>IFERROR(__xludf.DUMMYFUNCTION("GOOGLETRANSLATE(D4734,""EN"",""JA"")"),"トレンボロン")</f>
        <v>トレンボロン</v>
      </c>
      <c r="I4734" s="1" t="str">
        <f>IFERROR(__xludf.DUMMYFUNCTION("GOOGLETRANSLATE(E4734,""EN"",""JA"")"),"17beta-トレンボロン; トレンボロン; トリエンボロン")</f>
        <v>17beta-トレンボロン; トレンボロン; トリエンボロン</v>
      </c>
      <c r="J4734" s="1" t="str">
        <f>IFERROR(__xludf.DUMMYFUNCTION("GOOGLETRANSLATE(F4734,""EN"",""JA"")"),"生物標本中のトレンボロンの測定。")</f>
        <v>生物標本中のトレンボロンの測定。</v>
      </c>
      <c r="K4734" s="1" t="str">
        <f>IFERROR(__xludf.DUMMYFUNCTION("GOOGLETRANSLATE(G4734,""EN"",""JA"")"),"トレンボロンの測定")</f>
        <v>トレンボロンの測定</v>
      </c>
    </row>
    <row r="4735" ht="13.5" customHeight="1">
      <c r="A4735" s="1" t="s">
        <v>11</v>
      </c>
      <c r="B4735" s="1" t="s">
        <v>23625</v>
      </c>
      <c r="C4735" s="1" t="s">
        <v>23626</v>
      </c>
      <c r="D4735" s="1" t="s">
        <v>23627</v>
      </c>
      <c r="E4735" s="1" t="s">
        <v>23627</v>
      </c>
      <c r="F4735" s="1" t="s">
        <v>23628</v>
      </c>
      <c r="G4735" s="1" t="s">
        <v>23629</v>
      </c>
      <c r="H4735" s="1" t="str">
        <f>IFERROR(__xludf.DUMMYFUNCTION("GOOGLETRANSLATE(D4735,""EN"",""JA"")"),"トロポニンI")</f>
        <v>トロポニンI</v>
      </c>
      <c r="I4735" s="1" t="str">
        <f>IFERROR(__xludf.DUMMYFUNCTION("GOOGLETRANSLATE(E4735,""EN"",""JA"")"),"トロポニンI")</f>
        <v>トロポニンI</v>
      </c>
      <c r="J4735" s="1" t="str">
        <f>IFERROR(__xludf.DUMMYFUNCTION("GOOGLETRANSLATE(F4735,""EN"",""JA"")"),"生物標本中のアクチン結合トロポニンの測定。")</f>
        <v>生物標本中のアクチン結合トロポニンの測定。</v>
      </c>
      <c r="K4735" s="1" t="str">
        <f>IFERROR(__xludf.DUMMYFUNCTION("GOOGLETRANSLATE(G4735,""EN"",""JA"")"),"トロポニンI測定")</f>
        <v>トロポニンI測定</v>
      </c>
    </row>
    <row r="4736" ht="13.5" customHeight="1">
      <c r="A4736" s="1" t="s">
        <v>11</v>
      </c>
      <c r="B4736" s="1" t="s">
        <v>23630</v>
      </c>
      <c r="C4736" s="1" t="s">
        <v>23631</v>
      </c>
      <c r="D4736" s="1" t="s">
        <v>23632</v>
      </c>
      <c r="E4736" s="1" t="s">
        <v>23633</v>
      </c>
      <c r="F4736" s="1" t="s">
        <v>23634</v>
      </c>
      <c r="G4736" s="1" t="s">
        <v>23635</v>
      </c>
      <c r="H4736" s="1" t="str">
        <f>IFERROR(__xludf.DUMMYFUNCTION("GOOGLETRANSLATE(D4736,""EN"",""JA"")"),"トロポニンI型1")</f>
        <v>トロポニンI型1</v>
      </c>
      <c r="I4736" s="1" t="str">
        <f>IFERROR(__xludf.DUMMYFUNCTION("GOOGLETRANSLATE(E4736,""EN"",""JA"")"),"遅筋骨格筋トロポニンI; ssTnI; トロポニンIタイプ1")</f>
        <v>遅筋骨格筋トロポニンI; ssTnI; トロポニンIタイプ1</v>
      </c>
      <c r="J4736" s="1" t="str">
        <f>IFERROR(__xludf.DUMMYFUNCTION("GOOGLETRANSLATE(F4736,""EN"",""JA"")"),"生物標本中のトロポニン I タイプ 1 (遅筋骨格筋) の測定。")</f>
        <v>生物標本中のトロポニン I タイプ 1 (遅筋骨格筋) の測定。</v>
      </c>
      <c r="K4736" s="1" t="str">
        <f>IFERROR(__xludf.DUMMYFUNCTION("GOOGLETRANSLATE(G4736,""EN"",""JA"")"),"トロポニンI型1の測定")</f>
        <v>トロポニンI型1の測定</v>
      </c>
    </row>
    <row r="4737" ht="13.5" customHeight="1">
      <c r="A4737" s="1" t="s">
        <v>11</v>
      </c>
      <c r="B4737" s="1" t="s">
        <v>23636</v>
      </c>
      <c r="C4737" s="1" t="s">
        <v>23637</v>
      </c>
      <c r="D4737" s="1" t="s">
        <v>23638</v>
      </c>
      <c r="E4737" s="1" t="s">
        <v>23639</v>
      </c>
      <c r="F4737" s="1" t="s">
        <v>23640</v>
      </c>
      <c r="G4737" s="1" t="s">
        <v>23641</v>
      </c>
      <c r="H4737" s="1" t="str">
        <f>IFERROR(__xludf.DUMMYFUNCTION("GOOGLETRANSLATE(D4737,""EN"",""JA"")"),"トロポニンI型2")</f>
        <v>トロポニンI型2</v>
      </c>
      <c r="I4737" s="1" t="str">
        <f>IFERROR(__xludf.DUMMYFUNCTION("GOOGLETRANSLATE(E4737,""EN"",""JA"")"),"速筋骨格筋トロポニンI; fsTnI; トロポニンIタイプ2")</f>
        <v>速筋骨格筋トロポニンI; fsTnI; トロポニンIタイプ2</v>
      </c>
      <c r="J4737" s="1" t="str">
        <f>IFERROR(__xludf.DUMMYFUNCTION("GOOGLETRANSLATE(F4737,""EN"",""JA"")"),"生物標本中のトロポニン I タイプ 2 (速筋骨格筋) の測定。")</f>
        <v>生物標本中のトロポニン I タイプ 2 (速筋骨格筋) の測定。</v>
      </c>
      <c r="K4737" s="1" t="str">
        <f>IFERROR(__xludf.DUMMYFUNCTION("GOOGLETRANSLATE(G4737,""EN"",""JA"")"),"トロポニンIタイプ2測定")</f>
        <v>トロポニンIタイプ2測定</v>
      </c>
    </row>
    <row r="4738" ht="13.5" customHeight="1">
      <c r="A4738" s="1" t="s">
        <v>11</v>
      </c>
      <c r="B4738" s="1" t="s">
        <v>23642</v>
      </c>
      <c r="C4738" s="1" t="s">
        <v>23643</v>
      </c>
      <c r="D4738" s="1" t="s">
        <v>23644</v>
      </c>
      <c r="E4738" s="1" t="s">
        <v>23645</v>
      </c>
      <c r="F4738" s="1" t="s">
        <v>23646</v>
      </c>
      <c r="G4738" s="1" t="s">
        <v>23647</v>
      </c>
      <c r="H4738" s="1" t="str">
        <f>IFERROR(__xludf.DUMMYFUNCTION("GOOGLETRANSLATE(D4738,""EN"",""JA"")"),"トロポニンI型3")</f>
        <v>トロポニンI型3</v>
      </c>
      <c r="I4738" s="1" t="str">
        <f>IFERROR(__xludf.DUMMYFUNCTION("GOOGLETRANSLATE(E4738,""EN"",""JA"")"),"心筋トロポニンI; cTnI; TNNC1; トロポニンIタイプ3")</f>
        <v>心筋トロポニンI; cTnI; TNNC1; トロポニンIタイプ3</v>
      </c>
      <c r="J4738" s="1" t="str">
        <f>IFERROR(__xludf.DUMMYFUNCTION("GOOGLETRANSLATE(F4738,""EN"",""JA"")"),"生物標本中のトロポニン I タイプ 3 (心筋) の測定。")</f>
        <v>生物標本中のトロポニン I タイプ 3 (心筋) の測定。</v>
      </c>
      <c r="K4738" s="1" t="str">
        <f>IFERROR(__xludf.DUMMYFUNCTION("GOOGLETRANSLATE(G4738,""EN"",""JA"")"),"トロポニンIタイプ3測定")</f>
        <v>トロポニンIタイプ3測定</v>
      </c>
    </row>
    <row r="4739" ht="13.5" customHeight="1">
      <c r="A4739" s="1" t="s">
        <v>11</v>
      </c>
      <c r="B4739" s="1" t="s">
        <v>23648</v>
      </c>
      <c r="C4739" s="1" t="s">
        <v>23649</v>
      </c>
      <c r="D4739" s="1" t="s">
        <v>23650</v>
      </c>
      <c r="E4739" s="1" t="s">
        <v>23650</v>
      </c>
      <c r="F4739" s="1" t="s">
        <v>23651</v>
      </c>
      <c r="G4739" s="1" t="s">
        <v>23652</v>
      </c>
      <c r="H4739" s="1" t="str">
        <f>IFERROR(__xludf.DUMMYFUNCTION("GOOGLETRANSLATE(D4739,""EN"",""JA"")"),"トロポニン")</f>
        <v>トロポニン</v>
      </c>
      <c r="I4739" s="1" t="str">
        <f>IFERROR(__xludf.DUMMYFUNCTION("GOOGLETRANSLATE(E4739,""EN"",""JA"")"),"トロポニン")</f>
        <v>トロポニン</v>
      </c>
      <c r="J4739" s="1" t="str">
        <f>IFERROR(__xludf.DUMMYFUNCTION("GOOGLETRANSLATE(F4739,""EN"",""JA"")"),"生物標本中の総トロポニンの測定。")</f>
        <v>生物標本中の総トロポニンの測定。</v>
      </c>
      <c r="K4739" s="1" t="str">
        <f>IFERROR(__xludf.DUMMYFUNCTION("GOOGLETRANSLATE(G4739,""EN"",""JA"")"),"トロポニン測定")</f>
        <v>トロポニン測定</v>
      </c>
    </row>
    <row r="4740" ht="13.5" customHeight="1">
      <c r="A4740" s="1" t="s">
        <v>11</v>
      </c>
      <c r="B4740" s="1" t="s">
        <v>23653</v>
      </c>
      <c r="C4740" s="1" t="s">
        <v>23654</v>
      </c>
      <c r="D4740" s="1" t="s">
        <v>23655</v>
      </c>
      <c r="E4740" s="1" t="s">
        <v>23655</v>
      </c>
      <c r="F4740" s="1" t="s">
        <v>23656</v>
      </c>
      <c r="G4740" s="1" t="s">
        <v>23657</v>
      </c>
      <c r="H4740" s="1" t="str">
        <f>IFERROR(__xludf.DUMMYFUNCTION("GOOGLETRANSLATE(D4740,""EN"",""JA"")"),"トロポニンT")</f>
        <v>トロポニンT</v>
      </c>
      <c r="I4740" s="1" t="str">
        <f>IFERROR(__xludf.DUMMYFUNCTION("GOOGLETRANSLATE(E4740,""EN"",""JA"")"),"トロポニンT")</f>
        <v>トロポニンT</v>
      </c>
      <c r="J4740" s="1" t="str">
        <f>IFERROR(__xludf.DUMMYFUNCTION("GOOGLETRANSLATE(F4740,""EN"",""JA"")"),"生物標本中のトロポミオシン結合トロポニンの測定。")</f>
        <v>生物標本中のトロポミオシン結合トロポニンの測定。</v>
      </c>
      <c r="K4740" s="1" t="str">
        <f>IFERROR(__xludf.DUMMYFUNCTION("GOOGLETRANSLATE(G4740,""EN"",""JA"")"),"トロポニンT測定")</f>
        <v>トロポニンT測定</v>
      </c>
    </row>
    <row r="4741" ht="13.5" customHeight="1">
      <c r="A4741" s="1" t="s">
        <v>870</v>
      </c>
      <c r="B4741" s="1" t="s">
        <v>23658</v>
      </c>
      <c r="C4741" s="1" t="s">
        <v>23659</v>
      </c>
      <c r="D4741" s="1" t="s">
        <v>23660</v>
      </c>
      <c r="E4741" s="1" t="s">
        <v>23660</v>
      </c>
      <c r="F4741" s="1" t="s">
        <v>23661</v>
      </c>
      <c r="G4741" s="1" t="s">
        <v>23660</v>
      </c>
      <c r="H4741" s="1" t="str">
        <f>IFERROR(__xludf.DUMMYFUNCTION("GOOGLETRANSLATE(D4741,""EN"",""JA"")"),"トラフピーク比")</f>
        <v>トラフピーク比</v>
      </c>
      <c r="I4741" s="1" t="str">
        <f>IFERROR(__xludf.DUMMYFUNCTION("GOOGLETRANSLATE(E4741,""EN"",""JA"")"),"トラフピーク比")</f>
        <v>トラフピーク比</v>
      </c>
      <c r="J4741" s="1" t="str">
        <f>IFERROR(__xludf.DUMMYFUNCTION("GOOGLETRANSLATE(F4741,""EN"",""JA"")"),"投与間隔の開始時の濃度を投与間隔中の最大濃度で割ったもの。")</f>
        <v>投与間隔の開始時の濃度を投与間隔中の最大濃度で割ったもの。</v>
      </c>
      <c r="K4741" s="1" t="str">
        <f>IFERROR(__xludf.DUMMYFUNCTION("GOOGLETRANSLATE(G4741,""EN"",""JA"")"),"トラフピーク比")</f>
        <v>トラフピーク比</v>
      </c>
    </row>
    <row r="4742" ht="13.5" customHeight="1">
      <c r="A4742" s="1" t="s">
        <v>11</v>
      </c>
      <c r="B4742" s="1" t="s">
        <v>23662</v>
      </c>
      <c r="C4742" s="1" t="s">
        <v>23663</v>
      </c>
      <c r="D4742" s="1" t="s">
        <v>23664</v>
      </c>
      <c r="E4742" s="1" t="s">
        <v>23664</v>
      </c>
      <c r="F4742" s="1" t="s">
        <v>23665</v>
      </c>
      <c r="G4742" s="1" t="s">
        <v>23666</v>
      </c>
      <c r="H4742" s="1" t="str">
        <f>IFERROR(__xludf.DUMMYFUNCTION("GOOGLETRANSLATE(D4742,""EN"",""JA"")"),"トリプトファン")</f>
        <v>トリプトファン</v>
      </c>
      <c r="I4742" s="1" t="str">
        <f>IFERROR(__xludf.DUMMYFUNCTION("GOOGLETRANSLATE(E4742,""EN"",""JA"")"),"トリプトファン")</f>
        <v>トリプトファン</v>
      </c>
      <c r="J4742" s="1" t="str">
        <f>IFERROR(__xludf.DUMMYFUNCTION("GOOGLETRANSLATE(F4742,""EN"",""JA"")"),"生物標本中のトリプトファンの測定。")</f>
        <v>生物標本中のトリプトファンの測定。</v>
      </c>
      <c r="K4742" s="1" t="str">
        <f>IFERROR(__xludf.DUMMYFUNCTION("GOOGLETRANSLATE(G4742,""EN"",""JA"")"),"トリプトファン測定")</f>
        <v>トリプトファン測定</v>
      </c>
    </row>
    <row r="4743" ht="13.5" customHeight="1">
      <c r="A4743" s="1" t="s">
        <v>11</v>
      </c>
      <c r="B4743" s="1" t="s">
        <v>23667</v>
      </c>
      <c r="C4743" s="1" t="s">
        <v>23668</v>
      </c>
      <c r="D4743" s="1" t="s">
        <v>23669</v>
      </c>
      <c r="E4743" s="1" t="s">
        <v>23669</v>
      </c>
      <c r="F4743" s="1" t="s">
        <v>23670</v>
      </c>
      <c r="G4743" s="1" t="s">
        <v>23671</v>
      </c>
      <c r="H4743" s="1" t="str">
        <f>IFERROR(__xludf.DUMMYFUNCTION("GOOGLETRANSLATE(D4743,""EN"",""JA"")"),"トリプシン1とトリプシノーゲン1")</f>
        <v>トリプシン1とトリプシノーゲン1</v>
      </c>
      <c r="I4743" s="1" t="str">
        <f>IFERROR(__xludf.DUMMYFUNCTION("GOOGLETRANSLATE(E4743,""EN"",""JA"")"),"トリプシン1とトリプシノーゲン1")</f>
        <v>トリプシン1とトリプシノーゲン1</v>
      </c>
      <c r="J4743" s="1" t="str">
        <f>IFERROR(__xludf.DUMMYFUNCTION("GOOGLETRANSLATE(F4743,""EN"",""JA"")"),"生物標本中のトリプシン 1 およびトリプシノーゲン 1 の測定。")</f>
        <v>生物標本中のトリプシン 1 およびトリプシノーゲン 1 の測定。</v>
      </c>
      <c r="K4743" s="1" t="str">
        <f>IFERROR(__xludf.DUMMYFUNCTION("GOOGLETRANSLATE(G4743,""EN"",""JA"")"),"トリプシン1およびトリプシノーゲン1の測定")</f>
        <v>トリプシン1およびトリプシノーゲン1の測定</v>
      </c>
    </row>
    <row r="4744" ht="13.5" customHeight="1">
      <c r="A4744" s="1" t="s">
        <v>11</v>
      </c>
      <c r="B4744" s="1" t="s">
        <v>23672</v>
      </c>
      <c r="C4744" s="1" t="s">
        <v>23673</v>
      </c>
      <c r="D4744" s="1" t="s">
        <v>23674</v>
      </c>
      <c r="E4744" s="1" t="s">
        <v>23674</v>
      </c>
      <c r="F4744" s="1" t="s">
        <v>23675</v>
      </c>
      <c r="G4744" s="1" t="s">
        <v>23676</v>
      </c>
      <c r="H4744" s="1" t="str">
        <f>IFERROR(__xludf.DUMMYFUNCTION("GOOGLETRANSLATE(D4744,""EN"",""JA"")"),"トリプトファン/クレアチニン")</f>
        <v>トリプトファン/クレアチニン</v>
      </c>
      <c r="I4744" s="1" t="str">
        <f>IFERROR(__xludf.DUMMYFUNCTION("GOOGLETRANSLATE(E4744,""EN"",""JA"")"),"トリプトファン/クレアチニン")</f>
        <v>トリプトファン/クレアチニン</v>
      </c>
      <c r="J4744" s="1" t="str">
        <f>IFERROR(__xludf.DUMMYFUNCTION("GOOGLETRANSLATE(F4744,""EN"",""JA"")"),"生物標本中のトリプトファンとクレアチニンの相対的な測定値（比率またはパーセンテージ）。")</f>
        <v>生物標本中のトリプトファンとクレアチニンの相対的な測定値（比率またはパーセンテージ）。</v>
      </c>
      <c r="K4744" s="1" t="str">
        <f>IFERROR(__xludf.DUMMYFUNCTION("GOOGLETRANSLATE(G4744,""EN"",""JA"")"),"トリプトファンとクレアチニンの比率測定")</f>
        <v>トリプトファンとクレアチニンの比率測定</v>
      </c>
    </row>
    <row r="4745" ht="13.5" customHeight="1">
      <c r="A4745" s="1" t="s">
        <v>11</v>
      </c>
      <c r="B4745" s="1" t="s">
        <v>23677</v>
      </c>
      <c r="C4745" s="1" t="s">
        <v>23678</v>
      </c>
      <c r="D4745" s="1" t="s">
        <v>23679</v>
      </c>
      <c r="E4745" s="1" t="s">
        <v>23679</v>
      </c>
      <c r="F4745" s="1" t="s">
        <v>23680</v>
      </c>
      <c r="G4745" s="1" t="s">
        <v>23681</v>
      </c>
      <c r="H4745" s="1" t="str">
        <f>IFERROR(__xludf.DUMMYFUNCTION("GOOGLETRANSLATE(D4745,""EN"",""JA"")"),"トリプシンとトリプシノーゲン")</f>
        <v>トリプシンとトリプシノーゲン</v>
      </c>
      <c r="I4745" s="1" t="str">
        <f>IFERROR(__xludf.DUMMYFUNCTION("GOOGLETRANSLATE(E4745,""EN"",""JA"")"),"トリプシンとトリプシノーゲン")</f>
        <v>トリプシンとトリプシノーゲン</v>
      </c>
      <c r="J4745" s="1" t="str">
        <f>IFERROR(__xludf.DUMMYFUNCTION("GOOGLETRANSLATE(F4745,""EN"",""JA"")"),"生物標本中の総トリプシンおよび総トリプシノーゲンの測定。")</f>
        <v>生物標本中の総トリプシンおよび総トリプシノーゲンの測定。</v>
      </c>
      <c r="K4745" s="1" t="str">
        <f>IFERROR(__xludf.DUMMYFUNCTION("GOOGLETRANSLATE(G4745,""EN"",""JA"")"),"トリプシンおよびトリプシノーゲンの測定")</f>
        <v>トリプシンおよびトリプシノーゲンの測定</v>
      </c>
    </row>
    <row r="4746" ht="13.5" customHeight="1">
      <c r="A4746" s="1" t="s">
        <v>129</v>
      </c>
      <c r="B4746" s="1" t="s">
        <v>23682</v>
      </c>
      <c r="C4746" s="1" t="s">
        <v>23683</v>
      </c>
      <c r="D4746" s="1" t="s">
        <v>23684</v>
      </c>
      <c r="E4746" s="1" t="s">
        <v>23684</v>
      </c>
      <c r="F4746" s="1" t="s">
        <v>23685</v>
      </c>
      <c r="G4746" s="1" t="s">
        <v>23684</v>
      </c>
      <c r="H4746" s="1" t="str">
        <f>IFERROR(__xludf.DUMMYFUNCTION("GOOGLETRANSLATE(D4746,""EN"",""JA"")"),"上腕三頭筋の皮下脂肪の厚さ")</f>
        <v>上腕三頭筋の皮下脂肪の厚さ</v>
      </c>
      <c r="I4746" s="1" t="str">
        <f>IFERROR(__xludf.DUMMYFUNCTION("GOOGLETRANSLATE(E4746,""EN"",""JA"")"),"上腕三頭筋の皮下脂肪の厚さ")</f>
        <v>上腕三頭筋の皮下脂肪の厚さ</v>
      </c>
      <c r="J4746" s="1" t="str">
        <f>IFERROR(__xludf.DUMMYFUNCTION("GOOGLETRANSLATE(F4746,""EN"",""JA"")"),"上腕三頭筋の皮膚をつまんだときの厚さの測定値。(NCI)")</f>
        <v>上腕三頭筋の皮膚をつまんだときの厚さの測定値。(NCI)</v>
      </c>
      <c r="K4746" s="1" t="str">
        <f>IFERROR(__xludf.DUMMYFUNCTION("GOOGLETRANSLATE(G4746,""EN"",""JA"")"),"上腕三頭筋の皮下脂肪の厚さ")</f>
        <v>上腕三頭筋の皮下脂肪の厚さ</v>
      </c>
    </row>
    <row r="4747" ht="13.5" customHeight="1">
      <c r="A4747" s="1" t="s">
        <v>397</v>
      </c>
      <c r="B4747" s="1" t="s">
        <v>23686</v>
      </c>
      <c r="C4747" s="1" t="s">
        <v>23687</v>
      </c>
      <c r="D4747" s="1" t="s">
        <v>23688</v>
      </c>
      <c r="E4747" s="1" t="s">
        <v>23689</v>
      </c>
      <c r="F4747" s="1" t="s">
        <v>23690</v>
      </c>
      <c r="G4747" s="1" t="s">
        <v>23691</v>
      </c>
      <c r="H4747" s="1" t="str">
        <f>IFERROR(__xludf.DUMMYFUNCTION("GOOGLETRANSLATE(D4747,""EN"",""JA"")"),"治験中の治療法または治療")</f>
        <v>治験中の治療法または治療</v>
      </c>
      <c r="I4747" s="1" t="str">
        <f>IFERROR(__xludf.DUMMYFUNCTION("GOOGLETRANSLATE(E4747,""EN"",""JA"")"),"研究的介入、研究的療法または治療")</f>
        <v>研究的介入、研究的療法または治療</v>
      </c>
      <c r="J4747" s="1" t="str">
        <f>IFERROR(__xludf.DUMMYFUNCTION("GOOGLETRANSLATE(F4747,""EN"",""JA"")"),"臨床試験において調査対象となっている薬剤、医療機器、治療法、処置、またはプロセスで、研究の対象となる成果（例：健康関連の生活の質、有効性、安全性、薬剤経済学）に影響を及ぼすと考えられるもの。[https://gran より引用]")</f>
        <v>臨床試験において調査対象となっている薬剤、医療機器、治療法、処置、またはプロセスで、研究の対象となる成果（例：健康関連の生活の質、有効性、安全性、薬剤経済学）に影響を及ぼすと考えられるもの。[https://gran より引用]</v>
      </c>
      <c r="K4747" s="1" t="str">
        <f>IFERROR(__xludf.DUMMYFUNCTION("GOOGLETRANSLATE(G4747,""EN"",""JA"")"),"プロトコルエージェント")</f>
        <v>プロトコルエージェント</v>
      </c>
    </row>
    <row r="4748" ht="13.5" customHeight="1">
      <c r="A4748" s="1" t="s">
        <v>11</v>
      </c>
      <c r="B4748" s="1" t="s">
        <v>23692</v>
      </c>
      <c r="C4748" s="1" t="s">
        <v>23693</v>
      </c>
      <c r="D4748" s="1" t="s">
        <v>23694</v>
      </c>
      <c r="E4748" s="1" t="s">
        <v>23694</v>
      </c>
      <c r="F4748" s="1" t="s">
        <v>23695</v>
      </c>
      <c r="G4748" s="1" t="s">
        <v>23696</v>
      </c>
      <c r="H4748" s="1" t="str">
        <f>IFERROR(__xludf.DUMMYFUNCTION("GOOGLETRANSLATE(D4748,""EN"",""JA"")"),"トリプシン")</f>
        <v>トリプシン</v>
      </c>
      <c r="I4748" s="1" t="str">
        <f>IFERROR(__xludf.DUMMYFUNCTION("GOOGLETRANSLATE(E4748,""EN"",""JA"")"),"トリプシン")</f>
        <v>トリプシン</v>
      </c>
      <c r="J4748" s="1" t="str">
        <f>IFERROR(__xludf.DUMMYFUNCTION("GOOGLETRANSLATE(F4748,""EN"",""JA"")"),"生物標本中のトリプシンの測定。")</f>
        <v>生物標本中のトリプシンの測定。</v>
      </c>
      <c r="K4748" s="1" t="str">
        <f>IFERROR(__xludf.DUMMYFUNCTION("GOOGLETRANSLATE(G4748,""EN"",""JA"")"),"トリプシン測定")</f>
        <v>トリプシン測定</v>
      </c>
    </row>
    <row r="4749" ht="13.5" customHeight="1">
      <c r="A4749" s="1" t="s">
        <v>11</v>
      </c>
      <c r="B4749" s="1" t="s">
        <v>23697</v>
      </c>
      <c r="C4749" s="1" t="s">
        <v>23698</v>
      </c>
      <c r="D4749" s="1" t="s">
        <v>23699</v>
      </c>
      <c r="E4749" s="1" t="s">
        <v>23699</v>
      </c>
      <c r="F4749" s="1" t="s">
        <v>23700</v>
      </c>
      <c r="G4749" s="1" t="s">
        <v>23701</v>
      </c>
      <c r="H4749" s="1" t="str">
        <f>IFERROR(__xludf.DUMMYFUNCTION("GOOGLETRANSLATE(D4749,""EN"",""JA"")"),"トリプターゼ")</f>
        <v>トリプターゼ</v>
      </c>
      <c r="I4749" s="1" t="str">
        <f>IFERROR(__xludf.DUMMYFUNCTION("GOOGLETRANSLATE(E4749,""EN"",""JA"")"),"トリプターゼ")</f>
        <v>トリプターゼ</v>
      </c>
      <c r="J4749" s="1" t="str">
        <f>IFERROR(__xludf.DUMMYFUNCTION("GOOGLETRANSLATE(F4749,""EN"",""JA"")"),"生物標本中のトリプターゼの測定。")</f>
        <v>生物標本中のトリプターゼの測定。</v>
      </c>
      <c r="K4749" s="1" t="str">
        <f>IFERROR(__xludf.DUMMYFUNCTION("GOOGLETRANSLATE(G4749,""EN"",""JA"")"),"トリプターゼ測定")</f>
        <v>トリプターゼ測定</v>
      </c>
    </row>
    <row r="4750" ht="13.5" customHeight="1">
      <c r="A4750" s="1" t="s">
        <v>11</v>
      </c>
      <c r="B4750" s="1" t="s">
        <v>23702</v>
      </c>
      <c r="C4750" s="1" t="s">
        <v>23703</v>
      </c>
      <c r="D4750" s="1" t="s">
        <v>23704</v>
      </c>
      <c r="E4750" s="1" t="s">
        <v>23704</v>
      </c>
      <c r="F4750" s="1" t="s">
        <v>23705</v>
      </c>
      <c r="G4750" s="1" t="s">
        <v>23706</v>
      </c>
      <c r="H4750" s="1" t="str">
        <f>IFERROR(__xludf.DUMMYFUNCTION("GOOGLETRANSLATE(D4750,""EN"",""JA"")"),"トラゾドン")</f>
        <v>トラゾドン</v>
      </c>
      <c r="I4750" s="1" t="str">
        <f>IFERROR(__xludf.DUMMYFUNCTION("GOOGLETRANSLATE(E4750,""EN"",""JA"")"),"トラゾドン")</f>
        <v>トラゾドン</v>
      </c>
      <c r="J4750" s="1" t="str">
        <f>IFERROR(__xludf.DUMMYFUNCTION("GOOGLETRANSLATE(F4750,""EN"",""JA"")"),"生物標本中のトラゾドンの測定。")</f>
        <v>生物標本中のトラゾドンの測定。</v>
      </c>
      <c r="K4750" s="1" t="str">
        <f>IFERROR(__xludf.DUMMYFUNCTION("GOOGLETRANSLATE(G4750,""EN"",""JA"")"),"トラゾドン測定")</f>
        <v>トラゾドン測定</v>
      </c>
    </row>
    <row r="4751" ht="13.5" customHeight="1">
      <c r="A4751" s="1" t="s">
        <v>11</v>
      </c>
      <c r="B4751" s="1" t="s">
        <v>23707</v>
      </c>
      <c r="C4751" s="1" t="s">
        <v>23708</v>
      </c>
      <c r="D4751" s="1" t="s">
        <v>23709</v>
      </c>
      <c r="E4751" s="1" t="s">
        <v>23709</v>
      </c>
      <c r="F4751" s="1" t="s">
        <v>23710</v>
      </c>
      <c r="G4751" s="1" t="s">
        <v>23711</v>
      </c>
      <c r="H4751" s="1" t="str">
        <f>IFERROR(__xludf.DUMMYFUNCTION("GOOGLETRANSLATE(D4751,""EN"",""JA"")"),"トリアゾラム")</f>
        <v>トリアゾラム</v>
      </c>
      <c r="I4751" s="1" t="str">
        <f>IFERROR(__xludf.DUMMYFUNCTION("GOOGLETRANSLATE(E4751,""EN"",""JA"")"),"トリアゾラム")</f>
        <v>トリアゾラム</v>
      </c>
      <c r="J4751" s="1" t="str">
        <f>IFERROR(__xludf.DUMMYFUNCTION("GOOGLETRANSLATE(F4751,""EN"",""JA"")"),"生物標本中のトリアゾラムの測定。")</f>
        <v>生物標本中のトリアゾラムの測定。</v>
      </c>
      <c r="K4751" s="1" t="str">
        <f>IFERROR(__xludf.DUMMYFUNCTION("GOOGLETRANSLATE(G4751,""EN"",""JA"")"),"トリアゾラム測定")</f>
        <v>トリアゾラム測定</v>
      </c>
    </row>
    <row r="4752" ht="13.5" customHeight="1">
      <c r="A4752" s="1" t="s">
        <v>1342</v>
      </c>
      <c r="B4752" s="1" t="s">
        <v>23712</v>
      </c>
      <c r="C4752" s="1" t="s">
        <v>23713</v>
      </c>
      <c r="D4752" s="1" t="s">
        <v>23714</v>
      </c>
      <c r="E4752" s="1" t="s">
        <v>23714</v>
      </c>
      <c r="F4752" s="1" t="s">
        <v>23715</v>
      </c>
      <c r="G4752" s="1" t="s">
        <v>23714</v>
      </c>
      <c r="H4752" s="1" t="str">
        <f>IFERROR(__xludf.DUMMYFUNCTION("GOOGLETRANSLATE(D4752,""EN"",""JA"")"),"精巣疾患指標")</f>
        <v>精巣疾患指標</v>
      </c>
      <c r="I4752" s="1" t="str">
        <f>IFERROR(__xludf.DUMMYFUNCTION("GOOGLETRANSLATE(E4752,""EN"",""JA"")"),"精巣疾患指標")</f>
        <v>精巣疾患指標</v>
      </c>
      <c r="J4752" s="1" t="str">
        <f>IFERROR(__xludf.DUMMYFUNCTION("GOOGLETRANSLATE(F4752,""EN"",""JA"")"),"精巣疾患が存在するかどうかを示す指標。")</f>
        <v>精巣疾患が存在するかどうかを示す指標。</v>
      </c>
      <c r="K4752" s="1" t="str">
        <f>IFERROR(__xludf.DUMMYFUNCTION("GOOGLETRANSLATE(G4752,""EN"",""JA"")"),"精巣疾患指標")</f>
        <v>精巣疾患指標</v>
      </c>
    </row>
    <row r="4753" ht="13.5" customHeight="1">
      <c r="A4753" s="1" t="s">
        <v>11</v>
      </c>
      <c r="B4753" s="1" t="s">
        <v>23716</v>
      </c>
      <c r="C4753" s="1" t="s">
        <v>23717</v>
      </c>
      <c r="D4753" s="1" t="s">
        <v>23718</v>
      </c>
      <c r="E4753" s="1" t="s">
        <v>23719</v>
      </c>
      <c r="F4753" s="1" t="s">
        <v>23720</v>
      </c>
      <c r="G4753" s="1" t="s">
        <v>23721</v>
      </c>
      <c r="H4753" s="1" t="str">
        <f>IFERROR(__xludf.DUMMYFUNCTION("GOOGLETRANSLATE(D4753,""EN"",""JA"")"),"甲状腺刺激ホルモン")</f>
        <v>甲状腺刺激ホルモン</v>
      </c>
      <c r="I4753" s="1" t="str">
        <f>IFERROR(__xludf.DUMMYFUNCTION("GOOGLETRANSLATE(E4753,""EN"",""JA"")"),"甲状腺刺激ホルモン；チロトロピン")</f>
        <v>甲状腺刺激ホルモン；チロトロピン</v>
      </c>
      <c r="J4753" s="1" t="str">
        <f>IFERROR(__xludf.DUMMYFUNCTION("GOOGLETRANSLATE(F4753,""EN"",""JA"")"),"生物標本中の甲状腺刺激ホルモンの測定。")</f>
        <v>生物標本中の甲状腺刺激ホルモンの測定。</v>
      </c>
      <c r="K4753" s="1" t="str">
        <f>IFERROR(__xludf.DUMMYFUNCTION("GOOGLETRANSLATE(G4753,""EN"",""JA"")"),"甲状腺刺激ホルモン測定")</f>
        <v>甲状腺刺激ホルモン測定</v>
      </c>
    </row>
    <row r="4754" ht="13.5" customHeight="1">
      <c r="A4754" s="1" t="s">
        <v>11</v>
      </c>
      <c r="B4754" s="1" t="s">
        <v>23722</v>
      </c>
      <c r="C4754" s="1" t="s">
        <v>23723</v>
      </c>
      <c r="D4754" s="1" t="s">
        <v>23724</v>
      </c>
      <c r="E4754" s="1" t="s">
        <v>23725</v>
      </c>
      <c r="F4754" s="1" t="s">
        <v>23726</v>
      </c>
      <c r="G4754" s="1" t="s">
        <v>23727</v>
      </c>
      <c r="H4754" s="1" t="str">
        <f>IFERROR(__xludf.DUMMYFUNCTION("GOOGLETRANSLATE(D4754,""EN"",""JA"")"),"チロトロピン/チロキシン、遊離")</f>
        <v>チロトロピン/チロキシン、遊離</v>
      </c>
      <c r="I4754" s="1" t="str">
        <f>IFERROR(__xludf.DUMMYFUNCTION("GOOGLETRANSLATE(E4754,""EN"",""JA"")"),"甲状腺刺激ホルモン/遊離T4; チロトロピン/チロキシン、遊離")</f>
        <v>甲状腺刺激ホルモン/遊離T4; チロトロピン/チロキシン、遊離</v>
      </c>
      <c r="J4754" s="1" t="str">
        <f>IFERROR(__xludf.DUMMYFUNCTION("GOOGLETRANSLATE(F4754,""EN"",""JA"")"),"生物標本中のチロトロピンと遊離チロキシンの相対的な測定値（比率）。")</f>
        <v>生物標本中のチロトロピンと遊離チロキシンの相対的な測定値（比率）。</v>
      </c>
      <c r="K4754" s="1" t="str">
        <f>IFERROR(__xludf.DUMMYFUNCTION("GOOGLETRANSLATE(G4754,""EN"",""JA"")"),"チロトロピンと遊離チロキシン比の測定")</f>
        <v>チロトロピンと遊離チロキシン比の測定</v>
      </c>
    </row>
    <row r="4755" ht="13.5" customHeight="1">
      <c r="A4755" s="1" t="s">
        <v>201</v>
      </c>
      <c r="B4755" s="1" t="s">
        <v>23728</v>
      </c>
      <c r="C4755" s="1" t="s">
        <v>23729</v>
      </c>
      <c r="D4755" s="1" t="s">
        <v>23730</v>
      </c>
      <c r="E4755" s="1" t="s">
        <v>23731</v>
      </c>
      <c r="F4755" s="1" t="s">
        <v>23732</v>
      </c>
      <c r="G4755" s="1" t="s">
        <v>23733</v>
      </c>
      <c r="H4755" s="1" t="str">
        <f>IFERROR(__xludf.DUMMYFUNCTION("GOOGLETRANSLATE(D4755,""EN"",""JA"")"),"自己抗体、TSI")</f>
        <v>自己抗体、TSI</v>
      </c>
      <c r="I4755" s="1" t="str">
        <f>IFERROR(__xludf.DUMMYFUNCTION("GOOGLETRANSLATE(E4755,""EN"",""JA"")"),"自己抗体、甲状腺刺激免疫グロブリン；自己抗体、TSI")</f>
        <v>自己抗体、甲状腺刺激免疫グロブリン；自己抗体、TSI</v>
      </c>
      <c r="J4755" s="1" t="str">
        <f>IFERROR(__xludf.DUMMYFUNCTION("GOOGLETRANSLATE(F4755,""EN"",""JA"")"),"生物学的標本中の甲状腺刺激免疫グロブリン自己抗体の測定。")</f>
        <v>生物学的標本中の甲状腺刺激免疫グロブリン自己抗体の測定。</v>
      </c>
      <c r="K4755" s="1" t="str">
        <f>IFERROR(__xludf.DUMMYFUNCTION("GOOGLETRANSLATE(G4755,""EN"",""JA"")"),"甲状腺刺激免疫グロブリン自己抗体測定")</f>
        <v>甲状腺刺激免疫グロブリン自己抗体測定</v>
      </c>
    </row>
    <row r="4756" ht="13.5" customHeight="1">
      <c r="A4756" s="1" t="s">
        <v>201</v>
      </c>
      <c r="B4756" s="1" t="s">
        <v>23734</v>
      </c>
      <c r="C4756" s="1" t="s">
        <v>23735</v>
      </c>
      <c r="D4756" s="1" t="s">
        <v>23736</v>
      </c>
      <c r="E4756" s="1" t="s">
        <v>23737</v>
      </c>
      <c r="F4756" s="1" t="s">
        <v>23738</v>
      </c>
      <c r="G4756" s="1" t="s">
        <v>23739</v>
      </c>
      <c r="H4756" s="1" t="str">
        <f>IFERROR(__xludf.DUMMYFUNCTION("GOOGLETRANSLATE(D4756,""EN"",""JA"")"),"TSI 実測値/制御値")</f>
        <v>TSI 実測値/制御値</v>
      </c>
      <c r="I4756" s="1" t="str">
        <f>IFERROR(__xludf.DUMMYFUNCTION("GOOGLETRANSLATE(E4756,""EN"",""JA"")"),"甲状腺刺激免疫グロブリン実測値/対照値; 甲状腺刺激免疫グロブリン実測値/正常値; TSI実測値/対照値")</f>
        <v>甲状腺刺激免疫グロブリン実測値/対照値; 甲状腺刺激免疫グロブリン実測値/正常値; TSI実測値/対照値</v>
      </c>
      <c r="J4756" s="1" t="str">
        <f>IFERROR(__xludf.DUMMYFUNCTION("GOOGLETRANSLATE(F4756,""EN"",""JA"")"),"被験者の検体中の甲状腺刺激免疫グロブリンの、対照検体と比較した相対的な測定値（比率またはパーセンテージ）。")</f>
        <v>被験者の検体中の甲状腺刺激免疫グロブリンの、対照検体と比較した相対的な測定値（比率またはパーセンテージ）。</v>
      </c>
      <c r="K4756" s="1" t="str">
        <f>IFERROR(__xludf.DUMMYFUNCTION("GOOGLETRANSLATE(G4756,""EN"",""JA"")"),"甲状腺刺激免疫グロブリン実測値と対照値比の測定")</f>
        <v>甲状腺刺激免疫グロブリン実測値と対照値比の測定</v>
      </c>
    </row>
    <row r="4757" ht="13.5" customHeight="1">
      <c r="A4757" s="1" t="s">
        <v>11</v>
      </c>
      <c r="B4757" s="1" t="s">
        <v>23740</v>
      </c>
      <c r="C4757" s="1" t="s">
        <v>23741</v>
      </c>
      <c r="D4757" s="1" t="s">
        <v>23742</v>
      </c>
      <c r="E4757" s="1" t="s">
        <v>23742</v>
      </c>
      <c r="F4757" s="1" t="s">
        <v>23743</v>
      </c>
      <c r="G4757" s="1" t="s">
        <v>23744</v>
      </c>
      <c r="H4757" s="1" t="str">
        <f>IFERROR(__xludf.DUMMYFUNCTION("GOOGLETRANSLATE(D4757,""EN"",""JA"")"),"胸腺間質性リンパ球形成因子")</f>
        <v>胸腺間質性リンパ球形成因子</v>
      </c>
      <c r="I4757" s="1" t="str">
        <f>IFERROR(__xludf.DUMMYFUNCTION("GOOGLETRANSLATE(E4757,""EN"",""JA"")"),"胸腺間質性リンパ球形成因子")</f>
        <v>胸腺間質性リンパ球形成因子</v>
      </c>
      <c r="J4757" s="1" t="str">
        <f>IFERROR(__xludf.DUMMYFUNCTION("GOOGLETRANSLATE(F4757,""EN"",""JA"")"),"生物標本中の胸腺間質性リンパ球形成因子の測定。")</f>
        <v>生物標本中の胸腺間質性リンパ球形成因子の測定。</v>
      </c>
      <c r="K4757" s="1" t="str">
        <f>IFERROR(__xludf.DUMMYFUNCTION("GOOGLETRANSLATE(G4757,""EN"",""JA"")"),"胸腺間質性リンパ球形成因子測定")</f>
        <v>胸腺間質性リンパ球形成因子測定</v>
      </c>
    </row>
    <row r="4758" ht="13.5" customHeight="1">
      <c r="A4758" s="1" t="s">
        <v>11</v>
      </c>
      <c r="B4758" s="1" t="s">
        <v>23745</v>
      </c>
      <c r="C4758" s="1" t="s">
        <v>23746</v>
      </c>
      <c r="D4758" s="1" t="s">
        <v>23747</v>
      </c>
      <c r="E4758" s="1" t="s">
        <v>23748</v>
      </c>
      <c r="F4758" s="1" t="s">
        <v>23749</v>
      </c>
      <c r="G4758" s="1" t="s">
        <v>23750</v>
      </c>
      <c r="H4758" s="1" t="str">
        <f>IFERROR(__xludf.DUMMYFUNCTION("GOOGLETRANSLATE(D4758,""EN"",""JA"")"),"トロンボスポンジン1")</f>
        <v>トロンボスポンジン1</v>
      </c>
      <c r="I4758" s="1" t="str">
        <f>IFERROR(__xludf.DUMMYFUNCTION("GOOGLETRANSLATE(E4758,""EN"",""JA"")"),"THBS1; トロンボスポンジン1")</f>
        <v>THBS1; トロンボスポンジン1</v>
      </c>
      <c r="J4758" s="1" t="str">
        <f>IFERROR(__xludf.DUMMYFUNCTION("GOOGLETRANSLATE(F4758,""EN"",""JA"")"),"生物標本中のトロンボスポンジン 1 の測定。")</f>
        <v>生物標本中のトロンボスポンジン 1 の測定。</v>
      </c>
      <c r="K4758" s="1" t="str">
        <f>IFERROR(__xludf.DUMMYFUNCTION("GOOGLETRANSLATE(G4758,""EN"",""JA"")"),"トロンボスポンジン1測定")</f>
        <v>トロンボスポンジン1測定</v>
      </c>
    </row>
    <row r="4759" ht="13.5" customHeight="1">
      <c r="A4759" s="1" t="s">
        <v>11</v>
      </c>
      <c r="B4759" s="1" t="s">
        <v>23751</v>
      </c>
      <c r="C4759" s="1" t="s">
        <v>23752</v>
      </c>
      <c r="D4759" s="1" t="s">
        <v>23753</v>
      </c>
      <c r="E4759" s="1" t="s">
        <v>23754</v>
      </c>
      <c r="F4759" s="1" t="s">
        <v>23755</v>
      </c>
      <c r="G4759" s="1" t="s">
        <v>23756</v>
      </c>
      <c r="H4759" s="1" t="str">
        <f>IFERROR(__xludf.DUMMYFUNCTION("GOOGLETRANSLATE(D4759,""EN"",""JA"")"),"テトラスパニン-29")</f>
        <v>テトラスパニン-29</v>
      </c>
      <c r="I4759" s="1" t="str">
        <f>IFERROR(__xludf.DUMMYFUNCTION("GOOGLETRANSLATE(E4759,""EN"",""JA"")"),"BA2; CD9; CD9抗原; CD9分子; MIC3; MRP-1; P24; 可溶性CD9; テトラスパニン-29; TSPAN-29")</f>
        <v>BA2; CD9; CD9抗原; CD9分子; MIC3; MRP-1; P24; 可溶性CD9; テトラスパニン-29; TSPAN-29</v>
      </c>
      <c r="J4759" s="1" t="str">
        <f>IFERROR(__xludf.DUMMYFUNCTION("GOOGLETRANSLATE(F4759,""EN"",""JA"")"),"生物標本中のテトラスパニン 29 の測定。")</f>
        <v>生物標本中のテトラスパニン 29 の測定。</v>
      </c>
      <c r="K4759" s="1" t="str">
        <f>IFERROR(__xludf.DUMMYFUNCTION("GOOGLETRANSLATE(G4759,""EN"",""JA"")"),"テトラスパニン-29測定")</f>
        <v>テトラスパニン-29測定</v>
      </c>
    </row>
    <row r="4760" ht="13.5" customHeight="1">
      <c r="A4760" s="1" t="s">
        <v>176</v>
      </c>
      <c r="B4760" s="1" t="s">
        <v>23757</v>
      </c>
      <c r="C4760" s="1" t="s">
        <v>23758</v>
      </c>
      <c r="D4760" s="1" t="s">
        <v>23759</v>
      </c>
      <c r="E4760" s="1" t="s">
        <v>23759</v>
      </c>
      <c r="F4760" s="1" t="s">
        <v>23760</v>
      </c>
      <c r="G4760" s="1" t="s">
        <v>23759</v>
      </c>
      <c r="H4760" s="1" t="str">
        <f>IFERROR(__xludf.DUMMYFUNCTION("GOOGLETRANSLATE(D4760,""EN"",""JA"")"),"合計睡眠時間")</f>
        <v>合計睡眠時間</v>
      </c>
      <c r="I4760" s="1" t="str">
        <f>IFERROR(__xludf.DUMMYFUNCTION("GOOGLETRANSLATE(E4760,""EN"",""JA"")"),"合計睡眠時間")</f>
        <v>合計睡眠時間</v>
      </c>
      <c r="J4760" s="1" t="str">
        <f>IFERROR(__xludf.DUMMYFUNCTION("GOOGLETRANSLATE(F4760,""EN"",""JA"")"),"睡眠開始から睡眠終了までの合計睡眠時間。N1 睡眠、N2 睡眠、N3 睡眠、および REM 睡眠の持続時間を合計して算出されます。")</f>
        <v>睡眠開始から睡眠終了までの合計睡眠時間。N1 睡眠、N2 睡眠、N3 睡眠、および REM 睡眠の持続時間を合計して算出されます。</v>
      </c>
      <c r="K4760" s="1" t="str">
        <f>IFERROR(__xludf.DUMMYFUNCTION("GOOGLETRANSLATE(G4760,""EN"",""JA"")"),"合計睡眠時間")</f>
        <v>合計睡眠時間</v>
      </c>
    </row>
    <row r="4761" ht="13.5" customHeight="1">
      <c r="A4761" s="1" t="s">
        <v>11</v>
      </c>
      <c r="B4761" s="1" t="s">
        <v>23761</v>
      </c>
      <c r="C4761" s="1" t="s">
        <v>23762</v>
      </c>
      <c r="D4761" s="1" t="s">
        <v>23763</v>
      </c>
      <c r="E4761" s="1" t="s">
        <v>23763</v>
      </c>
      <c r="F4761" s="1" t="s">
        <v>23764</v>
      </c>
      <c r="G4761" s="1" t="s">
        <v>23765</v>
      </c>
      <c r="H4761" s="1" t="str">
        <f>IFERROR(__xludf.DUMMYFUNCTION("GOOGLETRANSLATE(D4761,""EN"",""JA"")"),"11-ケトテストステロン")</f>
        <v>11-ケトテストステロン</v>
      </c>
      <c r="I4761" s="1" t="str">
        <f>IFERROR(__xludf.DUMMYFUNCTION("GOOGLETRANSLATE(E4761,""EN"",""JA"")"),"11-ケトテストステロン")</f>
        <v>11-ケトテストステロン</v>
      </c>
      <c r="J4761" s="1" t="str">
        <f>IFERROR(__xludf.DUMMYFUNCTION("GOOGLETRANSLATE(F4761,""EN"",""JA"")"),"生物標本中の 11-ケトテストステロンの測定。")</f>
        <v>生物標本中の 11-ケトテストステロンの測定。</v>
      </c>
      <c r="K4761" s="1" t="str">
        <f>IFERROR(__xludf.DUMMYFUNCTION("GOOGLETRANSLATE(G4761,""EN"",""JA"")"),"11-ケトテストステロンの測定")</f>
        <v>11-ケトテストステロンの測定</v>
      </c>
    </row>
    <row r="4762" ht="13.5" customHeight="1">
      <c r="A4762" s="1" t="s">
        <v>11</v>
      </c>
      <c r="B4762" s="1" t="s">
        <v>23766</v>
      </c>
      <c r="C4762" s="1" t="s">
        <v>23767</v>
      </c>
      <c r="D4762" s="1" t="s">
        <v>23768</v>
      </c>
      <c r="E4762" s="1" t="s">
        <v>23768</v>
      </c>
      <c r="F4762" s="1" t="s">
        <v>23769</v>
      </c>
      <c r="G4762" s="1" t="s">
        <v>23770</v>
      </c>
      <c r="H4762" s="1" t="str">
        <f>IFERROR(__xludf.DUMMYFUNCTION("GOOGLETRANSLATE(D4762,""EN"",""JA"")"),"4-ヒドロキシテストステロン")</f>
        <v>4-ヒドロキシテストステロン</v>
      </c>
      <c r="I4762" s="1" t="str">
        <f>IFERROR(__xludf.DUMMYFUNCTION("GOOGLETRANSLATE(E4762,""EN"",""JA"")"),"4-ヒドロキシテストステロン")</f>
        <v>4-ヒドロキシテストステロン</v>
      </c>
      <c r="J4762" s="1" t="str">
        <f>IFERROR(__xludf.DUMMYFUNCTION("GOOGLETRANSLATE(F4762,""EN"",""JA"")"),"生物学的標本中の 4-ヒドロキシテストステロンの測定。")</f>
        <v>生物学的標本中の 4-ヒドロキシテストステロンの測定。</v>
      </c>
      <c r="K4762" s="1" t="str">
        <f>IFERROR(__xludf.DUMMYFUNCTION("GOOGLETRANSLATE(G4762,""EN"",""JA"")"),"4-ヒドロキシテストステロン測定")</f>
        <v>4-ヒドロキシテストステロン測定</v>
      </c>
    </row>
    <row r="4763" ht="13.5" customHeight="1">
      <c r="A4763" s="1" t="s">
        <v>11</v>
      </c>
      <c r="B4763" s="1" t="s">
        <v>23771</v>
      </c>
      <c r="C4763" s="1" t="s">
        <v>23772</v>
      </c>
      <c r="D4763" s="1" t="s">
        <v>23773</v>
      </c>
      <c r="E4763" s="1" t="s">
        <v>23773</v>
      </c>
      <c r="F4763" s="1" t="s">
        <v>23774</v>
      </c>
      <c r="G4763" s="1" t="s">
        <v>23775</v>
      </c>
      <c r="H4763" s="1" t="str">
        <f>IFERROR(__xludf.DUMMYFUNCTION("GOOGLETRANSLATE(D4763,""EN"",""JA"")"),"遊離テストステロン/テストステロン")</f>
        <v>遊離テストステロン/テストステロン</v>
      </c>
      <c r="I4763" s="1" t="str">
        <f>IFERROR(__xludf.DUMMYFUNCTION("GOOGLETRANSLATE(E4763,""EN"",""JA"")"),"遊離テストステロン/テストステロン")</f>
        <v>遊離テストステロン/テストステロン</v>
      </c>
      <c r="J4763" s="1" t="str">
        <f>IFERROR(__xludf.DUMMYFUNCTION("GOOGLETRANSLATE(F4763,""EN"",""JA"")"),"生物学的標本中の総テストステロンと比較した、生物学的に利用可能なテストステロンの量の相対的な測定値 (比率またはパーセンテージ)。")</f>
        <v>生物学的標本中の総テストステロンと比較した、生物学的に利用可能なテストステロンの量の相対的な測定値 (比率またはパーセンテージ)。</v>
      </c>
      <c r="K4763" s="1" t="str">
        <f>IFERROR(__xludf.DUMMYFUNCTION("GOOGLETRANSLATE(G4763,""EN"",""JA"")"),"遊離テストステロンとテストステロンの比率の測定")</f>
        <v>遊離テストステロンとテストステロンの比率の測定</v>
      </c>
    </row>
    <row r="4764" ht="13.5" customHeight="1">
      <c r="A4764" s="1" t="s">
        <v>11</v>
      </c>
      <c r="B4764" s="1" t="s">
        <v>23776</v>
      </c>
      <c r="C4764" s="1" t="s">
        <v>23777</v>
      </c>
      <c r="D4764" s="1" t="s">
        <v>23778</v>
      </c>
      <c r="E4764" s="1" t="s">
        <v>23779</v>
      </c>
      <c r="F4764" s="1" t="s">
        <v>23780</v>
      </c>
      <c r="G4764" s="1" t="s">
        <v>23781</v>
      </c>
      <c r="H4764" s="1" t="str">
        <f>IFERROR(__xludf.DUMMYFUNCTION("GOOGLETRANSLATE(D4764,""EN"",""JA"")"),"テストステロンフリー+弱結合/テストステロン")</f>
        <v>テストステロンフリー+弱結合/テストステロン</v>
      </c>
      <c r="I4764" s="1" t="str">
        <f>IFERROR(__xludf.DUMMYFUNCTION("GOOGLETRANSLATE(E4764,""EN"",""JA"")"),"遊離テストステロン+弱結合/テストステロン; 遊離および弱結合テストステロン/テストステロン")</f>
        <v>遊離テストステロン+弱結合/テストステロン; 遊離および弱結合テストステロン/テストステロン</v>
      </c>
      <c r="J4764" s="1" t="str">
        <f>IFERROR(__xludf.DUMMYFUNCTION("GOOGLETRANSLATE(F4764,""EN"",""JA"")"),"生物学的標本中の総テストステロンに対する遊離および弱く結合したテストステロンの相対的な測定値 (比率またはパーセンテージ)。")</f>
        <v>生物学的標本中の総テストステロンに対する遊離および弱く結合したテストステロンの相対的な測定値 (比率またはパーセンテージ)。</v>
      </c>
      <c r="K4764" s="1" t="str">
        <f>IFERROR(__xludf.DUMMYFUNCTION("GOOGLETRANSLATE(G4764,""EN"",""JA"")"),"遊離テストステロンと弱結合テストステロンの総テストステロン比の測定")</f>
        <v>遊離テストステロンと弱結合テストステロンの総テストステロン比の測定</v>
      </c>
    </row>
    <row r="4765" ht="13.5" customHeight="1">
      <c r="A4765" s="1" t="s">
        <v>11</v>
      </c>
      <c r="B4765" s="1" t="s">
        <v>23782</v>
      </c>
      <c r="C4765" s="1" t="s">
        <v>23783</v>
      </c>
      <c r="D4765" s="1" t="s">
        <v>23784</v>
      </c>
      <c r="E4765" s="1" t="s">
        <v>23784</v>
      </c>
      <c r="F4765" s="1" t="s">
        <v>23785</v>
      </c>
      <c r="G4765" s="1" t="s">
        <v>23786</v>
      </c>
      <c r="H4765" s="1" t="str">
        <f>IFERROR(__xludf.DUMMYFUNCTION("GOOGLETRANSLATE(D4765,""EN"",""JA"")"),"テストラクトン")</f>
        <v>テストラクトン</v>
      </c>
      <c r="I4765" s="1" t="str">
        <f>IFERROR(__xludf.DUMMYFUNCTION("GOOGLETRANSLATE(E4765,""EN"",""JA"")"),"テストラクトン")</f>
        <v>テストラクトン</v>
      </c>
      <c r="J4765" s="1" t="str">
        <f>IFERROR(__xludf.DUMMYFUNCTION("GOOGLETRANSLATE(F4765,""EN"",""JA"")"),"生物標本中のテストラクトンの測定。")</f>
        <v>生物標本中のテストラクトンの測定。</v>
      </c>
      <c r="K4765" s="1" t="str">
        <f>IFERROR(__xludf.DUMMYFUNCTION("GOOGLETRANSLATE(G4765,""EN"",""JA"")"),"テストラクトン測定")</f>
        <v>テストラクトン測定</v>
      </c>
    </row>
    <row r="4766" ht="13.5" customHeight="1">
      <c r="A4766" s="1" t="s">
        <v>11</v>
      </c>
      <c r="B4766" s="1" t="s">
        <v>23787</v>
      </c>
      <c r="C4766" s="1" t="s">
        <v>23788</v>
      </c>
      <c r="D4766" s="1" t="s">
        <v>23789</v>
      </c>
      <c r="E4766" s="1" t="s">
        <v>23789</v>
      </c>
      <c r="F4766" s="1" t="s">
        <v>23790</v>
      </c>
      <c r="G4766" s="1" t="s">
        <v>23791</v>
      </c>
      <c r="H4766" s="1" t="str">
        <f>IFERROR(__xludf.DUMMYFUNCTION("GOOGLETRANSLATE(D4766,""EN"",""JA"")"),"テストステロン、遊離/総タンパク質")</f>
        <v>テストステロン、遊離/総タンパク質</v>
      </c>
      <c r="I4766" s="1" t="str">
        <f>IFERROR(__xludf.DUMMYFUNCTION("GOOGLETRANSLATE(E4766,""EN"",""JA"")"),"テストステロン、遊離/総タンパク質")</f>
        <v>テストステロン、遊離/総タンパク質</v>
      </c>
      <c r="J4766" s="1" t="str">
        <f>IFERROR(__xludf.DUMMYFUNCTION("GOOGLETRANSLATE(F4766,""EN"",""JA"")"),"生物学的標本中の総タンパク質に対する遊離テストステロンの相対的な測定値（比率またはパーセンテージ）。")</f>
        <v>生物学的標本中の総タンパク質に対する遊離テストステロンの相対的な測定値（比率またはパーセンテージ）。</v>
      </c>
      <c r="K4766" s="1" t="str">
        <f>IFERROR(__xludf.DUMMYFUNCTION("GOOGLETRANSLATE(G4766,""EN"",""JA"")"),"遊離テストステロンと総タンパク質の比率の測定")</f>
        <v>遊離テストステロンと総タンパク質の比率の測定</v>
      </c>
    </row>
    <row r="4767" ht="13.5" customHeight="1">
      <c r="A4767" s="1" t="s">
        <v>580</v>
      </c>
      <c r="B4767" s="1" t="s">
        <v>23792</v>
      </c>
      <c r="C4767" s="1" t="s">
        <v>23793</v>
      </c>
      <c r="D4767" s="1" t="s">
        <v>23794</v>
      </c>
      <c r="E4767" s="1" t="s">
        <v>23794</v>
      </c>
      <c r="F4767" s="1" t="s">
        <v>23795</v>
      </c>
      <c r="G4767" s="1" t="s">
        <v>23794</v>
      </c>
      <c r="H4767" s="1" t="str">
        <f>IFERROR(__xludf.DUMMYFUNCTION("GOOGLETRANSLATE(D4767,""EN"",""JA"")"),"組織弾性")</f>
        <v>組織弾性</v>
      </c>
      <c r="I4767" s="1" t="str">
        <f>IFERROR(__xludf.DUMMYFUNCTION("GOOGLETRANSLATE(E4767,""EN"",""JA"")"),"組織弾性")</f>
        <v>組織弾性</v>
      </c>
      <c r="J4767" s="1" t="str">
        <f>IFERROR(__xludf.DUMMYFUNCTION("GOOGLETRANSLATE(F4767,""EN"",""JA"")"),"特定の組織内でのエネルギー保存の反映の測定値。")</f>
        <v>特定の組織内でのエネルギー保存の反映の測定値。</v>
      </c>
      <c r="K4767" s="1" t="str">
        <f>IFERROR(__xludf.DUMMYFUNCTION("GOOGLETRANSLATE(G4767,""EN"",""JA"")"),"組織弾性")</f>
        <v>組織弾性</v>
      </c>
    </row>
    <row r="4768" ht="13.5" customHeight="1">
      <c r="A4768" s="1" t="s">
        <v>580</v>
      </c>
      <c r="B4768" s="1" t="s">
        <v>23796</v>
      </c>
      <c r="C4768" s="1" t="s">
        <v>23797</v>
      </c>
      <c r="D4768" s="1" t="s">
        <v>23798</v>
      </c>
      <c r="E4768" s="1" t="s">
        <v>23798</v>
      </c>
      <c r="F4768" s="1" t="s">
        <v>23799</v>
      </c>
      <c r="G4768" s="1" t="s">
        <v>23800</v>
      </c>
      <c r="H4768" s="1" t="str">
        <f>IFERROR(__xludf.DUMMYFUNCTION("GOOGLETRANSLATE(D4768,""EN"",""JA"")"),"組織ヒステレシス")</f>
        <v>組織ヒステレシス</v>
      </c>
      <c r="I4768" s="1" t="str">
        <f>IFERROR(__xludf.DUMMYFUNCTION("GOOGLETRANSLATE(E4768,""EN"",""JA"")"),"組織ヒステレシス")</f>
        <v>組織ヒステレシス</v>
      </c>
      <c r="J4768" s="1" t="str">
        <f>IFERROR(__xludf.DUMMYFUNCTION("GOOGLETRANSLATE(F4768,""EN"",""JA"")"),"P-Vサイクルにおいて組織に蓄えられた弾性エネルギーに対する相対的なエネルギー散逸。(Fredberg JJ, Stamenovic D. 肺組織の不完全弾性について。J Appl Physiol (1985). 1989年12月;67(6):2408-19)。")</f>
        <v>P-Vサイクルにおいて組織に蓄えられた弾性エネルギーに対する相対的なエネルギー散逸。(Fredberg JJ, Stamenovic D. 肺組織の不完全弾性について。J Appl Physiol (1985). 1989年12月;67(6):2408-19)。</v>
      </c>
      <c r="K4768" s="1" t="str">
        <f>IFERROR(__xludf.DUMMYFUNCTION("GOOGLETRANSLATE(G4768,""EN"",""JA"")"),"組織ヒステリシス測定")</f>
        <v>組織ヒステリシス測定</v>
      </c>
    </row>
    <row r="4769" ht="13.5" customHeight="1">
      <c r="A4769" s="1" t="s">
        <v>160</v>
      </c>
      <c r="B4769" s="1" t="s">
        <v>23801</v>
      </c>
      <c r="C4769" s="1" t="s">
        <v>23802</v>
      </c>
      <c r="D4769" s="1" t="s">
        <v>23803</v>
      </c>
      <c r="E4769" s="1" t="s">
        <v>23803</v>
      </c>
      <c r="F4769" s="1" t="s">
        <v>23804</v>
      </c>
      <c r="G4769" s="1" t="s">
        <v>23803</v>
      </c>
      <c r="H4769" s="1" t="str">
        <f>IFERROR(__xludf.DUMMYFUNCTION("GOOGLETRANSLATE(D4769,""EN"",""JA"")"),"性的パートナーの総数")</f>
        <v>性的パートナーの総数</v>
      </c>
      <c r="I4769" s="1" t="str">
        <f>IFERROR(__xludf.DUMMYFUNCTION("GOOGLETRANSLATE(E4769,""EN"",""JA"")"),"性的パートナーの総数")</f>
        <v>性的パートナーの総数</v>
      </c>
      <c r="J4769" s="1" t="str">
        <f>IFERROR(__xludf.DUMMYFUNCTION("GOOGLETRANSLATE(F4769,""EN"",""JA"")"),"特定の期間内に性行為を行った相手の総数。")</f>
        <v>特定の期間内に性行為を行った相手の総数。</v>
      </c>
      <c r="K4769" s="1" t="str">
        <f>IFERROR(__xludf.DUMMYFUNCTION("GOOGLETRANSLATE(G4769,""EN"",""JA"")"),"性的パートナーの総数")</f>
        <v>性的パートナーの総数</v>
      </c>
    </row>
    <row r="4770" ht="13.5" customHeight="1">
      <c r="A4770" s="1" t="s">
        <v>11</v>
      </c>
      <c r="B4770" s="1" t="s">
        <v>23805</v>
      </c>
      <c r="C4770" s="1" t="s">
        <v>23806</v>
      </c>
      <c r="D4770" s="1" t="s">
        <v>23807</v>
      </c>
      <c r="E4770" s="1" t="s">
        <v>23807</v>
      </c>
      <c r="F4770" s="1" t="s">
        <v>23808</v>
      </c>
      <c r="G4770" s="1" t="s">
        <v>23807</v>
      </c>
      <c r="H4770" s="1" t="str">
        <f>IFERROR(__xludf.DUMMYFUNCTION("GOOGLETRANSLATE(D4770,""EN"",""JA"")"),"トロンビン時間")</f>
        <v>トロンビン時間</v>
      </c>
      <c r="I4770" s="1" t="str">
        <f>IFERROR(__xludf.DUMMYFUNCTION("GOOGLETRANSLATE(E4770,""EN"",""JA"")"),"トロンビン時間")</f>
        <v>トロンビン時間</v>
      </c>
      <c r="J4770" s="1" t="str">
        <f>IFERROR(__xludf.DUMMYFUNCTION("GOOGLETRANSLATE(F4770,""EN"",""JA"")"),"活性酵素トロンビンを添加した後、血漿サンプルが凝固するまでの時間を測定します。(NCI)")</f>
        <v>活性酵素トロンビンを添加した後、血漿サンプルが凝固するまでの時間を測定します。(NCI)</v>
      </c>
      <c r="K4770" s="1" t="str">
        <f>IFERROR(__xludf.DUMMYFUNCTION("GOOGLETRANSLATE(G4770,""EN"",""JA"")"),"トロンビン時間")</f>
        <v>トロンビン時間</v>
      </c>
    </row>
    <row r="4771" ht="13.5" customHeight="1">
      <c r="A4771" s="1" t="s">
        <v>11</v>
      </c>
      <c r="B4771" s="1" t="s">
        <v>23809</v>
      </c>
      <c r="C4771" s="1" t="s">
        <v>23810</v>
      </c>
      <c r="D4771" s="1" t="s">
        <v>23811</v>
      </c>
      <c r="E4771" s="1" t="s">
        <v>23811</v>
      </c>
      <c r="F4771" s="1" t="s">
        <v>23812</v>
      </c>
      <c r="G4771" s="1" t="s">
        <v>23813</v>
      </c>
      <c r="H4771" s="1" t="str">
        <f>IFERROR(__xludf.DUMMYFUNCTION("GOOGLETRANSLATE(D4771,""EN"",""JA"")"),"トロンビン時間実測値/対照値")</f>
        <v>トロンビン時間実測値/対照値</v>
      </c>
      <c r="I4771" s="1" t="str">
        <f>IFERROR(__xludf.DUMMYFUNCTION("GOOGLETRANSLATE(E4771,""EN"",""JA"")"),"トロンビン時間実測値/対照値")</f>
        <v>トロンビン時間実測値/対照値</v>
      </c>
      <c r="J4771" s="1" t="str">
        <f>IFERROR(__xludf.DUMMYFUNCTION("GOOGLETRANSLATE(F4771,""EN"",""JA"")"),"被験者の検体と対照検体とを比較した場合のトロンビン時間の相対的な測定値 (比率またはパーセンテージ)。")</f>
        <v>被験者の検体と対照検体とを比較した場合のトロンビン時間の相対的な測定値 (比率またはパーセンテージ)。</v>
      </c>
      <c r="K4771" s="1" t="str">
        <f>IFERROR(__xludf.DUMMYFUNCTION("GOOGLETRANSLATE(G4771,""EN"",""JA"")"),"トロンビン時間実測値と対照値の比の測定")</f>
        <v>トロンビン時間実測値と対照値の比の測定</v>
      </c>
    </row>
    <row r="4772" ht="13.5" customHeight="1">
      <c r="A4772" s="1" t="s">
        <v>397</v>
      </c>
      <c r="B4772" s="1" t="s">
        <v>23814</v>
      </c>
      <c r="C4772" s="1" t="s">
        <v>23815</v>
      </c>
      <c r="D4772" s="1" t="s">
        <v>23816</v>
      </c>
      <c r="E4772" s="1" t="s">
        <v>23817</v>
      </c>
      <c r="F4772" s="1" t="s">
        <v>23818</v>
      </c>
      <c r="G4772" s="1" t="s">
        <v>23816</v>
      </c>
      <c r="H4772" s="1" t="str">
        <f>IFERROR(__xludf.DUMMYFUNCTION("GOOGLETRANSLATE(D4772,""EN"",""JA"")"),"トライアルタイプ")</f>
        <v>トライアルタイプ</v>
      </c>
      <c r="I4772" s="1" t="str">
        <f>IFERROR(__xludf.DUMMYFUNCTION("GOOGLETRANSLATE(E4772,""EN"",""JA"")"),"試験範囲; 試験の種類")</f>
        <v>試験範囲; 試験の種類</v>
      </c>
      <c r="J4772" s="1" t="str">
        <f>IFERROR(__xludf.DUMMYFUNCTION("GOOGLETRANSLATE(F4772,""EN"",""JA"")"),"情報収集の対象となる介入研究の性質。")</f>
        <v>情報収集の対象となる介入研究の性質。</v>
      </c>
      <c r="K4772" s="1" t="str">
        <f>IFERROR(__xludf.DUMMYFUNCTION("GOOGLETRANSLATE(G4772,""EN"",""JA"")"),"トライアルタイプ")</f>
        <v>トライアルタイプ</v>
      </c>
    </row>
    <row r="4773" ht="13.5" customHeight="1">
      <c r="A4773" s="1" t="s">
        <v>134</v>
      </c>
      <c r="B4773" s="1" t="s">
        <v>23819</v>
      </c>
      <c r="C4773" s="1" t="s">
        <v>23820</v>
      </c>
      <c r="D4773" s="1" t="s">
        <v>23821</v>
      </c>
      <c r="E4773" s="1" t="s">
        <v>23821</v>
      </c>
      <c r="F4773" s="1" t="s">
        <v>23822</v>
      </c>
      <c r="G4773" s="1" t="s">
        <v>23823</v>
      </c>
      <c r="H4773" s="1" t="str">
        <f>IFERROR(__xludf.DUMMYFUNCTION("GOOGLETRANSLATE(D4773,""EN"",""JA"")"),"尿細管萎縮")</f>
        <v>尿細管萎縮</v>
      </c>
      <c r="I4773" s="1" t="str">
        <f>IFERROR(__xludf.DUMMYFUNCTION("GOOGLETRANSLATE(E4773,""EN"",""JA"")"),"尿細管萎縮")</f>
        <v>尿細管萎縮</v>
      </c>
      <c r="J4773" s="1" t="str">
        <f>IFERROR(__xludf.DUMMYFUNCTION("GOOGLETRANSLATE(F4773,""EN"",""JA"")"),"生物標本における尿細管萎縮の評価。")</f>
        <v>生物標本における尿細管萎縮の評価。</v>
      </c>
      <c r="K4773" s="1" t="str">
        <f>IFERROR(__xludf.DUMMYFUNCTION("GOOGLETRANSLATE(G4773,""EN"",""JA"")"),"尿細管萎縮の評価")</f>
        <v>尿細管萎縮の評価</v>
      </c>
    </row>
    <row r="4774" ht="13.5" customHeight="1">
      <c r="A4774" s="1" t="s">
        <v>6439</v>
      </c>
      <c r="B4774" s="1" t="s">
        <v>23824</v>
      </c>
      <c r="C4774" s="1" t="s">
        <v>23825</v>
      </c>
      <c r="D4774" s="1" t="s">
        <v>23826</v>
      </c>
      <c r="E4774" s="1" t="s">
        <v>23826</v>
      </c>
      <c r="F4774" s="1" t="s">
        <v>23827</v>
      </c>
      <c r="G4774" s="1" t="s">
        <v>23826</v>
      </c>
      <c r="H4774" s="1" t="str">
        <f>IFERROR(__xludf.DUMMYFUNCTION("GOOGLETRANSLATE(D4774,""EN"",""JA"")"),"骨腫瘍指標")</f>
        <v>骨腫瘍指標</v>
      </c>
      <c r="I4774" s="1" t="str">
        <f>IFERROR(__xludf.DUMMYFUNCTION("GOOGLETRANSLATE(E4774,""EN"",""JA"")"),"骨腫瘍指標")</f>
        <v>骨腫瘍指標</v>
      </c>
      <c r="J4774" s="1" t="str">
        <f>IFERROR(__xludf.DUMMYFUNCTION("GOOGLETRANSLATE(F4774,""EN"",""JA"")"),"骨腫瘍が存在するかどうかを示します。")</f>
        <v>骨腫瘍が存在するかどうかを示します。</v>
      </c>
      <c r="K4774" s="1" t="str">
        <f>IFERROR(__xludf.DUMMYFUNCTION("GOOGLETRANSLATE(G4774,""EN"",""JA"")"),"骨腫瘍指標")</f>
        <v>骨腫瘍指標</v>
      </c>
    </row>
    <row r="4775" ht="13.5" customHeight="1">
      <c r="A4775" s="1" t="s">
        <v>134</v>
      </c>
      <c r="B4775" s="1" t="s">
        <v>23828</v>
      </c>
      <c r="C4775" s="1" t="s">
        <v>23829</v>
      </c>
      <c r="D4775" s="1" t="s">
        <v>23830</v>
      </c>
      <c r="E4775" s="1" t="s">
        <v>23830</v>
      </c>
      <c r="F4775" s="1" t="s">
        <v>23831</v>
      </c>
      <c r="G4775" s="1" t="s">
        <v>23832</v>
      </c>
      <c r="H4775" s="1" t="str">
        <f>IFERROR(__xludf.DUMMYFUNCTION("GOOGLETRANSLATE(D4775,""EN"",""JA"")"),"尿細管炎")</f>
        <v>尿細管炎</v>
      </c>
      <c r="I4775" s="1" t="str">
        <f>IFERROR(__xludf.DUMMYFUNCTION("GOOGLETRANSLATE(E4775,""EN"",""JA"")"),"尿細管炎")</f>
        <v>尿細管炎</v>
      </c>
      <c r="J4775" s="1" t="str">
        <f>IFERROR(__xludf.DUMMYFUNCTION("GOOGLETRANSLATE(F4775,""EN"",""JA"")"),"生物標本における尿細管炎の評価。")</f>
        <v>生物標本における尿細管炎の評価。</v>
      </c>
      <c r="K4775" s="1" t="str">
        <f>IFERROR(__xludf.DUMMYFUNCTION("GOOGLETRANSLATE(G4775,""EN"",""JA"")"),"尿細管炎の評価")</f>
        <v>尿細管炎の評価</v>
      </c>
    </row>
    <row r="4776" ht="13.5" customHeight="1">
      <c r="A4776" s="1" t="s">
        <v>11</v>
      </c>
      <c r="B4776" s="1" t="s">
        <v>23833</v>
      </c>
      <c r="C4776" s="1" t="s">
        <v>23834</v>
      </c>
      <c r="D4776" s="1" t="s">
        <v>23835</v>
      </c>
      <c r="E4776" s="1" t="s">
        <v>23836</v>
      </c>
      <c r="F4776" s="1" t="s">
        <v>23837</v>
      </c>
      <c r="G4776" s="1" t="s">
        <v>23838</v>
      </c>
      <c r="H4776" s="1" t="str">
        <f>IFERROR(__xludf.DUMMYFUNCTION("GOOGLETRANSLATE(D4776,""EN"",""JA"")"),"タウロウルソデオキシコール酸")</f>
        <v>タウロウルソデオキシコール酸</v>
      </c>
      <c r="I4776" s="1" t="str">
        <f>IFERROR(__xludf.DUMMYFUNCTION("GOOGLETRANSLATE(E4776,""EN"",""JA"")"),"タウロウルソデオキシコール酸")</f>
        <v>タウロウルソデオキシコール酸</v>
      </c>
      <c r="J4776" s="1" t="str">
        <f>IFERROR(__xludf.DUMMYFUNCTION("GOOGLETRANSLATE(F4776,""EN"",""JA"")"),"生物標本中のタウロウルソデオキシコール酸の測定。")</f>
        <v>生物標本中のタウロウルソデオキシコール酸の測定。</v>
      </c>
      <c r="K4776" s="1" t="str">
        <f>IFERROR(__xludf.DUMMYFUNCTION("GOOGLETRANSLATE(G4776,""EN"",""JA"")"),"タウロウルソデオキシコール酸測定")</f>
        <v>タウロウルソデオキシコール酸測定</v>
      </c>
    </row>
    <row r="4777" ht="13.5" customHeight="1">
      <c r="A4777" s="1" t="s">
        <v>6439</v>
      </c>
      <c r="B4777" s="1" t="s">
        <v>23839</v>
      </c>
      <c r="C4777" s="1" t="s">
        <v>23840</v>
      </c>
      <c r="D4777" s="1" t="s">
        <v>23841</v>
      </c>
      <c r="E4777" s="1" t="s">
        <v>23841</v>
      </c>
      <c r="F4777" s="1" t="s">
        <v>23842</v>
      </c>
      <c r="G4777" s="1" t="s">
        <v>23841</v>
      </c>
      <c r="H4777" s="1" t="str">
        <f>IFERROR(__xludf.DUMMYFUNCTION("GOOGLETRANSLATE(D4777,""EN"",""JA"")"),"髄外疾患指標")</f>
        <v>髄外疾患指標</v>
      </c>
      <c r="I4777" s="1" t="str">
        <f>IFERROR(__xludf.DUMMYFUNCTION("GOOGLETRANSLATE(E4777,""EN"",""JA"")"),"髄外疾患指標")</f>
        <v>髄外疾患指標</v>
      </c>
      <c r="J4777" s="1" t="str">
        <f>IFERROR(__xludf.DUMMYFUNCTION("GOOGLETRANSLATE(F4777,""EN"",""JA"")"),"髄外疾患が存在するかどうかを示します。")</f>
        <v>髄外疾患が存在するかどうかを示します。</v>
      </c>
      <c r="K4777" s="1" t="str">
        <f>IFERROR(__xludf.DUMMYFUNCTION("GOOGLETRANSLATE(G4777,""EN"",""JA"")"),"髄外疾患指標")</f>
        <v>髄外疾患指標</v>
      </c>
    </row>
    <row r="4778" ht="13.5" customHeight="1">
      <c r="A4778" s="1" t="s">
        <v>6439</v>
      </c>
      <c r="B4778" s="1" t="s">
        <v>23843</v>
      </c>
      <c r="C4778" s="1" t="s">
        <v>23844</v>
      </c>
      <c r="D4778" s="1" t="s">
        <v>23845</v>
      </c>
      <c r="E4778" s="1" t="s">
        <v>23845</v>
      </c>
      <c r="F4778" s="1" t="s">
        <v>23846</v>
      </c>
      <c r="G4778" s="1" t="s">
        <v>23847</v>
      </c>
      <c r="H4778" s="1" t="str">
        <f>IFERROR(__xludf.DUMMYFUNCTION("GOOGLETRANSLATE(D4778,""EN"",""JA"")"),"腫瘍が合併した")</f>
        <v>腫瘍が合併した</v>
      </c>
      <c r="I4778" s="1" t="str">
        <f>IFERROR(__xludf.DUMMYFUNCTION("GOOGLETRANSLATE(E4778,""EN"",""JA"")"),"腫瘍が合併した")</f>
        <v>腫瘍が合併した</v>
      </c>
      <c r="J4778" s="1" t="str">
        <f>IFERROR(__xludf.DUMMYFUNCTION("GOOGLETRANSLATE(F4778,""EN"",""JA"")"),"複数の腫瘍が 1 つの腫瘍に融合したことを示します。")</f>
        <v>複数の腫瘍が 1 つの腫瘍に融合したことを示します。</v>
      </c>
      <c r="K4778" s="1" t="str">
        <f>IFERROR(__xludf.DUMMYFUNCTION("GOOGLETRANSLATE(G4778,""EN"",""JA"")"),"凝集した腫瘍塊が存在する")</f>
        <v>凝集した腫瘍塊が存在する</v>
      </c>
    </row>
    <row r="4779" ht="13.5" customHeight="1">
      <c r="A4779" s="1" t="s">
        <v>6439</v>
      </c>
      <c r="B4779" s="1" t="s">
        <v>23848</v>
      </c>
      <c r="C4779" s="1" t="s">
        <v>23849</v>
      </c>
      <c r="D4779" s="1" t="s">
        <v>23850</v>
      </c>
      <c r="E4779" s="1" t="s">
        <v>23850</v>
      </c>
      <c r="F4779" s="1" t="s">
        <v>23851</v>
      </c>
      <c r="G4779" s="1" t="s">
        <v>23850</v>
      </c>
      <c r="H4779" s="1" t="str">
        <f>IFERROR(__xludf.DUMMYFUNCTION("GOOGLETRANSLATE(D4779,""EN"",""JA"")"),"腫瘍の特定")</f>
        <v>腫瘍の特定</v>
      </c>
      <c r="I4779" s="1" t="str">
        <f>IFERROR(__xludf.DUMMYFUNCTION("GOOGLETRANSLATE(E4779,""EN"",""JA"")"),"腫瘍の特定")</f>
        <v>腫瘍の特定</v>
      </c>
      <c r="J4779" s="1" t="str">
        <f>IFERROR(__xludf.DUMMYFUNCTION("GOOGLETRANSLATE(F4779,""EN"",""JA"")"),"反応評価の一環としての悪性疾患の症状の分類。")</f>
        <v>反応評価の一環としての悪性疾患の症状の分類。</v>
      </c>
      <c r="K4779" s="1" t="str">
        <f>IFERROR(__xludf.DUMMYFUNCTION("GOOGLETRANSLATE(G4779,""EN"",""JA"")"),"腫瘍の特定")</f>
        <v>腫瘍の特定</v>
      </c>
    </row>
    <row r="4780" ht="13.5" customHeight="1">
      <c r="A4780" s="1" t="s">
        <v>134</v>
      </c>
      <c r="B4780" s="1" t="s">
        <v>23852</v>
      </c>
      <c r="C4780" s="1" t="s">
        <v>23853</v>
      </c>
      <c r="D4780" s="1" t="s">
        <v>23854</v>
      </c>
      <c r="E4780" s="1" t="s">
        <v>23854</v>
      </c>
      <c r="F4780" s="1" t="s">
        <v>23855</v>
      </c>
      <c r="G4780" s="1" t="s">
        <v>23856</v>
      </c>
      <c r="H4780" s="1" t="str">
        <f>IFERROR(__xludf.DUMMYFUNCTION("GOOGLETRANSLATE(D4780,""EN"",""JA"")"),"腫瘍の退縮")</f>
        <v>腫瘍の退縮</v>
      </c>
      <c r="I4780" s="1" t="str">
        <f>IFERROR(__xludf.DUMMYFUNCTION("GOOGLETRANSLATE(E4780,""EN"",""JA"")"),"腫瘍の退縮")</f>
        <v>腫瘍の退縮</v>
      </c>
      <c r="J4780" s="1" t="str">
        <f>IFERROR(__xludf.DUMMYFUNCTION("GOOGLETRANSLATE(F4780,""EN"",""JA"")"),"生物標本における腫瘍退縮の評価。")</f>
        <v>生物標本における腫瘍退縮の評価。</v>
      </c>
      <c r="K4780" s="1" t="str">
        <f>IFERROR(__xludf.DUMMYFUNCTION("GOOGLETRANSLATE(G4780,""EN"",""JA"")"),"腫瘍退縮評価")</f>
        <v>腫瘍退縮評価</v>
      </c>
    </row>
    <row r="4781" ht="13.5" customHeight="1">
      <c r="A4781" s="1" t="s">
        <v>233</v>
      </c>
      <c r="B4781" s="1" t="s">
        <v>23857</v>
      </c>
      <c r="C4781" s="1" t="s">
        <v>23858</v>
      </c>
      <c r="D4781" s="1" t="s">
        <v>23859</v>
      </c>
      <c r="E4781" s="1" t="s">
        <v>23859</v>
      </c>
      <c r="F4781" s="1" t="s">
        <v>23860</v>
      </c>
      <c r="G4781" s="1" t="s">
        <v>23861</v>
      </c>
      <c r="H4781" s="1" t="str">
        <f>IFERROR(__xludf.DUMMYFUNCTION("GOOGLETRANSLATE(D4781,""EN"",""JA"")"),"腫瘍の状態")</f>
        <v>腫瘍の状態</v>
      </c>
      <c r="I4781" s="1" t="str">
        <f>IFERROR(__xludf.DUMMYFUNCTION("GOOGLETRANSLATE(E4781,""EN"",""JA"")"),"腫瘍の状態")</f>
        <v>腫瘍の状態</v>
      </c>
      <c r="J4781" s="1" t="str">
        <f>IFERROR(__xludf.DUMMYFUNCTION("GOOGLETRANSLATE(F4781,""EN"",""JA"")"),"特定の時点における腫瘍の状態または状態。")</f>
        <v>特定の時点における腫瘍の状態または状態。</v>
      </c>
      <c r="K4781" s="1" t="str">
        <f>IFERROR(__xludf.DUMMYFUNCTION("GOOGLETRANSLATE(G4781,""EN"",""JA"")"),"腫瘍の状態")</f>
        <v>腫瘍の状態</v>
      </c>
    </row>
    <row r="4782" ht="13.5" customHeight="1">
      <c r="A4782" s="1" t="s">
        <v>11</v>
      </c>
      <c r="B4782" s="1" t="s">
        <v>23862</v>
      </c>
      <c r="C4782" s="1" t="s">
        <v>23863</v>
      </c>
      <c r="D4782" s="1" t="s">
        <v>23864</v>
      </c>
      <c r="E4782" s="1" t="s">
        <v>23865</v>
      </c>
      <c r="F4782" s="1" t="s">
        <v>23866</v>
      </c>
      <c r="G4782" s="1" t="s">
        <v>23867</v>
      </c>
      <c r="H4782" s="1" t="str">
        <f>IFERROR(__xludf.DUMMYFUNCTION("GOOGLETRANSLATE(D4782,""EN"",""JA"")"),"タムスタチン")</f>
        <v>タムスタチン</v>
      </c>
      <c r="I4782" s="1" t="str">
        <f>IFERROR(__xludf.DUMMYFUNCTION("GOOGLETRANSLATE(E4782,""EN"",""JA"")"),"TUM; タムスタチン")</f>
        <v>TUM; タムスタチン</v>
      </c>
      <c r="J4782" s="1" t="str">
        <f>IFERROR(__xludf.DUMMYFUNCTION("GOOGLETRANSLATE(F4782,""EN"",""JA"")"),"生物標本中のタムスタチンの測定。")</f>
        <v>生物標本中のタムスタチンの測定。</v>
      </c>
      <c r="K4782" s="1" t="str">
        <f>IFERROR(__xludf.DUMMYFUNCTION("GOOGLETRANSLATE(G4782,""EN"",""JA"")"),"タムスタチン測定")</f>
        <v>タムスタチン測定</v>
      </c>
    </row>
    <row r="4783" ht="13.5" customHeight="1">
      <c r="A4783" s="1" t="s">
        <v>11</v>
      </c>
      <c r="B4783" s="1" t="s">
        <v>23868</v>
      </c>
      <c r="C4783" s="1" t="s">
        <v>23869</v>
      </c>
      <c r="D4783" s="1" t="s">
        <v>23870</v>
      </c>
      <c r="E4783" s="1" t="s">
        <v>23870</v>
      </c>
      <c r="F4783" s="1" t="s">
        <v>23871</v>
      </c>
      <c r="G4783" s="1" t="s">
        <v>23872</v>
      </c>
      <c r="H4783" s="1" t="str">
        <f>IFERROR(__xludf.DUMMYFUNCTION("GOOGLETRANSLATE(D4783,""EN"",""JA"")"),"濁度")</f>
        <v>濁度</v>
      </c>
      <c r="I4783" s="1" t="str">
        <f>IFERROR(__xludf.DUMMYFUNCTION("GOOGLETRANSLATE(E4783,""EN"",""JA"")"),"濁度")</f>
        <v>濁度</v>
      </c>
      <c r="J4783" s="1" t="str">
        <f>IFERROR(__xludf.DUMMYFUNCTION("GOOGLETRANSLATE(F4783,""EN"",""JA"")"),"生物標本の不透明度の測定値。")</f>
        <v>生物標本の不透明度の測定値。</v>
      </c>
      <c r="K4783" s="1" t="str">
        <f>IFERROR(__xludf.DUMMYFUNCTION("GOOGLETRANSLATE(G4783,""EN"",""JA"")"),"濁度測定")</f>
        <v>濁度測定</v>
      </c>
    </row>
    <row r="4784" ht="13.5" customHeight="1">
      <c r="A4784" s="1" t="s">
        <v>6439</v>
      </c>
      <c r="B4784" s="1" t="s">
        <v>23873</v>
      </c>
      <c r="C4784" s="1" t="s">
        <v>23874</v>
      </c>
      <c r="D4784" s="1" t="s">
        <v>23875</v>
      </c>
      <c r="E4784" s="1" t="s">
        <v>23875</v>
      </c>
      <c r="F4784" s="1" t="s">
        <v>23876</v>
      </c>
      <c r="G4784" s="1" t="s">
        <v>23877</v>
      </c>
      <c r="H4784" s="1" t="str">
        <f>IFERROR(__xludf.DUMMYFUNCTION("GOOGLETRANSLATE(D4784,""EN"",""JA"")"),"腫瘍の分割")</f>
        <v>腫瘍の分割</v>
      </c>
      <c r="I4784" s="1" t="str">
        <f>IFERROR(__xludf.DUMMYFUNCTION("GOOGLETRANSLATE(E4784,""EN"",""JA"")"),"腫瘍の分割")</f>
        <v>腫瘍の分割</v>
      </c>
      <c r="J4784" s="1" t="str">
        <f>IFERROR(__xludf.DUMMYFUNCTION("GOOGLETRANSLATE(F4784,""EN"",""JA"")"),"1 つの腫瘍が 2 つ以上の腫瘍に分裂したことを示します。")</f>
        <v>1 つの腫瘍が 2 つ以上の腫瘍に分裂したことを示します。</v>
      </c>
      <c r="K4784" s="1" t="str">
        <f>IFERROR(__xludf.DUMMYFUNCTION("GOOGLETRANSLATE(G4784,""EN"",""JA"")"),"腫瘍の断片化")</f>
        <v>腫瘍の断片化</v>
      </c>
    </row>
    <row r="4785" ht="13.5" customHeight="1">
      <c r="A4785" s="1" t="s">
        <v>580</v>
      </c>
      <c r="B4785" s="1" t="s">
        <v>23878</v>
      </c>
      <c r="C4785" s="1" t="s">
        <v>23879</v>
      </c>
      <c r="D4785" s="1" t="s">
        <v>23880</v>
      </c>
      <c r="E4785" s="1" t="s">
        <v>23880</v>
      </c>
      <c r="F4785" s="1" t="s">
        <v>23881</v>
      </c>
      <c r="G4785" s="1" t="s">
        <v>23880</v>
      </c>
      <c r="H4785" s="1" t="str">
        <f>IFERROR(__xludf.DUMMYFUNCTION("GOOGLETRANSLATE(D4785,""EN"",""JA"")"),"潮汐量")</f>
        <v>潮汐量</v>
      </c>
      <c r="I4785" s="1" t="str">
        <f>IFERROR(__xludf.DUMMYFUNCTION("GOOGLETRANSLATE(E4785,""EN"",""JA"")"),"潮汐量")</f>
        <v>潮汐量</v>
      </c>
      <c r="J4785" s="1" t="str">
        <f>IFERROR(__xludf.DUMMYFUNCTION("GOOGLETRANSLATE(F4785,""EN"",""JA"")"),"安静時の呼吸中に肺に出入りする空気の量。")</f>
        <v>安静時の呼吸中に肺に出入りする空気の量。</v>
      </c>
      <c r="K4785" s="1" t="str">
        <f>IFERROR(__xludf.DUMMYFUNCTION("GOOGLETRANSLATE(G4785,""EN"",""JA"")"),"潮汐量")</f>
        <v>潮汐量</v>
      </c>
    </row>
    <row r="4786" ht="13.5" customHeight="1">
      <c r="A4786" s="1" t="s">
        <v>67</v>
      </c>
      <c r="B4786" s="1" t="s">
        <v>23882</v>
      </c>
      <c r="C4786" s="1" t="s">
        <v>23883</v>
      </c>
      <c r="D4786" s="1" t="s">
        <v>23884</v>
      </c>
      <c r="E4786" s="1" t="s">
        <v>23884</v>
      </c>
      <c r="F4786" s="1" t="s">
        <v>23885</v>
      </c>
      <c r="G4786" s="1" t="s">
        <v>23886</v>
      </c>
      <c r="H4786" s="1" t="str">
        <f>IFERROR(__xludf.DUMMYFUNCTION("GOOGLETRANSLATE(D4786,""EN"",""JA"")"),"トリコモナス膣炎")</f>
        <v>トリコモナス膣炎</v>
      </c>
      <c r="I4786" s="1" t="str">
        <f>IFERROR(__xludf.DUMMYFUNCTION("GOOGLETRANSLATE(E4786,""EN"",""JA"")"),"トリコモナス膣炎")</f>
        <v>トリコモナス膣炎</v>
      </c>
      <c r="J4786" s="1" t="str">
        <f>IFERROR(__xludf.DUMMYFUNCTION("GOOGLETRANSLATE(F4786,""EN"",""JA"")"),"生物標本中のトリコモナス膣炎の測定。")</f>
        <v>生物標本中のトリコモナス膣炎の測定。</v>
      </c>
      <c r="K4786" s="1" t="str">
        <f>IFERROR(__xludf.DUMMYFUNCTION("GOOGLETRANSLATE(G4786,""EN"",""JA"")"),"トリコモナス膣炎の測定")</f>
        <v>トリコモナス膣炎の測定</v>
      </c>
    </row>
    <row r="4787" ht="13.5" customHeight="1">
      <c r="A4787" s="1" t="s">
        <v>67</v>
      </c>
      <c r="B4787" s="1" t="s">
        <v>23887</v>
      </c>
      <c r="C4787" s="1" t="s">
        <v>23888</v>
      </c>
      <c r="D4787" s="1" t="s">
        <v>23889</v>
      </c>
      <c r="E4787" s="1" t="s">
        <v>23889</v>
      </c>
      <c r="F4787" s="1" t="s">
        <v>23890</v>
      </c>
      <c r="G4787" s="1" t="s">
        <v>23891</v>
      </c>
      <c r="H4787" s="1" t="str">
        <f>IFERROR(__xludf.DUMMYFUNCTION("GOOGLETRANSLATE(D4787,""EN"",""JA"")"),"トリコモナス膣炎DNA")</f>
        <v>トリコモナス膣炎DNA</v>
      </c>
      <c r="I4787" s="1" t="str">
        <f>IFERROR(__xludf.DUMMYFUNCTION("GOOGLETRANSLATE(E4787,""EN"",""JA"")"),"トリコモナス膣炎DNA")</f>
        <v>トリコモナス膣炎DNA</v>
      </c>
      <c r="J4787" s="1" t="str">
        <f>IFERROR(__xludf.DUMMYFUNCTION("GOOGLETRANSLATE(F4787,""EN"",""JA"")"),"生物標本中のトリコモナス膣炎 DNA の測定。")</f>
        <v>生物標本中のトリコモナス膣炎 DNA の測定。</v>
      </c>
      <c r="K4787" s="1" t="str">
        <f>IFERROR(__xludf.DUMMYFUNCTION("GOOGLETRANSLATE(G4787,""EN"",""JA"")"),"トリコモナス膣炎のDNA測定")</f>
        <v>トリコモナス膣炎のDNA測定</v>
      </c>
    </row>
    <row r="4788" ht="13.5" customHeight="1">
      <c r="A4788" s="1" t="s">
        <v>580</v>
      </c>
      <c r="B4788" s="1" t="s">
        <v>23892</v>
      </c>
      <c r="C4788" s="1" t="s">
        <v>23893</v>
      </c>
      <c r="D4788" s="1" t="s">
        <v>23894</v>
      </c>
      <c r="E4788" s="1" t="s">
        <v>23894</v>
      </c>
      <c r="F4788" s="1" t="s">
        <v>23895</v>
      </c>
      <c r="G4788" s="1" t="s">
        <v>23894</v>
      </c>
      <c r="H4788" s="1" t="str">
        <f>IFERROR(__xludf.DUMMYFUNCTION("GOOGLETRANSLATE(D4788,""EN"",""JA"")"),"予測潮流量の割合")</f>
        <v>予測潮流量の割合</v>
      </c>
      <c r="I4788" s="1" t="str">
        <f>IFERROR(__xludf.DUMMYFUNCTION("GOOGLETRANSLATE(E4788,""EN"",""JA"")"),"予測潮流量の割合")</f>
        <v>予測潮流量の割合</v>
      </c>
      <c r="J4788" s="1" t="str">
        <f>IFERROR(__xludf.DUMMYFUNCTION("GOOGLETRANSLATE(F4788,""EN"",""JA"")"),"安静時の呼吸中に肺に出入りする空気の量（予測される正常値の割合）です。")</f>
        <v>安静時の呼吸中に肺に出入りする空気の量（予測される正常値の割合）です。</v>
      </c>
      <c r="K4788" s="1" t="str">
        <f>IFERROR(__xludf.DUMMYFUNCTION("GOOGLETRANSLATE(G4788,""EN"",""JA"")"),"予測潮流量の割合")</f>
        <v>予測潮流量の割合</v>
      </c>
    </row>
    <row r="4789" ht="13.5" customHeight="1">
      <c r="A4789" s="1" t="s">
        <v>90</v>
      </c>
      <c r="B4789" s="1" t="s">
        <v>23896</v>
      </c>
      <c r="C4789" s="1" t="s">
        <v>23897</v>
      </c>
      <c r="D4789" s="1" t="s">
        <v>23898</v>
      </c>
      <c r="E4789" s="1" t="s">
        <v>23898</v>
      </c>
      <c r="F4789" s="1" t="s">
        <v>23899</v>
      </c>
      <c r="G4789" s="1" t="s">
        <v>23898</v>
      </c>
      <c r="H4789" s="1" t="str">
        <f>IFERROR(__xludf.DUMMYFUNCTION("GOOGLETRANSLATE(D4789,""EN"",""JA"")"),"三尖弁逆流率")</f>
        <v>三尖弁逆流率</v>
      </c>
      <c r="I4789" s="1" t="str">
        <f>IFERROR(__xludf.DUMMYFUNCTION("GOOGLETRANSLATE(E4789,""EN"",""JA"")"),"三尖弁逆流率")</f>
        <v>三尖弁逆流率</v>
      </c>
      <c r="J4789" s="1" t="str">
        <f>IFERROR(__xludf.DUMMYFUNCTION("GOOGLETRANSLATE(F4789,""EN"",""JA"")"),"三尖弁の開口部を通過する逆流血流量の測定値を、順流血流量のパーセンテージとして表します。")</f>
        <v>三尖弁の開口部を通過する逆流血流量の測定値を、順流血流量のパーセンテージとして表します。</v>
      </c>
      <c r="K4789" s="1" t="str">
        <f>IFERROR(__xludf.DUMMYFUNCTION("GOOGLETRANSLATE(G4789,""EN"",""JA"")"),"三尖弁逆流率")</f>
        <v>三尖弁逆流率</v>
      </c>
    </row>
    <row r="4790" ht="13.5" customHeight="1">
      <c r="A4790" s="1" t="s">
        <v>90</v>
      </c>
      <c r="B4790" s="1" t="s">
        <v>23900</v>
      </c>
      <c r="C4790" s="1" t="s">
        <v>23901</v>
      </c>
      <c r="D4790" s="1" t="s">
        <v>23902</v>
      </c>
      <c r="E4790" s="1" t="s">
        <v>23902</v>
      </c>
      <c r="F4790" s="1" t="s">
        <v>23903</v>
      </c>
      <c r="G4790" s="1" t="s">
        <v>23902</v>
      </c>
      <c r="H4790" s="1" t="str">
        <f>IFERROR(__xludf.DUMMYFUNCTION("GOOGLETRANSLATE(D4790,""EN"",""JA"")"),"三尖弁逆流ジェット領域")</f>
        <v>三尖弁逆流ジェット領域</v>
      </c>
      <c r="I4790" s="1" t="str">
        <f>IFERROR(__xludf.DUMMYFUNCTION("GOOGLETRANSLATE(E4790,""EN"",""JA"")"),"三尖弁逆流ジェット領域")</f>
        <v>三尖弁逆流ジェット領域</v>
      </c>
      <c r="J4790" s="1" t="str">
        <f>IFERROR(__xludf.DUMMYFUNCTION("GOOGLETRANSLATE(F4790,""EN"",""JA"")"),"右心房への逆流血液の測定面積。")</f>
        <v>右心房への逆流血液の測定面積。</v>
      </c>
      <c r="K4790" s="1" t="str">
        <f>IFERROR(__xludf.DUMMYFUNCTION("GOOGLETRANSLATE(G4790,""EN"",""JA"")"),"三尖弁逆流ジェット領域")</f>
        <v>三尖弁逆流ジェット領域</v>
      </c>
    </row>
    <row r="4791" ht="13.5" customHeight="1">
      <c r="A4791" s="1" t="s">
        <v>90</v>
      </c>
      <c r="B4791" s="1" t="s">
        <v>23904</v>
      </c>
      <c r="C4791" s="1" t="s">
        <v>23905</v>
      </c>
      <c r="D4791" s="1" t="s">
        <v>23906</v>
      </c>
      <c r="E4791" s="1" t="s">
        <v>23906</v>
      </c>
      <c r="F4791" s="1" t="s">
        <v>23907</v>
      </c>
      <c r="G4791" s="1" t="s">
        <v>23906</v>
      </c>
      <c r="H4791" s="1" t="str">
        <f>IFERROR(__xludf.DUMMYFUNCTION("GOOGLETRANSLATE(D4791,""EN"",""JA"")"),"三尖弁逆流量")</f>
        <v>三尖弁逆流量</v>
      </c>
      <c r="I4791" s="1" t="str">
        <f>IFERROR(__xludf.DUMMYFUNCTION("GOOGLETRANSLATE(E4791,""EN"",""JA"")"),"三尖弁逆流量")</f>
        <v>三尖弁逆流量</v>
      </c>
      <c r="J4791" s="1" t="str">
        <f>IFERROR(__xludf.DUMMYFUNCTION("GOOGLETRANSLATE(F4791,""EN"",""JA"")"),"三尖弁の開口部を流れる逆流血量の測定。")</f>
        <v>三尖弁の開口部を流れる逆流血量の測定。</v>
      </c>
      <c r="K4791" s="1" t="str">
        <f>IFERROR(__xludf.DUMMYFUNCTION("GOOGLETRANSLATE(G4791,""EN"",""JA"")"),"三尖弁逆流量")</f>
        <v>三尖弁逆流量</v>
      </c>
    </row>
    <row r="4792" ht="13.5" customHeight="1">
      <c r="A4792" s="1" t="s">
        <v>90</v>
      </c>
      <c r="B4792" s="1" t="s">
        <v>23908</v>
      </c>
      <c r="C4792" s="1" t="s">
        <v>23909</v>
      </c>
      <c r="D4792" s="1" t="s">
        <v>23910</v>
      </c>
      <c r="E4792" s="1" t="s">
        <v>23910</v>
      </c>
      <c r="F4792" s="1" t="s">
        <v>23911</v>
      </c>
      <c r="G4792" s="1" t="s">
        <v>23910</v>
      </c>
      <c r="H4792" s="1" t="str">
        <f>IFERROR(__xludf.DUMMYFUNCTION("GOOGLETRANSLATE(D4792,""EN"",""JA"")"),"三尖弁大静脈収縮部")</f>
        <v>三尖弁大静脈収縮部</v>
      </c>
      <c r="I4792" s="1" t="str">
        <f>IFERROR(__xludf.DUMMYFUNCTION("GOOGLETRANSLATE(E4792,""EN"",""JA"")"),"三尖弁大静脈収縮部")</f>
        <v>三尖弁大静脈収縮部</v>
      </c>
      <c r="J4792" s="1" t="str">
        <f>IFERROR(__xludf.DUMMYFUNCTION("GOOGLETRANSLATE(F4792,""EN"",""JA"")"),"三尖弁の縮静脈領域。")</f>
        <v>三尖弁の縮静脈領域。</v>
      </c>
      <c r="K4792" s="1" t="str">
        <f>IFERROR(__xludf.DUMMYFUNCTION("GOOGLETRANSLATE(G4792,""EN"",""JA"")"),"三尖弁大静脈収縮部")</f>
        <v>三尖弁大静脈収縮部</v>
      </c>
    </row>
    <row r="4793" ht="13.5" customHeight="1">
      <c r="A4793" s="1" t="s">
        <v>90</v>
      </c>
      <c r="B4793" s="1" t="s">
        <v>23912</v>
      </c>
      <c r="C4793" s="1" t="s">
        <v>23913</v>
      </c>
      <c r="D4793" s="1" t="s">
        <v>23914</v>
      </c>
      <c r="E4793" s="1" t="s">
        <v>23914</v>
      </c>
      <c r="F4793" s="1" t="s">
        <v>23915</v>
      </c>
      <c r="G4793" s="1" t="s">
        <v>23914</v>
      </c>
      <c r="H4793" s="1" t="str">
        <f>IFERROR(__xludf.DUMMYFUNCTION("GOOGLETRANSLATE(D4793,""EN"",""JA"")"),"三尖弁拘縮静脈幅")</f>
        <v>三尖弁拘縮静脈幅</v>
      </c>
      <c r="I4793" s="1" t="str">
        <f>IFERROR(__xludf.DUMMYFUNCTION("GOOGLETRANSLATE(E4793,""EN"",""JA"")"),"三尖弁拘縮静脈幅")</f>
        <v>三尖弁拘縮静脈幅</v>
      </c>
      <c r="J4793" s="1" t="str">
        <f>IFERROR(__xludf.DUMMYFUNCTION("GOOGLETRANSLATE(F4793,""EN"",""JA"")"),"三尖弁の縮静脈の幅。")</f>
        <v>三尖弁の縮静脈の幅。</v>
      </c>
      <c r="K4793" s="1" t="str">
        <f>IFERROR(__xludf.DUMMYFUNCTION("GOOGLETRANSLATE(G4793,""EN"",""JA"")"),"三尖弁拘縮静脈幅")</f>
        <v>三尖弁拘縮静脈幅</v>
      </c>
    </row>
    <row r="4794" ht="13.5" customHeight="1">
      <c r="A4794" s="1" t="s">
        <v>1168</v>
      </c>
      <c r="B4794" s="1" t="s">
        <v>23916</v>
      </c>
      <c r="C4794" s="1" t="s">
        <v>23917</v>
      </c>
      <c r="D4794" s="1" t="s">
        <v>23918</v>
      </c>
      <c r="E4794" s="1" t="s">
        <v>23918</v>
      </c>
      <c r="F4794" s="1" t="s">
        <v>23919</v>
      </c>
      <c r="G4794" s="1" t="s">
        <v>23920</v>
      </c>
      <c r="H4794" s="1" t="str">
        <f>IFERROR(__xludf.DUMMYFUNCTION("GOOGLETRANSLATE(D4794,""EN"",""JA"")"),"T波面積、集計")</f>
        <v>T波面積、集計</v>
      </c>
      <c r="I4794" s="1" t="str">
        <f>IFERROR(__xludf.DUMMYFUNCTION("GOOGLETRANSLATE(E4794,""EN"",""JA"")"),"T波面積、集計")</f>
        <v>T波面積、集計</v>
      </c>
      <c r="J4794" s="1" t="str">
        <f>IFERROR(__xludf.DUMMYFUNCTION("GOOGLETRANSLATE(F4794,""EN"",""JA"")"),"1回の心電図における複数の心拍から測定されたT波面積に基づく集計T波面積値。集計方法は様々ですが、通常は平均値などの中心傾向を示す指標が用いられます。")</f>
        <v>1回の心電図における複数の心拍から測定されたT波面積に基づく集計T波面積値。集計方法は様々ですが、通常は平均値などの中心傾向を示す指標が用いられます。</v>
      </c>
      <c r="K4794" s="1" t="str">
        <f>IFERROR(__xludf.DUMMYFUNCTION("GOOGLETRANSLATE(G4794,""EN"",""JA"")"),"T波面積集計")</f>
        <v>T波面積集計</v>
      </c>
    </row>
    <row r="4795" ht="13.5" customHeight="1">
      <c r="A4795" s="1" t="s">
        <v>1168</v>
      </c>
      <c r="B4795" s="1" t="s">
        <v>23921</v>
      </c>
      <c r="C4795" s="1" t="s">
        <v>23922</v>
      </c>
      <c r="D4795" s="1" t="s">
        <v>23923</v>
      </c>
      <c r="E4795" s="1" t="s">
        <v>23923</v>
      </c>
      <c r="F4795" s="1" t="s">
        <v>23924</v>
      </c>
      <c r="G4795" s="1" t="s">
        <v>23925</v>
      </c>
      <c r="H4795" s="1" t="str">
        <f>IFERROR(__xludf.DUMMYFUNCTION("GOOGLETRANSLATE(D4795,""EN"",""JA"")"),"T波領域、単一拍動")</f>
        <v>T波領域、単一拍動</v>
      </c>
      <c r="I4795" s="1" t="str">
        <f>IFERROR(__xludf.DUMMYFUNCTION("GOOGLETRANSLATE(E4795,""EN"",""JA"")"),"T波領域、単一拍動")</f>
        <v>T波領域、単一拍動</v>
      </c>
      <c r="J4795" s="1" t="str">
        <f>IFERROR(__xludf.DUMMYFUNCTION("GOOGLETRANSLATE(F4795,""EN"",""JA"")"),"1 つまたは複数のリードを使用して、1 回の心拍の T 波の領域を測定する心電図法。")</f>
        <v>1 つまたは複数のリードを使用して、1 回の心拍の T 波の領域を測定する心電図法。</v>
      </c>
      <c r="K4795" s="1" t="str">
        <f>IFERROR(__xludf.DUMMYFUNCTION("GOOGLETRANSLATE(G4795,""EN"",""JA"")"),"T波領域単一拍動")</f>
        <v>T波領域単一拍動</v>
      </c>
    </row>
    <row r="4796" ht="13.5" customHeight="1">
      <c r="A4796" s="1" t="s">
        <v>1168</v>
      </c>
      <c r="B4796" s="1" t="s">
        <v>23926</v>
      </c>
      <c r="C4796" s="1" t="s">
        <v>23927</v>
      </c>
      <c r="D4796" s="1" t="s">
        <v>23928</v>
      </c>
      <c r="E4796" s="1" t="s">
        <v>23928</v>
      </c>
      <c r="F4796" s="1" t="s">
        <v>23929</v>
      </c>
      <c r="G4796" s="1" t="s">
        <v>23930</v>
      </c>
      <c r="H4796" s="1" t="str">
        <f>IFERROR(__xludf.DUMMYFUNCTION("GOOGLETRANSLATE(D4796,""EN"",""JA"")"),"T波持続時間、合計")</f>
        <v>T波持続時間、合計</v>
      </c>
      <c r="I4796" s="1" t="str">
        <f>IFERROR(__xludf.DUMMYFUNCTION("GOOGLETRANSLATE(E4796,""EN"",""JA"")"),"T波持続時間、合計")</f>
        <v>T波持続時間、合計</v>
      </c>
      <c r="J4796" s="1" t="str">
        <f>IFERROR(__xludf.DUMMYFUNCTION("GOOGLETRANSLATE(F4796,""EN"",""JA"")"),"単一の心電図における複数の心拍から測定されたT波持続時間間隔に基づく集計T波持続時間値。集計方法は様々ですが、通常は平均値などの中心傾向を示す指標が用いられます。")</f>
        <v>単一の心電図における複数の心拍から測定されたT波持続時間間隔に基づく集計T波持続時間値。集計方法は様々ですが、通常は平均値などの中心傾向を示す指標が用いられます。</v>
      </c>
      <c r="K4796" s="1" t="str">
        <f>IFERROR(__xludf.DUMMYFUNCTION("GOOGLETRANSLATE(G4796,""EN"",""JA"")"),"T波持続時間合計")</f>
        <v>T波持続時間合計</v>
      </c>
    </row>
    <row r="4797" ht="13.5" customHeight="1">
      <c r="A4797" s="1" t="s">
        <v>1168</v>
      </c>
      <c r="B4797" s="1" t="s">
        <v>23931</v>
      </c>
      <c r="C4797" s="1" t="s">
        <v>23932</v>
      </c>
      <c r="D4797" s="1" t="s">
        <v>23933</v>
      </c>
      <c r="E4797" s="1" t="s">
        <v>23933</v>
      </c>
      <c r="F4797" s="1" t="s">
        <v>23934</v>
      </c>
      <c r="G4797" s="1" t="s">
        <v>23935</v>
      </c>
      <c r="H4797" s="1" t="str">
        <f>IFERROR(__xludf.DUMMYFUNCTION("GOOGLETRANSLATE(D4797,""EN"",""JA"")"),"T波持続時間、1拍")</f>
        <v>T波持続時間、1拍</v>
      </c>
      <c r="I4797" s="1" t="str">
        <f>IFERROR(__xludf.DUMMYFUNCTION("GOOGLETRANSLATE(E4797,""EN"",""JA"")"),"T波持続時間、1拍")</f>
        <v>T波持続時間、1拍</v>
      </c>
      <c r="J4797" s="1" t="str">
        <f>IFERROR(__xludf.DUMMYFUNCTION("GOOGLETRANSLATE(F4797,""EN"",""JA"")"),"1 つ以上のリードを使用して、単一心拍の T 波の開始から T 波の終了まで測定された心電図間隔。")</f>
        <v>1 つ以上のリードを使用して、単一心拍の T 波の開始から T 波の終了まで測定された心電図間隔。</v>
      </c>
      <c r="K4797" s="1" t="str">
        <f>IFERROR(__xludf.DUMMYFUNCTION("GOOGLETRANSLATE(G4797,""EN"",""JA"")"),"T波持続時間（一拍）")</f>
        <v>T波持続時間（一拍）</v>
      </c>
    </row>
    <row r="4798" ht="13.5" customHeight="1">
      <c r="A4798" s="1" t="s">
        <v>1168</v>
      </c>
      <c r="B4798" s="1" t="s">
        <v>23936</v>
      </c>
      <c r="C4798" s="1" t="s">
        <v>23937</v>
      </c>
      <c r="D4798" s="1" t="s">
        <v>23938</v>
      </c>
      <c r="E4798" s="1" t="s">
        <v>23938</v>
      </c>
      <c r="F4798" s="1" t="s">
        <v>23939</v>
      </c>
      <c r="G4798" s="1" t="s">
        <v>23940</v>
      </c>
      <c r="H4798" s="1" t="str">
        <f>IFERROR(__xludf.DUMMYFUNCTION("GOOGLETRANSLATE(D4798,""EN"",""JA"")"),"T波振幅、全体")</f>
        <v>T波振幅、全体</v>
      </c>
      <c r="I4798" s="1" t="str">
        <f>IFERROR(__xludf.DUMMYFUNCTION("GOOGLETRANSLATE(E4798,""EN"",""JA"")"),"T波振幅、全体")</f>
        <v>T波振幅、全体</v>
      </c>
      <c r="J4798" s="1" t="str">
        <f>IFERROR(__xludf.DUMMYFUNCTION("GOOGLETRANSLATE(F4798,""EN"",""JA"")"),"単一の心電図における複数の心拍のT波振幅の測定に基づく、集計されたT波振幅値。集計方法は様々ですが、通常は平均値などの中心傾向を示す指標が用いられます。")</f>
        <v>単一の心電図における複数の心拍のT波振幅の測定に基づく、集計されたT波振幅値。集計方法は様々ですが、通常は平均値などの中心傾向を示す指標が用いられます。</v>
      </c>
      <c r="K4798" s="1" t="str">
        <f>IFERROR(__xludf.DUMMYFUNCTION("GOOGLETRANSLATE(G4798,""EN"",""JA"")"),"T波振幅合計")</f>
        <v>T波振幅合計</v>
      </c>
    </row>
    <row r="4799" ht="13.5" customHeight="1">
      <c r="A4799" s="1" t="s">
        <v>1168</v>
      </c>
      <c r="B4799" s="1" t="s">
        <v>23941</v>
      </c>
      <c r="C4799" s="1" t="s">
        <v>23942</v>
      </c>
      <c r="D4799" s="1" t="s">
        <v>23943</v>
      </c>
      <c r="E4799" s="1" t="s">
        <v>23943</v>
      </c>
      <c r="F4799" s="1" t="s">
        <v>23944</v>
      </c>
      <c r="G4799" s="1" t="s">
        <v>23945</v>
      </c>
      <c r="H4799" s="1" t="str">
        <f>IFERROR(__xludf.DUMMYFUNCTION("GOOGLETRANSLATE(D4799,""EN"",""JA"")"),"T波振幅、単一拍動")</f>
        <v>T波振幅、単一拍動</v>
      </c>
      <c r="I4799" s="1" t="str">
        <f>IFERROR(__xludf.DUMMYFUNCTION("GOOGLETRANSLATE(E4799,""EN"",""JA"")"),"T波振幅、単一拍動")</f>
        <v>T波振幅、単一拍動</v>
      </c>
      <c r="J4799" s="1" t="str">
        <f>IFERROR(__xludf.DUMMYFUNCTION("GOOGLETRANSLATE(F4799,""EN"",""JA"")"),"心電図において、1回または複数回の誘導を用いて、等電位基線からT波のピークまでのT波の平均振幅（通常はmVで測定）を測定する。記録ゲインに基づいて、この測定値はmとなる。")</f>
        <v>心電図において、1回または複数回の誘導を用いて、等電位基線からT波のピークまでのT波の平均振幅（通常はmVで測定）を測定する。記録ゲインに基づいて、この測定値はmとなる。</v>
      </c>
      <c r="K4799" s="1" t="str">
        <f>IFERROR(__xludf.DUMMYFUNCTION("GOOGLETRANSLATE(G4799,""EN"",""JA"")"),"T波振幅単一拍")</f>
        <v>T波振幅単一拍</v>
      </c>
    </row>
    <row r="4800" ht="13.5" customHeight="1">
      <c r="A4800" s="1" t="s">
        <v>601</v>
      </c>
      <c r="B4800" s="1" t="s">
        <v>23946</v>
      </c>
      <c r="C4800" s="1" t="s">
        <v>23947</v>
      </c>
      <c r="D4800" s="1" t="s">
        <v>23948</v>
      </c>
      <c r="E4800" s="1" t="s">
        <v>23948</v>
      </c>
      <c r="F4800" s="1" t="s">
        <v>23949</v>
      </c>
      <c r="G4800" s="1" t="s">
        <v>23948</v>
      </c>
      <c r="H4800" s="1" t="str">
        <f>IFERROR(__xludf.DUMMYFUNCTION("GOOGLETRANSLATE(D4800,""EN"",""JA"")"),"ツインタイプ")</f>
        <v>ツインタイプ</v>
      </c>
      <c r="I4800" s="1" t="str">
        <f>IFERROR(__xludf.DUMMYFUNCTION("GOOGLETRANSLATE(E4800,""EN"",""JA"")"),"ツインタイプ")</f>
        <v>ツインタイプ</v>
      </c>
      <c r="J4800" s="1" t="str">
        <f>IFERROR(__xludf.DUMMYFUNCTION("GOOGLETRANSLATE(F4800,""EN"",""JA"")"),"同じ妊娠から生まれた2匹の子孫の分類。")</f>
        <v>同じ妊娠から生まれた2匹の子孫の分類。</v>
      </c>
      <c r="K4800" s="1" t="str">
        <f>IFERROR(__xludf.DUMMYFUNCTION("GOOGLETRANSLATE(G4800,""EN"",""JA"")"),"ツインタイプ")</f>
        <v>ツインタイプ</v>
      </c>
    </row>
    <row r="4801" ht="13.5" customHeight="1">
      <c r="A4801" s="1" t="s">
        <v>11</v>
      </c>
      <c r="B4801" s="1" t="s">
        <v>23950</v>
      </c>
      <c r="C4801" s="1" t="s">
        <v>23951</v>
      </c>
      <c r="D4801" s="1" t="s">
        <v>23952</v>
      </c>
      <c r="E4801" s="1" t="s">
        <v>23952</v>
      </c>
      <c r="F4801" s="1" t="s">
        <v>23953</v>
      </c>
      <c r="G4801" s="1" t="s">
        <v>23954</v>
      </c>
      <c r="H4801" s="1" t="str">
        <f>IFERROR(__xludf.DUMMYFUNCTION("GOOGLETRANSLATE(D4801,""EN"",""JA"")"),"トロンボキサンB2")</f>
        <v>トロンボキサンB2</v>
      </c>
      <c r="I4801" s="1" t="str">
        <f>IFERROR(__xludf.DUMMYFUNCTION("GOOGLETRANSLATE(E4801,""EN"",""JA"")"),"トロンボキサンB2")</f>
        <v>トロンボキサンB2</v>
      </c>
      <c r="J4801" s="1" t="str">
        <f>IFERROR(__xludf.DUMMYFUNCTION("GOOGLETRANSLATE(F4801,""EN"",""JA"")"),"生物標本中のトロンボキサン B2 の測定。")</f>
        <v>生物標本中のトロンボキサン B2 の測定。</v>
      </c>
      <c r="K4801" s="1" t="str">
        <f>IFERROR(__xludf.DUMMYFUNCTION("GOOGLETRANSLATE(G4801,""EN"",""JA"")"),"トロンボキサンB2測定")</f>
        <v>トロンボキサンB2測定</v>
      </c>
    </row>
    <row r="4802" ht="13.5" customHeight="1">
      <c r="A4802" s="1" t="s">
        <v>11</v>
      </c>
      <c r="B4802" s="1" t="s">
        <v>23955</v>
      </c>
      <c r="C4802" s="1" t="s">
        <v>23956</v>
      </c>
      <c r="D4802" s="1" t="s">
        <v>23957</v>
      </c>
      <c r="E4802" s="1" t="s">
        <v>23957</v>
      </c>
      <c r="F4802" s="1" t="s">
        <v>23958</v>
      </c>
      <c r="G4802" s="1" t="s">
        <v>23959</v>
      </c>
      <c r="H4802" s="1" t="str">
        <f>IFERROR(__xludf.DUMMYFUNCTION("GOOGLETRANSLATE(D4802,""EN"",""JA"")"),"11-デヒドロトロンボキサンB2")</f>
        <v>11-デヒドロトロンボキサンB2</v>
      </c>
      <c r="I4802" s="1" t="str">
        <f>IFERROR(__xludf.DUMMYFUNCTION("GOOGLETRANSLATE(E4802,""EN"",""JA"")"),"11-デヒドロトロンボキサンB2")</f>
        <v>11-デヒドロトロンボキサンB2</v>
      </c>
      <c r="J4802" s="1" t="str">
        <f>IFERROR(__xludf.DUMMYFUNCTION("GOOGLETRANSLATE(F4802,""EN"",""JA"")"),"生物標本中の 11-デヒドロトロンボキサン B2 の測定。")</f>
        <v>生物標本中の 11-デヒドロトロンボキサン B2 の測定。</v>
      </c>
      <c r="K4802" s="1" t="str">
        <f>IFERROR(__xludf.DUMMYFUNCTION("GOOGLETRANSLATE(G4802,""EN"",""JA"")"),"11-デヒドロトロンボキサンB2測定")</f>
        <v>11-デヒドロトロンボキサンB2測定</v>
      </c>
    </row>
    <row r="4803" ht="13.5" customHeight="1">
      <c r="A4803" s="1" t="s">
        <v>11</v>
      </c>
      <c r="B4803" s="1" t="s">
        <v>23960</v>
      </c>
      <c r="C4803" s="1" t="s">
        <v>23961</v>
      </c>
      <c r="D4803" s="1" t="s">
        <v>23962</v>
      </c>
      <c r="E4803" s="1" t="s">
        <v>23962</v>
      </c>
      <c r="F4803" s="1" t="s">
        <v>23963</v>
      </c>
      <c r="G4803" s="1" t="s">
        <v>23962</v>
      </c>
      <c r="H4803" s="1" t="str">
        <f>IFERROR(__xludf.DUMMYFUNCTION("GOOGLETRANSLATE(D4803,""EN"",""JA"")"),"11-デヒドロトロンボキサンB2排泄率")</f>
        <v>11-デヒドロトロンボキサンB2排泄率</v>
      </c>
      <c r="I4803" s="1" t="str">
        <f>IFERROR(__xludf.DUMMYFUNCTION("GOOGLETRANSLATE(E4803,""EN"",""JA"")"),"11-デヒドロトロンボキサンB2排泄率")</f>
        <v>11-デヒドロトロンボキサンB2排泄率</v>
      </c>
      <c r="J4803" s="1" t="str">
        <f>IFERROR(__xludf.DUMMYFUNCTION("GOOGLETRANSLATE(F4803,""EN"",""JA"")"),"定義された時間（例：1 時間）にわたって生物学的標本中に排泄される 11-デヒドロトロンボキサン B2 の量を測定します。")</f>
        <v>定義された時間（例：1 時間）にわたって生物学的標本中に排泄される 11-デヒドロトロンボキサン B2 の量を測定します。</v>
      </c>
      <c r="K4803" s="1" t="str">
        <f>IFERROR(__xludf.DUMMYFUNCTION("GOOGLETRANSLATE(G4803,""EN"",""JA"")"),"11-デヒドロトロンボキサンB2排泄率")</f>
        <v>11-デヒドロトロンボキサンB2排泄率</v>
      </c>
    </row>
    <row r="4804" ht="13.5" customHeight="1">
      <c r="A4804" s="1" t="s">
        <v>601</v>
      </c>
      <c r="B4804" s="1" t="s">
        <v>23964</v>
      </c>
      <c r="C4804" s="1" t="s">
        <v>23965</v>
      </c>
      <c r="D4804" s="1" t="s">
        <v>23966</v>
      </c>
      <c r="E4804" s="1" t="s">
        <v>23966</v>
      </c>
      <c r="F4804" s="1" t="s">
        <v>23967</v>
      </c>
      <c r="G4804" s="1" t="s">
        <v>23968</v>
      </c>
      <c r="H4804" s="1" t="str">
        <f>IFERROR(__xludf.DUMMYFUNCTION("GOOGLETRANSLATE(D4804,""EN"",""JA"")"),"連絡先の種類")</f>
        <v>連絡先の種類</v>
      </c>
      <c r="I4804" s="1" t="str">
        <f>IFERROR(__xludf.DUMMYFUNCTION("GOOGLETRANSLATE(E4804,""EN"",""JA"")"),"連絡先の種類")</f>
        <v>連絡先の種類</v>
      </c>
      <c r="J4804" s="1" t="str">
        <f>IFERROR(__xludf.DUMMYFUNCTION("GOOGLETRANSLATE(F4804,""EN"",""JA"")"),"疾患接触者の特定と臨床調査。")</f>
        <v>疾患接触者の特定と臨床調査。</v>
      </c>
      <c r="K4804" s="1" t="str">
        <f>IFERROR(__xludf.DUMMYFUNCTION("GOOGLETRANSLATE(G4804,""EN"",""JA"")"),"感染の種類 接触")</f>
        <v>感染の種類 接触</v>
      </c>
    </row>
    <row r="4805" ht="13.5" customHeight="1">
      <c r="A4805" s="1" t="s">
        <v>11</v>
      </c>
      <c r="B4805" s="1" t="s">
        <v>23969</v>
      </c>
      <c r="C4805" s="1" t="s">
        <v>23970</v>
      </c>
      <c r="D4805" s="1" t="s">
        <v>23971</v>
      </c>
      <c r="E4805" s="1" t="s">
        <v>23971</v>
      </c>
      <c r="F4805" s="1" t="s">
        <v>23972</v>
      </c>
      <c r="G4805" s="1" t="s">
        <v>23973</v>
      </c>
      <c r="H4805" s="1" t="str">
        <f>IFERROR(__xludf.DUMMYFUNCTION("GOOGLETRANSLATE(D4805,""EN"",""JA"")"),"チロシン")</f>
        <v>チロシン</v>
      </c>
      <c r="I4805" s="1" t="str">
        <f>IFERROR(__xludf.DUMMYFUNCTION("GOOGLETRANSLATE(E4805,""EN"",""JA"")"),"チロシン")</f>
        <v>チロシン</v>
      </c>
      <c r="J4805" s="1" t="str">
        <f>IFERROR(__xludf.DUMMYFUNCTION("GOOGLETRANSLATE(F4805,""EN"",""JA"")"),"生物標本中のチロシンの測定。")</f>
        <v>生物標本中のチロシンの測定。</v>
      </c>
      <c r="K4805" s="1" t="str">
        <f>IFERROR(__xludf.DUMMYFUNCTION("GOOGLETRANSLATE(G4805,""EN"",""JA"")"),"チロシン測定")</f>
        <v>チロシン測定</v>
      </c>
    </row>
    <row r="4806" ht="13.5" customHeight="1">
      <c r="A4806" s="1" t="s">
        <v>11</v>
      </c>
      <c r="B4806" s="1" t="s">
        <v>23974</v>
      </c>
      <c r="C4806" s="1" t="s">
        <v>23975</v>
      </c>
      <c r="D4806" s="1" t="s">
        <v>23976</v>
      </c>
      <c r="E4806" s="1" t="s">
        <v>23977</v>
      </c>
      <c r="F4806" s="1" t="s">
        <v>23978</v>
      </c>
      <c r="G4806" s="1" t="s">
        <v>23979</v>
      </c>
      <c r="H4806" s="1" t="str">
        <f>IFERROR(__xludf.DUMMYFUNCTION("GOOGLETRANSLATE(D4806,""EN"",""JA"")"),"U-47700")</f>
        <v>U-47700</v>
      </c>
      <c r="I4806" s="1" t="str">
        <f>IFERROR(__xludf.DUMMYFUNCTION("GOOGLETRANSLATE(E4806,""EN"",""JA"")"),"ピンク; ピンキー; U-47700; U4; U47700")</f>
        <v>ピンク; ピンキー; U-47700; U4; U47700</v>
      </c>
      <c r="J4806" s="1" t="str">
        <f>IFERROR(__xludf.DUMMYFUNCTION("GOOGLETRANSLATE(F4806,""EN"",""JA"")"),"生物標本中の合成カンナビノイド U-47700 の測定。")</f>
        <v>生物標本中の合成カンナビノイド U-47700 の測定。</v>
      </c>
      <c r="K4806" s="1" t="str">
        <f>IFERROR(__xludf.DUMMYFUNCTION("GOOGLETRANSLATE(G4806,""EN"",""JA"")"),"U-47700測定")</f>
        <v>U-47700測定</v>
      </c>
    </row>
    <row r="4807" ht="13.5" customHeight="1">
      <c r="A4807" s="1" t="s">
        <v>11</v>
      </c>
      <c r="B4807" s="1" t="s">
        <v>23980</v>
      </c>
      <c r="C4807" s="1" t="s">
        <v>23981</v>
      </c>
      <c r="D4807" s="1" t="s">
        <v>23982</v>
      </c>
      <c r="E4807" s="1" t="s">
        <v>23982</v>
      </c>
      <c r="F4807" s="1" t="s">
        <v>23983</v>
      </c>
      <c r="G4807" s="1" t="s">
        <v>23984</v>
      </c>
      <c r="H4807" s="1" t="str">
        <f>IFERROR(__xludf.DUMMYFUNCTION("GOOGLETRANSLATE(D4807,""EN"",""JA"")"),"ユビキチンタンパク質")</f>
        <v>ユビキチンタンパク質</v>
      </c>
      <c r="I4807" s="1" t="str">
        <f>IFERROR(__xludf.DUMMYFUNCTION("GOOGLETRANSLATE(E4807,""EN"",""JA"")"),"ユビキチンタンパク質")</f>
        <v>ユビキチンタンパク質</v>
      </c>
      <c r="J4807" s="1" t="str">
        <f>IFERROR(__xludf.DUMMYFUNCTION("GOOGLETRANSLATE(F4807,""EN"",""JA"")"),"生物標本中の総ユビキチンタンパク質の測定。")</f>
        <v>生物標本中の総ユビキチンタンパク質の測定。</v>
      </c>
      <c r="K4807" s="1" t="str">
        <f>IFERROR(__xludf.DUMMYFUNCTION("GOOGLETRANSLATE(G4807,""EN"",""JA"")"),"ユビキチンタンパク質測定")</f>
        <v>ユビキチンタンパク質測定</v>
      </c>
    </row>
    <row r="4808" ht="13.5" customHeight="1">
      <c r="A4808" s="1" t="s">
        <v>11</v>
      </c>
      <c r="B4808" s="1" t="s">
        <v>23985</v>
      </c>
      <c r="C4808" s="1" t="s">
        <v>23986</v>
      </c>
      <c r="D4808" s="1" t="s">
        <v>23987</v>
      </c>
      <c r="E4808" s="1" t="s">
        <v>23988</v>
      </c>
      <c r="F4808" s="1" t="s">
        <v>23989</v>
      </c>
      <c r="G4808" s="1" t="s">
        <v>23990</v>
      </c>
      <c r="H4808" s="1" t="str">
        <f>IFERROR(__xludf.DUMMYFUNCTION("GOOGLETRANSLATE(D4808,""EN"",""JA"")"),"ユビキチンC末端加水分解酵素L1")</f>
        <v>ユビキチンC末端加水分解酵素L1</v>
      </c>
      <c r="I4808" s="1" t="str">
        <f>IFERROR(__xludf.DUMMYFUNCTION("GOOGLETRANSLATE(E4808,""EN"",""JA"")"),"ユビキチンC末端加水分解酵素L1; ユビキチンカルボキシ末端加水分解酵素L1; UCH-L1")</f>
        <v>ユビキチンC末端加水分解酵素L1; ユビキチンカルボキシ末端加水分解酵素L1; UCH-L1</v>
      </c>
      <c r="J4808" s="1" t="str">
        <f>IFERROR(__xludf.DUMMYFUNCTION("GOOGLETRANSLATE(F4808,""EN"",""JA"")"),"生物標本中のユビキチン C 末端加水分解酵素 L1 の測定。")</f>
        <v>生物標本中のユビキチン C 末端加水分解酵素 L1 の測定。</v>
      </c>
      <c r="K4808" s="1" t="str">
        <f>IFERROR(__xludf.DUMMYFUNCTION("GOOGLETRANSLATE(G4808,""EN"",""JA"")"),"ユビキチンC末端加水分解酵素L1の測定")</f>
        <v>ユビキチンC末端加水分解酵素L1の測定</v>
      </c>
    </row>
    <row r="4809" ht="13.5" customHeight="1">
      <c r="A4809" s="1" t="s">
        <v>11</v>
      </c>
      <c r="B4809" s="1" t="s">
        <v>23991</v>
      </c>
      <c r="C4809" s="1" t="s">
        <v>23992</v>
      </c>
      <c r="D4809" s="1" t="s">
        <v>23993</v>
      </c>
      <c r="E4809" s="1" t="s">
        <v>23994</v>
      </c>
      <c r="F4809" s="1" t="s">
        <v>23995</v>
      </c>
      <c r="G4809" s="1" t="s">
        <v>23996</v>
      </c>
      <c r="H4809" s="1" t="str">
        <f>IFERROR(__xludf.DUMMYFUNCTION("GOOGLETRANSLATE(D4809,""EN"",""JA"")"),"ウルソデオキシコール酸")</f>
        <v>ウルソデオキシコール酸</v>
      </c>
      <c r="I4809" s="1" t="str">
        <f>IFERROR(__xludf.DUMMYFUNCTION("GOOGLETRANSLATE(E4809,""EN"",""JA"")"),"ウルソデオキシコール酸; ウルソデオキシコール酸; ウルソジオール")</f>
        <v>ウルソデオキシコール酸; ウルソデオキシコール酸; ウルソジオール</v>
      </c>
      <c r="J4809" s="1" t="str">
        <f>IFERROR(__xludf.DUMMYFUNCTION("GOOGLETRANSLATE(F4809,""EN"",""JA"")"),"生物標本中のウルソデオキシコール酸の測定。")</f>
        <v>生物標本中のウルソデオキシコール酸の測定。</v>
      </c>
      <c r="K4809" s="1" t="str">
        <f>IFERROR(__xludf.DUMMYFUNCTION("GOOGLETRANSLATE(G4809,""EN"",""JA"")"),"ウルソデオキシコール酸測定")</f>
        <v>ウルソデオキシコール酸測定</v>
      </c>
    </row>
    <row r="4810" ht="13.5" customHeight="1">
      <c r="A4810" s="1" t="s">
        <v>11</v>
      </c>
      <c r="B4810" s="1" t="s">
        <v>23997</v>
      </c>
      <c r="C4810" s="1" t="s">
        <v>23998</v>
      </c>
      <c r="D4810" s="1" t="s">
        <v>23999</v>
      </c>
      <c r="E4810" s="1" t="s">
        <v>24000</v>
      </c>
      <c r="F4810" s="1" t="s">
        <v>24001</v>
      </c>
      <c r="G4810" s="1" t="s">
        <v>24002</v>
      </c>
      <c r="H4810" s="1" t="str">
        <f>IFERROR(__xludf.DUMMYFUNCTION("GOOGLETRANSLATE(D4810,""EN"",""JA"")"),"ウルソデオキシコール酸化合物")</f>
        <v>ウルソデオキシコール酸化合物</v>
      </c>
      <c r="I4810" s="1" t="str">
        <f>IFERROR(__xludf.DUMMYFUNCTION("GOOGLETRANSLATE(E4810,""EN"",""JA"")"),"ウルソデオキシコール酸化合物; ウルソデオキシコール酸化合物")</f>
        <v>ウルソデオキシコール酸化合物; ウルソデオキシコール酸化合物</v>
      </c>
      <c r="J4810" s="1" t="str">
        <f>IFERROR(__xludf.DUMMYFUNCTION("GOOGLETRANSLATE(F4810,""EN"",""JA"")"),"生物標本中のウルソデオキシコール酸、グリコールソデオキシコール酸、タウロウルソデオキシコール酸、エピマー化ウルソデオキシコール酸の測定。")</f>
        <v>生物標本中のウルソデオキシコール酸、グリコールソデオキシコール酸、タウロウルソデオキシコール酸、エピマー化ウルソデオキシコール酸の測定。</v>
      </c>
      <c r="K4810" s="1" t="str">
        <f>IFERROR(__xludf.DUMMYFUNCTION("GOOGLETRANSLATE(G4810,""EN"",""JA"")"),"ウルソデオキシコール酸化合物の測定")</f>
        <v>ウルソデオキシコール酸化合物の測定</v>
      </c>
    </row>
    <row r="4811" ht="13.5" customHeight="1">
      <c r="A4811" s="1" t="s">
        <v>601</v>
      </c>
      <c r="B4811" s="1" t="s">
        <v>24003</v>
      </c>
      <c r="C4811" s="1" t="s">
        <v>24004</v>
      </c>
      <c r="D4811" s="1" t="s">
        <v>24005</v>
      </c>
      <c r="E4811" s="1" t="s">
        <v>24006</v>
      </c>
      <c r="F4811" s="1" t="s">
        <v>24007</v>
      </c>
      <c r="G4811" s="1" t="s">
        <v>24005</v>
      </c>
      <c r="H4811" s="1" t="str">
        <f>IFERROR(__xludf.DUMMYFUNCTION("GOOGLETRANSLATE(D4811,""EN"",""JA"")"),"住居のない指標")</f>
        <v>住居のない指標</v>
      </c>
      <c r="I4811" s="1" t="str">
        <f>IFERROR(__xludf.DUMMYFUNCTION("GOOGLETRANSLATE(E4811,""EN"",""JA"")"),"ホームレス指標; 住居のない指標")</f>
        <v>ホームレス指標; 住居のない指標</v>
      </c>
      <c r="J4811" s="1" t="str">
        <f>IFERROR(__xludf.DUMMYFUNCTION("GOOGLETRANSLATE(F4811,""EN"",""JA"")"),"対象者が住居を持たないかどうかを示すもの。")</f>
        <v>対象者が住居を持たないかどうかを示すもの。</v>
      </c>
      <c r="K4811" s="1" t="str">
        <f>IFERROR(__xludf.DUMMYFUNCTION("GOOGLETRANSLATE(G4811,""EN"",""JA"")"),"住居のない指標")</f>
        <v>住居のない指標</v>
      </c>
    </row>
    <row r="4812" ht="13.5" customHeight="1">
      <c r="A4812" s="1" t="s">
        <v>134</v>
      </c>
      <c r="B4812" s="1" t="s">
        <v>24008</v>
      </c>
      <c r="C4812" s="1" t="s">
        <v>24009</v>
      </c>
      <c r="D4812" s="1" t="s">
        <v>24010</v>
      </c>
      <c r="E4812" s="1" t="s">
        <v>24010</v>
      </c>
      <c r="F4812" s="1" t="s">
        <v>24011</v>
      </c>
      <c r="G4812" s="1" t="s">
        <v>24012</v>
      </c>
      <c r="H4812" s="1" t="str">
        <f>IFERROR(__xludf.DUMMYFUNCTION("GOOGLETRANSLATE(D4812,""EN"",""JA"")"),"潰瘍")</f>
        <v>潰瘍</v>
      </c>
      <c r="I4812" s="1" t="str">
        <f>IFERROR(__xludf.DUMMYFUNCTION("GOOGLETRANSLATE(E4812,""EN"",""JA"")"),"潰瘍")</f>
        <v>潰瘍</v>
      </c>
      <c r="J4812" s="1" t="str">
        <f>IFERROR(__xludf.DUMMYFUNCTION("GOOGLETRANSLATE(F4812,""EN"",""JA"")"),"生物標本における潰瘍の評価。")</f>
        <v>生物標本における潰瘍の評価。</v>
      </c>
      <c r="K4812" s="1" t="str">
        <f>IFERROR(__xludf.DUMMYFUNCTION("GOOGLETRANSLATE(G4812,""EN"",""JA"")"),"潰瘍の評価")</f>
        <v>潰瘍の評価</v>
      </c>
    </row>
    <row r="4813" ht="13.5" customHeight="1">
      <c r="A4813" s="1" t="s">
        <v>160</v>
      </c>
      <c r="B4813" s="1" t="s">
        <v>24013</v>
      </c>
      <c r="C4813" s="1" t="s">
        <v>24014</v>
      </c>
      <c r="D4813" s="1" t="s">
        <v>24015</v>
      </c>
      <c r="E4813" s="1" t="s">
        <v>24015</v>
      </c>
      <c r="F4813" s="1" t="s">
        <v>24016</v>
      </c>
      <c r="G4813" s="1" t="s">
        <v>24015</v>
      </c>
      <c r="H4813" s="1" t="str">
        <f>IFERROR(__xludf.DUMMYFUNCTION("GOOGLETRANSLATE(D4813,""EN"",""JA"")"),"潰瘍指標")</f>
        <v>潰瘍指標</v>
      </c>
      <c r="I4813" s="1" t="str">
        <f>IFERROR(__xludf.DUMMYFUNCTION("GOOGLETRANSLATE(E4813,""EN"",""JA"")"),"潰瘍指標")</f>
        <v>潰瘍指標</v>
      </c>
      <c r="J4813" s="1" t="str">
        <f>IFERROR(__xludf.DUMMYFUNCTION("GOOGLETRANSLATE(F4813,""EN"",""JA"")"),"潰瘍が存在するかどうかを示します。")</f>
        <v>潰瘍が存在するかどうかを示します。</v>
      </c>
      <c r="K4813" s="1" t="str">
        <f>IFERROR(__xludf.DUMMYFUNCTION("GOOGLETRANSLATE(G4813,""EN"",""JA"")"),"潰瘍指標")</f>
        <v>潰瘍指標</v>
      </c>
    </row>
    <row r="4814" ht="13.5" customHeight="1">
      <c r="A4814" s="1" t="s">
        <v>129</v>
      </c>
      <c r="B4814" s="1" t="s">
        <v>24017</v>
      </c>
      <c r="C4814" s="1" t="s">
        <v>24018</v>
      </c>
      <c r="D4814" s="1" t="s">
        <v>24019</v>
      </c>
      <c r="E4814" s="1" t="s">
        <v>24019</v>
      </c>
      <c r="F4814" s="1" t="s">
        <v>24020</v>
      </c>
      <c r="G4814" s="1" t="s">
        <v>24019</v>
      </c>
      <c r="H4814" s="1" t="str">
        <f>IFERROR(__xludf.DUMMYFUNCTION("GOOGLETRANSLATE(D4814,""EN"",""JA"")"),"尺骨の長さ")</f>
        <v>尺骨の長さ</v>
      </c>
      <c r="I4814" s="1" t="str">
        <f>IFERROR(__xludf.DUMMYFUNCTION("GOOGLETRANSLATE(E4814,""EN"",""JA"")"),"尺骨の長さ")</f>
        <v>尺骨の長さ</v>
      </c>
      <c r="J4814" s="1" t="str">
        <f>IFERROR(__xludf.DUMMYFUNCTION("GOOGLETRANSLATE(F4814,""EN"",""JA"")"),"尺骨の長さの測定値。")</f>
        <v>尺骨の長さの測定値。</v>
      </c>
      <c r="K4814" s="1" t="str">
        <f>IFERROR(__xludf.DUMMYFUNCTION("GOOGLETRANSLATE(G4814,""EN"",""JA"")"),"尺骨の長さ")</f>
        <v>尺骨の長さ</v>
      </c>
    </row>
    <row r="4815" ht="13.5" customHeight="1">
      <c r="A4815" s="1" t="s">
        <v>11</v>
      </c>
      <c r="B4815" s="1" t="s">
        <v>24021</v>
      </c>
      <c r="C4815" s="1" t="s">
        <v>24022</v>
      </c>
      <c r="D4815" s="1" t="s">
        <v>24023</v>
      </c>
      <c r="E4815" s="1" t="s">
        <v>24024</v>
      </c>
      <c r="F4815" s="1" t="s">
        <v>24025</v>
      </c>
      <c r="G4815" s="1" t="s">
        <v>24026</v>
      </c>
      <c r="H4815" s="1" t="str">
        <f>IFERROR(__xludf.DUMMYFUNCTION("GOOGLETRANSLATE(D4815,""EN"",""JA"")"),"ウロモジュリン")</f>
        <v>ウロモジュリン</v>
      </c>
      <c r="I4815" s="1" t="str">
        <f>IFERROR(__xludf.DUMMYFUNCTION("GOOGLETRANSLATE(E4815,""EN"",""JA"")"),"タム・ホースフォール尿糖タンパク質; THP; UROM; ウロモジュリン")</f>
        <v>タム・ホースフォール尿糖タンパク質; THP; UROM; ウロモジュリン</v>
      </c>
      <c r="J4815" s="1" t="str">
        <f>IFERROR(__xludf.DUMMYFUNCTION("GOOGLETRANSLATE(F4815,""EN"",""JA"")"),"生物標本中のウロモジュリンの測定。")</f>
        <v>生物標本中のウロモジュリンの測定。</v>
      </c>
      <c r="K4815" s="1" t="str">
        <f>IFERROR(__xludf.DUMMYFUNCTION("GOOGLETRANSLATE(G4815,""EN"",""JA"")"),"ウロモジュリン測定")</f>
        <v>ウロモジュリン測定</v>
      </c>
    </row>
    <row r="4816" ht="13.5" customHeight="1">
      <c r="A4816" s="1" t="s">
        <v>134</v>
      </c>
      <c r="B4816" s="1" t="s">
        <v>24027</v>
      </c>
      <c r="C4816" s="1" t="s">
        <v>24028</v>
      </c>
      <c r="D4816" s="1" t="s">
        <v>24029</v>
      </c>
      <c r="E4816" s="1" t="s">
        <v>24029</v>
      </c>
      <c r="F4816" s="1" t="s">
        <v>24030</v>
      </c>
      <c r="G4816" s="1" t="s">
        <v>24031</v>
      </c>
      <c r="H4816" s="1" t="str">
        <f>IFERROR(__xludf.DUMMYFUNCTION("GOOGLETRANSLATE(D4816,""EN"",""JA"")"),"未指定セル")</f>
        <v>未指定セル</v>
      </c>
      <c r="I4816" s="1" t="str">
        <f>IFERROR(__xludf.DUMMYFUNCTION("GOOGLETRANSLATE(E4816,""EN"",""JA"")"),"未指定セル")</f>
        <v>未指定セル</v>
      </c>
      <c r="J4816" s="1" t="str">
        <f>IFERROR(__xludf.DUMMYFUNCTION("GOOGLETRANSLATE(F4816,""EN"",""JA"")"),"生物標本内で特定または指定されていない細胞の測定値。")</f>
        <v>生物標本内で特定または指定されていない細胞の測定値。</v>
      </c>
      <c r="K4816" s="1" t="str">
        <f>IFERROR(__xludf.DUMMYFUNCTION("GOOGLETRANSLATE(G4816,""EN"",""JA"")"),"未指定セルの数")</f>
        <v>未指定セルの数</v>
      </c>
    </row>
    <row r="4817" ht="13.5" customHeight="1">
      <c r="A4817" s="1" t="s">
        <v>11</v>
      </c>
      <c r="B4817" s="1" t="s">
        <v>24027</v>
      </c>
      <c r="C4817" s="1" t="s">
        <v>24028</v>
      </c>
      <c r="D4817" s="1" t="s">
        <v>24029</v>
      </c>
      <c r="E4817" s="1" t="s">
        <v>24029</v>
      </c>
      <c r="F4817" s="1" t="s">
        <v>24030</v>
      </c>
      <c r="G4817" s="1" t="s">
        <v>24031</v>
      </c>
      <c r="H4817" s="1" t="str">
        <f>IFERROR(__xludf.DUMMYFUNCTION("GOOGLETRANSLATE(D4817,""EN"",""JA"")"),"未指定セル")</f>
        <v>未指定セル</v>
      </c>
      <c r="I4817" s="1" t="str">
        <f>IFERROR(__xludf.DUMMYFUNCTION("GOOGLETRANSLATE(E4817,""EN"",""JA"")"),"未指定セル")</f>
        <v>未指定セル</v>
      </c>
      <c r="J4817" s="1" t="str">
        <f>IFERROR(__xludf.DUMMYFUNCTION("GOOGLETRANSLATE(F4817,""EN"",""JA"")"),"生物標本内で特定または指定されていない細胞の測定値。")</f>
        <v>生物標本内で特定または指定されていない細胞の測定値。</v>
      </c>
      <c r="K4817" s="1" t="str">
        <f>IFERROR(__xludf.DUMMYFUNCTION("GOOGLETRANSLATE(G4817,""EN"",""JA"")"),"未指定セルの数")</f>
        <v>未指定セルの数</v>
      </c>
    </row>
    <row r="4818" ht="13.5" customHeight="1">
      <c r="A4818" s="1" t="s">
        <v>11</v>
      </c>
      <c r="B4818" s="1" t="s">
        <v>24032</v>
      </c>
      <c r="C4818" s="1" t="s">
        <v>24033</v>
      </c>
      <c r="D4818" s="1" t="s">
        <v>24034</v>
      </c>
      <c r="E4818" s="1" t="s">
        <v>24034</v>
      </c>
      <c r="F4818" s="1" t="s">
        <v>24035</v>
      </c>
      <c r="G4818" s="1" t="s">
        <v>24036</v>
      </c>
      <c r="H4818" s="1" t="str">
        <f>IFERROR(__xludf.DUMMYFUNCTION("GOOGLETRANSLATE(D4818,""EN"",""JA"")"),"未指定セル/合計セル")</f>
        <v>未指定セル/合計セル</v>
      </c>
      <c r="I4818" s="1" t="str">
        <f>IFERROR(__xludf.DUMMYFUNCTION("GOOGLETRANSLATE(E4818,""EN"",""JA"")"),"未指定セル/合計セル")</f>
        <v>未指定セル/合計セル</v>
      </c>
      <c r="J4818" s="1" t="str">
        <f>IFERROR(__xludf.DUMMYFUNCTION("GOOGLETRANSLATE(F4818,""EN"",""JA"")"),"生物標本内の総細胞数に対する、特に特定または指定されていない細胞の相対的な測定値 (比率またはパーセンテージ)。")</f>
        <v>生物標本内の総細胞数に対する、特に特定または指定されていない細胞の相対的な測定値 (比率またはパーセンテージ)。</v>
      </c>
      <c r="K4818" s="1" t="str">
        <f>IFERROR(__xludf.DUMMYFUNCTION("GOOGLETRANSLATE(G4818,""EN"",""JA"")"),"未指定細胞と全細胞比の測定")</f>
        <v>未指定細胞と全細胞比の測定</v>
      </c>
    </row>
    <row r="4819" ht="13.5" customHeight="1">
      <c r="A4819" s="1" t="s">
        <v>11</v>
      </c>
      <c r="B4819" s="1" t="s">
        <v>24037</v>
      </c>
      <c r="C4819" s="1" t="s">
        <v>24038</v>
      </c>
      <c r="D4819" s="1" t="s">
        <v>24039</v>
      </c>
      <c r="E4819" s="1" t="s">
        <v>24039</v>
      </c>
      <c r="F4819" s="1" t="s">
        <v>24040</v>
      </c>
      <c r="G4819" s="1" t="s">
        <v>24041</v>
      </c>
      <c r="H4819" s="1" t="str">
        <f>IFERROR(__xludf.DUMMYFUNCTION("GOOGLETRANSLATE(D4819,""EN"",""JA"")"),"不明細胞/白血球")</f>
        <v>不明細胞/白血球</v>
      </c>
      <c r="I4819" s="1" t="str">
        <f>IFERROR(__xludf.DUMMYFUNCTION("GOOGLETRANSLATE(E4819,""EN"",""JA"")"),"不明細胞/白血球")</f>
        <v>不明細胞/白血球</v>
      </c>
      <c r="J4819" s="1" t="str">
        <f>IFERROR(__xludf.DUMMYFUNCTION("GOOGLETRANSLATE(F4819,""EN"",""JA"")"),"生物標本中の白血球として特定または指定されていない細胞の相対的な測定値 (比率またはパーセンテージ)。")</f>
        <v>生物標本中の白血球として特定または指定されていない細胞の相対的な測定値 (比率またはパーセンテージ)。</v>
      </c>
      <c r="K4819" s="1" t="str">
        <f>IFERROR(__xludf.DUMMYFUNCTION("GOOGLETRANSLATE(G4819,""EN"",""JA"")"),"不明細胞対白血球比測定")</f>
        <v>不明細胞対白血球比測定</v>
      </c>
    </row>
    <row r="4820" ht="13.5" customHeight="1">
      <c r="A4820" s="1" t="s">
        <v>67</v>
      </c>
      <c r="B4820" s="1" t="s">
        <v>24042</v>
      </c>
      <c r="C4820" s="1" t="s">
        <v>24043</v>
      </c>
      <c r="D4820" s="1" t="s">
        <v>24044</v>
      </c>
      <c r="E4820" s="1" t="s">
        <v>24044</v>
      </c>
      <c r="F4820" s="1" t="s">
        <v>24045</v>
      </c>
      <c r="G4820" s="1" t="s">
        <v>24046</v>
      </c>
      <c r="H4820" s="1" t="str">
        <f>IFERROR(__xludf.DUMMYFUNCTION("GOOGLETRANSLATE(D4820,""EN"",""JA"")"),"ウレアプラズマ・パルブム")</f>
        <v>ウレアプラズマ・パルブム</v>
      </c>
      <c r="I4820" s="1" t="str">
        <f>IFERROR(__xludf.DUMMYFUNCTION("GOOGLETRANSLATE(E4820,""EN"",""JA"")"),"ウレアプラズマ・パルブム")</f>
        <v>ウレアプラズマ・パルブム</v>
      </c>
      <c r="J4820" s="1" t="str">
        <f>IFERROR(__xludf.DUMMYFUNCTION("GOOGLETRANSLATE(F4820,""EN"",""JA"")"),"生物標本中の Ureaplasma parvum の測定。")</f>
        <v>生物標本中の Ureaplasma parvum の測定。</v>
      </c>
      <c r="K4820" s="1" t="str">
        <f>IFERROR(__xludf.DUMMYFUNCTION("GOOGLETRANSLATE(G4820,""EN"",""JA"")"),"ウレアプラズマ・パルブム測定")</f>
        <v>ウレアプラズマ・パルブム測定</v>
      </c>
    </row>
    <row r="4821" ht="13.5" customHeight="1">
      <c r="A4821" s="1" t="s">
        <v>11</v>
      </c>
      <c r="B4821" s="1" t="s">
        <v>24047</v>
      </c>
      <c r="C4821" s="1" t="s">
        <v>24043</v>
      </c>
      <c r="D4821" s="1" t="s">
        <v>24048</v>
      </c>
      <c r="E4821" s="1" t="s">
        <v>24049</v>
      </c>
      <c r="F4821" s="1" t="s">
        <v>24050</v>
      </c>
      <c r="G4821" s="1" t="s">
        <v>24051</v>
      </c>
      <c r="H4821" s="1" t="str">
        <f>IFERROR(__xludf.DUMMYFUNCTION("GOOGLETRANSLATE(D4821,""EN"",""JA"")"),"ウロキナーゼプラスミノーゲンアクチベーター")</f>
        <v>ウロキナーゼプラスミノーゲンアクチベーター</v>
      </c>
      <c r="I4821" s="1" t="str">
        <f>IFERROR(__xludf.DUMMYFUNCTION("GOOGLETRANSLATE(E4821,""EN"",""JA"")"),"uPA; ウロキナーゼプラスミノーゲンアクチベーター")</f>
        <v>uPA; ウロキナーゼプラスミノーゲンアクチベーター</v>
      </c>
      <c r="J4821" s="1" t="str">
        <f>IFERROR(__xludf.DUMMYFUNCTION("GOOGLETRANSLATE(F4821,""EN"",""JA"")"),"生物標本中のウロキナーゼプラスミノーゲン活性化因子の測定。")</f>
        <v>生物標本中のウロキナーゼプラスミノーゲン活性化因子の測定。</v>
      </c>
      <c r="K4821" s="1" t="str">
        <f>IFERROR(__xludf.DUMMYFUNCTION("GOOGLETRANSLATE(G4821,""EN"",""JA"")"),"ウロキナーゼプラスミノーゲンアクチベーター測定")</f>
        <v>ウロキナーゼプラスミノーゲンアクチベーター測定</v>
      </c>
    </row>
    <row r="4822" ht="13.5" customHeight="1">
      <c r="A4822" s="1" t="s">
        <v>67</v>
      </c>
      <c r="B4822" s="1" t="s">
        <v>24052</v>
      </c>
      <c r="C4822" s="1" t="s">
        <v>24053</v>
      </c>
      <c r="D4822" s="1" t="s">
        <v>24054</v>
      </c>
      <c r="E4822" s="1" t="s">
        <v>24054</v>
      </c>
      <c r="F4822" s="1" t="s">
        <v>24055</v>
      </c>
      <c r="G4822" s="1" t="s">
        <v>24056</v>
      </c>
      <c r="H4822" s="1" t="str">
        <f>IFERROR(__xludf.DUMMYFUNCTION("GOOGLETRANSLATE(D4822,""EN"",""JA"")"),"ウレアプラズマ・パルブムDNA")</f>
        <v>ウレアプラズマ・パルブムDNA</v>
      </c>
      <c r="I4822" s="1" t="str">
        <f>IFERROR(__xludf.DUMMYFUNCTION("GOOGLETRANSLATE(E4822,""EN"",""JA"")"),"ウレアプラズマ・パルブムDNA")</f>
        <v>ウレアプラズマ・パルブムDNA</v>
      </c>
      <c r="J4822" s="1" t="str">
        <f>IFERROR(__xludf.DUMMYFUNCTION("GOOGLETRANSLATE(F4822,""EN"",""JA"")"),"生物標本中の Ureaplasma parvum DNA の測定。")</f>
        <v>生物標本中の Ureaplasma parvum DNA の測定。</v>
      </c>
      <c r="K4822" s="1" t="str">
        <f>IFERROR(__xludf.DUMMYFUNCTION("GOOGLETRANSLATE(G4822,""EN"",""JA"")"),"ウレアプラズマ・パルブムDNA測定")</f>
        <v>ウレアプラズマ・パルブムDNA測定</v>
      </c>
    </row>
    <row r="4823" ht="13.5" customHeight="1">
      <c r="A4823" s="1" t="s">
        <v>11</v>
      </c>
      <c r="B4823" s="1" t="s">
        <v>24057</v>
      </c>
      <c r="C4823" s="1" t="s">
        <v>24058</v>
      </c>
      <c r="D4823" s="1" t="s">
        <v>24059</v>
      </c>
      <c r="E4823" s="1" t="s">
        <v>24060</v>
      </c>
      <c r="F4823" s="1" t="s">
        <v>24061</v>
      </c>
      <c r="G4823" s="1" t="s">
        <v>24062</v>
      </c>
      <c r="H4823" s="1" t="str">
        <f>IFERROR(__xludf.DUMMYFUNCTION("GOOGLETRANSLATE(D4823,""EN"",""JA"")"),"UR-144")</f>
        <v>UR-144</v>
      </c>
      <c r="I4823" s="1" t="str">
        <f>IFERROR(__xludf.DUMMYFUNCTION("GOOGLETRANSLATE(E4823,""EN"",""JA"")"),"UR-144; UR144")</f>
        <v>UR-144; UR144</v>
      </c>
      <c r="J4823" s="1" t="str">
        <f>IFERROR(__xludf.DUMMYFUNCTION("GOOGLETRANSLATE(F4823,""EN"",""JA"")"),"生物標本中の合成カンナビノイド UR-144 の測定。")</f>
        <v>生物標本中の合成カンナビノイド UR-144 の測定。</v>
      </c>
      <c r="K4823" s="1" t="str">
        <f>IFERROR(__xludf.DUMMYFUNCTION("GOOGLETRANSLATE(G4823,""EN"",""JA"")"),"UR-144測定")</f>
        <v>UR-144測定</v>
      </c>
    </row>
    <row r="4824" ht="13.5" customHeight="1">
      <c r="A4824" s="1" t="s">
        <v>11</v>
      </c>
      <c r="B4824" s="1" t="s">
        <v>24063</v>
      </c>
      <c r="C4824" s="1" t="s">
        <v>24064</v>
      </c>
      <c r="D4824" s="1" t="s">
        <v>24065</v>
      </c>
      <c r="E4824" s="1" t="s">
        <v>24066</v>
      </c>
      <c r="F4824" s="1" t="s">
        <v>24067</v>
      </c>
      <c r="G4824" s="1" t="s">
        <v>24068</v>
      </c>
      <c r="H4824" s="1" t="str">
        <f>IFERROR(__xludf.DUMMYFUNCTION("GOOGLETRANSLATE(D4824,""EN"",""JA"")"),"尿酸")</f>
        <v>尿酸</v>
      </c>
      <c r="I4824" s="1" t="str">
        <f>IFERROR(__xludf.DUMMYFUNCTION("GOOGLETRANSLATE(E4824,""EN"",""JA"")"),"尿酸")</f>
        <v>尿酸</v>
      </c>
      <c r="J4824" s="1" t="str">
        <f>IFERROR(__xludf.DUMMYFUNCTION("GOOGLETRANSLATE(F4824,""EN"",""JA"")"),"生物標本中の尿酸値の測定。")</f>
        <v>生物標本中の尿酸値の測定。</v>
      </c>
      <c r="K4824" s="1" t="str">
        <f>IFERROR(__xludf.DUMMYFUNCTION("GOOGLETRANSLATE(G4824,""EN"",""JA"")"),"尿酸測定")</f>
        <v>尿酸測定</v>
      </c>
    </row>
    <row r="4825" ht="13.5" customHeight="1">
      <c r="A4825" s="1" t="s">
        <v>11</v>
      </c>
      <c r="B4825" s="1" t="s">
        <v>24069</v>
      </c>
      <c r="C4825" s="1" t="s">
        <v>24070</v>
      </c>
      <c r="D4825" s="1" t="s">
        <v>24071</v>
      </c>
      <c r="E4825" s="1" t="s">
        <v>24071</v>
      </c>
      <c r="F4825" s="1" t="s">
        <v>24072</v>
      </c>
      <c r="G4825" s="1" t="s">
        <v>24073</v>
      </c>
      <c r="H4825" s="1" t="str">
        <f>IFERROR(__xludf.DUMMYFUNCTION("GOOGLETRANSLATE(D4825,""EN"",""JA"")"),"尿酸/クレアチニン")</f>
        <v>尿酸/クレアチニン</v>
      </c>
      <c r="I4825" s="1" t="str">
        <f>IFERROR(__xludf.DUMMYFUNCTION("GOOGLETRANSLATE(E4825,""EN"",""JA"")"),"尿酸/クレアチニン")</f>
        <v>尿酸/クレアチニン</v>
      </c>
      <c r="J4825" s="1" t="str">
        <f>IFERROR(__xludf.DUMMYFUNCTION("GOOGLETRANSLATE(F4825,""EN"",""JA"")"),"生物学的標本中の尿酸とクレアチニンの相対的な測定値（比率またはパーセンテージ）。")</f>
        <v>生物学的標本中の尿酸とクレアチニンの相対的な測定値（比率またはパーセンテージ）。</v>
      </c>
      <c r="K4825" s="1" t="str">
        <f>IFERROR(__xludf.DUMMYFUNCTION("GOOGLETRANSLATE(G4825,""EN"",""JA"")"),"尿酸値とクレアチニン値の測定")</f>
        <v>尿酸値とクレアチニン値の測定</v>
      </c>
    </row>
    <row r="4826" ht="13.5" customHeight="1">
      <c r="A4826" s="1" t="s">
        <v>11</v>
      </c>
      <c r="B4826" s="1" t="s">
        <v>24074</v>
      </c>
      <c r="C4826" s="1" t="s">
        <v>24075</v>
      </c>
      <c r="D4826" s="1" t="s">
        <v>24076</v>
      </c>
      <c r="E4826" s="1" t="s">
        <v>24076</v>
      </c>
      <c r="F4826" s="1" t="s">
        <v>24077</v>
      </c>
      <c r="G4826" s="1" t="s">
        <v>24076</v>
      </c>
      <c r="H4826" s="1" t="str">
        <f>IFERROR(__xludf.DUMMYFUNCTION("GOOGLETRANSLATE(D4826,""EN"",""JA"")"),"尿酸排泄率")</f>
        <v>尿酸排泄率</v>
      </c>
      <c r="I4826" s="1" t="str">
        <f>IFERROR(__xludf.DUMMYFUNCTION("GOOGLETRANSLATE(E4826,""EN"",""JA"")"),"尿酸排泄率")</f>
        <v>尿酸排泄率</v>
      </c>
      <c r="J4826" s="1" t="str">
        <f>IFERROR(__xludf.DUMMYFUNCTION("GOOGLETRANSLATE(F4826,""EN"",""JA"")"),"定義された時間（例：1 時間）にわたって生物学的標本から排泄される尿酸の量を測定します。")</f>
        <v>定義された時間（例：1 時間）にわたって生物学的標本から排泄される尿酸の量を測定します。</v>
      </c>
      <c r="K4826" s="1" t="str">
        <f>IFERROR(__xludf.DUMMYFUNCTION("GOOGLETRANSLATE(G4826,""EN"",""JA"")"),"尿酸排泄率")</f>
        <v>尿酸排泄率</v>
      </c>
    </row>
    <row r="4827" ht="13.5" customHeight="1">
      <c r="A4827" s="1" t="s">
        <v>11</v>
      </c>
      <c r="B4827" s="1" t="s">
        <v>24078</v>
      </c>
      <c r="C4827" s="1" t="s">
        <v>24079</v>
      </c>
      <c r="D4827" s="1" t="s">
        <v>24080</v>
      </c>
      <c r="E4827" s="1" t="s">
        <v>24080</v>
      </c>
      <c r="F4827" s="1" t="s">
        <v>24081</v>
      </c>
      <c r="G4827" s="1" t="s">
        <v>24082</v>
      </c>
      <c r="H4827" s="1" t="str">
        <f>IFERROR(__xludf.DUMMYFUNCTION("GOOGLETRANSLATE(D4827,""EN"",""JA"")"),"尿素")</f>
        <v>尿素</v>
      </c>
      <c r="I4827" s="1" t="str">
        <f>IFERROR(__xludf.DUMMYFUNCTION("GOOGLETRANSLATE(E4827,""EN"",""JA"")"),"尿素")</f>
        <v>尿素</v>
      </c>
      <c r="J4827" s="1" t="str">
        <f>IFERROR(__xludf.DUMMYFUNCTION("GOOGLETRANSLATE(F4827,""EN"",""JA"")"),"生物標本中の尿素の測定。")</f>
        <v>生物標本中の尿素の測定。</v>
      </c>
      <c r="K4827" s="1" t="str">
        <f>IFERROR(__xludf.DUMMYFUNCTION("GOOGLETRANSLATE(G4827,""EN"",""JA"")"),"尿素測定")</f>
        <v>尿素測定</v>
      </c>
    </row>
    <row r="4828" ht="13.5" customHeight="1">
      <c r="A4828" s="1" t="s">
        <v>11</v>
      </c>
      <c r="B4828" s="1" t="s">
        <v>24083</v>
      </c>
      <c r="C4828" s="1" t="s">
        <v>24084</v>
      </c>
      <c r="D4828" s="1" t="s">
        <v>24085</v>
      </c>
      <c r="E4828" s="1" t="s">
        <v>24085</v>
      </c>
      <c r="F4828" s="1" t="s">
        <v>24086</v>
      </c>
      <c r="G4828" s="1" t="s">
        <v>24087</v>
      </c>
      <c r="H4828" s="1" t="str">
        <f>IFERROR(__xludf.DUMMYFUNCTION("GOOGLETRANSLATE(D4828,""EN"",""JA"")"),"尿素/クレアチニン")</f>
        <v>尿素/クレアチニン</v>
      </c>
      <c r="I4828" s="1" t="str">
        <f>IFERROR(__xludf.DUMMYFUNCTION("GOOGLETRANSLATE(E4828,""EN"",""JA"")"),"尿素/クレアチニン")</f>
        <v>尿素/クレアチニン</v>
      </c>
      <c r="J4828" s="1" t="str">
        <f>IFERROR(__xludf.DUMMYFUNCTION("GOOGLETRANSLATE(F4828,""EN"",""JA"")"),"生物学的標本中の尿素とクレアチニンの相対的な測定値（比率またはパーセンテージ）。")</f>
        <v>生物学的標本中の尿素とクレアチニンの相対的な測定値（比率またはパーセンテージ）。</v>
      </c>
      <c r="K4828" s="1" t="str">
        <f>IFERROR(__xludf.DUMMYFUNCTION("GOOGLETRANSLATE(G4828,""EN"",""JA"")"),"尿素クレアチニン比測定")</f>
        <v>尿素クレアチニン比測定</v>
      </c>
    </row>
    <row r="4829" ht="13.5" customHeight="1">
      <c r="A4829" s="1" t="s">
        <v>11</v>
      </c>
      <c r="B4829" s="1" t="s">
        <v>24088</v>
      </c>
      <c r="C4829" s="1" t="s">
        <v>24089</v>
      </c>
      <c r="D4829" s="1" t="s">
        <v>24090</v>
      </c>
      <c r="E4829" s="1" t="s">
        <v>24090</v>
      </c>
      <c r="F4829" s="1" t="s">
        <v>24091</v>
      </c>
      <c r="G4829" s="1" t="s">
        <v>24090</v>
      </c>
      <c r="H4829" s="1" t="str">
        <f>IFERROR(__xludf.DUMMYFUNCTION("GOOGLETRANSLATE(D4829,""EN"",""JA"")"),"尿素排泄率")</f>
        <v>尿素排泄率</v>
      </c>
      <c r="I4829" s="1" t="str">
        <f>IFERROR(__xludf.DUMMYFUNCTION("GOOGLETRANSLATE(E4829,""EN"",""JA"")"),"尿素排泄率")</f>
        <v>尿素排泄率</v>
      </c>
      <c r="J4829" s="1" t="str">
        <f>IFERROR(__xludf.DUMMYFUNCTION("GOOGLETRANSLATE(F4829,""EN"",""JA"")"),"定義された期間（例：1 時間）にわたって生物学的標本に排泄された尿素の量を測定します。")</f>
        <v>定義された期間（例：1 時間）にわたって生物学的標本に排泄された尿素の量を測定します。</v>
      </c>
      <c r="K4829" s="1" t="str">
        <f>IFERROR(__xludf.DUMMYFUNCTION("GOOGLETRANSLATE(G4829,""EN"",""JA"")"),"尿素排泄率")</f>
        <v>尿素排泄率</v>
      </c>
    </row>
    <row r="4830" ht="13.5" customHeight="1">
      <c r="A4830" s="1" t="s">
        <v>11</v>
      </c>
      <c r="B4830" s="1" t="s">
        <v>24092</v>
      </c>
      <c r="C4830" s="1" t="s">
        <v>24093</v>
      </c>
      <c r="D4830" s="1" t="s">
        <v>24094</v>
      </c>
      <c r="E4830" s="1" t="s">
        <v>24095</v>
      </c>
      <c r="F4830" s="1" t="s">
        <v>24096</v>
      </c>
      <c r="G4830" s="1" t="s">
        <v>24094</v>
      </c>
      <c r="H4830" s="1" t="str">
        <f>IFERROR(__xludf.DUMMYFUNCTION("GOOGLETRANSLATE(D4830,""EN"",""JA"")"),"尿素分配容積比")</f>
        <v>尿素分配容積比</v>
      </c>
      <c r="I4830" s="1" t="str">
        <f>IFERROR(__xludf.DUMMYFUNCTION("GOOGLETRANSLATE(E4830,""EN"",""JA"")"),"尿素分配容積比; 尿素Kt/V")</f>
        <v>尿素分配容積比; 尿素Kt/V</v>
      </c>
      <c r="J4830" s="1" t="str">
        <f>IFERROR(__xludf.DUMMYFUNCTION("GOOGLETRANSLATE(F4830,""EN"",""JA"")"),"透析治療の適切さを定量化するために使用される、生物学的標本内の尿素分布量（比率）の計算された測定値。")</f>
        <v>透析治療の適切さを定量化するために使用される、生物学的標本内の尿素分布量（比率）の計算された測定値。</v>
      </c>
      <c r="K4830" s="1" t="str">
        <f>IFERROR(__xludf.DUMMYFUNCTION("GOOGLETRANSLATE(G4830,""EN"",""JA"")"),"尿素分配容積比")</f>
        <v>尿素分配容積比</v>
      </c>
    </row>
    <row r="4831" ht="13.5" customHeight="1">
      <c r="A4831" s="1" t="s">
        <v>11</v>
      </c>
      <c r="B4831" s="1" t="s">
        <v>24097</v>
      </c>
      <c r="C4831" s="1" t="s">
        <v>24098</v>
      </c>
      <c r="D4831" s="1" t="s">
        <v>24099</v>
      </c>
      <c r="E4831" s="1" t="s">
        <v>24099</v>
      </c>
      <c r="F4831" s="1" t="s">
        <v>24100</v>
      </c>
      <c r="G4831" s="1" t="s">
        <v>24101</v>
      </c>
      <c r="H4831" s="1" t="str">
        <f>IFERROR(__xludf.DUMMYFUNCTION("GOOGLETRANSLATE(D4831,""EN"",""JA"")"),"尿素窒素")</f>
        <v>尿素窒素</v>
      </c>
      <c r="I4831" s="1" t="str">
        <f>IFERROR(__xludf.DUMMYFUNCTION("GOOGLETRANSLATE(E4831,""EN"",""JA"")"),"尿素窒素")</f>
        <v>尿素窒素</v>
      </c>
      <c r="J4831" s="1" t="str">
        <f>IFERROR(__xludf.DUMMYFUNCTION("GOOGLETRANSLATE(F4831,""EN"",""JA"")"),"生物標本中の尿素窒素の測定。")</f>
        <v>生物標本中の尿素窒素の測定。</v>
      </c>
      <c r="K4831" s="1" t="str">
        <f>IFERROR(__xludf.DUMMYFUNCTION("GOOGLETRANSLATE(G4831,""EN"",""JA"")"),"尿素窒素測定")</f>
        <v>尿素窒素測定</v>
      </c>
    </row>
    <row r="4832" ht="13.5" customHeight="1">
      <c r="A4832" s="1" t="s">
        <v>11</v>
      </c>
      <c r="B4832" s="1" t="s">
        <v>24102</v>
      </c>
      <c r="C4832" s="1" t="s">
        <v>24103</v>
      </c>
      <c r="D4832" s="1" t="s">
        <v>24104</v>
      </c>
      <c r="E4832" s="1" t="s">
        <v>24104</v>
      </c>
      <c r="F4832" s="1" t="s">
        <v>24105</v>
      </c>
      <c r="G4832" s="1" t="s">
        <v>24106</v>
      </c>
      <c r="H4832" s="1" t="str">
        <f>IFERROR(__xludf.DUMMYFUNCTION("GOOGLETRANSLATE(D4832,""EN"",""JA"")"),"尿素窒素/クレアチニン")</f>
        <v>尿素窒素/クレアチニン</v>
      </c>
      <c r="I4832" s="1" t="str">
        <f>IFERROR(__xludf.DUMMYFUNCTION("GOOGLETRANSLATE(E4832,""EN"",""JA"")"),"尿素窒素/クレアチニン")</f>
        <v>尿素窒素/クレアチニン</v>
      </c>
      <c r="J4832" s="1" t="str">
        <f>IFERROR(__xludf.DUMMYFUNCTION("GOOGLETRANSLATE(F4832,""EN"",""JA"")"),"生物標本中の尿素窒素とクレアチニンの相対的な測定値（比率またはパーセンテージ）。")</f>
        <v>生物標本中の尿素窒素とクレアチニンの相対的な測定値（比率またはパーセンテージ）。</v>
      </c>
      <c r="K4832" s="1" t="str">
        <f>IFERROR(__xludf.DUMMYFUNCTION("GOOGLETRANSLATE(G4832,""EN"",""JA"")"),"尿素窒素とクレアチニンの比の測定")</f>
        <v>尿素窒素とクレアチニンの比の測定</v>
      </c>
    </row>
    <row r="4833" ht="13.5" customHeight="1">
      <c r="A4833" s="1" t="s">
        <v>11</v>
      </c>
      <c r="B4833" s="1" t="s">
        <v>24107</v>
      </c>
      <c r="C4833" s="1" t="s">
        <v>24108</v>
      </c>
      <c r="D4833" s="1" t="s">
        <v>24109</v>
      </c>
      <c r="E4833" s="1" t="s">
        <v>24109</v>
      </c>
      <c r="F4833" s="1" t="s">
        <v>24110</v>
      </c>
      <c r="G4833" s="1" t="s">
        <v>24109</v>
      </c>
      <c r="H4833" s="1" t="str">
        <f>IFERROR(__xludf.DUMMYFUNCTION("GOOGLETRANSLATE(D4833,""EN"",""JA"")"),"尿素窒素排泄率")</f>
        <v>尿素窒素排泄率</v>
      </c>
      <c r="I4833" s="1" t="str">
        <f>IFERROR(__xludf.DUMMYFUNCTION("GOOGLETRANSLATE(E4833,""EN"",""JA"")"),"尿素窒素排泄率")</f>
        <v>尿素窒素排泄率</v>
      </c>
      <c r="J4833" s="1" t="str">
        <f>IFERROR(__xludf.DUMMYFUNCTION("GOOGLETRANSLATE(F4833,""EN"",""JA"")"),"定義された時間（例：1 時間）にわたって生物標本に排出される尿素窒素の量を測定します。")</f>
        <v>定義された時間（例：1 時間）にわたって生物標本に排出される尿素窒素の量を測定します。</v>
      </c>
      <c r="K4833" s="1" t="str">
        <f>IFERROR(__xludf.DUMMYFUNCTION("GOOGLETRANSLATE(G4833,""EN"",""JA"")"),"尿素窒素排泄率")</f>
        <v>尿素窒素排泄率</v>
      </c>
    </row>
    <row r="4834" ht="13.5" customHeight="1">
      <c r="A4834" s="1" t="s">
        <v>67</v>
      </c>
      <c r="B4834" s="1" t="s">
        <v>24111</v>
      </c>
      <c r="C4834" s="1" t="s">
        <v>24112</v>
      </c>
      <c r="D4834" s="1" t="s">
        <v>24113</v>
      </c>
      <c r="E4834" s="1" t="s">
        <v>24113</v>
      </c>
      <c r="F4834" s="1" t="s">
        <v>24114</v>
      </c>
      <c r="G4834" s="1" t="s">
        <v>24115</v>
      </c>
      <c r="H4834" s="1" t="str">
        <f>IFERROR(__xludf.DUMMYFUNCTION("GOOGLETRANSLATE(D4834,""EN"",""JA"")"),"ウレアーゼ")</f>
        <v>ウレアーゼ</v>
      </c>
      <c r="I4834" s="1" t="str">
        <f>IFERROR(__xludf.DUMMYFUNCTION("GOOGLETRANSLATE(E4834,""EN"",""JA"")"),"ウレアーゼ")</f>
        <v>ウレアーゼ</v>
      </c>
      <c r="J4834" s="1" t="str">
        <f>IFERROR(__xludf.DUMMYFUNCTION("GOOGLETRANSLATE(F4834,""EN"",""JA"")"),"生物標本中の微生物ウレアーゼ酵素の測定。")</f>
        <v>生物標本中の微生物ウレアーゼ酵素の測定。</v>
      </c>
      <c r="K4834" s="1" t="str">
        <f>IFERROR(__xludf.DUMMYFUNCTION("GOOGLETRANSLATE(G4834,""EN"",""JA"")"),"ウレアーゼ測定")</f>
        <v>ウレアーゼ測定</v>
      </c>
    </row>
    <row r="4835" ht="13.5" customHeight="1">
      <c r="A4835" s="1" t="s">
        <v>3094</v>
      </c>
      <c r="B4835" s="1" t="s">
        <v>24116</v>
      </c>
      <c r="C4835" s="1" t="s">
        <v>24117</v>
      </c>
      <c r="D4835" s="1" t="s">
        <v>24118</v>
      </c>
      <c r="E4835" s="1" t="s">
        <v>24118</v>
      </c>
      <c r="F4835" s="1" t="s">
        <v>24119</v>
      </c>
      <c r="G4835" s="1" t="s">
        <v>24118</v>
      </c>
      <c r="H4835" s="1" t="str">
        <f>IFERROR(__xludf.DUMMYFUNCTION("GOOGLETRANSLATE(D4835,""EN"",""JA"")"),"尿路検査")</f>
        <v>尿路検査</v>
      </c>
      <c r="I4835" s="1" t="str">
        <f>IFERROR(__xludf.DUMMYFUNCTION("GOOGLETRANSLATE(E4835,""EN"",""JA"")"),"尿路検査")</f>
        <v>尿路検査</v>
      </c>
      <c r="J4835" s="1" t="str">
        <f>IFERROR(__xludf.DUMMYFUNCTION("GOOGLETRANSLATE(F4835,""EN"",""JA"")"),"尿路系の観察、評価、または検査。")</f>
        <v>尿路系の観察、評価、または検査。</v>
      </c>
      <c r="K4835" s="1" t="str">
        <f>IFERROR(__xludf.DUMMYFUNCTION("GOOGLETRANSLATE(G4835,""EN"",""JA"")"),"尿路検査")</f>
        <v>尿路検査</v>
      </c>
    </row>
    <row r="4836" ht="13.5" customHeight="1">
      <c r="A4836" s="1" t="s">
        <v>3094</v>
      </c>
      <c r="B4836" s="1" t="s">
        <v>24120</v>
      </c>
      <c r="C4836" s="1" t="s">
        <v>24121</v>
      </c>
      <c r="D4836" s="1" t="s">
        <v>24122</v>
      </c>
      <c r="E4836" s="1" t="s">
        <v>24123</v>
      </c>
      <c r="F4836" s="1" t="s">
        <v>24124</v>
      </c>
      <c r="G4836" s="1" t="s">
        <v>24122</v>
      </c>
      <c r="H4836" s="1" t="str">
        <f>IFERROR(__xludf.DUMMYFUNCTION("GOOGLETRANSLATE(D4836,""EN"",""JA"")"),"尿流量")</f>
        <v>尿流量</v>
      </c>
      <c r="I4836" s="1" t="str">
        <f>IFERROR(__xludf.DUMMYFUNCTION("GOOGLETRANSLATE(E4836,""EN"",""JA"")"),"尿流量; 尿流量")</f>
        <v>尿流量; 尿流量</v>
      </c>
      <c r="J4836" s="1" t="str">
        <f>IFERROR(__xludf.DUMMYFUNCTION("GOOGLETRANSLATE(F4836,""EN"",""JA"")"),"単位時間あたりに排泄される尿の量。")</f>
        <v>単位時間あたりに排泄される尿の量。</v>
      </c>
      <c r="K4836" s="1" t="str">
        <f>IFERROR(__xludf.DUMMYFUNCTION("GOOGLETRANSLATE(G4836,""EN"",""JA"")"),"尿流量")</f>
        <v>尿流量</v>
      </c>
    </row>
    <row r="4837" ht="13.5" customHeight="1">
      <c r="A4837" s="1" t="s">
        <v>3094</v>
      </c>
      <c r="B4837" s="1" t="s">
        <v>24125</v>
      </c>
      <c r="C4837" s="1" t="s">
        <v>24126</v>
      </c>
      <c r="D4837" s="1" t="s">
        <v>24127</v>
      </c>
      <c r="E4837" s="1" t="s">
        <v>24128</v>
      </c>
      <c r="F4837" s="1" t="s">
        <v>24129</v>
      </c>
      <c r="G4837" s="1" t="s">
        <v>24127</v>
      </c>
      <c r="H4837" s="1" t="str">
        <f>IFERROR(__xludf.DUMMYFUNCTION("GOOGLETRANSLATE(D4837,""EN"",""JA"")"),"尿流時間")</f>
        <v>尿流時間</v>
      </c>
      <c r="I4837" s="1" t="str">
        <f>IFERROR(__xludf.DUMMYFUNCTION("GOOGLETRANSLATE(E4837,""EN"",""JA"")"),"尿流時間; 尿流時間")</f>
        <v>尿流時間; 尿流時間</v>
      </c>
      <c r="J4837" s="1" t="str">
        <f>IFERROR(__xludf.DUMMYFUNCTION("GOOGLETRANSLATE(F4837,""EN"",""JA"")"),"排尿イベントが発生する時間の長さ。")</f>
        <v>排尿イベントが発生する時間の長さ。</v>
      </c>
      <c r="K4837" s="1" t="str">
        <f>IFERROR(__xludf.DUMMYFUNCTION("GOOGLETRANSLATE(G4837,""EN"",""JA"")"),"尿流時間")</f>
        <v>尿流時間</v>
      </c>
    </row>
    <row r="4838" ht="13.5" customHeight="1">
      <c r="A4838" s="1" t="s">
        <v>397</v>
      </c>
      <c r="B4838" s="1" t="s">
        <v>24130</v>
      </c>
      <c r="C4838" s="1" t="s">
        <v>24131</v>
      </c>
      <c r="D4838" s="1" t="s">
        <v>24132</v>
      </c>
      <c r="E4838" s="1" t="s">
        <v>24132</v>
      </c>
      <c r="F4838" s="1" t="s">
        <v>24133</v>
      </c>
      <c r="G4838" s="1" t="s">
        <v>24134</v>
      </c>
      <c r="H4838" s="1" t="str">
        <f>IFERROR(__xludf.DUMMYFUNCTION("GOOGLETRANSLATE(D4838,""EN"",""JA"")"),"研究に関連するURL")</f>
        <v>研究に関連するURL</v>
      </c>
      <c r="I4838" s="1" t="str">
        <f>IFERROR(__xludf.DUMMYFUNCTION("GOOGLETRANSLATE(E4838,""EN"",""JA"")"),"研究に関連するURL")</f>
        <v>研究に関連するURL</v>
      </c>
      <c r="J4838" s="1" t="str">
        <f>IFERROR(__xludf.DUMMYFUNCTION("GOOGLETRANSLATE(F4838,""EN"",""JA"")"),"特定の研究に関連するユニフォーム リソース ロケーター (URL)。")</f>
        <v>特定の研究に関連するユニフォーム リソース ロケーター (URL)。</v>
      </c>
      <c r="K4838" s="1" t="str">
        <f>IFERROR(__xludf.DUMMYFUNCTION("GOOGLETRANSLATE(G4838,""EN"",""JA"")"),"研究プロトコルのユニフォームリソースロケータ")</f>
        <v>研究プロトコルのユニフォームリソースロケータ</v>
      </c>
    </row>
    <row r="4839" ht="13.5" customHeight="1">
      <c r="A4839" s="1" t="s">
        <v>397</v>
      </c>
      <c r="B4839" s="1" t="s">
        <v>24135</v>
      </c>
      <c r="C4839" s="1" t="s">
        <v>24136</v>
      </c>
      <c r="D4839" s="1" t="s">
        <v>24137</v>
      </c>
      <c r="E4839" s="1" t="s">
        <v>24137</v>
      </c>
      <c r="F4839" s="1" t="s">
        <v>24138</v>
      </c>
      <c r="G4839" s="1" t="s">
        <v>24139</v>
      </c>
      <c r="H4839" s="1" t="str">
        <f>IFERROR(__xludf.DUMMYFUNCTION("GOOGLETRANSLATE(D4839,""EN"",""JA"")"),"研究の説明に関連するURL")</f>
        <v>研究の説明に関連するURL</v>
      </c>
      <c r="I4839" s="1" t="str">
        <f>IFERROR(__xludf.DUMMYFUNCTION("GOOGLETRANSLATE(E4839,""EN"",""JA"")"),"研究の説明に関連するURL")</f>
        <v>研究の説明に関連するURL</v>
      </c>
      <c r="J4839" s="1" t="str">
        <f>IFERROR(__xludf.DUMMYFUNCTION("GOOGLETRANSLATE(F4839,""EN"",""JA"")"),"特定の研究に関連する Uniform Resource Locator (URL) のテキストによる説明。")</f>
        <v>特定の研究に関連する Uniform Resource Locator (URL) のテキストによる説明。</v>
      </c>
      <c r="K4839" s="1" t="str">
        <f>IFERROR(__xludf.DUMMYFUNCTION("GOOGLETRANSLATE(G4839,""EN"",""JA"")"),"研究プロトコルのUniform Resource Locatorの説明")</f>
        <v>研究プロトコルのUniform Resource Locatorの説明</v>
      </c>
    </row>
    <row r="4840" ht="13.5" customHeight="1">
      <c r="A4840" s="1" t="s">
        <v>11</v>
      </c>
      <c r="B4840" s="1" t="s">
        <v>24140</v>
      </c>
      <c r="C4840" s="1" t="s">
        <v>24141</v>
      </c>
      <c r="D4840" s="1" t="s">
        <v>24142</v>
      </c>
      <c r="E4840" s="1" t="s">
        <v>24143</v>
      </c>
      <c r="F4840" s="1" t="s">
        <v>24144</v>
      </c>
      <c r="G4840" s="1" t="s">
        <v>24142</v>
      </c>
      <c r="H4840" s="1" t="str">
        <f>IFERROR(__xludf.DUMMYFUNCTION("GOOGLETRANSLATE(D4840,""EN"",""JA"")"),"尿検査パネルの解釈")</f>
        <v>尿検査パネルの解釈</v>
      </c>
      <c r="I4840" s="1" t="str">
        <f>IFERROR(__xludf.DUMMYFUNCTION("GOOGLETRANSLATE(E4840,""EN"",""JA"")"),"尿検査パネルの解釈; 尿パネル分析; 尿パネル検査; 尿パネルの解釈")</f>
        <v>尿検査パネルの解釈; 尿パネル分析; 尿パネル検査; 尿パネルの解釈</v>
      </c>
      <c r="J4840" s="1" t="str">
        <f>IFERROR(__xludf.DUMMYFUNCTION("GOOGLETRANSLATE(F4840,""EN"",""JA"")"),"尿検査パネルの結果の解釈。")</f>
        <v>尿検査パネルの結果の解釈。</v>
      </c>
      <c r="K4840" s="1" t="str">
        <f>IFERROR(__xludf.DUMMYFUNCTION("GOOGLETRANSLATE(G4840,""EN"",""JA"")"),"尿検査パネルの解釈")</f>
        <v>尿検査パネルの解釈</v>
      </c>
    </row>
    <row r="4841" ht="13.5" customHeight="1">
      <c r="A4841" s="1" t="s">
        <v>11</v>
      </c>
      <c r="B4841" s="1" t="s">
        <v>24145</v>
      </c>
      <c r="C4841" s="1" t="s">
        <v>24146</v>
      </c>
      <c r="D4841" s="1" t="s">
        <v>24147</v>
      </c>
      <c r="E4841" s="1" t="s">
        <v>24147</v>
      </c>
      <c r="F4841" s="1" t="s">
        <v>24148</v>
      </c>
      <c r="G4841" s="1" t="s">
        <v>24149</v>
      </c>
      <c r="H4841" s="1" t="str">
        <f>IFERROR(__xludf.DUMMYFUNCTION("GOOGLETRANSLATE(D4841,""EN"",""JA"")"),"ウロビリノーゲン")</f>
        <v>ウロビリノーゲン</v>
      </c>
      <c r="I4841" s="1" t="str">
        <f>IFERROR(__xludf.DUMMYFUNCTION("GOOGLETRANSLATE(E4841,""EN"",""JA"")"),"ウロビリノーゲン")</f>
        <v>ウロビリノーゲン</v>
      </c>
      <c r="J4841" s="1" t="str">
        <f>IFERROR(__xludf.DUMMYFUNCTION("GOOGLETRANSLATE(F4841,""EN"",""JA"")"),"生物標本中のウロビリノーゲンの測定。")</f>
        <v>生物標本中のウロビリノーゲンの測定。</v>
      </c>
      <c r="K4841" s="1" t="str">
        <f>IFERROR(__xludf.DUMMYFUNCTION("GOOGLETRANSLATE(G4841,""EN"",""JA"")"),"ウロビリノーゲン測定")</f>
        <v>ウロビリノーゲン測定</v>
      </c>
    </row>
    <row r="4842" ht="13.5" customHeight="1">
      <c r="A4842" s="1" t="s">
        <v>11</v>
      </c>
      <c r="B4842" s="1" t="s">
        <v>24150</v>
      </c>
      <c r="C4842" s="1" t="s">
        <v>24151</v>
      </c>
      <c r="D4842" s="1" t="s">
        <v>24152</v>
      </c>
      <c r="E4842" s="1" t="s">
        <v>24152</v>
      </c>
      <c r="F4842" s="1" t="s">
        <v>24153</v>
      </c>
      <c r="G4842" s="1" t="s">
        <v>24154</v>
      </c>
      <c r="H4842" s="1" t="str">
        <f>IFERROR(__xludf.DUMMYFUNCTION("GOOGLETRANSLATE(D4842,""EN"",""JA"")"),"尿路上皮細胞")</f>
        <v>尿路上皮細胞</v>
      </c>
      <c r="I4842" s="1" t="str">
        <f>IFERROR(__xludf.DUMMYFUNCTION("GOOGLETRANSLATE(E4842,""EN"",""JA"")"),"尿路上皮細胞")</f>
        <v>尿路上皮細胞</v>
      </c>
      <c r="J4842" s="1" t="str">
        <f>IFERROR(__xludf.DUMMYFUNCTION("GOOGLETRANSLATE(F4842,""EN"",""JA"")"),"生物標本中の尿路上皮細胞の測定。")</f>
        <v>生物標本中の尿路上皮細胞の測定。</v>
      </c>
      <c r="K4842" s="1" t="str">
        <f>IFERROR(__xludf.DUMMYFUNCTION("GOOGLETRANSLATE(G4842,""EN"",""JA"")"),"尿路上皮細胞数")</f>
        <v>尿路上皮細胞数</v>
      </c>
    </row>
    <row r="4843" ht="13.5" customHeight="1">
      <c r="A4843" s="1" t="s">
        <v>11</v>
      </c>
      <c r="B4843" s="1" t="s">
        <v>24155</v>
      </c>
      <c r="C4843" s="1" t="s">
        <v>24156</v>
      </c>
      <c r="D4843" s="1" t="s">
        <v>24157</v>
      </c>
      <c r="E4843" s="1" t="s">
        <v>24157</v>
      </c>
      <c r="F4843" s="1" t="s">
        <v>24158</v>
      </c>
      <c r="G4843" s="1" t="s">
        <v>24157</v>
      </c>
      <c r="H4843" s="1" t="str">
        <f>IFERROR(__xludf.DUMMYFUNCTION("GOOGLETRANSLATE(D4843,""EN"",""JA"")"),"尿素還元率")</f>
        <v>尿素還元率</v>
      </c>
      <c r="I4843" s="1" t="str">
        <f>IFERROR(__xludf.DUMMYFUNCTION("GOOGLETRANSLATE(E4843,""EN"",""JA"")"),"尿素還元率")</f>
        <v>尿素還元率</v>
      </c>
      <c r="J4843" s="1" t="str">
        <f>IFERROR(__xludf.DUMMYFUNCTION("GOOGLETRANSLATE(F4843,""EN"",""JA"")"),"生物学的標本における透析過程における尿素窒素の比例的減少の計算された測定値（比率またはパーセンテージ）。")</f>
        <v>生物学的標本における透析過程における尿素窒素の比例的減少の計算された測定値（比率またはパーセンテージ）。</v>
      </c>
      <c r="K4843" s="1" t="str">
        <f>IFERROR(__xludf.DUMMYFUNCTION("GOOGLETRANSLATE(G4843,""EN"",""JA"")"),"尿素還元率")</f>
        <v>尿素還元率</v>
      </c>
    </row>
    <row r="4844" ht="13.5" customHeight="1">
      <c r="A4844" s="1" t="s">
        <v>67</v>
      </c>
      <c r="B4844" s="1" t="s">
        <v>24159</v>
      </c>
      <c r="C4844" s="1" t="s">
        <v>24160</v>
      </c>
      <c r="D4844" s="1" t="s">
        <v>24161</v>
      </c>
      <c r="E4844" s="1" t="s">
        <v>24161</v>
      </c>
      <c r="F4844" s="1" t="s">
        <v>24162</v>
      </c>
      <c r="G4844" s="1" t="s">
        <v>24163</v>
      </c>
      <c r="H4844" s="1" t="str">
        <f>IFERROR(__xludf.DUMMYFUNCTION("GOOGLETRANSLATE(D4844,""EN"",""JA"")"),"ウレアプラズマ・ウレアリティカム")</f>
        <v>ウレアプラズマ・ウレアリティカム</v>
      </c>
      <c r="I4844" s="1" t="str">
        <f>IFERROR(__xludf.DUMMYFUNCTION("GOOGLETRANSLATE(E4844,""EN"",""JA"")"),"ウレアプラズマ・ウレアリティカム")</f>
        <v>ウレアプラズマ・ウレアリティカム</v>
      </c>
      <c r="J4844" s="1" t="str">
        <f>IFERROR(__xludf.DUMMYFUNCTION("GOOGLETRANSLATE(F4844,""EN"",""JA"")"),"生物標本中の Ureaplasma urealyticum の測定。")</f>
        <v>生物標本中の Ureaplasma urealyticum の測定。</v>
      </c>
      <c r="K4844" s="1" t="str">
        <f>IFERROR(__xludf.DUMMYFUNCTION("GOOGLETRANSLATE(G4844,""EN"",""JA"")"),"ウレアプラズマ・ウレアリティカム測定")</f>
        <v>ウレアプラズマ・ウレアリティカム測定</v>
      </c>
    </row>
    <row r="4845" ht="13.5" customHeight="1">
      <c r="A4845" s="1" t="s">
        <v>67</v>
      </c>
      <c r="B4845" s="1" t="s">
        <v>24164</v>
      </c>
      <c r="C4845" s="1" t="s">
        <v>24165</v>
      </c>
      <c r="D4845" s="1" t="s">
        <v>24166</v>
      </c>
      <c r="E4845" s="1" t="s">
        <v>24166</v>
      </c>
      <c r="F4845" s="1" t="s">
        <v>24167</v>
      </c>
      <c r="G4845" s="1" t="s">
        <v>24168</v>
      </c>
      <c r="H4845" s="1" t="str">
        <f>IFERROR(__xludf.DUMMYFUNCTION("GOOGLETRANSLATE(D4845,""EN"",""JA"")"),"ウレアプラズマ・ウレアリティカムDNA")</f>
        <v>ウレアプラズマ・ウレアリティカムDNA</v>
      </c>
      <c r="I4845" s="1" t="str">
        <f>IFERROR(__xludf.DUMMYFUNCTION("GOOGLETRANSLATE(E4845,""EN"",""JA"")"),"ウレアプラズマ・ウレアリティカムDNA")</f>
        <v>ウレアプラズマ・ウレアリティカムDNA</v>
      </c>
      <c r="J4845" s="1" t="str">
        <f>IFERROR(__xludf.DUMMYFUNCTION("GOOGLETRANSLATE(F4845,""EN"",""JA"")"),"生物標本中の Ureaplasma urealyticum DNA の測定。")</f>
        <v>生物標本中の Ureaplasma urealyticum DNA の測定。</v>
      </c>
      <c r="K4845" s="1" t="str">
        <f>IFERROR(__xludf.DUMMYFUNCTION("GOOGLETRANSLATE(G4845,""EN"",""JA"")"),"ウレアプラズマ・ウレアリティカムDNA測定")</f>
        <v>ウレアプラズマ・ウレアリティカムDNA測定</v>
      </c>
    </row>
    <row r="4846" ht="13.5" customHeight="1">
      <c r="A4846" s="1" t="s">
        <v>870</v>
      </c>
      <c r="B4846" s="1" t="s">
        <v>24169</v>
      </c>
      <c r="C4846" s="1" t="s">
        <v>24170</v>
      </c>
      <c r="D4846" s="1" t="s">
        <v>24171</v>
      </c>
      <c r="E4846" s="1" t="s">
        <v>24171</v>
      </c>
      <c r="F4846" s="1" t="s">
        <v>24172</v>
      </c>
      <c r="G4846" s="1" t="s">
        <v>24173</v>
      </c>
      <c r="H4846" s="1" t="str">
        <f>IFERROR(__xludf.DUMMYFUNCTION("GOOGLETRANSLATE(D4846,""EN"",""JA"")"),"ボリュームディストリビューション初期")</f>
        <v>ボリュームディストリビューション初期</v>
      </c>
      <c r="I4846" s="1" t="str">
        <f>IFERROR(__xludf.DUMMYFUNCTION("GOOGLETRANSLATE(E4846,""EN"",""JA"")"),"ボリュームディストリビューション初期")</f>
        <v>ボリュームディストリビューション初期</v>
      </c>
      <c r="J4846" s="1" t="str">
        <f>IFERROR(__xludf.DUMMYFUNCTION("GOOGLETRANSLATE(F4846,""EN"",""JA"")"),"ボーラス血管内投与により投与される物質の初期分布容積。")</f>
        <v>ボーラス血管内投与により投与される物質の初期分布容積。</v>
      </c>
      <c r="K4846" s="1" t="str">
        <f>IFERROR(__xludf.DUMMYFUNCTION("GOOGLETRANSLATE(G4846,""EN"",""JA"")"),"初期の流通量")</f>
        <v>初期の流通量</v>
      </c>
    </row>
    <row r="4847" ht="13.5" customHeight="1">
      <c r="A4847" s="1" t="s">
        <v>870</v>
      </c>
      <c r="B4847" s="1" t="s">
        <v>24174</v>
      </c>
      <c r="C4847" s="1" t="s">
        <v>24175</v>
      </c>
      <c r="D4847" s="1" t="s">
        <v>24176</v>
      </c>
      <c r="E4847" s="1" t="s">
        <v>24176</v>
      </c>
      <c r="F4847" s="1" t="s">
        <v>24177</v>
      </c>
      <c r="G4847" s="1" t="s">
        <v>24178</v>
      </c>
      <c r="H4847" s="1" t="str">
        <f>IFERROR(__xludf.DUMMYFUNCTION("GOOGLETRANSLATE(D4847,""EN"",""JA"")"),"BMI別のVol Dist初期標準")</f>
        <v>BMI別のVol Dist初期標準</v>
      </c>
      <c r="I4847" s="1" t="str">
        <f>IFERROR(__xludf.DUMMYFUNCTION("GOOGLETRANSLATE(E4847,""EN"",""JA"")"),"BMI別のVol Dist初期標準")</f>
        <v>BMI別のVol Dist初期標準</v>
      </c>
      <c r="J4847" s="1" t="str">
        <f>IFERROR(__xludf.DUMMYFUNCTION("GOOGLETRANSLATE(F4847,""EN"",""JA"")"),"ボーラス血管内投与により投与された物質の初期分布容積をボディマス指数で割ったもの。")</f>
        <v>ボーラス血管内投与により投与された物質の初期分布容積をボディマス指数で割ったもの。</v>
      </c>
      <c r="K4847" s="1" t="str">
        <f>IFERROR(__xludf.DUMMYFUNCTION("GOOGLETRANSLATE(G4847,""EN"",""JA"")"),"体格指数で正規化された分布の初期容積")</f>
        <v>体格指数で正規化された分布の初期容積</v>
      </c>
    </row>
    <row r="4848" ht="13.5" customHeight="1">
      <c r="A4848" s="1" t="s">
        <v>870</v>
      </c>
      <c r="B4848" s="1" t="s">
        <v>24179</v>
      </c>
      <c r="C4848" s="1" t="s">
        <v>24180</v>
      </c>
      <c r="D4848" s="1" t="s">
        <v>24181</v>
      </c>
      <c r="E4848" s="1" t="s">
        <v>24181</v>
      </c>
      <c r="F4848" s="1" t="s">
        <v>24182</v>
      </c>
      <c r="G4848" s="1" t="s">
        <v>24183</v>
      </c>
      <c r="H4848" s="1" t="str">
        <f>IFERROR(__xludf.DUMMYFUNCTION("GOOGLETRANSLATE(D4848,""EN"",""JA"")"),"用量別Vol分布初期基準")</f>
        <v>用量別Vol分布初期基準</v>
      </c>
      <c r="I4848" s="1" t="str">
        <f>IFERROR(__xludf.DUMMYFUNCTION("GOOGLETRANSLATE(E4848,""EN"",""JA"")"),"用量別Vol分布初期基準")</f>
        <v>用量別Vol分布初期基準</v>
      </c>
      <c r="J4848" s="1" t="str">
        <f>IFERROR(__xludf.DUMMYFUNCTION("GOOGLETRANSLATE(F4848,""EN"",""JA"")"),"ボーラス血管内投与により投与された物質の初期分布容積を投与量で割ったもの。")</f>
        <v>ボーラス血管内投与により投与された物質の初期分布容積を投与量で割ったもの。</v>
      </c>
      <c r="K4848" s="1" t="str">
        <f>IFERROR(__xludf.DUMMYFUNCTION("GOOGLETRANSLATE(G4848,""EN"",""JA"")"),"線量で正規化された初期分布容積")</f>
        <v>線量で正規化された初期分布容積</v>
      </c>
    </row>
    <row r="4849" ht="13.5" customHeight="1">
      <c r="A4849" s="1" t="s">
        <v>870</v>
      </c>
      <c r="B4849" s="1" t="s">
        <v>24184</v>
      </c>
      <c r="C4849" s="1" t="s">
        <v>24185</v>
      </c>
      <c r="D4849" s="1" t="s">
        <v>24186</v>
      </c>
      <c r="E4849" s="1" t="s">
        <v>24186</v>
      </c>
      <c r="F4849" s="1" t="s">
        <v>24187</v>
      </c>
      <c r="G4849" s="1" t="s">
        <v>24188</v>
      </c>
      <c r="H4849" s="1" t="str">
        <f>IFERROR(__xludf.DUMMYFUNCTION("GOOGLETRANSLATE(D4849,""EN"",""JA"")"),"SAによるVol Dist初期ノルム")</f>
        <v>SAによるVol Dist初期ノルム</v>
      </c>
      <c r="I4849" s="1" t="str">
        <f>IFERROR(__xludf.DUMMYFUNCTION("GOOGLETRANSLATE(E4849,""EN"",""JA"")"),"SAによるVol Dist初期ノルム")</f>
        <v>SAによるVol Dist初期ノルム</v>
      </c>
      <c r="J4849" s="1" t="str">
        <f>IFERROR(__xludf.DUMMYFUNCTION("GOOGLETRANSLATE(F4849,""EN"",""JA"")"),"ボーラス血管内投与により投与された物質の初期分布容積を表面積で割ったもの。")</f>
        <v>ボーラス血管内投与により投与された物質の初期分布容積を表面積で割ったもの。</v>
      </c>
      <c r="K4849" s="1" t="str">
        <f>IFERROR(__xludf.DUMMYFUNCTION("GOOGLETRANSLATE(G4849,""EN"",""JA"")"),"表面積で正規化された分布の初期体積")</f>
        <v>表面積で正規化された分布の初期体積</v>
      </c>
    </row>
    <row r="4850" ht="13.5" customHeight="1">
      <c r="A4850" s="1" t="s">
        <v>870</v>
      </c>
      <c r="B4850" s="1" t="s">
        <v>24189</v>
      </c>
      <c r="C4850" s="1" t="s">
        <v>24190</v>
      </c>
      <c r="D4850" s="1" t="s">
        <v>24191</v>
      </c>
      <c r="E4850" s="1" t="s">
        <v>24191</v>
      </c>
      <c r="F4850" s="1" t="s">
        <v>24192</v>
      </c>
      <c r="G4850" s="1" t="s">
        <v>24193</v>
      </c>
      <c r="H4850" s="1" t="str">
        <f>IFERROR(__xludf.DUMMYFUNCTION("GOOGLETRANSLATE(D4850,""EN"",""JA"")"),"WTによるVol Dist初期ノルム")</f>
        <v>WTによるVol Dist初期ノルム</v>
      </c>
      <c r="I4850" s="1" t="str">
        <f>IFERROR(__xludf.DUMMYFUNCTION("GOOGLETRANSLATE(E4850,""EN"",""JA"")"),"WTによるVol Dist初期ノルム")</f>
        <v>WTによるVol Dist初期ノルム</v>
      </c>
      <c r="J4850" s="1" t="str">
        <f>IFERROR(__xludf.DUMMYFUNCTION("GOOGLETRANSLATE(F4850,""EN"",""JA"")"),"ボーラス血管内投与により投与された物質の初期分布容積を重量で割ったもの。")</f>
        <v>ボーラス血管内投与により投与された物質の初期分布容積を重量で割ったもの。</v>
      </c>
      <c r="K4850" s="1" t="str">
        <f>IFERROR(__xludf.DUMMYFUNCTION("GOOGLETRANSLATE(G4850,""EN"",""JA"")"),"重量で正規化された分布の初期容積")</f>
        <v>重量で正規化された分布の初期容積</v>
      </c>
    </row>
    <row r="4851" ht="13.5" customHeight="1">
      <c r="A4851" s="1" t="s">
        <v>11</v>
      </c>
      <c r="B4851" s="1" t="s">
        <v>24194</v>
      </c>
      <c r="C4851" s="1" t="s">
        <v>24195</v>
      </c>
      <c r="D4851" s="1" t="s">
        <v>24196</v>
      </c>
      <c r="E4851" s="1" t="s">
        <v>24197</v>
      </c>
      <c r="F4851" s="1" t="s">
        <v>24198</v>
      </c>
      <c r="G4851" s="1" t="s">
        <v>24199</v>
      </c>
      <c r="H4851" s="1" t="str">
        <f>IFERROR(__xludf.DUMMYFUNCTION("GOOGLETRANSLATE(D4851,""EN"",""JA"")"),"25-ヒドロキシビタミンD2")</f>
        <v>25-ヒドロキシビタミンD2</v>
      </c>
      <c r="I4851" s="1" t="str">
        <f>IFERROR(__xludf.DUMMYFUNCTION("GOOGLETRANSLATE(E4851,""EN"",""JA"")"),"25-ヒドロキシカルシフェロール; 25-ヒドロキシエルゴカルシフェロール; 25-ヒドロキシビタミンD2; エルカルシジオール")</f>
        <v>25-ヒドロキシカルシフェロール; 25-ヒドロキシエルゴカルシフェロール; 25-ヒドロキシビタミンD2; エルカルシジオール</v>
      </c>
      <c r="J4851" s="1" t="str">
        <f>IFERROR(__xludf.DUMMYFUNCTION("GOOGLETRANSLATE(F4851,""EN"",""JA"")"),"生物標本中の25-ヒドロキシビタミンD2の測定。")</f>
        <v>生物標本中の25-ヒドロキシビタミンD2の測定。</v>
      </c>
      <c r="K4851" s="1" t="str">
        <f>IFERROR(__xludf.DUMMYFUNCTION("GOOGLETRANSLATE(G4851,""EN"",""JA"")"),"25-ヒドロキシビタミンD2測定")</f>
        <v>25-ヒドロキシビタミンD2測定</v>
      </c>
    </row>
    <row r="4852" ht="13.5" customHeight="1">
      <c r="A4852" s="1" t="s">
        <v>11</v>
      </c>
      <c r="B4852" s="1" t="s">
        <v>24200</v>
      </c>
      <c r="C4852" s="1" t="s">
        <v>24201</v>
      </c>
      <c r="D4852" s="1" t="s">
        <v>24202</v>
      </c>
      <c r="E4852" s="1" t="s">
        <v>24203</v>
      </c>
      <c r="F4852" s="1" t="s">
        <v>24204</v>
      </c>
      <c r="G4852" s="1" t="s">
        <v>24205</v>
      </c>
      <c r="H4852" s="1" t="str">
        <f>IFERROR(__xludf.DUMMYFUNCTION("GOOGLETRANSLATE(D4852,""EN"",""JA"")"),"25-ヒドロキシビタミンD3")</f>
        <v>25-ヒドロキシビタミンD3</v>
      </c>
      <c r="I4852" s="1" t="str">
        <f>IFERROR(__xludf.DUMMYFUNCTION("GOOGLETRANSLATE(E4852,""EN"",""JA"")"),"25-ヒドロキシコレカルシフェロール; 25-ヒドロキシビタミンD; 25-ヒドロキシビタミンD3; カルシジオール; カルシフェジオール; 不活性ビタミンD")</f>
        <v>25-ヒドロキシコレカルシフェロール; 25-ヒドロキシビタミンD; 25-ヒドロキシビタミンD3; カルシジオール; カルシフェジオール; 不活性ビタミンD</v>
      </c>
      <c r="J4852" s="1" t="str">
        <f>IFERROR(__xludf.DUMMYFUNCTION("GOOGLETRANSLATE(F4852,""EN"",""JA"")"),"生物標本中の 25-ヒドロキシビタミン D3 の測定。")</f>
        <v>生物標本中の 25-ヒドロキシビタミン D3 の測定。</v>
      </c>
      <c r="K4852" s="1" t="str">
        <f>IFERROR(__xludf.DUMMYFUNCTION("GOOGLETRANSLATE(G4852,""EN"",""JA"")"),"25-ヒドロキシビタミンD3測定")</f>
        <v>25-ヒドロキシビタミンD3測定</v>
      </c>
    </row>
    <row r="4853" ht="13.5" customHeight="1">
      <c r="A4853" s="1" t="s">
        <v>67</v>
      </c>
      <c r="B4853" s="1" t="s">
        <v>24206</v>
      </c>
      <c r="C4853" s="1" t="s">
        <v>24207</v>
      </c>
      <c r="D4853" s="1" t="s">
        <v>24208</v>
      </c>
      <c r="E4853" s="1" t="s">
        <v>24208</v>
      </c>
      <c r="F4853" s="1" t="s">
        <v>24209</v>
      </c>
      <c r="G4853" s="1" t="s">
        <v>24210</v>
      </c>
      <c r="H4853" s="1" t="str">
        <f>IFERROR(__xludf.DUMMYFUNCTION("GOOGLETRANSLATE(D4853,""EN"",""JA"")"),"ワクシニアウイルス")</f>
        <v>ワクシニアウイルス</v>
      </c>
      <c r="I4853" s="1" t="str">
        <f>IFERROR(__xludf.DUMMYFUNCTION("GOOGLETRANSLATE(E4853,""EN"",""JA"")"),"ワクシニアウイルス")</f>
        <v>ワクシニアウイルス</v>
      </c>
      <c r="J4853" s="1" t="str">
        <f>IFERROR(__xludf.DUMMYFUNCTION("GOOGLETRANSLATE(F4853,""EN"",""JA"")"),"生物標本中のワクシニアウイルスの測定。")</f>
        <v>生物標本中のワクシニアウイルスの測定。</v>
      </c>
      <c r="K4853" s="1" t="str">
        <f>IFERROR(__xludf.DUMMYFUNCTION("GOOGLETRANSLATE(G4853,""EN"",""JA"")"),"ワクシニアウイルス測定")</f>
        <v>ワクシニアウイルス測定</v>
      </c>
    </row>
    <row r="4854" ht="13.5" customHeight="1">
      <c r="A4854" s="1" t="s">
        <v>1997</v>
      </c>
      <c r="B4854" s="1" t="s">
        <v>24211</v>
      </c>
      <c r="C4854" s="1" t="s">
        <v>24212</v>
      </c>
      <c r="D4854" s="1" t="s">
        <v>24213</v>
      </c>
      <c r="E4854" s="1" t="s">
        <v>24213</v>
      </c>
      <c r="F4854" s="1" t="s">
        <v>24214</v>
      </c>
      <c r="G4854" s="1" t="s">
        <v>24215</v>
      </c>
      <c r="H4854" s="1" t="str">
        <f>IFERROR(__xludf.DUMMYFUNCTION("GOOGLETRANSLATE(D4854,""EN"",""JA"")"),"視力検査カードの格子周波数")</f>
        <v>視力検査カードの格子周波数</v>
      </c>
      <c r="I4854" s="1" t="str">
        <f>IFERROR(__xludf.DUMMYFUNCTION("GOOGLETRANSLATE(E4854,""EN"",""JA"")"),"視力検査カードの格子周波数")</f>
        <v>視力検査カードの格子周波数</v>
      </c>
      <c r="J4854" s="1" t="str">
        <f>IFERROR(__xludf.DUMMYFUNCTION("GOOGLETRANSLATE(F4854,""EN"",""JA"")"),"視力検査カード上の所定の長さの単位内での水平線または垂直線の数の測定値。")</f>
        <v>視力検査カード上の所定の長さの単位内での水平線または垂直線の数の測定値。</v>
      </c>
      <c r="K4854" s="1" t="str">
        <f>IFERROR(__xludf.DUMMYFUNCTION("GOOGLETRANSLATE(G4854,""EN"",""JA"")"),"視力カードの格子周波数")</f>
        <v>視力カードの格子周波数</v>
      </c>
    </row>
    <row r="4855" ht="13.5" customHeight="1">
      <c r="A4855" s="1" t="s">
        <v>160</v>
      </c>
      <c r="B4855" s="1" t="s">
        <v>24216</v>
      </c>
      <c r="C4855" s="1" t="s">
        <v>24217</v>
      </c>
      <c r="D4855" s="1" t="s">
        <v>24218</v>
      </c>
      <c r="E4855" s="1" t="s">
        <v>24218</v>
      </c>
      <c r="F4855" s="1" t="s">
        <v>24219</v>
      </c>
      <c r="G4855" s="1" t="s">
        <v>24218</v>
      </c>
      <c r="H4855" s="1" t="str">
        <f>IFERROR(__xludf.DUMMYFUNCTION("GOOGLETRANSLATE(D4855,""EN"",""JA"")"),"経膣分娩の件数")</f>
        <v>経膣分娩の件数</v>
      </c>
      <c r="I4855" s="1" t="str">
        <f>IFERROR(__xludf.DUMMYFUNCTION("GOOGLETRANSLATE(E4855,""EN"",""JA"")"),"経膣分娩の件数")</f>
        <v>経膣分娩の件数</v>
      </c>
      <c r="J4855" s="1" t="str">
        <f>IFERROR(__xludf.DUMMYFUNCTION("GOOGLETRANSLATE(F4855,""EN"",""JA"")"),"個人が経験した経膣分娩の総回数の測定値。")</f>
        <v>個人が経験した経膣分娩の総回数の測定値。</v>
      </c>
      <c r="K4855" s="1" t="str">
        <f>IFERROR(__xludf.DUMMYFUNCTION("GOOGLETRANSLATE(G4855,""EN"",""JA"")"),"経膣分娩の件数")</f>
        <v>経膣分娩の件数</v>
      </c>
    </row>
    <row r="4856" ht="13.5" customHeight="1">
      <c r="A4856" s="1" t="s">
        <v>11</v>
      </c>
      <c r="B4856" s="1" t="s">
        <v>24220</v>
      </c>
      <c r="C4856" s="1" t="s">
        <v>24221</v>
      </c>
      <c r="D4856" s="1" t="s">
        <v>24222</v>
      </c>
      <c r="E4856" s="1" t="s">
        <v>24222</v>
      </c>
      <c r="F4856" s="1" t="s">
        <v>24223</v>
      </c>
      <c r="G4856" s="1" t="s">
        <v>24224</v>
      </c>
      <c r="H4856" s="1" t="str">
        <f>IFERROR(__xludf.DUMMYFUNCTION("GOOGLETRANSLATE(D4856,""EN"",""JA"")"),"バリン")</f>
        <v>バリン</v>
      </c>
      <c r="I4856" s="1" t="str">
        <f>IFERROR(__xludf.DUMMYFUNCTION("GOOGLETRANSLATE(E4856,""EN"",""JA"")"),"バリン")</f>
        <v>バリン</v>
      </c>
      <c r="J4856" s="1" t="str">
        <f>IFERROR(__xludf.DUMMYFUNCTION("GOOGLETRANSLATE(F4856,""EN"",""JA"")"),"生物標本中のバリンの測定。")</f>
        <v>生物標本中のバリンの測定。</v>
      </c>
      <c r="K4856" s="1" t="str">
        <f>IFERROR(__xludf.DUMMYFUNCTION("GOOGLETRANSLATE(G4856,""EN"",""JA"")"),"バリン測定")</f>
        <v>バリン測定</v>
      </c>
    </row>
    <row r="4857" ht="13.5" customHeight="1">
      <c r="A4857" s="1" t="s">
        <v>11</v>
      </c>
      <c r="B4857" s="1" t="s">
        <v>24225</v>
      </c>
      <c r="C4857" s="1" t="s">
        <v>24226</v>
      </c>
      <c r="D4857" s="1" t="s">
        <v>24227</v>
      </c>
      <c r="E4857" s="1" t="s">
        <v>24228</v>
      </c>
      <c r="F4857" s="1" t="s">
        <v>24229</v>
      </c>
      <c r="G4857" s="1" t="s">
        <v>24230</v>
      </c>
      <c r="H4857" s="1" t="str">
        <f>IFERROR(__xludf.DUMMYFUNCTION("GOOGLETRANSLATE(D4857,""EN"",""JA"")"),"バルプロ酸")</f>
        <v>バルプロ酸</v>
      </c>
      <c r="I4857" s="1" t="str">
        <f>IFERROR(__xludf.DUMMYFUNCTION("GOOGLETRANSLATE(E4857,""EN"",""JA"")"),"バルプロ酸")</f>
        <v>バルプロ酸</v>
      </c>
      <c r="J4857" s="1" t="str">
        <f>IFERROR(__xludf.DUMMYFUNCTION("GOOGLETRANSLATE(F4857,""EN"",""JA"")"),"生物標本中のバルプロ酸の測定。")</f>
        <v>生物標本中のバルプロ酸の測定。</v>
      </c>
      <c r="K4857" s="1" t="str">
        <f>IFERROR(__xludf.DUMMYFUNCTION("GOOGLETRANSLATE(G4857,""EN"",""JA"")"),"バルプロ酸測定")</f>
        <v>バルプロ酸測定</v>
      </c>
    </row>
    <row r="4858" ht="13.5" customHeight="1">
      <c r="A4858" s="1" t="s">
        <v>11</v>
      </c>
      <c r="B4858" s="1" t="s">
        <v>24231</v>
      </c>
      <c r="C4858" s="1" t="s">
        <v>24232</v>
      </c>
      <c r="D4858" s="1" t="s">
        <v>24233</v>
      </c>
      <c r="E4858" s="1" t="s">
        <v>24233</v>
      </c>
      <c r="F4858" s="1" t="s">
        <v>24234</v>
      </c>
      <c r="G4858" s="1" t="s">
        <v>24235</v>
      </c>
      <c r="H4858" s="1" t="str">
        <f>IFERROR(__xludf.DUMMYFUNCTION("GOOGLETRANSLATE(D4858,""EN"",""JA"")"),"VLDLアポリポタンパク質B")</f>
        <v>VLDLアポリポタンパク質B</v>
      </c>
      <c r="I4858" s="1" t="str">
        <f>IFERROR(__xludf.DUMMYFUNCTION("GOOGLETRANSLATE(E4858,""EN"",""JA"")"),"VLDLアポリポタンパク質B")</f>
        <v>VLDLアポリポタンパク質B</v>
      </c>
      <c r="J4858" s="1" t="str">
        <f>IFERROR(__xludf.DUMMYFUNCTION("GOOGLETRANSLATE(F4858,""EN"",""JA"")"),"生物標本の超低密度リポタンパク質分画中のアポリポタンパク質 B の測定。")</f>
        <v>生物標本の超低密度リポタンパク質分画中のアポリポタンパク質 B の測定。</v>
      </c>
      <c r="K4858" s="1" t="str">
        <f>IFERROR(__xludf.DUMMYFUNCTION("GOOGLETRANSLATE(G4858,""EN"",""JA"")"),"VLDLアポリポタンパク質B測定")</f>
        <v>VLDLアポリポタンパク質B測定</v>
      </c>
    </row>
    <row r="4859" ht="13.5" customHeight="1">
      <c r="A4859" s="1" t="s">
        <v>90</v>
      </c>
      <c r="B4859" s="1" t="s">
        <v>24236</v>
      </c>
      <c r="C4859" s="1" t="s">
        <v>24237</v>
      </c>
      <c r="D4859" s="1" t="s">
        <v>24238</v>
      </c>
      <c r="E4859" s="1" t="s">
        <v>24238</v>
      </c>
      <c r="F4859" s="1" t="s">
        <v>24239</v>
      </c>
      <c r="G4859" s="1" t="s">
        <v>24238</v>
      </c>
      <c r="H4859" s="1" t="str">
        <f>IFERROR(__xludf.DUMMYFUNCTION("GOOGLETRANSLATE(D4859,""EN"",""JA"")"),"バルブエリアインデックス")</f>
        <v>バルブエリアインデックス</v>
      </c>
      <c r="I4859" s="1" t="str">
        <f>IFERROR(__xludf.DUMMYFUNCTION("GOOGLETRANSLATE(E4859,""EN"",""JA"")"),"バルブエリアインデックス")</f>
        <v>バルブエリアインデックス</v>
      </c>
      <c r="J4859" s="1" t="str">
        <f>IFERROR(__xludf.DUMMYFUNCTION("GOOGLETRANSLATE(F4859,""EN"",""JA"")"),"弁面積と体表面積の比率。")</f>
        <v>弁面積と体表面積の比率。</v>
      </c>
      <c r="K4859" s="1" t="str">
        <f>IFERROR(__xludf.DUMMYFUNCTION("GOOGLETRANSLATE(G4859,""EN"",""JA"")"),"バルブエリアインデックス")</f>
        <v>バルブエリアインデックス</v>
      </c>
    </row>
    <row r="4860" ht="13.5" customHeight="1">
      <c r="A4860" s="1" t="s">
        <v>134</v>
      </c>
      <c r="B4860" s="1" t="s">
        <v>24240</v>
      </c>
      <c r="C4860" s="1" t="s">
        <v>24241</v>
      </c>
      <c r="D4860" s="1" t="s">
        <v>24242</v>
      </c>
      <c r="E4860" s="1" t="s">
        <v>24242</v>
      </c>
      <c r="F4860" s="1" t="s">
        <v>24243</v>
      </c>
      <c r="G4860" s="1" t="s">
        <v>24244</v>
      </c>
      <c r="H4860" s="1" t="str">
        <f>IFERROR(__xludf.DUMMYFUNCTION("GOOGLETRANSLATE(D4860,""EN"",""JA"")"),"血管浸潤")</f>
        <v>血管浸潤</v>
      </c>
      <c r="I4860" s="1" t="str">
        <f>IFERROR(__xludf.DUMMYFUNCTION("GOOGLETRANSLATE(E4860,""EN"",""JA"")"),"血管浸潤")</f>
        <v>血管浸潤</v>
      </c>
      <c r="J4860" s="1" t="str">
        <f>IFERROR(__xludf.DUMMYFUNCTION("GOOGLETRANSLATE(F4860,""EN"",""JA"")"),"生物標本における血管侵襲の評価。")</f>
        <v>生物標本における血管侵襲の評価。</v>
      </c>
      <c r="K4860" s="1" t="str">
        <f>IFERROR(__xludf.DUMMYFUNCTION("GOOGLETRANSLATE(G4860,""EN"",""JA"")"),"血管浸潤評価")</f>
        <v>血管浸潤評価</v>
      </c>
    </row>
    <row r="4861" ht="13.5" customHeight="1">
      <c r="A4861" s="1" t="s">
        <v>1034</v>
      </c>
      <c r="B4861" s="1" t="s">
        <v>24245</v>
      </c>
      <c r="C4861" s="1" t="s">
        <v>24246</v>
      </c>
      <c r="D4861" s="1" t="s">
        <v>24247</v>
      </c>
      <c r="E4861" s="1" t="s">
        <v>24247</v>
      </c>
      <c r="F4861" s="1" t="s">
        <v>24248</v>
      </c>
      <c r="G4861" s="1" t="s">
        <v>24249</v>
      </c>
      <c r="H4861" s="1" t="str">
        <f>IFERROR(__xludf.DUMMYFUNCTION("GOOGLETRANSLATE(D4861,""EN"",""JA"")"),"内臓脂肪組織量")</f>
        <v>内臓脂肪組織量</v>
      </c>
      <c r="I4861" s="1" t="str">
        <f>IFERROR(__xludf.DUMMYFUNCTION("GOOGLETRANSLATE(E4861,""EN"",""JA"")"),"内臓脂肪組織量")</f>
        <v>内臓脂肪組織量</v>
      </c>
      <c r="J4861" s="1" t="str">
        <f>IFERROR(__xludf.DUMMYFUNCTION("GOOGLETRANSLATE(F4861,""EN"",""JA"")"),"体の内臓の周囲にある脂肪組織の体積の測定値。")</f>
        <v>体の内臓の周囲にある脂肪組織の体積の測定値。</v>
      </c>
      <c r="K4861" s="1" t="str">
        <f>IFERROR(__xludf.DUMMYFUNCTION("GOOGLETRANSLATE(G4861,""EN"",""JA"")"),"内臓脂肪組織容積測定")</f>
        <v>内臓脂肪組織容積測定</v>
      </c>
    </row>
    <row r="4862" ht="13.5" customHeight="1">
      <c r="A4862" s="1" t="s">
        <v>11</v>
      </c>
      <c r="B4862" s="1" t="s">
        <v>24250</v>
      </c>
      <c r="C4862" s="1" t="s">
        <v>24251</v>
      </c>
      <c r="D4862" s="1" t="s">
        <v>24252</v>
      </c>
      <c r="E4862" s="1" t="s">
        <v>24253</v>
      </c>
      <c r="F4862" s="1" t="s">
        <v>24254</v>
      </c>
      <c r="G4862" s="1" t="s">
        <v>24255</v>
      </c>
      <c r="H4862" s="1" t="str">
        <f>IFERROR(__xludf.DUMMYFUNCTION("GOOGLETRANSLATE(D4862,""EN"",""JA"")"),"生細胞")</f>
        <v>生細胞</v>
      </c>
      <c r="I4862" s="1" t="str">
        <f>IFERROR(__xludf.DUMMYFUNCTION("GOOGLETRANSLATE(E4862,""EN"",""JA"")"),"生細胞; 生存細胞")</f>
        <v>生細胞; 生存細胞</v>
      </c>
      <c r="J4862" s="1" t="str">
        <f>IFERROR(__xludf.DUMMYFUNCTION("GOOGLETRANSLATE(F4862,""EN"",""JA"")"),"生物標本内の生存細胞の測定。")</f>
        <v>生物標本内の生存細胞の測定。</v>
      </c>
      <c r="K4862" s="1" t="str">
        <f>IFERROR(__xludf.DUMMYFUNCTION("GOOGLETRANSLATE(G4862,""EN"",""JA"")"),"生細胞数")</f>
        <v>生細胞数</v>
      </c>
    </row>
    <row r="4863" ht="13.5" customHeight="1">
      <c r="A4863" s="1" t="s">
        <v>160</v>
      </c>
      <c r="B4863" s="1" t="s">
        <v>24256</v>
      </c>
      <c r="C4863" s="1" t="s">
        <v>24257</v>
      </c>
      <c r="D4863" s="1" t="s">
        <v>24258</v>
      </c>
      <c r="E4863" s="1" t="s">
        <v>24259</v>
      </c>
      <c r="F4863" s="1" t="s">
        <v>24260</v>
      </c>
      <c r="G4863" s="1" t="s">
        <v>24261</v>
      </c>
      <c r="H4863" s="1" t="str">
        <f>IFERROR(__xludf.DUMMYFUNCTION("GOOGLETRANSLATE(D4863,""EN"",""JA"")"),"膣出血/点状出血の頻度の説明")</f>
        <v>膣出血/点状出血の頻度の説明</v>
      </c>
      <c r="I4863" s="1" t="str">
        <f>IFERROR(__xludf.DUMMYFUNCTION("GOOGLETRANSLATE(E4863,""EN"",""JA"")"),"膣出血/点状出血頻度の説明; 膣出血/点状出血頻度の説明")</f>
        <v>膣出血/点状出血頻度の説明; 膣出血/点状出血頻度の説明</v>
      </c>
      <c r="J4863" s="1" t="str">
        <f>IFERROR(__xludf.DUMMYFUNCTION("GOOGLETRANSLATE(F4863,""EN"",""JA"")"),"膣出血や少量の出血が発生した頻度の説明。")</f>
        <v>膣出血や少量の出血が発生した頻度の説明。</v>
      </c>
      <c r="K4863" s="1" t="str">
        <f>IFERROR(__xludf.DUMMYFUNCTION("GOOGLETRANSLATE(G4863,""EN"",""JA"")"),"膣出血および/または少量の出血頻度の説明")</f>
        <v>膣出血および/または少量の出血頻度の説明</v>
      </c>
    </row>
    <row r="4864" ht="13.5" customHeight="1">
      <c r="A4864" s="1" t="s">
        <v>11</v>
      </c>
      <c r="B4864" s="1" t="s">
        <v>24262</v>
      </c>
      <c r="C4864" s="1" t="s">
        <v>24263</v>
      </c>
      <c r="D4864" s="1" t="s">
        <v>24264</v>
      </c>
      <c r="E4864" s="1" t="s">
        <v>24264</v>
      </c>
      <c r="F4864" s="1" t="s">
        <v>24265</v>
      </c>
      <c r="G4864" s="1" t="s">
        <v>24266</v>
      </c>
      <c r="H4864" s="1" t="str">
        <f>IFERROR(__xludf.DUMMYFUNCTION("GOOGLETRANSLATE(D4864,""EN"",""JA"")"),"血管細胞接着分子1")</f>
        <v>血管細胞接着分子1</v>
      </c>
      <c r="I4864" s="1" t="str">
        <f>IFERROR(__xludf.DUMMYFUNCTION("GOOGLETRANSLATE(E4864,""EN"",""JA"")"),"血管細胞接着分子1")</f>
        <v>血管細胞接着分子1</v>
      </c>
      <c r="J4864" s="1" t="str">
        <f>IFERROR(__xludf.DUMMYFUNCTION("GOOGLETRANSLATE(F4864,""EN"",""JA"")"),"生物標本中の血管細胞接着分子 1 の測定。")</f>
        <v>生物標本中の血管細胞接着分子 1 の測定。</v>
      </c>
      <c r="K4864" s="1" t="str">
        <f>IFERROR(__xludf.DUMMYFUNCTION("GOOGLETRANSLATE(G4864,""EN"",""JA"")"),"血管細胞接着分子1の測定")</f>
        <v>血管細胞接着分子1の測定</v>
      </c>
    </row>
    <row r="4865" ht="13.5" customHeight="1">
      <c r="A4865" s="1" t="s">
        <v>67</v>
      </c>
      <c r="B4865" s="1" t="s">
        <v>24267</v>
      </c>
      <c r="C4865" s="1" t="s">
        <v>24268</v>
      </c>
      <c r="D4865" s="1" t="s">
        <v>24269</v>
      </c>
      <c r="E4865" s="1" t="s">
        <v>24269</v>
      </c>
      <c r="F4865" s="1" t="s">
        <v>24270</v>
      </c>
      <c r="G4865" s="1" t="s">
        <v>24271</v>
      </c>
      <c r="H4865" s="1" t="str">
        <f>IFERROR(__xludf.DUMMYFUNCTION("GOOGLETRANSLATE(D4865,""EN"",""JA"")"),"コレラ菌のDNA")</f>
        <v>コレラ菌のDNA</v>
      </c>
      <c r="I4865" s="1" t="str">
        <f>IFERROR(__xludf.DUMMYFUNCTION("GOOGLETRANSLATE(E4865,""EN"",""JA"")"),"コレラ菌のDNA")</f>
        <v>コレラ菌のDNA</v>
      </c>
      <c r="J4865" s="1" t="str">
        <f>IFERROR(__xludf.DUMMYFUNCTION("GOOGLETRANSLATE(F4865,""EN"",""JA"")"),"生物標本中のコレラ菌 DNA の測定。")</f>
        <v>生物標本中のコレラ菌 DNA の測定。</v>
      </c>
      <c r="K4865" s="1" t="str">
        <f>IFERROR(__xludf.DUMMYFUNCTION("GOOGLETRANSLATE(G4865,""EN"",""JA"")"),"コレラ菌のDNA測定")</f>
        <v>コレラ菌のDNA測定</v>
      </c>
    </row>
    <row r="4866" ht="13.5" customHeight="1">
      <c r="A4866" s="1" t="s">
        <v>233</v>
      </c>
      <c r="B4866" s="1" t="s">
        <v>24272</v>
      </c>
      <c r="C4866" s="1" t="s">
        <v>24273</v>
      </c>
      <c r="D4866" s="1" t="s">
        <v>24274</v>
      </c>
      <c r="E4866" s="1" t="s">
        <v>24274</v>
      </c>
      <c r="F4866" s="1" t="s">
        <v>24275</v>
      </c>
      <c r="G4866" s="1" t="s">
        <v>24276</v>
      </c>
      <c r="H4866" s="1" t="str">
        <f>IFERROR(__xludf.DUMMYFUNCTION("GOOGLETRANSLATE(D4866,""EN"",""JA"")"),"生存直径")</f>
        <v>生存直径</v>
      </c>
      <c r="I4866" s="1" t="str">
        <f>IFERROR(__xludf.DUMMYFUNCTION("GOOGLETRANSLATE(E4866,""EN"",""JA"")"),"生存直径")</f>
        <v>生存直径</v>
      </c>
      <c r="J4866" s="1" t="str">
        <f>IFERROR(__xludf.DUMMYFUNCTION("GOOGLETRANSLATE(F4866,""EN"",""JA"")"),"成長、増殖、転移が可能な腫瘍塊の部分の直径。")</f>
        <v>成長、増殖、転移が可能な腫瘍塊の部分の直径。</v>
      </c>
      <c r="K4866" s="1" t="str">
        <f>IFERROR(__xludf.DUMMYFUNCTION("GOOGLETRANSLATE(G4866,""EN"",""JA"")"),"生存腫瘍径")</f>
        <v>生存腫瘍径</v>
      </c>
    </row>
    <row r="4867" ht="13.5" customHeight="1">
      <c r="A4867" s="1" t="s">
        <v>11</v>
      </c>
      <c r="B4867" s="1" t="s">
        <v>24277</v>
      </c>
      <c r="C4867" s="1" t="s">
        <v>24278</v>
      </c>
      <c r="D4867" s="1" t="s">
        <v>24279</v>
      </c>
      <c r="E4867" s="1" t="s">
        <v>24279</v>
      </c>
      <c r="F4867" s="1" t="s">
        <v>24280</v>
      </c>
      <c r="G4867" s="1" t="s">
        <v>24281</v>
      </c>
      <c r="H4867" s="1" t="str">
        <f>IFERROR(__xludf.DUMMYFUNCTION("GOOGLETRANSLATE(D4867,""EN"",""JA"")"),"血管内皮増殖因子")</f>
        <v>血管内皮増殖因子</v>
      </c>
      <c r="I4867" s="1" t="str">
        <f>IFERROR(__xludf.DUMMYFUNCTION("GOOGLETRANSLATE(E4867,""EN"",""JA"")"),"血管内皮増殖因子")</f>
        <v>血管内皮増殖因子</v>
      </c>
      <c r="J4867" s="1" t="str">
        <f>IFERROR(__xludf.DUMMYFUNCTION("GOOGLETRANSLATE(F4867,""EN"",""JA"")"),"生物標本中の血管内皮増殖因子の測定。")</f>
        <v>生物標本中の血管内皮増殖因子の測定。</v>
      </c>
      <c r="K4867" s="1" t="str">
        <f>IFERROR(__xludf.DUMMYFUNCTION("GOOGLETRANSLATE(G4867,""EN"",""JA"")"),"血管内皮増殖因子測定")</f>
        <v>血管内皮増殖因子測定</v>
      </c>
    </row>
    <row r="4868" ht="13.5" customHeight="1">
      <c r="A4868" s="1" t="s">
        <v>11</v>
      </c>
      <c r="B4868" s="1" t="s">
        <v>24282</v>
      </c>
      <c r="C4868" s="1" t="s">
        <v>24283</v>
      </c>
      <c r="D4868" s="1" t="s">
        <v>24284</v>
      </c>
      <c r="E4868" s="1" t="s">
        <v>24284</v>
      </c>
      <c r="F4868" s="1" t="s">
        <v>24285</v>
      </c>
      <c r="G4868" s="1" t="s">
        <v>24286</v>
      </c>
      <c r="H4868" s="1" t="str">
        <f>IFERROR(__xludf.DUMMYFUNCTION("GOOGLETRANSLATE(D4868,""EN"",""JA"")"),"血管内皮増殖因子A")</f>
        <v>血管内皮増殖因子A</v>
      </c>
      <c r="I4868" s="1" t="str">
        <f>IFERROR(__xludf.DUMMYFUNCTION("GOOGLETRANSLATE(E4868,""EN"",""JA"")"),"血管内皮増殖因子A")</f>
        <v>血管内皮増殖因子A</v>
      </c>
      <c r="J4868" s="1" t="str">
        <f>IFERROR(__xludf.DUMMYFUNCTION("GOOGLETRANSLATE(F4868,""EN"",""JA"")"),"生物標本中の血管内皮増殖因子Aの測定。")</f>
        <v>生物標本中の血管内皮増殖因子Aの測定。</v>
      </c>
      <c r="K4868" s="1" t="str">
        <f>IFERROR(__xludf.DUMMYFUNCTION("GOOGLETRANSLATE(G4868,""EN"",""JA"")"),"血管内皮増殖因子A測定")</f>
        <v>血管内皮増殖因子A測定</v>
      </c>
    </row>
    <row r="4869" ht="13.5" customHeight="1">
      <c r="A4869" s="1" t="s">
        <v>11</v>
      </c>
      <c r="B4869" s="1" t="s">
        <v>24287</v>
      </c>
      <c r="C4869" s="1" t="s">
        <v>24288</v>
      </c>
      <c r="D4869" s="1" t="s">
        <v>24289</v>
      </c>
      <c r="E4869" s="1" t="s">
        <v>24289</v>
      </c>
      <c r="F4869" s="1" t="s">
        <v>24290</v>
      </c>
      <c r="G4869" s="1" t="s">
        <v>24291</v>
      </c>
      <c r="H4869" s="1" t="str">
        <f>IFERROR(__xludf.DUMMYFUNCTION("GOOGLETRANSLATE(D4869,""EN"",""JA"")"),"血管内皮増殖因子C")</f>
        <v>血管内皮増殖因子C</v>
      </c>
      <c r="I4869" s="1" t="str">
        <f>IFERROR(__xludf.DUMMYFUNCTION("GOOGLETRANSLATE(E4869,""EN"",""JA"")"),"血管内皮増殖因子C")</f>
        <v>血管内皮増殖因子C</v>
      </c>
      <c r="J4869" s="1" t="str">
        <f>IFERROR(__xludf.DUMMYFUNCTION("GOOGLETRANSLATE(F4869,""EN"",""JA"")"),"生物標本中の血管内皮成長因子Cの測定。")</f>
        <v>生物標本中の血管内皮成長因子Cの測定。</v>
      </c>
      <c r="K4869" s="1" t="str">
        <f>IFERROR(__xludf.DUMMYFUNCTION("GOOGLETRANSLATE(G4869,""EN"",""JA"")"),"血管内皮増殖因子C測定")</f>
        <v>血管内皮増殖因子C測定</v>
      </c>
    </row>
    <row r="4870" ht="13.5" customHeight="1">
      <c r="A4870" s="1" t="s">
        <v>11</v>
      </c>
      <c r="B4870" s="1" t="s">
        <v>24292</v>
      </c>
      <c r="C4870" s="1" t="s">
        <v>24293</v>
      </c>
      <c r="D4870" s="1" t="s">
        <v>24294</v>
      </c>
      <c r="E4870" s="1" t="s">
        <v>24295</v>
      </c>
      <c r="F4870" s="1" t="s">
        <v>24296</v>
      </c>
      <c r="G4870" s="1" t="s">
        <v>24297</v>
      </c>
      <c r="H4870" s="1" t="str">
        <f>IFERROR(__xludf.DUMMYFUNCTION("GOOGLETRANSLATE(D4870,""EN"",""JA"")"),"血管内皮増殖因子D")</f>
        <v>血管内皮増殖因子D</v>
      </c>
      <c r="I4870" s="1" t="str">
        <f>IFERROR(__xludf.DUMMYFUNCTION("GOOGLETRANSLATE(E4870,""EN"",""JA"")"),"FIGF; 血管内皮増殖因子D")</f>
        <v>FIGF; 血管内皮増殖因子D</v>
      </c>
      <c r="J4870" s="1" t="str">
        <f>IFERROR(__xludf.DUMMYFUNCTION("GOOGLETRANSLATE(F4870,""EN"",""JA"")"),"生物標本中の血管内皮成長因子Dの測定。")</f>
        <v>生物標本中の血管内皮成長因子Dの測定。</v>
      </c>
      <c r="K4870" s="1" t="str">
        <f>IFERROR(__xludf.DUMMYFUNCTION("GOOGLETRANSLATE(G4870,""EN"",""JA"")"),"血管内皮増殖因子D測定")</f>
        <v>血管内皮増殖因子D測定</v>
      </c>
    </row>
    <row r="4871" ht="13.5" customHeight="1">
      <c r="A4871" s="1" t="s">
        <v>11</v>
      </c>
      <c r="B4871" s="1" t="s">
        <v>24298</v>
      </c>
      <c r="C4871" s="1" t="s">
        <v>24299</v>
      </c>
      <c r="D4871" s="1" t="s">
        <v>24300</v>
      </c>
      <c r="E4871" s="1" t="s">
        <v>24301</v>
      </c>
      <c r="F4871" s="1" t="s">
        <v>24302</v>
      </c>
      <c r="G4871" s="1" t="s">
        <v>24303</v>
      </c>
      <c r="H4871" s="1" t="str">
        <f>IFERROR(__xludf.DUMMYFUNCTION("GOOGLETRANSLATE(D4871,""EN"",""JA"")"),"可溶性血管内皮成長因子Rec1")</f>
        <v>可溶性血管内皮成長因子Rec1</v>
      </c>
      <c r="I4871" s="1" t="str">
        <f>IFERROR(__xludf.DUMMYFUNCTION("GOOGLETRANSLATE(E4871,""EN"",""JA"")"),"可溶性血管内皮増殖因子Rec1; 可溶性血管内皮増殖因子受容体1")</f>
        <v>可溶性血管内皮増殖因子Rec1; 可溶性血管内皮増殖因子受容体1</v>
      </c>
      <c r="J4871" s="1" t="str">
        <f>IFERROR(__xludf.DUMMYFUNCTION("GOOGLETRANSLATE(F4871,""EN"",""JA"")"),"生物標本中の可溶性血管内皮増殖因子受容体 1 の測定。")</f>
        <v>生物標本中の可溶性血管内皮増殖因子受容体 1 の測定。</v>
      </c>
      <c r="K4871" s="1" t="str">
        <f>IFERROR(__xludf.DUMMYFUNCTION("GOOGLETRANSLATE(G4871,""EN"",""JA"")"),"可溶性血管内皮増殖因子受容体1型測定")</f>
        <v>可溶性血管内皮増殖因子受容体1型測定</v>
      </c>
    </row>
    <row r="4872" ht="13.5" customHeight="1">
      <c r="A4872" s="1" t="s">
        <v>11</v>
      </c>
      <c r="B4872" s="1" t="s">
        <v>24304</v>
      </c>
      <c r="C4872" s="1" t="s">
        <v>24305</v>
      </c>
      <c r="D4872" s="1" t="s">
        <v>24306</v>
      </c>
      <c r="E4872" s="1" t="s">
        <v>24307</v>
      </c>
      <c r="F4872" s="1" t="s">
        <v>24308</v>
      </c>
      <c r="G4872" s="1" t="s">
        <v>24309</v>
      </c>
      <c r="H4872" s="1" t="str">
        <f>IFERROR(__xludf.DUMMYFUNCTION("GOOGLETRANSLATE(D4872,""EN"",""JA"")"),"血管内皮成長因子Rec 2")</f>
        <v>血管内皮成長因子Rec 2</v>
      </c>
      <c r="I4872" s="1" t="str">
        <f>IFERROR(__xludf.DUMMYFUNCTION("GOOGLETRANSLATE(E4872,""EN"",""JA"")"),"血管内皮成長因子受容体2")</f>
        <v>血管内皮成長因子受容体2</v>
      </c>
      <c r="J4872" s="1" t="str">
        <f>IFERROR(__xludf.DUMMYFUNCTION("GOOGLETRANSLATE(F4872,""EN"",""JA"")"),"生物標本中の血管内皮増殖因子受容体 2 の測定。")</f>
        <v>生物標本中の血管内皮増殖因子受容体 2 の測定。</v>
      </c>
      <c r="K4872" s="1" t="str">
        <f>IFERROR(__xludf.DUMMYFUNCTION("GOOGLETRANSLATE(G4872,""EN"",""JA"")"),"血管内皮増殖因子受容体2の測定")</f>
        <v>血管内皮増殖因子受容体2の測定</v>
      </c>
    </row>
    <row r="4873" ht="13.5" customHeight="1">
      <c r="A4873" s="1" t="s">
        <v>11</v>
      </c>
      <c r="B4873" s="1" t="s">
        <v>24310</v>
      </c>
      <c r="C4873" s="1" t="s">
        <v>24311</v>
      </c>
      <c r="D4873" s="1" t="s">
        <v>24312</v>
      </c>
      <c r="E4873" s="1" t="s">
        <v>24313</v>
      </c>
      <c r="F4873" s="1" t="s">
        <v>24314</v>
      </c>
      <c r="G4873" s="1" t="s">
        <v>24315</v>
      </c>
      <c r="H4873" s="1" t="str">
        <f>IFERROR(__xludf.DUMMYFUNCTION("GOOGLETRANSLATE(D4873,""EN"",""JA"")"),"可溶性血管内皮成長因子Rec2")</f>
        <v>可溶性血管内皮成長因子Rec2</v>
      </c>
      <c r="I4873" s="1" t="str">
        <f>IFERROR(__xludf.DUMMYFUNCTION("GOOGLETRANSLATE(E4873,""EN"",""JA"")"),"可溶性血管内皮増殖因子Rec2; 可溶性血管内皮増殖因子受容体2")</f>
        <v>可溶性血管内皮増殖因子Rec2; 可溶性血管内皮増殖因子受容体2</v>
      </c>
      <c r="J4873" s="1" t="str">
        <f>IFERROR(__xludf.DUMMYFUNCTION("GOOGLETRANSLATE(F4873,""EN"",""JA"")"),"生物標本中の可溶性血管内皮増殖因子受容体 2 の測定。")</f>
        <v>生物標本中の可溶性血管内皮増殖因子受容体 2 の測定。</v>
      </c>
      <c r="K4873" s="1" t="str">
        <f>IFERROR(__xludf.DUMMYFUNCTION("GOOGLETRANSLATE(G4873,""EN"",""JA"")"),"可溶性血管内皮増殖因子受容体2型測定")</f>
        <v>可溶性血管内皮増殖因子受容体2型測定</v>
      </c>
    </row>
    <row r="4874" ht="13.5" customHeight="1">
      <c r="A4874" s="1" t="s">
        <v>11</v>
      </c>
      <c r="B4874" s="1" t="s">
        <v>24316</v>
      </c>
      <c r="C4874" s="1" t="s">
        <v>24317</v>
      </c>
      <c r="D4874" s="1" t="s">
        <v>24318</v>
      </c>
      <c r="E4874" s="1" t="s">
        <v>24319</v>
      </c>
      <c r="F4874" s="1" t="s">
        <v>24320</v>
      </c>
      <c r="G4874" s="1" t="s">
        <v>24321</v>
      </c>
      <c r="H4874" s="1" t="str">
        <f>IFERROR(__xludf.DUMMYFUNCTION("GOOGLETRANSLATE(D4874,""EN"",""JA"")"),"可溶性血管内皮成長因子Rec3")</f>
        <v>可溶性血管内皮成長因子Rec3</v>
      </c>
      <c r="I4874" s="1" t="str">
        <f>IFERROR(__xludf.DUMMYFUNCTION("GOOGLETRANSLATE(E4874,""EN"",""JA"")"),"可溶性血管内皮増殖因子Rec3; 可溶性血管内皮増殖因子受容体3")</f>
        <v>可溶性血管内皮増殖因子Rec3; 可溶性血管内皮増殖因子受容体3</v>
      </c>
      <c r="J4874" s="1" t="str">
        <f>IFERROR(__xludf.DUMMYFUNCTION("GOOGLETRANSLATE(F4874,""EN"",""JA"")"),"生物標本中の可溶性血管内皮増殖因子受容体 3 の測定。")</f>
        <v>生物標本中の可溶性血管内皮増殖因子受容体 3 の測定。</v>
      </c>
      <c r="K4874" s="1" t="str">
        <f>IFERROR(__xludf.DUMMYFUNCTION("GOOGLETRANSLATE(G4874,""EN"",""JA"")"),"可溶性血管内皮増殖因子受容体3型測定")</f>
        <v>可溶性血管内皮増殖因子受容体3型測定</v>
      </c>
    </row>
    <row r="4875" ht="13.5" customHeight="1">
      <c r="A4875" s="1" t="s">
        <v>90</v>
      </c>
      <c r="B4875" s="1" t="s">
        <v>24322</v>
      </c>
      <c r="C4875" s="1" t="s">
        <v>24323</v>
      </c>
      <c r="D4875" s="1" t="s">
        <v>24324</v>
      </c>
      <c r="E4875" s="1" t="s">
        <v>24324</v>
      </c>
      <c r="F4875" s="1" t="s">
        <v>24325</v>
      </c>
      <c r="G4875" s="1" t="s">
        <v>24326</v>
      </c>
      <c r="H4875" s="1" t="str">
        <f>IFERROR(__xludf.DUMMYFUNCTION("GOOGLETRANSLATE(D4875,""EN"",""JA"")"),"速度時間積分、血流")</f>
        <v>速度時間積分、血流</v>
      </c>
      <c r="I4875" s="1" t="str">
        <f>IFERROR(__xludf.DUMMYFUNCTION("GOOGLETRANSLATE(E4875,""EN"",""JA"")"),"速度時間積分、血流")</f>
        <v>速度時間積分、血流</v>
      </c>
      <c r="J4875" s="1" t="str">
        <f>IFERROR(__xludf.DUMMYFUNCTION("GOOGLETRANSLATE(F4875,""EN"",""JA"")"),"指定された領域内または領域を流れる血液の時間中のすべての前進流速度の積分。")</f>
        <v>指定された領域内または領域を流れる血液の時間中のすべての前進流速度の積分。</v>
      </c>
      <c r="K4875" s="1" t="str">
        <f>IFERROR(__xludf.DUMMYFUNCTION("GOOGLETRANSLATE(G4875,""EN"",""JA"")"),"血流速度時間積分")</f>
        <v>血流速度時間積分</v>
      </c>
    </row>
    <row r="4876" ht="13.5" customHeight="1">
      <c r="A4876" s="1" t="s">
        <v>11</v>
      </c>
      <c r="B4876" s="1" t="s">
        <v>24327</v>
      </c>
      <c r="C4876" s="1" t="s">
        <v>24328</v>
      </c>
      <c r="D4876" s="1" t="s">
        <v>24329</v>
      </c>
      <c r="E4876" s="1" t="s">
        <v>24329</v>
      </c>
      <c r="F4876" s="1" t="s">
        <v>24330</v>
      </c>
      <c r="G4876" s="1" t="s">
        <v>24331</v>
      </c>
      <c r="H4876" s="1" t="str">
        <f>IFERROR(__xludf.DUMMYFUNCTION("GOOGLETRANSLATE(D4876,""EN"",""JA"")"),"ベンラファキシン")</f>
        <v>ベンラファキシン</v>
      </c>
      <c r="I4876" s="1" t="str">
        <f>IFERROR(__xludf.DUMMYFUNCTION("GOOGLETRANSLATE(E4876,""EN"",""JA"")"),"ベンラファキシン")</f>
        <v>ベンラファキシン</v>
      </c>
      <c r="J4876" s="1" t="str">
        <f>IFERROR(__xludf.DUMMYFUNCTION("GOOGLETRANSLATE(F4876,""EN"",""JA"")"),"生物学的標本中に存在するベンラファキシンの測定。")</f>
        <v>生物学的標本中に存在するベンラファキシンの測定。</v>
      </c>
      <c r="K4876" s="1" t="str">
        <f>IFERROR(__xludf.DUMMYFUNCTION("GOOGLETRANSLATE(G4876,""EN"",""JA"")"),"ベンラファキシンの測定")</f>
        <v>ベンラファキシンの測定</v>
      </c>
    </row>
    <row r="4877" ht="13.5" customHeight="1">
      <c r="A4877" s="1" t="s">
        <v>134</v>
      </c>
      <c r="B4877" s="1" t="s">
        <v>24332</v>
      </c>
      <c r="C4877" s="1" t="s">
        <v>24333</v>
      </c>
      <c r="D4877" s="1" t="s">
        <v>24334</v>
      </c>
      <c r="E4877" s="1" t="s">
        <v>24334</v>
      </c>
      <c r="F4877" s="1" t="s">
        <v>24335</v>
      </c>
      <c r="G4877" s="1" t="s">
        <v>24336</v>
      </c>
      <c r="H4877" s="1" t="str">
        <f>IFERROR(__xludf.DUMMYFUNCTION("GOOGLETRANSLATE(D4877,""EN"",""JA"")"),"血管線維性内膜肥厚")</f>
        <v>血管線維性内膜肥厚</v>
      </c>
      <c r="I4877" s="1" t="str">
        <f>IFERROR(__xludf.DUMMYFUNCTION("GOOGLETRANSLATE(E4877,""EN"",""JA"")"),"血管線維性内膜肥厚")</f>
        <v>血管線維性内膜肥厚</v>
      </c>
      <c r="J4877" s="1" t="str">
        <f>IFERROR(__xludf.DUMMYFUNCTION("GOOGLETRANSLATE(F4877,""EN"",""JA"")"),"生物標本における血管の線維内膜肥厚の評価。")</f>
        <v>生物標本における血管の線維内膜肥厚の評価。</v>
      </c>
      <c r="K4877" s="1" t="str">
        <f>IFERROR(__xludf.DUMMYFUNCTION("GOOGLETRANSLATE(G4877,""EN"",""JA"")"),"血管線維性内膜肥厚の評価")</f>
        <v>血管線維性内膜肥厚の評価</v>
      </c>
    </row>
    <row r="4878" ht="13.5" customHeight="1">
      <c r="A4878" s="1" t="s">
        <v>11</v>
      </c>
      <c r="B4878" s="1" t="s">
        <v>24337</v>
      </c>
      <c r="C4878" s="1" t="s">
        <v>24338</v>
      </c>
      <c r="D4878" s="1" t="s">
        <v>24338</v>
      </c>
      <c r="E4878" s="1" t="s">
        <v>24339</v>
      </c>
      <c r="F4878" s="1" t="s">
        <v>24340</v>
      </c>
      <c r="G4878" s="1" t="s">
        <v>24341</v>
      </c>
      <c r="H4878" s="1" t="str">
        <f>IFERROR(__xludf.DUMMYFUNCTION("GOOGLETRANSLATE(D4878,""EN"",""JA"")"),"VICM")</f>
        <v>VICM</v>
      </c>
      <c r="I4878" s="1" t="str">
        <f>IFERROR(__xludf.DUMMYFUNCTION("GOOGLETRANSLATE(E4878,""EN"",""JA"")"),"シトルリン化およびMMP分解ビメンチンVICM; VICM")</f>
        <v>シトルリン化およびMMP分解ビメンチンVICM; VICM</v>
      </c>
      <c r="J4878" s="1" t="str">
        <f>IFERROR(__xludf.DUMMYFUNCTION("GOOGLETRANSLATE(F4878,""EN"",""JA"")"),"生物標本中のシトルリン化され MMP 分解されたビメ​​ンチン断片 VICM の測定。")</f>
        <v>生物標本中のシトルリン化され MMP 分解されたビメ​​ンチン断片 VICM の測定。</v>
      </c>
      <c r="K4878" s="1" t="str">
        <f>IFERROR(__xludf.DUMMYFUNCTION("GOOGLETRANSLATE(G4878,""EN"",""JA"")"),"シトルリン化およびMMP分解ビメンチン測定")</f>
        <v>シトルリン化およびMMP分解ビメンチン測定</v>
      </c>
    </row>
    <row r="4879" ht="13.5" customHeight="1">
      <c r="A4879" s="1" t="s">
        <v>601</v>
      </c>
      <c r="B4879" s="1" t="s">
        <v>24342</v>
      </c>
      <c r="C4879" s="1" t="s">
        <v>24343</v>
      </c>
      <c r="D4879" s="1" t="s">
        <v>24344</v>
      </c>
      <c r="E4879" s="1" t="s">
        <v>24344</v>
      </c>
      <c r="F4879" s="1" t="s">
        <v>24345</v>
      </c>
      <c r="G4879" s="1" t="s">
        <v>24344</v>
      </c>
      <c r="H4879" s="1" t="str">
        <f>IFERROR(__xludf.DUMMYFUNCTION("GOOGLETRANSLATE(D4879,""EN"",""JA"")"),"本籍地の村")</f>
        <v>本籍地の村</v>
      </c>
      <c r="I4879" s="1" t="str">
        <f>IFERROR(__xludf.DUMMYFUNCTION("GOOGLETRANSLATE(E4879,""EN"",""JA"")"),"本籍地の村")</f>
        <v>本籍地の村</v>
      </c>
      <c r="J4879" s="1" t="str">
        <f>IFERROR(__xludf.DUMMYFUNCTION("GOOGLETRANSLATE(F4879,""EN"",""JA"")"),"個人の永住地として特定された村。")</f>
        <v>個人の永住地として特定された村。</v>
      </c>
      <c r="K4879" s="1" t="str">
        <f>IFERROR(__xludf.DUMMYFUNCTION("GOOGLETRANSLATE(G4879,""EN"",""JA"")"),"本籍地の村")</f>
        <v>本籍地の村</v>
      </c>
    </row>
    <row r="4880" ht="13.5" customHeight="1">
      <c r="A4880" s="1" t="s">
        <v>11</v>
      </c>
      <c r="B4880" s="1" t="s">
        <v>24346</v>
      </c>
      <c r="C4880" s="1" t="s">
        <v>24347</v>
      </c>
      <c r="D4880" s="1" t="s">
        <v>24348</v>
      </c>
      <c r="E4880" s="1" t="s">
        <v>24348</v>
      </c>
      <c r="F4880" s="1" t="s">
        <v>24349</v>
      </c>
      <c r="G4880" s="1" t="s">
        <v>24350</v>
      </c>
      <c r="H4880" s="1" t="str">
        <f>IFERROR(__xludf.DUMMYFUNCTION("GOOGLETRANSLATE(D4880,""EN"",""JA"")"),"ビンバルビタール")</f>
        <v>ビンバルビタール</v>
      </c>
      <c r="I4880" s="1" t="str">
        <f>IFERROR(__xludf.DUMMYFUNCTION("GOOGLETRANSLATE(E4880,""EN"",""JA"")"),"ビンバルビタール")</f>
        <v>ビンバルビタール</v>
      </c>
      <c r="J4880" s="1" t="str">
        <f>IFERROR(__xludf.DUMMYFUNCTION("GOOGLETRANSLATE(F4880,""EN"",""JA"")"),"生物標本中のビンバルビタールの測定。")</f>
        <v>生物標本中のビンバルビタールの測定。</v>
      </c>
      <c r="K4880" s="1" t="str">
        <f>IFERROR(__xludf.DUMMYFUNCTION("GOOGLETRANSLATE(G4880,""EN"",""JA"")"),"ビンバルビタール測定")</f>
        <v>ビンバルビタール測定</v>
      </c>
    </row>
    <row r="4881" ht="13.5" customHeight="1">
      <c r="A4881" s="1" t="s">
        <v>11</v>
      </c>
      <c r="B4881" s="1" t="s">
        <v>24351</v>
      </c>
      <c r="C4881" s="1" t="s">
        <v>24352</v>
      </c>
      <c r="D4881" s="1" t="s">
        <v>24353</v>
      </c>
      <c r="E4881" s="1" t="s">
        <v>24354</v>
      </c>
      <c r="F4881" s="1" t="s">
        <v>24355</v>
      </c>
      <c r="G4881" s="1" t="s">
        <v>24356</v>
      </c>
      <c r="H4881" s="1" t="str">
        <f>IFERROR(__xludf.DUMMYFUNCTION("GOOGLETRANSLATE(D4881,""EN"",""JA"")"),"血管作動性腸管ポリペプチド")</f>
        <v>血管作動性腸管ポリペプチド</v>
      </c>
      <c r="I4881" s="1" t="str">
        <f>IFERROR(__xludf.DUMMYFUNCTION("GOOGLETRANSLATE(E4881,""EN"",""JA"")"),"血管作動性腸管ポリペプチド; VIP")</f>
        <v>血管作動性腸管ポリペプチド; VIP</v>
      </c>
      <c r="J4881" s="1" t="str">
        <f>IFERROR(__xludf.DUMMYFUNCTION("GOOGLETRANSLATE(F4881,""EN"",""JA"")"),"生物学的標本中の血管作動性腸管ポリペプチドの測定。")</f>
        <v>生物学的標本中の血管作動性腸管ポリペプチドの測定。</v>
      </c>
      <c r="K4881" s="1" t="str">
        <f>IFERROR(__xludf.DUMMYFUNCTION("GOOGLETRANSLATE(G4881,""EN"",""JA"")"),"血管作動性腸管ポリペプチド測定")</f>
        <v>血管作動性腸管ポリペプチド測定</v>
      </c>
    </row>
    <row r="4882" ht="13.5" customHeight="1">
      <c r="A4882" s="1" t="s">
        <v>11</v>
      </c>
      <c r="B4882" s="1" t="s">
        <v>24357</v>
      </c>
      <c r="C4882" s="1" t="s">
        <v>24358</v>
      </c>
      <c r="D4882" s="1" t="s">
        <v>24359</v>
      </c>
      <c r="E4882" s="1" t="s">
        <v>24360</v>
      </c>
      <c r="F4882" s="1" t="s">
        <v>24361</v>
      </c>
      <c r="G4882" s="1" t="s">
        <v>24359</v>
      </c>
      <c r="H4882" s="1" t="str">
        <f>IFERROR(__xludf.DUMMYFUNCTION("GOOGLETRANSLATE(D4882,""EN"",""JA"")"),"粘度")</f>
        <v>粘度</v>
      </c>
      <c r="I4882" s="1" t="str">
        <f>IFERROR(__xludf.DUMMYFUNCTION("GOOGLETRANSLATE(E4882,""EN"",""JA"")"),"粘度")</f>
        <v>粘度</v>
      </c>
      <c r="J4882" s="1" t="str">
        <f>IFERROR(__xludf.DUMMYFUNCTION("GOOGLETRANSLATE(F4882,""EN"",""JA"")"),"液体のせん断力と流れに対する抵抗。(NCI)")</f>
        <v>液体のせん断力と流れに対する抵抗。(NCI)</v>
      </c>
      <c r="K4882" s="1" t="str">
        <f>IFERROR(__xludf.DUMMYFUNCTION("GOOGLETRANSLATE(G4882,""EN"",""JA"")"),"粘度")</f>
        <v>粘度</v>
      </c>
    </row>
    <row r="4883" ht="13.5" customHeight="1">
      <c r="A4883" s="1" t="s">
        <v>11</v>
      </c>
      <c r="B4883" s="1" t="s">
        <v>24362</v>
      </c>
      <c r="C4883" s="1" t="s">
        <v>24363</v>
      </c>
      <c r="D4883" s="1" t="s">
        <v>24364</v>
      </c>
      <c r="E4883" s="1" t="s">
        <v>24365</v>
      </c>
      <c r="F4883" s="1" t="s">
        <v>24366</v>
      </c>
      <c r="G4883" s="1" t="s">
        <v>24367</v>
      </c>
      <c r="H4883" s="1" t="str">
        <f>IFERROR(__xludf.DUMMYFUNCTION("GOOGLETRANSLATE(D4883,""EN"",""JA"")"),"ビタミンA")</f>
        <v>ビタミンA</v>
      </c>
      <c r="I4883" s="1" t="str">
        <f>IFERROR(__xludf.DUMMYFUNCTION("GOOGLETRANSLATE(E4883,""EN"",""JA"")"),"レチノール; ビタミンA")</f>
        <v>レチノール; ビタミンA</v>
      </c>
      <c r="J4883" s="1" t="str">
        <f>IFERROR(__xludf.DUMMYFUNCTION("GOOGLETRANSLATE(F4883,""EN"",""JA"")"),"生物標本中のビタミン A の測定。")</f>
        <v>生物標本中のビタミン A の測定。</v>
      </c>
      <c r="K4883" s="1" t="str">
        <f>IFERROR(__xludf.DUMMYFUNCTION("GOOGLETRANSLATE(G4883,""EN"",""JA"")"),"ビタミンA測定")</f>
        <v>ビタミンA測定</v>
      </c>
    </row>
    <row r="4884" ht="13.5" customHeight="1">
      <c r="A4884" s="1" t="s">
        <v>11</v>
      </c>
      <c r="B4884" s="1" t="s">
        <v>24368</v>
      </c>
      <c r="C4884" s="1" t="s">
        <v>24369</v>
      </c>
      <c r="D4884" s="1" t="s">
        <v>24370</v>
      </c>
      <c r="E4884" s="1" t="s">
        <v>24371</v>
      </c>
      <c r="F4884" s="1" t="s">
        <v>24372</v>
      </c>
      <c r="G4884" s="1" t="s">
        <v>24373</v>
      </c>
      <c r="H4884" s="1" t="str">
        <f>IFERROR(__xludf.DUMMYFUNCTION("GOOGLETRANSLATE(D4884,""EN"",""JA"")"),"チアミン")</f>
        <v>チアミン</v>
      </c>
      <c r="I4884" s="1" t="str">
        <f>IFERROR(__xludf.DUMMYFUNCTION("GOOGLETRANSLATE(E4884,""EN"",""JA"")"),"チアミン; ビタミンB1")</f>
        <v>チアミン; ビタミンB1</v>
      </c>
      <c r="J4884" s="1" t="str">
        <f>IFERROR(__xludf.DUMMYFUNCTION("GOOGLETRANSLATE(F4884,""EN"",""JA"")"),"生物標本中のチアミンの測定。")</f>
        <v>生物標本中のチアミンの測定。</v>
      </c>
      <c r="K4884" s="1" t="str">
        <f>IFERROR(__xludf.DUMMYFUNCTION("GOOGLETRANSLATE(G4884,""EN"",""JA"")"),"ビタミンB1測定")</f>
        <v>ビタミンB1測定</v>
      </c>
    </row>
    <row r="4885" ht="13.5" customHeight="1">
      <c r="A4885" s="1" t="s">
        <v>11</v>
      </c>
      <c r="B4885" s="1" t="s">
        <v>24374</v>
      </c>
      <c r="C4885" s="1" t="s">
        <v>24375</v>
      </c>
      <c r="D4885" s="1" t="s">
        <v>24376</v>
      </c>
      <c r="E4885" s="1" t="s">
        <v>24377</v>
      </c>
      <c r="F4885" s="1" t="s">
        <v>24378</v>
      </c>
      <c r="G4885" s="1" t="s">
        <v>24379</v>
      </c>
      <c r="H4885" s="1" t="str">
        <f>IFERROR(__xludf.DUMMYFUNCTION("GOOGLETRANSLATE(D4885,""EN"",""JA"")"),"ビタミンB12")</f>
        <v>ビタミンB12</v>
      </c>
      <c r="I4885" s="1" t="str">
        <f>IFERROR(__xludf.DUMMYFUNCTION("GOOGLETRANSLATE(E4885,""EN"",""JA"")"),"コバラミン、ビタミンB12")</f>
        <v>コバラミン、ビタミンB12</v>
      </c>
      <c r="J4885" s="1" t="str">
        <f>IFERROR(__xludf.DUMMYFUNCTION("GOOGLETRANSLATE(F4885,""EN"",""JA"")"),"生物標本中のビタミン B12 の測定。")</f>
        <v>生物標本中のビタミン B12 の測定。</v>
      </c>
      <c r="K4885" s="1" t="str">
        <f>IFERROR(__xludf.DUMMYFUNCTION("GOOGLETRANSLATE(G4885,""EN"",""JA"")"),"ビタミンB12測定")</f>
        <v>ビタミンB12測定</v>
      </c>
    </row>
    <row r="4886" ht="13.5" customHeight="1">
      <c r="A4886" s="1" t="s">
        <v>11</v>
      </c>
      <c r="B4886" s="1" t="s">
        <v>24380</v>
      </c>
      <c r="C4886" s="1" t="s">
        <v>24381</v>
      </c>
      <c r="D4886" s="1" t="s">
        <v>24382</v>
      </c>
      <c r="E4886" s="1" t="s">
        <v>24383</v>
      </c>
      <c r="F4886" s="1" t="s">
        <v>24384</v>
      </c>
      <c r="G4886" s="1" t="s">
        <v>24385</v>
      </c>
      <c r="H4886" s="1" t="str">
        <f>IFERROR(__xludf.DUMMYFUNCTION("GOOGLETRANSLATE(D4886,""EN"",""JA"")"),"ビタミンB17")</f>
        <v>ビタミンB17</v>
      </c>
      <c r="I4886" s="1" t="str">
        <f>IFERROR(__xludf.DUMMYFUNCTION("GOOGLETRANSLATE(E4886,""EN"",""JA"")"),"アミグダリン; ビタミンB17")</f>
        <v>アミグダリン; ビタミンB17</v>
      </c>
      <c r="J4886" s="1" t="str">
        <f>IFERROR(__xludf.DUMMYFUNCTION("GOOGLETRANSLATE(F4886,""EN"",""JA"")"),"生物標本中のビタミン B17 の測定。")</f>
        <v>生物標本中のビタミン B17 の測定。</v>
      </c>
      <c r="K4886" s="1" t="str">
        <f>IFERROR(__xludf.DUMMYFUNCTION("GOOGLETRANSLATE(G4886,""EN"",""JA"")"),"ビタミンB17測定")</f>
        <v>ビタミンB17測定</v>
      </c>
    </row>
    <row r="4887" ht="13.5" customHeight="1">
      <c r="A4887" s="1" t="s">
        <v>11</v>
      </c>
      <c r="B4887" s="1" t="s">
        <v>24386</v>
      </c>
      <c r="C4887" s="1" t="s">
        <v>24387</v>
      </c>
      <c r="D4887" s="1" t="s">
        <v>24388</v>
      </c>
      <c r="E4887" s="1" t="s">
        <v>24389</v>
      </c>
      <c r="F4887" s="1" t="s">
        <v>24390</v>
      </c>
      <c r="G4887" s="1" t="s">
        <v>24391</v>
      </c>
      <c r="H4887" s="1" t="str">
        <f>IFERROR(__xludf.DUMMYFUNCTION("GOOGLETRANSLATE(D4887,""EN"",""JA"")"),"リボフラビン")</f>
        <v>リボフラビン</v>
      </c>
      <c r="I4887" s="1" t="str">
        <f>IFERROR(__xludf.DUMMYFUNCTION("GOOGLETRANSLATE(E4887,""EN"",""JA"")"),"リボフラビン; ビタミンB2")</f>
        <v>リボフラビン; ビタミンB2</v>
      </c>
      <c r="J4887" s="1" t="str">
        <f>IFERROR(__xludf.DUMMYFUNCTION("GOOGLETRANSLATE(F4887,""EN"",""JA"")"),"生物標本中のリボフラビンの測定。")</f>
        <v>生物標本中のリボフラビンの測定。</v>
      </c>
      <c r="K4887" s="1" t="str">
        <f>IFERROR(__xludf.DUMMYFUNCTION("GOOGLETRANSLATE(G4887,""EN"",""JA"")"),"ビタミンB2測定")</f>
        <v>ビタミンB2測定</v>
      </c>
    </row>
    <row r="4888" ht="13.5" customHeight="1">
      <c r="A4888" s="1" t="s">
        <v>11</v>
      </c>
      <c r="B4888" s="1" t="s">
        <v>24392</v>
      </c>
      <c r="C4888" s="1" t="s">
        <v>24393</v>
      </c>
      <c r="D4888" s="1" t="s">
        <v>24394</v>
      </c>
      <c r="E4888" s="1" t="s">
        <v>24395</v>
      </c>
      <c r="F4888" s="1" t="s">
        <v>24396</v>
      </c>
      <c r="G4888" s="1" t="s">
        <v>24397</v>
      </c>
      <c r="H4888" s="1" t="str">
        <f>IFERROR(__xludf.DUMMYFUNCTION("GOOGLETRANSLATE(D4888,""EN"",""JA"")"),"ナイアシン")</f>
        <v>ナイアシン</v>
      </c>
      <c r="I4888" s="1" t="str">
        <f>IFERROR(__xludf.DUMMYFUNCTION("GOOGLETRANSLATE(E4888,""EN"",""JA"")"),"ナイアシン、ビタミンB3")</f>
        <v>ナイアシン、ビタミンB3</v>
      </c>
      <c r="J4888" s="1" t="str">
        <f>IFERROR(__xludf.DUMMYFUNCTION("GOOGLETRANSLATE(F4888,""EN"",""JA"")"),"生物標本中のナイアシンの測定。")</f>
        <v>生物標本中のナイアシンの測定。</v>
      </c>
      <c r="K4888" s="1" t="str">
        <f>IFERROR(__xludf.DUMMYFUNCTION("GOOGLETRANSLATE(G4888,""EN"",""JA"")"),"ビタミンB3測定")</f>
        <v>ビタミンB3測定</v>
      </c>
    </row>
    <row r="4889" ht="13.5" customHeight="1">
      <c r="A4889" s="1" t="s">
        <v>11</v>
      </c>
      <c r="B4889" s="1" t="s">
        <v>24398</v>
      </c>
      <c r="C4889" s="1" t="s">
        <v>24399</v>
      </c>
      <c r="D4889" s="1" t="s">
        <v>24400</v>
      </c>
      <c r="E4889" s="1" t="s">
        <v>24401</v>
      </c>
      <c r="F4889" s="1" t="s">
        <v>24402</v>
      </c>
      <c r="G4889" s="1" t="s">
        <v>24403</v>
      </c>
      <c r="H4889" s="1" t="str">
        <f>IFERROR(__xludf.DUMMYFUNCTION("GOOGLETRANSLATE(D4889,""EN"",""JA"")"),"ビタミンB5")</f>
        <v>ビタミンB5</v>
      </c>
      <c r="I4889" s="1" t="str">
        <f>IFERROR(__xludf.DUMMYFUNCTION("GOOGLETRANSLATE(E4889,""EN"",""JA"")"),"パントテン酸; ビタミンB5")</f>
        <v>パントテン酸; ビタミンB5</v>
      </c>
      <c r="J4889" s="1" t="str">
        <f>IFERROR(__xludf.DUMMYFUNCTION("GOOGLETRANSLATE(F4889,""EN"",""JA"")"),"生物標本中のビタミン B5 の測定。")</f>
        <v>生物標本中のビタミン B5 の測定。</v>
      </c>
      <c r="K4889" s="1" t="str">
        <f>IFERROR(__xludf.DUMMYFUNCTION("GOOGLETRANSLATE(G4889,""EN"",""JA"")"),"ビタミンB5測定")</f>
        <v>ビタミンB5測定</v>
      </c>
    </row>
    <row r="4890" ht="13.5" customHeight="1">
      <c r="A4890" s="1" t="s">
        <v>11</v>
      </c>
      <c r="B4890" s="1" t="s">
        <v>24404</v>
      </c>
      <c r="C4890" s="1" t="s">
        <v>24405</v>
      </c>
      <c r="D4890" s="1" t="s">
        <v>24406</v>
      </c>
      <c r="E4890" s="1" t="s">
        <v>24407</v>
      </c>
      <c r="F4890" s="1" t="s">
        <v>24408</v>
      </c>
      <c r="G4890" s="1" t="s">
        <v>24409</v>
      </c>
      <c r="H4890" s="1" t="str">
        <f>IFERROR(__xludf.DUMMYFUNCTION("GOOGLETRANSLATE(D4890,""EN"",""JA"")"),"ビタミンB6")</f>
        <v>ビタミンB6</v>
      </c>
      <c r="I4890" s="1" t="str">
        <f>IFERROR(__xludf.DUMMYFUNCTION("GOOGLETRANSLATE(E4890,""EN"",""JA"")"),"ピリドキシン; ビタミンB6")</f>
        <v>ピリドキシン; ビタミンB6</v>
      </c>
      <c r="J4890" s="1" t="str">
        <f>IFERROR(__xludf.DUMMYFUNCTION("GOOGLETRANSLATE(F4890,""EN"",""JA"")"),"生物標本中のビタミン B6 の測定。")</f>
        <v>生物標本中のビタミン B6 の測定。</v>
      </c>
      <c r="K4890" s="1" t="str">
        <f>IFERROR(__xludf.DUMMYFUNCTION("GOOGLETRANSLATE(G4890,""EN"",""JA"")"),"ビタミンB6測定")</f>
        <v>ビタミンB6測定</v>
      </c>
    </row>
    <row r="4891" ht="13.5" customHeight="1">
      <c r="A4891" s="1" t="s">
        <v>11</v>
      </c>
      <c r="B4891" s="1" t="s">
        <v>24410</v>
      </c>
      <c r="C4891" s="1" t="s">
        <v>24411</v>
      </c>
      <c r="D4891" s="1" t="s">
        <v>24412</v>
      </c>
      <c r="E4891" s="1" t="s">
        <v>24413</v>
      </c>
      <c r="F4891" s="1" t="s">
        <v>24414</v>
      </c>
      <c r="G4891" s="1" t="s">
        <v>24415</v>
      </c>
      <c r="H4891" s="1" t="str">
        <f>IFERROR(__xludf.DUMMYFUNCTION("GOOGLETRANSLATE(D4891,""EN"",""JA"")"),"ビタミンB7")</f>
        <v>ビタミンB7</v>
      </c>
      <c r="I4891" s="1" t="str">
        <f>IFERROR(__xludf.DUMMYFUNCTION("GOOGLETRANSLATE(E4891,""EN"",""JA"")"),"ビオチン; ビタミンB7")</f>
        <v>ビオチン; ビタミンB7</v>
      </c>
      <c r="J4891" s="1" t="str">
        <f>IFERROR(__xludf.DUMMYFUNCTION("GOOGLETRANSLATE(F4891,""EN"",""JA"")"),"生物標本中のビタミン B7 の測定。")</f>
        <v>生物標本中のビタミン B7 の測定。</v>
      </c>
      <c r="K4891" s="1" t="str">
        <f>IFERROR(__xludf.DUMMYFUNCTION("GOOGLETRANSLATE(G4891,""EN"",""JA"")"),"ビタミンB7測定")</f>
        <v>ビタミンB7測定</v>
      </c>
    </row>
    <row r="4892" ht="13.5" customHeight="1">
      <c r="A4892" s="1" t="s">
        <v>11</v>
      </c>
      <c r="B4892" s="1" t="s">
        <v>24416</v>
      </c>
      <c r="C4892" s="1" t="s">
        <v>24417</v>
      </c>
      <c r="D4892" s="1" t="s">
        <v>24418</v>
      </c>
      <c r="E4892" s="1" t="s">
        <v>24419</v>
      </c>
      <c r="F4892" s="1" t="s">
        <v>24420</v>
      </c>
      <c r="G4892" s="1" t="s">
        <v>24421</v>
      </c>
      <c r="H4892" s="1" t="str">
        <f>IFERROR(__xludf.DUMMYFUNCTION("GOOGLETRANSLATE(D4892,""EN"",""JA"")"),"ビタミンB9")</f>
        <v>ビタミンB9</v>
      </c>
      <c r="I4892" s="1" t="str">
        <f>IFERROR(__xludf.DUMMYFUNCTION("GOOGLETRANSLATE(E4892,""EN"",""JA"")"),"葉酸; ビタミンB9")</f>
        <v>葉酸; ビタミンB9</v>
      </c>
      <c r="J4892" s="1" t="str">
        <f>IFERROR(__xludf.DUMMYFUNCTION("GOOGLETRANSLATE(F4892,""EN"",""JA"")"),"生物標本中の葉酸の測定。")</f>
        <v>生物標本中の葉酸の測定。</v>
      </c>
      <c r="K4892" s="1" t="str">
        <f>IFERROR(__xludf.DUMMYFUNCTION("GOOGLETRANSLATE(G4892,""EN"",""JA"")"),"葉酸測定")</f>
        <v>葉酸測定</v>
      </c>
    </row>
    <row r="4893" ht="13.5" customHeight="1">
      <c r="A4893" s="1" t="s">
        <v>11</v>
      </c>
      <c r="B4893" s="1" t="s">
        <v>24422</v>
      </c>
      <c r="C4893" s="1" t="s">
        <v>24423</v>
      </c>
      <c r="D4893" s="1" t="s">
        <v>24424</v>
      </c>
      <c r="E4893" s="1" t="s">
        <v>24425</v>
      </c>
      <c r="F4893" s="1" t="s">
        <v>24426</v>
      </c>
      <c r="G4893" s="1" t="s">
        <v>24427</v>
      </c>
      <c r="H4893" s="1" t="str">
        <f>IFERROR(__xludf.DUMMYFUNCTION("GOOGLETRANSLATE(D4893,""EN"",""JA"")"),"ビタミンC")</f>
        <v>ビタミンC</v>
      </c>
      <c r="I4893" s="1" t="str">
        <f>IFERROR(__xludf.DUMMYFUNCTION("GOOGLETRANSLATE(E4893,""EN"",""JA"")"),"アスコルビン酸; ビタミンC")</f>
        <v>アスコルビン酸; ビタミンC</v>
      </c>
      <c r="J4893" s="1" t="str">
        <f>IFERROR(__xludf.DUMMYFUNCTION("GOOGLETRANSLATE(F4893,""EN"",""JA"")"),"生物標本中のビタミン C の測定。")</f>
        <v>生物標本中のビタミン C の測定。</v>
      </c>
      <c r="K4893" s="1" t="str">
        <f>IFERROR(__xludf.DUMMYFUNCTION("GOOGLETRANSLATE(G4893,""EN"",""JA"")"),"ビタミンC測定")</f>
        <v>ビタミンC測定</v>
      </c>
    </row>
    <row r="4894" ht="13.5" customHeight="1">
      <c r="A4894" s="1" t="s">
        <v>11</v>
      </c>
      <c r="B4894" s="1" t="s">
        <v>24428</v>
      </c>
      <c r="C4894" s="1" t="s">
        <v>24429</v>
      </c>
      <c r="D4894" s="1" t="s">
        <v>24430</v>
      </c>
      <c r="E4894" s="1" t="s">
        <v>24431</v>
      </c>
      <c r="F4894" s="1" t="s">
        <v>24432</v>
      </c>
      <c r="G4894" s="1" t="s">
        <v>24433</v>
      </c>
      <c r="H4894" s="1" t="str">
        <f>IFERROR(__xludf.DUMMYFUNCTION("GOOGLETRANSLATE(D4894,""EN"",""JA"")"),"ビタミンD2")</f>
        <v>ビタミンD2</v>
      </c>
      <c r="I4894" s="1" t="str">
        <f>IFERROR(__xludf.DUMMYFUNCTION("GOOGLETRANSLATE(E4894,""EN"",""JA"")"),"カルシフェロール、エルゴカルシフェロール、ビオステロール、ビタミンD2")</f>
        <v>カルシフェロール、エルゴカルシフェロール、ビオステロール、ビタミンD2</v>
      </c>
      <c r="J4894" s="1" t="str">
        <f>IFERROR(__xludf.DUMMYFUNCTION("GOOGLETRANSLATE(F4894,""EN"",""JA"")"),"生物標本中のビタミン D2 の測定。")</f>
        <v>生物標本中のビタミン D2 の測定。</v>
      </c>
      <c r="K4894" s="1" t="str">
        <f>IFERROR(__xludf.DUMMYFUNCTION("GOOGLETRANSLATE(G4894,""EN"",""JA"")"),"ビタミンD2測定")</f>
        <v>ビタミンD2測定</v>
      </c>
    </row>
    <row r="4895" ht="13.5" customHeight="1">
      <c r="A4895" s="1" t="s">
        <v>11</v>
      </c>
      <c r="B4895" s="1" t="s">
        <v>24434</v>
      </c>
      <c r="C4895" s="1" t="s">
        <v>24435</v>
      </c>
      <c r="D4895" s="1" t="s">
        <v>24436</v>
      </c>
      <c r="E4895" s="1" t="s">
        <v>24437</v>
      </c>
      <c r="F4895" s="1" t="s">
        <v>24438</v>
      </c>
      <c r="G4895" s="1" t="s">
        <v>24439</v>
      </c>
      <c r="H4895" s="1" t="str">
        <f>IFERROR(__xludf.DUMMYFUNCTION("GOOGLETRANSLATE(D4895,""EN"",""JA"")"),"ビタミンD2 + ビタミンD3")</f>
        <v>ビタミンD2 + ビタミンD3</v>
      </c>
      <c r="I4895" s="1" t="str">
        <f>IFERROR(__xludf.DUMMYFUNCTION("GOOGLETRANSLATE(E4895,""EN"",""JA"")"),"カルシフェロール + コレカルシフェロール; ビタミンD2 + ビタミンD3")</f>
        <v>カルシフェロール + コレカルシフェロール; ビタミンD2 + ビタミンD3</v>
      </c>
      <c r="J4895" s="1" t="str">
        <f>IFERROR(__xludf.DUMMYFUNCTION("GOOGLETRANSLATE(F4895,""EN"",""JA"")"),"生物標本中のビタミン D2 とビタミン D3 の測定。")</f>
        <v>生物標本中のビタミン D2 とビタミン D3 の測定。</v>
      </c>
      <c r="K4895" s="1" t="str">
        <f>IFERROR(__xludf.DUMMYFUNCTION("GOOGLETRANSLATE(G4895,""EN"",""JA"")"),"ビタミンD2とビタミンD3の測定")</f>
        <v>ビタミンD2とビタミンD3の測定</v>
      </c>
    </row>
    <row r="4896" ht="13.5" customHeight="1">
      <c r="A4896" s="1" t="s">
        <v>11</v>
      </c>
      <c r="B4896" s="1" t="s">
        <v>24440</v>
      </c>
      <c r="C4896" s="1" t="s">
        <v>24441</v>
      </c>
      <c r="D4896" s="1" t="s">
        <v>24442</v>
      </c>
      <c r="E4896" s="1" t="s">
        <v>24443</v>
      </c>
      <c r="F4896" s="1" t="s">
        <v>24444</v>
      </c>
      <c r="G4896" s="1" t="s">
        <v>24445</v>
      </c>
      <c r="H4896" s="1" t="str">
        <f>IFERROR(__xludf.DUMMYFUNCTION("GOOGLETRANSLATE(D4896,""EN"",""JA"")"),"ビタミンD2 D3 25-OH")</f>
        <v>ビタミンD2 D3 25-OH</v>
      </c>
      <c r="I4896" s="1" t="str">
        <f>IFERROR(__xludf.DUMMYFUNCTION("GOOGLETRANSLATE(E4896,""EN"",""JA"")"),"ビタミンD + 代謝物; ビタミンD2 + ビタミンD3 + 25-ヒドロキシビタミンD2 + 25-ヒドロキシビタミンD3; ビタミンD2 D3 25-OH")</f>
        <v>ビタミンD + 代謝物; ビタミンD2 + ビタミンD3 + 25-ヒドロキシビタミンD2 + 25-ヒドロキシビタミンD3; ビタミンD2 D3 25-OH</v>
      </c>
      <c r="J4896" s="1" t="str">
        <f>IFERROR(__xludf.DUMMYFUNCTION("GOOGLETRANSLATE(F4896,""EN"",""JA"")"),"生物標本中のビタミン D2、ビタミン D3 およびそれらの代謝物の測定。")</f>
        <v>生物標本中のビタミン D2、ビタミン D3 およびそれらの代謝物の測定。</v>
      </c>
      <c r="K4896" s="1" t="str">
        <f>IFERROR(__xludf.DUMMYFUNCTION("GOOGLETRANSLATE(G4896,""EN"",""JA"")"),"ビタミンD2、ビタミンD3、25-ヒドロキシビタミンD2、25-ヒドロキシビタミンD3の測定")</f>
        <v>ビタミンD2、ビタミンD3、25-ヒドロキシビタミンD2、25-ヒドロキシビタミンD3の測定</v>
      </c>
    </row>
    <row r="4897" ht="13.5" customHeight="1">
      <c r="A4897" s="1" t="s">
        <v>11</v>
      </c>
      <c r="B4897" s="1" t="s">
        <v>24446</v>
      </c>
      <c r="C4897" s="1" t="s">
        <v>24447</v>
      </c>
      <c r="D4897" s="1" t="s">
        <v>24448</v>
      </c>
      <c r="E4897" s="1" t="s">
        <v>24449</v>
      </c>
      <c r="F4897" s="1" t="s">
        <v>24450</v>
      </c>
      <c r="G4897" s="1" t="s">
        <v>24451</v>
      </c>
      <c r="H4897" s="1" t="str">
        <f>IFERROR(__xludf.DUMMYFUNCTION("GOOGLETRANSLATE(D4897,""EN"",""JA"")"),"ビタミンD3")</f>
        <v>ビタミンD3</v>
      </c>
      <c r="I4897" s="1" t="str">
        <f>IFERROR(__xludf.DUMMYFUNCTION("GOOGLETRANSLATE(E4897,""EN"",""JA"")"),"カルシオール; コレカルシフェロール; コレカルシフェロール; ビタミンD; ビタミンD3")</f>
        <v>カルシオール; コレカルシフェロール; コレカルシフェロール; ビタミンD; ビタミンD3</v>
      </c>
      <c r="J4897" s="1" t="str">
        <f>IFERROR(__xludf.DUMMYFUNCTION("GOOGLETRANSLATE(F4897,""EN"",""JA"")"),"生物標本中のビタミン D3 の測定。")</f>
        <v>生物標本中のビタミン D3 の測定。</v>
      </c>
      <c r="K4897" s="1" t="str">
        <f>IFERROR(__xludf.DUMMYFUNCTION("GOOGLETRANSLATE(G4897,""EN"",""JA"")"),"ビタミンD3測定")</f>
        <v>ビタミンD3測定</v>
      </c>
    </row>
    <row r="4898" ht="13.5" customHeight="1">
      <c r="A4898" s="1" t="s">
        <v>11</v>
      </c>
      <c r="B4898" s="1" t="s">
        <v>24452</v>
      </c>
      <c r="C4898" s="1" t="s">
        <v>24453</v>
      </c>
      <c r="D4898" s="1" t="s">
        <v>24454</v>
      </c>
      <c r="E4898" s="1" t="s">
        <v>24455</v>
      </c>
      <c r="F4898" s="1" t="s">
        <v>24456</v>
      </c>
      <c r="G4898" s="1" t="s">
        <v>24457</v>
      </c>
      <c r="H4898" s="1" t="str">
        <f>IFERROR(__xludf.DUMMYFUNCTION("GOOGLETRANSLATE(D4898,""EN"",""JA"")"),"ビタミンD結合タンパク質")</f>
        <v>ビタミンD結合タンパク質</v>
      </c>
      <c r="I4898" s="1" t="str">
        <f>IFERROR(__xludf.DUMMYFUNCTION("GOOGLETRANSLATE(E4898,""EN"",""JA"")"),"DBP; GCビタミンD結合タンパク質; VDBP; ビタミンD結合タンパク質")</f>
        <v>DBP; GCビタミンD結合タンパク質; VDBP; ビタミンD結合タンパク質</v>
      </c>
      <c r="J4898" s="1" t="str">
        <f>IFERROR(__xludf.DUMMYFUNCTION("GOOGLETRANSLATE(F4898,""EN"",""JA"")"),"生物標本中のビタミン D 結合タンパク質の測定。")</f>
        <v>生物標本中のビタミン D 結合タンパク質の測定。</v>
      </c>
      <c r="K4898" s="1" t="str">
        <f>IFERROR(__xludf.DUMMYFUNCTION("GOOGLETRANSLATE(G4898,""EN"",""JA"")"),"ビタミンD結合タンパク質測定")</f>
        <v>ビタミンD結合タンパク質測定</v>
      </c>
    </row>
    <row r="4899" ht="13.5" customHeight="1">
      <c r="A4899" s="1" t="s">
        <v>11</v>
      </c>
      <c r="B4899" s="1" t="s">
        <v>24458</v>
      </c>
      <c r="C4899" s="1" t="s">
        <v>24459</v>
      </c>
      <c r="D4899" s="1" t="s">
        <v>24460</v>
      </c>
      <c r="E4899" s="1" t="s">
        <v>24460</v>
      </c>
      <c r="F4899" s="1" t="s">
        <v>24461</v>
      </c>
      <c r="G4899" s="1" t="s">
        <v>24462</v>
      </c>
      <c r="H4899" s="1" t="str">
        <f>IFERROR(__xludf.DUMMYFUNCTION("GOOGLETRANSLATE(D4899,""EN"",""JA"")"),"ビタミンE")</f>
        <v>ビタミンE</v>
      </c>
      <c r="I4899" s="1" t="str">
        <f>IFERROR(__xludf.DUMMYFUNCTION("GOOGLETRANSLATE(E4899,""EN"",""JA"")"),"ビタミンE")</f>
        <v>ビタミンE</v>
      </c>
      <c r="J4899" s="1" t="str">
        <f>IFERROR(__xludf.DUMMYFUNCTION("GOOGLETRANSLATE(F4899,""EN"",""JA"")"),"生物標本中のビタミン E の測定。")</f>
        <v>生物標本中のビタミン E の測定。</v>
      </c>
      <c r="K4899" s="1" t="str">
        <f>IFERROR(__xludf.DUMMYFUNCTION("GOOGLETRANSLATE(G4899,""EN"",""JA"")"),"ビタミンE測定")</f>
        <v>ビタミンE測定</v>
      </c>
    </row>
    <row r="4900" ht="13.5" customHeight="1">
      <c r="A4900" s="1" t="s">
        <v>11</v>
      </c>
      <c r="B4900" s="1" t="s">
        <v>24463</v>
      </c>
      <c r="C4900" s="1" t="s">
        <v>24464</v>
      </c>
      <c r="D4900" s="1" t="s">
        <v>24465</v>
      </c>
      <c r="E4900" s="1" t="s">
        <v>24465</v>
      </c>
      <c r="F4900" s="1" t="s">
        <v>24466</v>
      </c>
      <c r="G4900" s="1" t="s">
        <v>24467</v>
      </c>
      <c r="H4900" s="1" t="str">
        <f>IFERROR(__xludf.DUMMYFUNCTION("GOOGLETRANSLATE(D4900,""EN"",""JA"")"),"ビタミンE/コレステロール")</f>
        <v>ビタミンE/コレステロール</v>
      </c>
      <c r="I4900" s="1" t="str">
        <f>IFERROR(__xludf.DUMMYFUNCTION("GOOGLETRANSLATE(E4900,""EN"",""JA"")"),"ビタミンE/コレステロール")</f>
        <v>ビタミンE/コレステロール</v>
      </c>
      <c r="J4900" s="1" t="str">
        <f>IFERROR(__xludf.DUMMYFUNCTION("GOOGLETRANSLATE(F4900,""EN"",""JA"")"),"生物標本中の総コレステロールに対するビタミン E の相対的な測定値 (比率またはパーセンテージ)。")</f>
        <v>生物標本中の総コレステロールに対するビタミン E の相対的な測定値 (比率またはパーセンテージ)。</v>
      </c>
      <c r="K4900" s="1" t="str">
        <f>IFERROR(__xludf.DUMMYFUNCTION("GOOGLETRANSLATE(G4900,""EN"",""JA"")"),"ビタミンEとコレステロールの比率測定")</f>
        <v>ビタミンEとコレステロールの比率測定</v>
      </c>
    </row>
    <row r="4901" ht="13.5" customHeight="1">
      <c r="A4901" s="1" t="s">
        <v>11</v>
      </c>
      <c r="B4901" s="1" t="s">
        <v>24468</v>
      </c>
      <c r="C4901" s="1" t="s">
        <v>24469</v>
      </c>
      <c r="D4901" s="1" t="s">
        <v>24470</v>
      </c>
      <c r="E4901" s="1" t="s">
        <v>24471</v>
      </c>
      <c r="F4901" s="1" t="s">
        <v>24472</v>
      </c>
      <c r="G4901" s="1" t="s">
        <v>24473</v>
      </c>
      <c r="H4901" s="1" t="str">
        <f>IFERROR(__xludf.DUMMYFUNCTION("GOOGLETRANSLATE(D4901,""EN"",""JA"")"),"ビタミンK")</f>
        <v>ビタミンK</v>
      </c>
      <c r="I4901" s="1" t="str">
        <f>IFERROR(__xludf.DUMMYFUNCTION("GOOGLETRANSLATE(E4901,""EN"",""JA"")"),"ナフトキノン; ビタミンK")</f>
        <v>ナフトキノン; ビタミンK</v>
      </c>
      <c r="J4901" s="1" t="str">
        <f>IFERROR(__xludf.DUMMYFUNCTION("GOOGLETRANSLATE(F4901,""EN"",""JA"")"),"生物標本中のビタミン K の総量の測定。")</f>
        <v>生物標本中のビタミン K の総量の測定。</v>
      </c>
      <c r="K4901" s="1" t="str">
        <f>IFERROR(__xludf.DUMMYFUNCTION("GOOGLETRANSLATE(G4901,""EN"",""JA"")"),"ビタミンK測定")</f>
        <v>ビタミンK測定</v>
      </c>
    </row>
    <row r="4902" ht="13.5" customHeight="1">
      <c r="A4902" s="1" t="s">
        <v>11</v>
      </c>
      <c r="B4902" s="1" t="s">
        <v>24474</v>
      </c>
      <c r="C4902" s="1" t="s">
        <v>24475</v>
      </c>
      <c r="D4902" s="1" t="s">
        <v>24476</v>
      </c>
      <c r="E4902" s="1" t="s">
        <v>24477</v>
      </c>
      <c r="F4902" s="1" t="s">
        <v>24478</v>
      </c>
      <c r="G4902" s="1" t="s">
        <v>24479</v>
      </c>
      <c r="H4902" s="1" t="str">
        <f>IFERROR(__xludf.DUMMYFUNCTION("GOOGLETRANSLATE(D4902,""EN"",""JA"")"),"ビタミンK1")</f>
        <v>ビタミンK1</v>
      </c>
      <c r="I4902" s="1" t="str">
        <f>IFERROR(__xludf.DUMMYFUNCTION("GOOGLETRANSLATE(E4902,""EN"",""JA"")"),"フィロキノン; フィトメナジオン; ビタミンK1")</f>
        <v>フィロキノン; フィトメナジオン; ビタミンK1</v>
      </c>
      <c r="J4902" s="1" t="str">
        <f>IFERROR(__xludf.DUMMYFUNCTION("GOOGLETRANSLATE(F4902,""EN"",""JA"")"),"生物標本中のビタミン K1 の測定。")</f>
        <v>生物標本中のビタミン K1 の測定。</v>
      </c>
      <c r="K4902" s="1" t="str">
        <f>IFERROR(__xludf.DUMMYFUNCTION("GOOGLETRANSLATE(G4902,""EN"",""JA"")"),"ビタミンK1測定")</f>
        <v>ビタミンK1測定</v>
      </c>
    </row>
    <row r="4903" ht="13.5" customHeight="1">
      <c r="A4903" s="1" t="s">
        <v>11</v>
      </c>
      <c r="B4903" s="1" t="s">
        <v>24480</v>
      </c>
      <c r="C4903" s="1" t="s">
        <v>24481</v>
      </c>
      <c r="D4903" s="1" t="s">
        <v>24482</v>
      </c>
      <c r="E4903" s="1" t="s">
        <v>24482</v>
      </c>
      <c r="F4903" s="1" t="s">
        <v>24483</v>
      </c>
      <c r="G4903" s="1" t="s">
        <v>24484</v>
      </c>
      <c r="H4903" s="1" t="str">
        <f>IFERROR(__xludf.DUMMYFUNCTION("GOOGLETRANSLATE(D4903,""EN"",""JA"")"),"VLDLコレステロール")</f>
        <v>VLDLコレステロール</v>
      </c>
      <c r="I4903" s="1" t="str">
        <f>IFERROR(__xludf.DUMMYFUNCTION("GOOGLETRANSLATE(E4903,""EN"",""JA"")"),"VLDLコレステロール")</f>
        <v>VLDLコレステロール</v>
      </c>
      <c r="J4903" s="1" t="str">
        <f>IFERROR(__xludf.DUMMYFUNCTION("GOOGLETRANSLATE(F4903,""EN"",""JA"")"),"生物標本中の超低密度リポタンパク質コレステロールの測定。")</f>
        <v>生物標本中の超低密度リポタンパク質コレステロールの測定。</v>
      </c>
      <c r="K4903" s="1" t="str">
        <f>IFERROR(__xludf.DUMMYFUNCTION("GOOGLETRANSLATE(G4903,""EN"",""JA"")"),"超低密度リポタンパク質コレステロール測定")</f>
        <v>超低密度リポタンパク質コレステロール測定</v>
      </c>
    </row>
    <row r="4904" ht="13.5" customHeight="1">
      <c r="A4904" s="1" t="s">
        <v>11</v>
      </c>
      <c r="B4904" s="1" t="s">
        <v>24485</v>
      </c>
      <c r="C4904" s="1" t="s">
        <v>24486</v>
      </c>
      <c r="D4904" s="1" t="s">
        <v>24487</v>
      </c>
      <c r="E4904" s="1" t="s">
        <v>24487</v>
      </c>
      <c r="F4904" s="1" t="s">
        <v>24488</v>
      </c>
      <c r="G4904" s="1" t="s">
        <v>24489</v>
      </c>
      <c r="H4904" s="1" t="str">
        <f>IFERROR(__xludf.DUMMYFUNCTION("GOOGLETRANSLATE(D4904,""EN"",""JA"")"),"VLDLコレステロールサブタイプ1")</f>
        <v>VLDLコレステロールサブタイプ1</v>
      </c>
      <c r="I4904" s="1" t="str">
        <f>IFERROR(__xludf.DUMMYFUNCTION("GOOGLETRANSLATE(E4904,""EN"",""JA"")"),"VLDLコレステロールサブタイプ1")</f>
        <v>VLDLコレステロールサブタイプ1</v>
      </c>
      <c r="J4904" s="1" t="str">
        <f>IFERROR(__xludf.DUMMYFUNCTION("GOOGLETRANSLATE(F4904,""EN"",""JA"")"),"生物標本中の超低密度リポタンパク質コレステロール サブタイプ 1 の測定。")</f>
        <v>生物標本中の超低密度リポタンパク質コレステロール サブタイプ 1 の測定。</v>
      </c>
      <c r="K4904" s="1" t="str">
        <f>IFERROR(__xludf.DUMMYFUNCTION("GOOGLETRANSLATE(G4904,""EN"",""JA"")"),"VLDLコレステロールサブタイプ1の測定")</f>
        <v>VLDLコレステロールサブタイプ1の測定</v>
      </c>
    </row>
    <row r="4905" ht="13.5" customHeight="1">
      <c r="A4905" s="1" t="s">
        <v>11</v>
      </c>
      <c r="B4905" s="1" t="s">
        <v>24490</v>
      </c>
      <c r="C4905" s="1" t="s">
        <v>24491</v>
      </c>
      <c r="D4905" s="1" t="s">
        <v>24492</v>
      </c>
      <c r="E4905" s="1" t="s">
        <v>24492</v>
      </c>
      <c r="F4905" s="1" t="s">
        <v>24493</v>
      </c>
      <c r="G4905" s="1" t="s">
        <v>24494</v>
      </c>
      <c r="H4905" s="1" t="str">
        <f>IFERROR(__xludf.DUMMYFUNCTION("GOOGLETRANSLATE(D4905,""EN"",""JA"")"),"VLDLコレステロールサブタイプ2")</f>
        <v>VLDLコレステロールサブタイプ2</v>
      </c>
      <c r="I4905" s="1" t="str">
        <f>IFERROR(__xludf.DUMMYFUNCTION("GOOGLETRANSLATE(E4905,""EN"",""JA"")"),"VLDLコレステロールサブタイプ2")</f>
        <v>VLDLコレステロールサブタイプ2</v>
      </c>
      <c r="J4905" s="1" t="str">
        <f>IFERROR(__xludf.DUMMYFUNCTION("GOOGLETRANSLATE(F4905,""EN"",""JA"")"),"生物標本中の超低密度リポタンパク質コレステロール サブタイプ 2 の測定。")</f>
        <v>生物標本中の超低密度リポタンパク質コレステロール サブタイプ 2 の測定。</v>
      </c>
      <c r="K4905" s="1" t="str">
        <f>IFERROR(__xludf.DUMMYFUNCTION("GOOGLETRANSLATE(G4905,""EN"",""JA"")"),"VLDLコレステロールサブタイプ2の測定")</f>
        <v>VLDLコレステロールサブタイプ2の測定</v>
      </c>
    </row>
    <row r="4906" ht="13.5" customHeight="1">
      <c r="A4906" s="1" t="s">
        <v>11</v>
      </c>
      <c r="B4906" s="1" t="s">
        <v>24495</v>
      </c>
      <c r="C4906" s="1" t="s">
        <v>24496</v>
      </c>
      <c r="D4906" s="1" t="s">
        <v>24497</v>
      </c>
      <c r="E4906" s="1" t="s">
        <v>24497</v>
      </c>
      <c r="F4906" s="1" t="s">
        <v>24498</v>
      </c>
      <c r="G4906" s="1" t="s">
        <v>24499</v>
      </c>
      <c r="H4906" s="1" t="str">
        <f>IFERROR(__xludf.DUMMYFUNCTION("GOOGLETRANSLATE(D4906,""EN"",""JA"")"),"VLDLコレステロールサブタイプ3")</f>
        <v>VLDLコレステロールサブタイプ3</v>
      </c>
      <c r="I4906" s="1" t="str">
        <f>IFERROR(__xludf.DUMMYFUNCTION("GOOGLETRANSLATE(E4906,""EN"",""JA"")"),"VLDLコレステロールサブタイプ3")</f>
        <v>VLDLコレステロールサブタイプ3</v>
      </c>
      <c r="J4906" s="1" t="str">
        <f>IFERROR(__xludf.DUMMYFUNCTION("GOOGLETRANSLATE(F4906,""EN"",""JA"")"),"生物標本中の超低密度リポタンパク質コレステロール サブタイプ 3 の測定。")</f>
        <v>生物標本中の超低密度リポタンパク質コレステロール サブタイプ 3 の測定。</v>
      </c>
      <c r="K4906" s="1" t="str">
        <f>IFERROR(__xludf.DUMMYFUNCTION("GOOGLETRANSLATE(G4906,""EN"",""JA"")"),"VLDLコレステロールサブタイプ3の測定")</f>
        <v>VLDLコレステロールサブタイプ3の測定</v>
      </c>
    </row>
    <row r="4907" ht="13.5" customHeight="1">
      <c r="A4907" s="1" t="s">
        <v>11</v>
      </c>
      <c r="B4907" s="1" t="s">
        <v>24500</v>
      </c>
      <c r="C4907" s="1" t="s">
        <v>24501</v>
      </c>
      <c r="D4907" s="1" t="s">
        <v>24502</v>
      </c>
      <c r="E4907" s="1" t="s">
        <v>24502</v>
      </c>
      <c r="F4907" s="1" t="s">
        <v>24503</v>
      </c>
      <c r="G4907" s="1" t="s">
        <v>24504</v>
      </c>
      <c r="H4907" s="1" t="str">
        <f>IFERROR(__xludf.DUMMYFUNCTION("GOOGLETRANSLATE(D4907,""EN"",""JA"")"),"VLDL粒子サイズ")</f>
        <v>VLDL粒子サイズ</v>
      </c>
      <c r="I4907" s="1" t="str">
        <f>IFERROR(__xludf.DUMMYFUNCTION("GOOGLETRANSLATE(E4907,""EN"",""JA"")"),"VLDL粒子サイズ")</f>
        <v>VLDL粒子サイズ</v>
      </c>
      <c r="J4907" s="1" t="str">
        <f>IFERROR(__xludf.DUMMYFUNCTION("GOOGLETRANSLATE(F4907,""EN"",""JA"")"),"生物標本中の超低密度リポタンパク質の平均粒子サイズの測定。")</f>
        <v>生物標本中の超低密度リポタンパク質の平均粒子サイズの測定。</v>
      </c>
      <c r="K4907" s="1" t="str">
        <f>IFERROR(__xludf.DUMMYFUNCTION("GOOGLETRANSLATE(G4907,""EN"",""JA"")"),"VLDL粒子サイズ測定")</f>
        <v>VLDL粒子サイズ測定</v>
      </c>
    </row>
    <row r="4908" ht="13.5" customHeight="1">
      <c r="A4908" s="1" t="s">
        <v>11</v>
      </c>
      <c r="B4908" s="1" t="s">
        <v>24505</v>
      </c>
      <c r="C4908" s="1" t="s">
        <v>24506</v>
      </c>
      <c r="D4908" s="1" t="s">
        <v>24507</v>
      </c>
      <c r="E4908" s="1" t="s">
        <v>24507</v>
      </c>
      <c r="F4908" s="1" t="s">
        <v>24508</v>
      </c>
      <c r="G4908" s="1" t="s">
        <v>24509</v>
      </c>
      <c r="H4908" s="1" t="str">
        <f>IFERROR(__xludf.DUMMYFUNCTION("GOOGLETRANSLATE(D4908,""EN"",""JA"")"),"VLDLトリグリセリド")</f>
        <v>VLDLトリグリセリド</v>
      </c>
      <c r="I4908" s="1" t="str">
        <f>IFERROR(__xludf.DUMMYFUNCTION("GOOGLETRANSLATE(E4908,""EN"",""JA"")"),"VLDLトリグリセリド")</f>
        <v>VLDLトリグリセリド</v>
      </c>
      <c r="J4908" s="1" t="str">
        <f>IFERROR(__xludf.DUMMYFUNCTION("GOOGLETRANSLATE(F4908,""EN"",""JA"")"),"生物標本中の超低密度リポタンパク質トリグリセリドの測定。")</f>
        <v>生物標本中の超低密度リポタンパク質トリグリセリドの測定。</v>
      </c>
      <c r="K4908" s="1" t="str">
        <f>IFERROR(__xludf.DUMMYFUNCTION("GOOGLETRANSLATE(G4908,""EN"",""JA"")"),"VLDLトリグリセリド測定")</f>
        <v>VLDLトリグリセリド測定</v>
      </c>
    </row>
    <row r="4909" ht="13.5" customHeight="1">
      <c r="A4909" s="1" t="s">
        <v>11</v>
      </c>
      <c r="B4909" s="1" t="s">
        <v>24510</v>
      </c>
      <c r="C4909" s="1" t="s">
        <v>24511</v>
      </c>
      <c r="D4909" s="1" t="s">
        <v>24512</v>
      </c>
      <c r="E4909" s="1" t="s">
        <v>24513</v>
      </c>
      <c r="F4909" s="1" t="s">
        <v>24514</v>
      </c>
      <c r="G4909" s="1" t="s">
        <v>24515</v>
      </c>
      <c r="H4909" s="1" t="str">
        <f>IFERROR(__xludf.DUMMYFUNCTION("GOOGLETRANSLATE(D4909,""EN"",""JA"")"),"VLDLトリグ + カイロミクロントリグ")</f>
        <v>VLDLトリグ + カイロミクロントリグ</v>
      </c>
      <c r="I4909" s="1" t="str">
        <f>IFERROR(__xludf.DUMMYFUNCTION("GOOGLETRANSLATE(E4909,""EN"",""JA"")"),"VLDLトリグリセリド + カイロミクロントリグリセリド; VLDLトリグリセリド + カイロミクロントリグリセリド")</f>
        <v>VLDLトリグリセリド + カイロミクロントリグリセリド; VLDLトリグリセリド + カイロミクロントリグリセリド</v>
      </c>
      <c r="J4909" s="1" t="str">
        <f>IFERROR(__xludf.DUMMYFUNCTION("GOOGLETRANSLATE(F4909,""EN"",""JA"")"),"生物標本中の超低密度リポタンパク質トリグリセリドとカイロミクロントリグリセリドの測定。")</f>
        <v>生物標本中の超低密度リポタンパク質トリグリセリドとカイロミクロントリグリセリドの測定。</v>
      </c>
      <c r="K4909" s="1" t="str">
        <f>IFERROR(__xludf.DUMMYFUNCTION("GOOGLETRANSLATE(G4909,""EN"",""JA"")"),"VLDLトリグリセリドとカイロミクロントリグリセリドの測定")</f>
        <v>VLDLトリグリセリドとカイロミクロントリグリセリドの測定</v>
      </c>
    </row>
    <row r="4910" ht="13.5" customHeight="1">
      <c r="A4910" s="1" t="s">
        <v>90</v>
      </c>
      <c r="B4910" s="1" t="s">
        <v>24516</v>
      </c>
      <c r="C4910" s="1" t="s">
        <v>24517</v>
      </c>
      <c r="D4910" s="1" t="s">
        <v>24518</v>
      </c>
      <c r="E4910" s="1" t="s">
        <v>24518</v>
      </c>
      <c r="F4910" s="1" t="s">
        <v>24519</v>
      </c>
      <c r="G4910" s="1" t="s">
        <v>24518</v>
      </c>
      <c r="H4910" s="1" t="str">
        <f>IFERROR(__xludf.DUMMYFUNCTION("GOOGLETRANSLATE(D4910,""EN"",""JA"")"),"心臓弁狭窄指標")</f>
        <v>心臓弁狭窄指標</v>
      </c>
      <c r="I4910" s="1" t="str">
        <f>IFERROR(__xludf.DUMMYFUNCTION("GOOGLETRANSLATE(E4910,""EN"",""JA"")"),"心臓弁狭窄指標")</f>
        <v>心臓弁狭窄指標</v>
      </c>
      <c r="J4910" s="1" t="str">
        <f>IFERROR(__xludf.DUMMYFUNCTION("GOOGLETRANSLATE(F4910,""EN"",""JA"")"),"問題の心臓弁に狭窄があるかどうかを示します。")</f>
        <v>問題の心臓弁に狭窄があるかどうかを示します。</v>
      </c>
      <c r="K4910" s="1" t="str">
        <f>IFERROR(__xludf.DUMMYFUNCTION("GOOGLETRANSLATE(G4910,""EN"",""JA"")"),"心臓弁狭窄指標")</f>
        <v>心臓弁狭窄指標</v>
      </c>
    </row>
    <row r="4911" ht="13.5" customHeight="1">
      <c r="A4911" s="1" t="s">
        <v>90</v>
      </c>
      <c r="B4911" s="1" t="s">
        <v>24520</v>
      </c>
      <c r="C4911" s="1" t="s">
        <v>24521</v>
      </c>
      <c r="D4911" s="1" t="s">
        <v>24522</v>
      </c>
      <c r="E4911" s="1" t="s">
        <v>24522</v>
      </c>
      <c r="F4911" s="1" t="s">
        <v>24523</v>
      </c>
      <c r="G4911" s="1" t="s">
        <v>24522</v>
      </c>
      <c r="H4911" s="1" t="str">
        <f>IFERROR(__xludf.DUMMYFUNCTION("GOOGLETRANSLATE(D4911,""EN"",""JA"")"),"心臓弁狭窄症の考えられる病因")</f>
        <v>心臓弁狭窄症の考えられる病因</v>
      </c>
      <c r="I4911" s="1" t="str">
        <f>IFERROR(__xludf.DUMMYFUNCTION("GOOGLETRANSLATE(E4911,""EN"",""JA"")"),"心臓弁狭窄症の考えられる病因")</f>
        <v>心臓弁狭窄症の考えられる病因</v>
      </c>
      <c r="J4911" s="1" t="str">
        <f>IFERROR(__xludf.DUMMYFUNCTION("GOOGLETRANSLATE(F4911,""EN"",""JA"")"),"心臓弁狭窄の原因となる病状の考えられる原因の説明。")</f>
        <v>心臓弁狭窄の原因となる病状の考えられる原因の説明。</v>
      </c>
      <c r="K4911" s="1" t="str">
        <f>IFERROR(__xludf.DUMMYFUNCTION("GOOGLETRANSLATE(G4911,""EN"",""JA"")"),"心臓弁狭窄症の考えられる病因")</f>
        <v>心臓弁狭窄症の考えられる病因</v>
      </c>
    </row>
    <row r="4912" ht="13.5" customHeight="1">
      <c r="A4912" s="1" t="s">
        <v>90</v>
      </c>
      <c r="B4912" s="1" t="s">
        <v>24524</v>
      </c>
      <c r="C4912" s="1" t="s">
        <v>24525</v>
      </c>
      <c r="D4912" s="1" t="s">
        <v>24526</v>
      </c>
      <c r="E4912" s="1" t="s">
        <v>24526</v>
      </c>
      <c r="F4912" s="1" t="s">
        <v>24527</v>
      </c>
      <c r="G4912" s="1" t="s">
        <v>24526</v>
      </c>
      <c r="H4912" s="1" t="str">
        <f>IFERROR(__xludf.DUMMYFUNCTION("GOOGLETRANSLATE(D4912,""EN"",""JA"")"),"バルブエリア")</f>
        <v>バルブエリア</v>
      </c>
      <c r="I4912" s="1" t="str">
        <f>IFERROR(__xludf.DUMMYFUNCTION("GOOGLETRANSLATE(E4912,""EN"",""JA"")"),"バルブエリア")</f>
        <v>バルブエリア</v>
      </c>
      <c r="J4912" s="1" t="str">
        <f>IFERROR(__xludf.DUMMYFUNCTION("GOOGLETRANSLATE(F4912,""EN"",""JA"")"),"バルブの表面積を推定する定量的な測定。")</f>
        <v>バルブの表面積を推定する定量的な測定。</v>
      </c>
      <c r="K4912" s="1" t="str">
        <f>IFERROR(__xludf.DUMMYFUNCTION("GOOGLETRANSLATE(G4912,""EN"",""JA"")"),"バルブエリア")</f>
        <v>バルブエリア</v>
      </c>
    </row>
    <row r="4913" ht="13.5" customHeight="1">
      <c r="A4913" s="1" t="s">
        <v>11</v>
      </c>
      <c r="B4913" s="1" t="s">
        <v>24528</v>
      </c>
      <c r="C4913" s="1" t="s">
        <v>24529</v>
      </c>
      <c r="D4913" s="1" t="s">
        <v>24530</v>
      </c>
      <c r="E4913" s="1" t="s">
        <v>24530</v>
      </c>
      <c r="F4913" s="1" t="s">
        <v>24531</v>
      </c>
      <c r="G4913" s="1" t="s">
        <v>24532</v>
      </c>
      <c r="H4913" s="1" t="str">
        <f>IFERROR(__xludf.DUMMYFUNCTION("GOOGLETRANSLATE(D4913,""EN"",""JA"")"),"ビラゾドン")</f>
        <v>ビラゾドン</v>
      </c>
      <c r="I4913" s="1" t="str">
        <f>IFERROR(__xludf.DUMMYFUNCTION("GOOGLETRANSLATE(E4913,""EN"",""JA"")"),"ビラゾドン")</f>
        <v>ビラゾドン</v>
      </c>
      <c r="J4913" s="1" t="str">
        <f>IFERROR(__xludf.DUMMYFUNCTION("GOOGLETRANSLATE(F4913,""EN"",""JA"")"),"生物標本中のビラゾドンの測定。")</f>
        <v>生物標本中のビラゾドンの測定。</v>
      </c>
      <c r="K4913" s="1" t="str">
        <f>IFERROR(__xludf.DUMMYFUNCTION("GOOGLETRANSLATE(G4913,""EN"",""JA"")"),"ビラゾドン測定")</f>
        <v>ビラゾドン測定</v>
      </c>
    </row>
    <row r="4914" ht="13.5" customHeight="1">
      <c r="A4914" s="1" t="s">
        <v>11</v>
      </c>
      <c r="B4914" s="1" t="s">
        <v>24533</v>
      </c>
      <c r="C4914" s="1" t="s">
        <v>24534</v>
      </c>
      <c r="D4914" s="1" t="s">
        <v>24535</v>
      </c>
      <c r="E4914" s="1" t="s">
        <v>24536</v>
      </c>
      <c r="F4914" s="1" t="s">
        <v>24537</v>
      </c>
      <c r="G4914" s="1" t="s">
        <v>24538</v>
      </c>
      <c r="H4914" s="1" t="str">
        <f>IFERROR(__xludf.DUMMYFUNCTION("GOOGLETRANSLATE(D4914,""EN"",""JA"")"),"バニリルマンデル酸")</f>
        <v>バニリルマンデル酸</v>
      </c>
      <c r="I4914" s="1" t="str">
        <f>IFERROR(__xludf.DUMMYFUNCTION("GOOGLETRANSLATE(E4914,""EN"",""JA"")"),"バニリルマンデル酸; バニリルマンデル酸塩; バニルマンデル酸")</f>
        <v>バニリルマンデル酸; バニリルマンデル酸塩; バニルマンデル酸</v>
      </c>
      <c r="J4914" s="1" t="str">
        <f>IFERROR(__xludf.DUMMYFUNCTION("GOOGLETRANSLATE(F4914,""EN"",""JA"")"),"生物標本中のバニリルマンデル酸代謝物の測定。")</f>
        <v>生物標本中のバニリルマンデル酸代謝物の測定。</v>
      </c>
      <c r="K4914" s="1" t="str">
        <f>IFERROR(__xludf.DUMMYFUNCTION("GOOGLETRANSLATE(G4914,""EN"",""JA"")"),"バニリルマンデル酸の測定")</f>
        <v>バニリルマンデル酸の測定</v>
      </c>
    </row>
    <row r="4915" ht="13.5" customHeight="1">
      <c r="A4915" s="1" t="s">
        <v>11</v>
      </c>
      <c r="B4915" s="1" t="s">
        <v>24539</v>
      </c>
      <c r="C4915" s="1" t="s">
        <v>24540</v>
      </c>
      <c r="D4915" s="1" t="s">
        <v>24541</v>
      </c>
      <c r="E4915" s="1" t="s">
        <v>24541</v>
      </c>
      <c r="F4915" s="1" t="s">
        <v>24542</v>
      </c>
      <c r="G4915" s="1" t="s">
        <v>24541</v>
      </c>
      <c r="H4915" s="1" t="str">
        <f>IFERROR(__xludf.DUMMYFUNCTION("GOOGLETRANSLATE(D4915,""EN"",""JA"")"),"バニリルマンデル酸排泄率")</f>
        <v>バニリルマンデル酸排泄率</v>
      </c>
      <c r="I4915" s="1" t="str">
        <f>IFERROR(__xludf.DUMMYFUNCTION("GOOGLETRANSLATE(E4915,""EN"",""JA"")"),"バニリルマンデル酸排泄率")</f>
        <v>バニリルマンデル酸排泄率</v>
      </c>
      <c r="J4915" s="1" t="str">
        <f>IFERROR(__xludf.DUMMYFUNCTION("GOOGLETRANSLATE(F4915,""EN"",""JA"")"),"定義された時間（例：1 時間）にわたって生物標本中に排出されるバニリルマンデル酸の量を測定します。")</f>
        <v>定義された時間（例：1 時間）にわたって生物標本中に排出されるバニリルマンデル酸の量を測定します。</v>
      </c>
      <c r="K4915" s="1" t="str">
        <f>IFERROR(__xludf.DUMMYFUNCTION("GOOGLETRANSLATE(G4915,""EN"",""JA"")"),"バニリルマンデル酸排泄率")</f>
        <v>バニリルマンデル酸排泄率</v>
      </c>
    </row>
    <row r="4916" ht="13.5" customHeight="1">
      <c r="A4916" s="1" t="s">
        <v>580</v>
      </c>
      <c r="B4916" s="1" t="s">
        <v>24543</v>
      </c>
      <c r="C4916" s="1" t="s">
        <v>24544</v>
      </c>
      <c r="D4916" s="1" t="s">
        <v>24545</v>
      </c>
      <c r="E4916" s="1" t="s">
        <v>24545</v>
      </c>
      <c r="F4916" s="1" t="s">
        <v>24546</v>
      </c>
      <c r="G4916" s="1" t="s">
        <v>24545</v>
      </c>
      <c r="H4916" s="1" t="str">
        <f>IFERROR(__xludf.DUMMYFUNCTION("GOOGLETRANSLATE(D4916,""EN"",""JA"")"),"酸素消費量")</f>
        <v>酸素消費量</v>
      </c>
      <c r="I4916" s="1" t="str">
        <f>IFERROR(__xludf.DUMMYFUNCTION("GOOGLETRANSLATE(E4916,""EN"",""JA"")"),"酸素消費量")</f>
        <v>酸素消費量</v>
      </c>
      <c r="J4916" s="1" t="str">
        <f>IFERROR(__xludf.DUMMYFUNCTION("GOOGLETRANSLATE(F4916,""EN"",""JA"")"),"体内の特定の組織によって酸素が吸収され利用される速度。")</f>
        <v>体内の特定の組織によって酸素が吸収され利用される速度。</v>
      </c>
      <c r="K4916" s="1" t="str">
        <f>IFERROR(__xludf.DUMMYFUNCTION("GOOGLETRANSLATE(G4916,""EN"",""JA"")"),"酸素消費量")</f>
        <v>酸素消費量</v>
      </c>
    </row>
    <row r="4917" ht="13.5" customHeight="1">
      <c r="A4917" s="1" t="s">
        <v>580</v>
      </c>
      <c r="B4917" s="1" t="s">
        <v>24547</v>
      </c>
      <c r="C4917" s="1" t="s">
        <v>24548</v>
      </c>
      <c r="D4917" s="1" t="s">
        <v>24549</v>
      </c>
      <c r="E4917" s="1" t="s">
        <v>24549</v>
      </c>
      <c r="F4917" s="1" t="s">
        <v>24550</v>
      </c>
      <c r="G4917" s="1" t="s">
        <v>24551</v>
      </c>
      <c r="H4917" s="1" t="str">
        <f>IFERROR(__xludf.DUMMYFUNCTION("GOOGLETRANSLATE(D4917,""EN"",""JA"")"),"最大酸素消費量")</f>
        <v>最大酸素消費量</v>
      </c>
      <c r="I4917" s="1" t="str">
        <f>IFERROR(__xludf.DUMMYFUNCTION("GOOGLETRANSLATE(E4917,""EN"",""JA"")"),"最大酸素消費量")</f>
        <v>最大酸素消費量</v>
      </c>
      <c r="J4917" s="1" t="str">
        <f>IFERROR(__xludf.DUMMYFUNCTION("GOOGLETRANSLATE(F4917,""EN"",""JA"")"),"酸素摂取量がこれ以上増加せず、いかなる努力でもそれを上回ることができない最大の酸素利用率。")</f>
        <v>酸素摂取量がこれ以上増加せず、いかなる努力でもそれを上回ることができない最大の酸素利用率。</v>
      </c>
      <c r="K4917" s="1" t="str">
        <f>IFERROR(__xludf.DUMMYFUNCTION("GOOGLETRANSLATE(G4917,""EN"",""JA"")"),"最大酸素摂取量")</f>
        <v>最大酸素摂取量</v>
      </c>
    </row>
    <row r="4918" ht="13.5" customHeight="1">
      <c r="A4918" s="1" t="s">
        <v>580</v>
      </c>
      <c r="B4918" s="1" t="s">
        <v>24552</v>
      </c>
      <c r="C4918" s="1" t="s">
        <v>24553</v>
      </c>
      <c r="D4918" s="1" t="s">
        <v>24554</v>
      </c>
      <c r="E4918" s="1" t="s">
        <v>24555</v>
      </c>
      <c r="F4918" s="1" t="s">
        <v>24556</v>
      </c>
      <c r="G4918" s="1" t="s">
        <v>24554</v>
      </c>
      <c r="H4918" s="1" t="str">
        <f>IFERROR(__xludf.DUMMYFUNCTION("GOOGLETRANSLATE(D4918,""EN"",""JA"")"),"最大酸素消費量（推定）")</f>
        <v>最大酸素消費量（推定）</v>
      </c>
      <c r="I4918" s="1" t="str">
        <f>IFERROR(__xludf.DUMMYFUNCTION("GOOGLETRANSLATE(E4918,""EN"",""JA"")"),"推定最大有酸素能力、推定最大酸素消費量")</f>
        <v>推定最大有酸素能力、推定最大酸素消費量</v>
      </c>
      <c r="J4918" s="1" t="str">
        <f>IFERROR(__xludf.DUMMYFUNCTION("GOOGLETRANSLATE(F4918,""EN"",""JA"")"),"最大以下の運動パフォーマンスに対する生理学的反応から導き出され、心肺機能の指標として使用される予測最大酸素摂取率。")</f>
        <v>最大以下の運動パフォーマンスに対する生理学的反応から導き出され、心肺機能の指標として使用される予測最大酸素摂取率。</v>
      </c>
      <c r="K4918" s="1" t="str">
        <f>IFERROR(__xludf.DUMMYFUNCTION("GOOGLETRANSLATE(G4918,""EN"",""JA"")"),"最大酸素消費量（推定）")</f>
        <v>最大酸素消費量（推定）</v>
      </c>
    </row>
    <row r="4919" ht="13.5" customHeight="1">
      <c r="A4919" s="1" t="s">
        <v>3094</v>
      </c>
      <c r="B4919" s="1" t="s">
        <v>24557</v>
      </c>
      <c r="C4919" s="1" t="s">
        <v>24558</v>
      </c>
      <c r="D4919" s="1" t="s">
        <v>24559</v>
      </c>
      <c r="E4919" s="1" t="s">
        <v>24560</v>
      </c>
      <c r="F4919" s="1" t="s">
        <v>24561</v>
      </c>
      <c r="G4919" s="1" t="s">
        <v>24562</v>
      </c>
      <c r="H4919" s="1" t="str">
        <f>IFERROR(__xludf.DUMMYFUNCTION("GOOGLETRANSLATE(D4919,""EN"",""JA"")"),"空隙容積")</f>
        <v>空隙容積</v>
      </c>
      <c r="I4919" s="1" t="str">
        <f>IFERROR(__xludf.DUMMYFUNCTION("GOOGLETRANSLATE(E4919,""EN"",""JA"")"),"排尿量; 排尿量")</f>
        <v>排尿量; 排尿量</v>
      </c>
      <c r="J4919" s="1" t="str">
        <f>IFERROR(__xludf.DUMMYFUNCTION("GOOGLETRANSLATE(F4919,""EN"",""JA"")"),"排尿時に排出される尿の量を測定します。")</f>
        <v>排尿時に排出される尿の量を測定します。</v>
      </c>
      <c r="K4919" s="1" t="str">
        <f>IFERROR(__xludf.DUMMYFUNCTION("GOOGLETRANSLATE(G4919,""EN"",""JA"")"),"排尿量")</f>
        <v>排尿量</v>
      </c>
    </row>
    <row r="4920" ht="13.5" customHeight="1">
      <c r="A4920" s="1" t="s">
        <v>870</v>
      </c>
      <c r="B4920" s="1" t="s">
        <v>24563</v>
      </c>
      <c r="C4920" s="1" t="s">
        <v>24564</v>
      </c>
      <c r="D4920" s="1" t="s">
        <v>24565</v>
      </c>
      <c r="E4920" s="1" t="s">
        <v>24565</v>
      </c>
      <c r="F4920" s="1" t="s">
        <v>24566</v>
      </c>
      <c r="G4920" s="1" t="s">
        <v>24567</v>
      </c>
      <c r="H4920" s="1" t="str">
        <f>IFERROR(__xludf.DUMMYFUNCTION("GOOGLETRANSLATE(D4920,""EN"",""JA"")"),"尿量の合計")</f>
        <v>尿量の合計</v>
      </c>
      <c r="I4920" s="1" t="str">
        <f>IFERROR(__xludf.DUMMYFUNCTION("GOOGLETRANSLATE(E4920,""EN"",""JA"")"),"尿量の合計")</f>
        <v>尿量の合計</v>
      </c>
      <c r="J4920" s="1" t="str">
        <f>IFERROR(__xludf.DUMMYFUNCTION("GOOGLETRANSLATE(F4920,""EN"",""JA"")"),"PK パラメータに使用される尿量の合計。")</f>
        <v>PK パラメータに使用される尿量の合計。</v>
      </c>
      <c r="K4920" s="1" t="str">
        <f>IFERROR(__xludf.DUMMYFUNCTION("GOOGLETRANSLATE(G4920,""EN"",""JA"")"),"総尿量")</f>
        <v>総尿量</v>
      </c>
    </row>
    <row r="4921" ht="13.5" customHeight="1">
      <c r="A4921" s="1" t="s">
        <v>233</v>
      </c>
      <c r="B4921" s="1" t="s">
        <v>24568</v>
      </c>
      <c r="C4921" s="1" t="s">
        <v>24569</v>
      </c>
      <c r="D4921" s="1" t="s">
        <v>24570</v>
      </c>
      <c r="E4921" s="1" t="s">
        <v>24570</v>
      </c>
      <c r="F4921" s="1" t="s">
        <v>24571</v>
      </c>
      <c r="G4921" s="1" t="s">
        <v>24572</v>
      </c>
      <c r="H4921" s="1" t="str">
        <f>IFERROR(__xludf.DUMMYFUNCTION("GOOGLETRANSLATE(D4921,""EN"",""JA"")"),"音量")</f>
        <v>音量</v>
      </c>
      <c r="I4921" s="1" t="str">
        <f>IFERROR(__xludf.DUMMYFUNCTION("GOOGLETRANSLATE(E4921,""EN"",""JA"")"),"音量")</f>
        <v>音量</v>
      </c>
      <c r="J4921" s="1" t="str">
        <f>IFERROR(__xludf.DUMMYFUNCTION("GOOGLETRANSLATE(F4921,""EN"",""JA"")"),"物体が占める三次元空間の量、または空間や容器の容量の測定値。")</f>
        <v>物体が占める三次元空間の量、または空間や容器の容量の測定値。</v>
      </c>
      <c r="K4921" s="1" t="str">
        <f>IFERROR(__xludf.DUMMYFUNCTION("GOOGLETRANSLATE(G4921,""EN"",""JA"")"),"体積測定")</f>
        <v>体積測定</v>
      </c>
    </row>
    <row r="4922" ht="13.5" customHeight="1">
      <c r="A4922" s="1" t="s">
        <v>11</v>
      </c>
      <c r="B4922" s="1" t="s">
        <v>24568</v>
      </c>
      <c r="C4922" s="1" t="s">
        <v>24569</v>
      </c>
      <c r="D4922" s="1" t="s">
        <v>24570</v>
      </c>
      <c r="E4922" s="1" t="s">
        <v>24570</v>
      </c>
      <c r="F4922" s="1" t="s">
        <v>24571</v>
      </c>
      <c r="G4922" s="1" t="s">
        <v>24572</v>
      </c>
      <c r="H4922" s="1" t="str">
        <f>IFERROR(__xludf.DUMMYFUNCTION("GOOGLETRANSLATE(D4922,""EN"",""JA"")"),"音量")</f>
        <v>音量</v>
      </c>
      <c r="I4922" s="1" t="str">
        <f>IFERROR(__xludf.DUMMYFUNCTION("GOOGLETRANSLATE(E4922,""EN"",""JA"")"),"音量")</f>
        <v>音量</v>
      </c>
      <c r="J4922" s="1" t="str">
        <f>IFERROR(__xludf.DUMMYFUNCTION("GOOGLETRANSLATE(F4922,""EN"",""JA"")"),"物体が占める三次元空間の量、または空間や容器の容量の測定値。")</f>
        <v>物体が占める三次元空間の量、または空間や容器の容量の測定値。</v>
      </c>
      <c r="K4922" s="1" t="str">
        <f>IFERROR(__xludf.DUMMYFUNCTION("GOOGLETRANSLATE(G4922,""EN"",""JA"")"),"体積測定")</f>
        <v>体積測定</v>
      </c>
    </row>
    <row r="4923" ht="13.5" customHeight="1">
      <c r="A4923" s="1" t="s">
        <v>176</v>
      </c>
      <c r="B4923" s="1" t="s">
        <v>24568</v>
      </c>
      <c r="C4923" s="1" t="s">
        <v>24569</v>
      </c>
      <c r="D4923" s="1" t="s">
        <v>24570</v>
      </c>
      <c r="E4923" s="1" t="s">
        <v>24570</v>
      </c>
      <c r="F4923" s="1" t="s">
        <v>24571</v>
      </c>
      <c r="G4923" s="1" t="s">
        <v>24572</v>
      </c>
      <c r="H4923" s="1" t="str">
        <f>IFERROR(__xludf.DUMMYFUNCTION("GOOGLETRANSLATE(D4923,""EN"",""JA"")"),"音量")</f>
        <v>音量</v>
      </c>
      <c r="I4923" s="1" t="str">
        <f>IFERROR(__xludf.DUMMYFUNCTION("GOOGLETRANSLATE(E4923,""EN"",""JA"")"),"音量")</f>
        <v>音量</v>
      </c>
      <c r="J4923" s="1" t="str">
        <f>IFERROR(__xludf.DUMMYFUNCTION("GOOGLETRANSLATE(F4923,""EN"",""JA"")"),"物体が占める三次元空間の量、または空間や容器の容量の測定値。")</f>
        <v>物体が占める三次元空間の量、または空間や容器の容量の測定値。</v>
      </c>
      <c r="K4923" s="1" t="str">
        <f>IFERROR(__xludf.DUMMYFUNCTION("GOOGLETRANSLATE(G4923,""EN"",""JA"")"),"体積測定")</f>
        <v>体積測定</v>
      </c>
    </row>
    <row r="4924" ht="13.5" customHeight="1">
      <c r="A4924" s="1" t="s">
        <v>67</v>
      </c>
      <c r="B4924" s="1" t="s">
        <v>24573</v>
      </c>
      <c r="C4924" s="1" t="s">
        <v>24574</v>
      </c>
      <c r="D4924" s="1" t="s">
        <v>24575</v>
      </c>
      <c r="E4924" s="1" t="s">
        <v>24575</v>
      </c>
      <c r="F4924" s="1" t="s">
        <v>24576</v>
      </c>
      <c r="G4924" s="1" t="s">
        <v>24577</v>
      </c>
      <c r="H4924" s="1" t="str">
        <f>IFERROR(__xludf.DUMMYFUNCTION("GOOGLETRANSLATE(D4924,""EN"",""JA"")"),"腸炎ビブリオDNA")</f>
        <v>腸炎ビブリオDNA</v>
      </c>
      <c r="I4924" s="1" t="str">
        <f>IFERROR(__xludf.DUMMYFUNCTION("GOOGLETRANSLATE(E4924,""EN"",""JA"")"),"腸炎ビブリオDNA")</f>
        <v>腸炎ビブリオDNA</v>
      </c>
      <c r="J4924" s="1" t="str">
        <f>IFERROR(__xludf.DUMMYFUNCTION("GOOGLETRANSLATE(F4924,""EN"",""JA"")"),"生物標本中の腸炎ビブリオ DNA の測定。")</f>
        <v>生物標本中の腸炎ビブリオ DNA の測定。</v>
      </c>
      <c r="K4924" s="1" t="str">
        <f>IFERROR(__xludf.DUMMYFUNCTION("GOOGLETRANSLATE(G4924,""EN"",""JA"")"),"腸炎ビブリオDNA測定")</f>
        <v>腸炎ビブリオDNA測定</v>
      </c>
    </row>
    <row r="4925" ht="13.5" customHeight="1">
      <c r="A4925" s="1" t="s">
        <v>67</v>
      </c>
      <c r="B4925" s="1" t="s">
        <v>24578</v>
      </c>
      <c r="C4925" s="1" t="s">
        <v>24579</v>
      </c>
      <c r="D4925" s="1" t="s">
        <v>24580</v>
      </c>
      <c r="E4925" s="1" t="s">
        <v>24580</v>
      </c>
      <c r="F4925" s="1" t="s">
        <v>24581</v>
      </c>
      <c r="G4925" s="1" t="s">
        <v>24582</v>
      </c>
      <c r="H4925" s="1" t="str">
        <f>IFERROR(__xludf.DUMMYFUNCTION("GOOGLETRANSLATE(D4925,""EN"",""JA"")"),"腸球菌、バンコマイシン耐性")</f>
        <v>腸球菌、バンコマイシン耐性</v>
      </c>
      <c r="I4925" s="1" t="str">
        <f>IFERROR(__xludf.DUMMYFUNCTION("GOOGLETRANSLATE(E4925,""EN"",""JA"")"),"腸球菌、バンコマイシン耐性")</f>
        <v>腸球菌、バンコマイシン耐性</v>
      </c>
      <c r="J4925" s="1" t="str">
        <f>IFERROR(__xludf.DUMMYFUNCTION("GOOGLETRANSLATE(F4925,""EN"",""JA"")"),"生物標本中の、種レベルではなくエンテロコッカス属レベルに割り当てられる、バンコマイシン耐性微生物の測定値。")</f>
        <v>生物標本中の、種レベルではなくエンテロコッカス属レベルに割り当てられる、バンコマイシン耐性微生物の測定値。</v>
      </c>
      <c r="K4925" s="1" t="str">
        <f>IFERROR(__xludf.DUMMYFUNCTION("GOOGLETRANSLATE(G4925,""EN"",""JA"")"),"バンコマイシン耐性腸球菌測定")</f>
        <v>バンコマイシン耐性腸球菌測定</v>
      </c>
    </row>
    <row r="4926" ht="13.5" customHeight="1">
      <c r="A4926" s="1" t="s">
        <v>11</v>
      </c>
      <c r="B4926" s="1" t="s">
        <v>24583</v>
      </c>
      <c r="C4926" s="1" t="s">
        <v>24584</v>
      </c>
      <c r="D4926" s="1" t="s">
        <v>24585</v>
      </c>
      <c r="E4926" s="1" t="s">
        <v>24585</v>
      </c>
      <c r="F4926" s="1" t="s">
        <v>24586</v>
      </c>
      <c r="G4926" s="1" t="s">
        <v>24587</v>
      </c>
      <c r="H4926" s="1" t="str">
        <f>IFERROR(__xludf.DUMMYFUNCTION("GOOGLETRANSLATE(D4926,""EN"",""JA"")"),"ボルチオキセチン")</f>
        <v>ボルチオキセチン</v>
      </c>
      <c r="I4926" s="1" t="str">
        <f>IFERROR(__xludf.DUMMYFUNCTION("GOOGLETRANSLATE(E4926,""EN"",""JA"")"),"ボルチオキセチン")</f>
        <v>ボルチオキセチン</v>
      </c>
      <c r="J4926" s="1" t="str">
        <f>IFERROR(__xludf.DUMMYFUNCTION("GOOGLETRANSLATE(F4926,""EN"",""JA"")"),"生物標本中のボルチオキセチンの測定。")</f>
        <v>生物標本中のボルチオキセチンの測定。</v>
      </c>
      <c r="K4926" s="1" t="str">
        <f>IFERROR(__xludf.DUMMYFUNCTION("GOOGLETRANSLATE(G4926,""EN"",""JA"")"),"ボルチオキセチン測定")</f>
        <v>ボルチオキセチン測定</v>
      </c>
    </row>
    <row r="4927" ht="13.5" customHeight="1">
      <c r="A4927" s="1" t="s">
        <v>233</v>
      </c>
      <c r="B4927" s="1" t="s">
        <v>24588</v>
      </c>
      <c r="C4927" s="1" t="s">
        <v>24589</v>
      </c>
      <c r="D4927" s="1" t="s">
        <v>24590</v>
      </c>
      <c r="E4927" s="1" t="s">
        <v>24590</v>
      </c>
      <c r="F4927" s="1" t="s">
        <v>24591</v>
      </c>
      <c r="G4927" s="1" t="s">
        <v>24590</v>
      </c>
      <c r="H4927" s="1" t="str">
        <f>IFERROR(__xludf.DUMMYFUNCTION("GOOGLETRANSLATE(D4927,""EN"",""JA"")"),"容器破損インジケーター")</f>
        <v>容器破損インジケーター</v>
      </c>
      <c r="I4927" s="1" t="str">
        <f>IFERROR(__xludf.DUMMYFUNCTION("GOOGLETRANSLATE(E4927,""EN"",""JA"")"),"容器破損インジケーター")</f>
        <v>容器破損インジケーター</v>
      </c>
      <c r="J4927" s="1" t="str">
        <f>IFERROR(__xludf.DUMMYFUNCTION("GOOGLETRANSLATE(F4927,""EN"",""JA"")"),"船舶の故障が発生したかどうかを示すもの。")</f>
        <v>船舶の故障が発生したかどうかを示すもの。</v>
      </c>
      <c r="K4927" s="1" t="str">
        <f>IFERROR(__xludf.DUMMYFUNCTION("GOOGLETRANSLATE(G4927,""EN"",""JA"")"),"容器破損インジケーター")</f>
        <v>容器破損インジケーター</v>
      </c>
    </row>
    <row r="4928" ht="13.5" customHeight="1">
      <c r="A4928" s="1" t="s">
        <v>6439</v>
      </c>
      <c r="B4928" s="1" t="s">
        <v>24592</v>
      </c>
      <c r="C4928" s="1" t="s">
        <v>24593</v>
      </c>
      <c r="D4928" s="1" t="s">
        <v>24594</v>
      </c>
      <c r="E4928" s="1" t="s">
        <v>24594</v>
      </c>
      <c r="F4928" s="1" t="s">
        <v>24595</v>
      </c>
      <c r="G4928" s="1" t="s">
        <v>24594</v>
      </c>
      <c r="H4928" s="1" t="str">
        <f>IFERROR(__xludf.DUMMYFUNCTION("GOOGLETRANSLATE(D4928,""EN"",""JA"")"),"血管病変の特定")</f>
        <v>血管病変の特定</v>
      </c>
      <c r="I4928" s="1" t="str">
        <f>IFERROR(__xludf.DUMMYFUNCTION("GOOGLETRANSLATE(E4928,""EN"",""JA"")"),"血管病変の特定")</f>
        <v>血管病変の特定</v>
      </c>
      <c r="J4928" s="1" t="str">
        <f>IFERROR(__xludf.DUMMYFUNCTION("GOOGLETRANSLATE(F4928,""EN"",""JA"")"),"病変のある血管が特定され、特徴付けられていることを示します。")</f>
        <v>病変のある血管が特定され、特徴付けられていることを示します。</v>
      </c>
      <c r="K4928" s="1" t="str">
        <f>IFERROR(__xludf.DUMMYFUNCTION("GOOGLETRANSLATE(G4928,""EN"",""JA"")"),"血管病変の特定")</f>
        <v>血管病変の特定</v>
      </c>
    </row>
    <row r="4929" ht="13.5" customHeight="1">
      <c r="A4929" s="1" t="s">
        <v>233</v>
      </c>
      <c r="B4929" s="1" t="s">
        <v>24596</v>
      </c>
      <c r="C4929" s="1" t="s">
        <v>24597</v>
      </c>
      <c r="D4929" s="1" t="s">
        <v>24598</v>
      </c>
      <c r="E4929" s="1" t="s">
        <v>24598</v>
      </c>
      <c r="F4929" s="1" t="s">
        <v>24599</v>
      </c>
      <c r="G4929" s="1" t="s">
        <v>24598</v>
      </c>
      <c r="H4929" s="1" t="str">
        <f>IFERROR(__xludf.DUMMYFUNCTION("GOOGLETRANSLATE(D4929,""EN"",""JA"")"),"血管開存性インジケーター")</f>
        <v>血管開存性インジケーター</v>
      </c>
      <c r="I4929" s="1" t="str">
        <f>IFERROR(__xludf.DUMMYFUNCTION("GOOGLETRANSLATE(E4929,""EN"",""JA"")"),"血管開存性インジケーター")</f>
        <v>血管開存性インジケーター</v>
      </c>
      <c r="J4929" s="1" t="str">
        <f>IFERROR(__xludf.DUMMYFUNCTION("GOOGLETRANSLATE(F4929,""EN"",""JA"")"),"介入後に動脈が開通しているかどうか（TLR または再狭窄がないかどうか）を示す指標。")</f>
        <v>介入後に動脈が開通しているかどうか（TLR または再狭窄がないかどうか）を示す指標。</v>
      </c>
      <c r="K4929" s="1" t="str">
        <f>IFERROR(__xludf.DUMMYFUNCTION("GOOGLETRANSLATE(G4929,""EN"",""JA"")"),"血管開存性インジケーター")</f>
        <v>血管開存性インジケーター</v>
      </c>
    </row>
    <row r="4930" ht="13.5" customHeight="1">
      <c r="A4930" s="1" t="s">
        <v>233</v>
      </c>
      <c r="B4930" s="1" t="s">
        <v>24600</v>
      </c>
      <c r="C4930" s="1" t="s">
        <v>24601</v>
      </c>
      <c r="D4930" s="1" t="s">
        <v>24602</v>
      </c>
      <c r="E4930" s="1" t="s">
        <v>24602</v>
      </c>
      <c r="F4930" s="1" t="s">
        <v>24603</v>
      </c>
      <c r="G4930" s="1" t="s">
        <v>24602</v>
      </c>
      <c r="H4930" s="1" t="str">
        <f>IFERROR(__xludf.DUMMYFUNCTION("GOOGLETRANSLATE(D4930,""EN"",""JA"")"),"血管血行再建指標")</f>
        <v>血管血行再建指標</v>
      </c>
      <c r="I4930" s="1" t="str">
        <f>IFERROR(__xludf.DUMMYFUNCTION("GOOGLETRANSLATE(E4930,""EN"",""JA"")"),"血管血行再建指標")</f>
        <v>血管血行再建指標</v>
      </c>
      <c r="J4930" s="1" t="str">
        <f>IFERROR(__xludf.DUMMYFUNCTION("GOOGLETRANSLATE(F4930,""EN"",""JA"")"),"病変を含む動脈の再血行再建術が行われたかどうかを示します。")</f>
        <v>病変を含む動脈の再血行再建術が行われたかどうかを示します。</v>
      </c>
      <c r="K4930" s="1" t="str">
        <f>IFERROR(__xludf.DUMMYFUNCTION("GOOGLETRANSLATE(G4930,""EN"",""JA"")"),"血管血行再建指標")</f>
        <v>血管血行再建指標</v>
      </c>
    </row>
    <row r="4931" ht="13.5" customHeight="1">
      <c r="A4931" s="1" t="s">
        <v>870</v>
      </c>
      <c r="B4931" s="1" t="s">
        <v>24604</v>
      </c>
      <c r="C4931" s="1" t="s">
        <v>24605</v>
      </c>
      <c r="D4931" s="1" t="s">
        <v>24606</v>
      </c>
      <c r="E4931" s="1" t="s">
        <v>24606</v>
      </c>
      <c r="F4931" s="1" t="s">
        <v>24607</v>
      </c>
      <c r="G4931" s="1" t="s">
        <v>24608</v>
      </c>
      <c r="H4931" s="1" t="str">
        <f>IFERROR(__xludf.DUMMYFUNCTION("GOOGLETRANSLATE(D4931,""EN"",""JA"")"),"Vol Dist 定常状態観測")</f>
        <v>Vol Dist 定常状態観測</v>
      </c>
      <c r="I4931" s="1" t="str">
        <f>IFERROR(__xludf.DUMMYFUNCTION("GOOGLETRANSLATE(E4931,""EN"",""JA"")"),"Vol Dist 定常状態観測")</f>
        <v>Vol Dist 定常状態観測</v>
      </c>
      <c r="J4931" s="1" t="str">
        <f>IFERROR(__xludf.DUMMYFUNCTION("GOOGLETRANSLATE(F4931,""EN"",""JA"")"),"血管内投与された物質の観察された CLST に基づく定常状態での分布容積。")</f>
        <v>血管内投与された物質の観察された CLST に基づく定常状態での分布容積。</v>
      </c>
      <c r="K4931" s="1" t="str">
        <f>IFERROR(__xludf.DUMMYFUNCTION("GOOGLETRANSLATE(G4931,""EN"",""JA"")"),"観測された定常分布容積")</f>
        <v>観測された定常分布容積</v>
      </c>
    </row>
    <row r="4932" ht="13.5" customHeight="1">
      <c r="A4932" s="1" t="s">
        <v>870</v>
      </c>
      <c r="B4932" s="1" t="s">
        <v>24609</v>
      </c>
      <c r="C4932" s="1" t="s">
        <v>24610</v>
      </c>
      <c r="D4932" s="1" t="s">
        <v>24611</v>
      </c>
      <c r="E4932" s="1" t="s">
        <v>24611</v>
      </c>
      <c r="F4932" s="1" t="s">
        <v>24612</v>
      </c>
      <c r="G4932" s="1" t="s">
        <v>24613</v>
      </c>
      <c r="H4932" s="1" t="str">
        <f>IFERROR(__xludf.DUMMYFUNCTION("GOOGLETRANSLATE(D4932,""EN"",""JA"")"),"BMIによるVol Dist定常状態観測標準")</f>
        <v>BMIによるVol Dist定常状態観測標準</v>
      </c>
      <c r="I4932" s="1" t="str">
        <f>IFERROR(__xludf.DUMMYFUNCTION("GOOGLETRANSLATE(E4932,""EN"",""JA"")"),"BMIによるVol Dist定常状態観測標準")</f>
        <v>BMIによるVol Dist定常状態観測標準</v>
      </c>
      <c r="J4932" s="1" t="str">
        <f>IFERROR(__xludf.DUMMYFUNCTION("GOOGLETRANSLATE(F4932,""EN"",""JA"")"),"血管内投与された物質の観測された CLST に基づく定常状態での分布容積をボディマス指数で割ったもの。")</f>
        <v>血管内投与された物質の観測された CLST に基づく定常状態での分布容積をボディマス指数で割ったもの。</v>
      </c>
      <c r="K4932" s="1" t="str">
        <f>IFERROR(__xludf.DUMMYFUNCTION("GOOGLETRANSLATE(G4932,""EN"",""JA"")"),"ボディマス指数で正規化された観測された定常分布容積")</f>
        <v>ボディマス指数で正規化された観測された定常分布容積</v>
      </c>
    </row>
    <row r="4933" ht="13.5" customHeight="1">
      <c r="A4933" s="1" t="s">
        <v>870</v>
      </c>
      <c r="B4933" s="1" t="s">
        <v>24614</v>
      </c>
      <c r="C4933" s="1" t="s">
        <v>24615</v>
      </c>
      <c r="D4933" s="1" t="s">
        <v>24616</v>
      </c>
      <c r="E4933" s="1" t="s">
        <v>24616</v>
      </c>
      <c r="F4933" s="1" t="s">
        <v>24617</v>
      </c>
      <c r="G4933" s="1" t="s">
        <v>24618</v>
      </c>
      <c r="H4933" s="1" t="str">
        <f>IFERROR(__xludf.DUMMYFUNCTION("GOOGLETRANSLATE(D4933,""EN"",""JA"")"),"BによるVol Dist定常状態観測")</f>
        <v>BによるVol Dist定常状態観測</v>
      </c>
      <c r="I4933" s="1" t="str">
        <f>IFERROR(__xludf.DUMMYFUNCTION("GOOGLETRANSLATE(E4933,""EN"",""JA"")"),"BによるVol Dist定常状態観測")</f>
        <v>BによるVol Dist定常状態観測</v>
      </c>
      <c r="J4933" s="1" t="str">
        <f>IFERROR(__xludf.DUMMYFUNCTION("GOOGLETRANSLATE(F4933,""EN"",""JA"")"),"投与された物質の観測された CLST に基づく定常状態での分布容積を、結合した薬物の割合で割ったもの。")</f>
        <v>投与された物質の観測された CLST に基づく定常状態での分布容積を、結合した薬物の割合で割ったもの。</v>
      </c>
      <c r="K4933" s="1" t="str">
        <f>IFERROR(__xludf.DUMMYFUNCTION("GOOGLETRANSLATE(G4933,""EN"",""JA"")"),"結合薬物による分布容積定常状態")</f>
        <v>結合薬物による分布容積定常状態</v>
      </c>
    </row>
    <row r="4934" ht="13.5" customHeight="1">
      <c r="A4934" s="1" t="s">
        <v>870</v>
      </c>
      <c r="B4934" s="1" t="s">
        <v>24619</v>
      </c>
      <c r="C4934" s="1" t="s">
        <v>24620</v>
      </c>
      <c r="D4934" s="1" t="s">
        <v>24621</v>
      </c>
      <c r="E4934" s="1" t="s">
        <v>24621</v>
      </c>
      <c r="F4934" s="1" t="s">
        <v>24622</v>
      </c>
      <c r="G4934" s="1" t="s">
        <v>24623</v>
      </c>
      <c r="H4934" s="1" t="str">
        <f>IFERROR(__xludf.DUMMYFUNCTION("GOOGLETRANSLATE(D4934,""EN"",""JA"")"),"体積分布定常状態観測値（線量別）")</f>
        <v>体積分布定常状態観測値（線量別）</v>
      </c>
      <c r="I4934" s="1" t="str">
        <f>IFERROR(__xludf.DUMMYFUNCTION("GOOGLETRANSLATE(E4934,""EN"",""JA"")"),"体積分布定常状態観測値（線量別）")</f>
        <v>体積分布定常状態観測値（線量別）</v>
      </c>
      <c r="J4934" s="1" t="str">
        <f>IFERROR(__xludf.DUMMYFUNCTION("GOOGLETRANSLATE(F4934,""EN"",""JA"")"),"血管内投与により投与された物質の観測された CLST に基づく定常状態での分布容積を投与量で割ったもの。")</f>
        <v>血管内投与により投与された物質の観測された CLST に基づく定常状態での分布容積を投与量で割ったもの。</v>
      </c>
      <c r="K4934" s="1" t="str">
        <f>IFERROR(__xludf.DUMMYFUNCTION("GOOGLETRANSLATE(G4934,""EN"",""JA"")"),"線量で正規化された観測された定常分布容積")</f>
        <v>線量で正規化された観測された定常分布容積</v>
      </c>
    </row>
    <row r="4935" ht="13.5" customHeight="1">
      <c r="A4935" s="1" t="s">
        <v>870</v>
      </c>
      <c r="B4935" s="1" t="s">
        <v>24624</v>
      </c>
      <c r="C4935" s="1" t="s">
        <v>24625</v>
      </c>
      <c r="D4935" s="1" t="s">
        <v>24626</v>
      </c>
      <c r="E4935" s="1" t="s">
        <v>24626</v>
      </c>
      <c r="F4935" s="1" t="s">
        <v>24627</v>
      </c>
      <c r="G4935" s="1" t="s">
        <v>24628</v>
      </c>
      <c r="H4935" s="1" t="str">
        <f>IFERROR(__xludf.DUMMYFUNCTION("GOOGLETRANSLATE(D4935,""EN"",""JA"")"),"FによるVol Dist定常状態観測")</f>
        <v>FによるVol Dist定常状態観測</v>
      </c>
      <c r="I4935" s="1" t="str">
        <f>IFERROR(__xludf.DUMMYFUNCTION("GOOGLETRANSLATE(E4935,""EN"",""JA"")"),"FによるVol Dist定常状態観測")</f>
        <v>FによるVol Dist定常状態観測</v>
      </c>
      <c r="J4935" s="1" t="str">
        <f>IFERROR(__xludf.DUMMYFUNCTION("GOOGLETRANSLATE(F4935,""EN"",""JA"")"),"血管外投与により投与された物質の観測された CLST に基づく定常状態での分布容積を、吸収された投与量の割合で割ったもの。")</f>
        <v>血管外投与により投与された物質の観測された CLST に基づく定常状態での分布容積を、吸収された投与量の割合で割ったもの。</v>
      </c>
      <c r="K4935" s="1" t="str">
        <f>IFERROR(__xludf.DUMMYFUNCTION("GOOGLETRANSLATE(G4935,""EN"",""JA"")"),"吸収線量率で観測される分布容積定常状態")</f>
        <v>吸収線量率で観測される分布容積定常状態</v>
      </c>
    </row>
    <row r="4936" ht="13.5" customHeight="1">
      <c r="A4936" s="1" t="s">
        <v>870</v>
      </c>
      <c r="B4936" s="1" t="s">
        <v>24629</v>
      </c>
      <c r="C4936" s="1" t="s">
        <v>24630</v>
      </c>
      <c r="D4936" s="1" t="s">
        <v>24631</v>
      </c>
      <c r="E4936" s="1" t="s">
        <v>24631</v>
      </c>
      <c r="F4936" s="1" t="s">
        <v>24632</v>
      </c>
      <c r="G4936" s="1" t="s">
        <v>24633</v>
      </c>
      <c r="H4936" s="1" t="str">
        <f>IFERROR(__xludf.DUMMYFUNCTION("GOOGLETRANSLATE(D4936,""EN"",""JA"")"),"SAによるVol Dist定常状態観測ノルム")</f>
        <v>SAによるVol Dist定常状態観測ノルム</v>
      </c>
      <c r="I4936" s="1" t="str">
        <f>IFERROR(__xludf.DUMMYFUNCTION("GOOGLETRANSLATE(E4936,""EN"",""JA"")"),"SAによるVol Dist定常状態観測ノルム")</f>
        <v>SAによるVol Dist定常状態観測ノルム</v>
      </c>
      <c r="J4936" s="1" t="str">
        <f>IFERROR(__xludf.DUMMYFUNCTION("GOOGLETRANSLATE(F4936,""EN"",""JA"")"),"血管内投与された物質の観測された CLST に基づく定常状態での分布容積を表面積で割ったもの。")</f>
        <v>血管内投与された物質の観測された CLST に基づく定常状態での分布容積を表面積で割ったもの。</v>
      </c>
      <c r="K4936" s="1" t="str">
        <f>IFERROR(__xludf.DUMMYFUNCTION("GOOGLETRANSLATE(G4936,""EN"",""JA"")"),"観測された定常分布容積を表面積で正規化したもの")</f>
        <v>観測された定常分布容積を表面積で正規化したもの</v>
      </c>
    </row>
    <row r="4937" ht="13.5" customHeight="1">
      <c r="A4937" s="1" t="s">
        <v>870</v>
      </c>
      <c r="B4937" s="1" t="s">
        <v>24634</v>
      </c>
      <c r="C4937" s="1" t="s">
        <v>24635</v>
      </c>
      <c r="D4937" s="1" t="s">
        <v>24636</v>
      </c>
      <c r="E4937" s="1" t="s">
        <v>24636</v>
      </c>
      <c r="F4937" s="1" t="s">
        <v>24637</v>
      </c>
      <c r="G4937" s="1" t="s">
        <v>24638</v>
      </c>
      <c r="H4937" s="1" t="str">
        <f>IFERROR(__xludf.DUMMYFUNCTION("GOOGLETRANSLATE(D4937,""EN"",""JA"")"),"UBによるVol Dist定常状態観測")</f>
        <v>UBによるVol Dist定常状態観測</v>
      </c>
      <c r="I4937" s="1" t="str">
        <f>IFERROR(__xludf.DUMMYFUNCTION("GOOGLETRANSLATE(E4937,""EN"",""JA"")"),"UBによるVol Dist定常状態観測")</f>
        <v>UBによるVol Dist定常状態観測</v>
      </c>
      <c r="J4937" s="1" t="str">
        <f>IFERROR(__xludf.DUMMYFUNCTION("GOOGLETRANSLATE(F4937,""EN"",""JA"")"),"投与された物質の観測された CLST に基づく定常状態での分布容積を、結合していない薬物の割合で割ったもの。")</f>
        <v>投与された物質の観測された CLST に基づく定常状態での分布容積を、結合していない薬物の割合で割ったもの。</v>
      </c>
      <c r="K4937" s="1" t="str">
        <f>IFERROR(__xludf.DUMMYFUNCTION("GOOGLETRANSLATE(G4937,""EN"",""JA"")"),"非結合薬物による分布容積定常状態")</f>
        <v>非結合薬物による分布容積定常状態</v>
      </c>
    </row>
    <row r="4938" ht="13.5" customHeight="1">
      <c r="A4938" s="1" t="s">
        <v>870</v>
      </c>
      <c r="B4938" s="1" t="s">
        <v>24639</v>
      </c>
      <c r="C4938" s="1" t="s">
        <v>24640</v>
      </c>
      <c r="D4938" s="1" t="s">
        <v>24641</v>
      </c>
      <c r="E4938" s="1" t="s">
        <v>24641</v>
      </c>
      <c r="F4938" s="1" t="s">
        <v>24642</v>
      </c>
      <c r="G4938" s="1" t="s">
        <v>24643</v>
      </c>
      <c r="H4938" s="1" t="str">
        <f>IFERROR(__xludf.DUMMYFUNCTION("GOOGLETRANSLATE(D4938,""EN"",""JA"")"),"Vol Dist 定常状態観測ノルム by WT")</f>
        <v>Vol Dist 定常状態観測ノルム by WT</v>
      </c>
      <c r="I4938" s="1" t="str">
        <f>IFERROR(__xludf.DUMMYFUNCTION("GOOGLETRANSLATE(E4938,""EN"",""JA"")"),"Vol Dist 定常状態観測ノルム by WT")</f>
        <v>Vol Dist 定常状態観測ノルム by WT</v>
      </c>
      <c r="J4938" s="1" t="str">
        <f>IFERROR(__xludf.DUMMYFUNCTION("GOOGLETRANSLATE(F4938,""EN"",""JA"")"),"血管内投与により投与された物質の観測された CLST に基づく定常状態での分布容積を重量で割ったもの。")</f>
        <v>血管内投与により投与された物質の観測された CLST に基づく定常状態での分布容積を重量で割ったもの。</v>
      </c>
      <c r="K4938" s="1" t="str">
        <f>IFERROR(__xludf.DUMMYFUNCTION("GOOGLETRANSLATE(G4938,""EN"",""JA"")"),"重量で正規化された観測された定常分布容積")</f>
        <v>重量で正規化された観測された定常分布容積</v>
      </c>
    </row>
    <row r="4939" ht="13.5" customHeight="1">
      <c r="A4939" s="1" t="s">
        <v>870</v>
      </c>
      <c r="B4939" s="1" t="s">
        <v>24644</v>
      </c>
      <c r="C4939" s="1" t="s">
        <v>24645</v>
      </c>
      <c r="D4939" s="1" t="s">
        <v>24646</v>
      </c>
      <c r="E4939" s="1" t="s">
        <v>24646</v>
      </c>
      <c r="F4939" s="1" t="s">
        <v>24647</v>
      </c>
      <c r="G4939" s="1" t="s">
        <v>24648</v>
      </c>
      <c r="H4939" s="1" t="str">
        <f>IFERROR(__xludf.DUMMYFUNCTION("GOOGLETRANSLATE(D4939,""EN"",""JA"")"),"変動分布定常状態予測")</f>
        <v>変動分布定常状態予測</v>
      </c>
      <c r="I4939" s="1" t="str">
        <f>IFERROR(__xludf.DUMMYFUNCTION("GOOGLETRANSLATE(E4939,""EN"",""JA"")"),"変動分布定常状態予測")</f>
        <v>変動分布定常状態予測</v>
      </c>
      <c r="J4939" s="1" t="str">
        <f>IFERROR(__xludf.DUMMYFUNCTION("GOOGLETRANSLATE(F4939,""EN"",""JA"")"),"血管内投与により投与された物質の予測 CLST に基づく定常状態での分布容積。")</f>
        <v>血管内投与により投与された物質の予測 CLST に基づく定常状態での分布容積。</v>
      </c>
      <c r="K4939" s="1" t="str">
        <f>IFERROR(__xludf.DUMMYFUNCTION("GOOGLETRANSLATE(G4939,""EN"",""JA"")"),"予測される定常分布容積")</f>
        <v>予測される定常分布容積</v>
      </c>
    </row>
    <row r="4940" ht="13.5" customHeight="1">
      <c r="A4940" s="1" t="s">
        <v>870</v>
      </c>
      <c r="B4940" s="1" t="s">
        <v>24649</v>
      </c>
      <c r="C4940" s="1" t="s">
        <v>24650</v>
      </c>
      <c r="D4940" s="1" t="s">
        <v>24651</v>
      </c>
      <c r="E4940" s="1" t="s">
        <v>24651</v>
      </c>
      <c r="F4940" s="1" t="s">
        <v>24652</v>
      </c>
      <c r="G4940" s="1" t="s">
        <v>24653</v>
      </c>
      <c r="H4940" s="1" t="str">
        <f>IFERROR(__xludf.DUMMYFUNCTION("GOOGLETRANSLATE(D4940,""EN"",""JA"")"),"BMIによる変動分布定常状態予測正常値")</f>
        <v>BMIによる変動分布定常状態予測正常値</v>
      </c>
      <c r="I4940" s="1" t="str">
        <f>IFERROR(__xludf.DUMMYFUNCTION("GOOGLETRANSLATE(E4940,""EN"",""JA"")"),"BMIによる変動分布定常状態予測正常値")</f>
        <v>BMIによる変動分布定常状態予測正常値</v>
      </c>
      <c r="J4940" s="1" t="str">
        <f>IFERROR(__xludf.DUMMYFUNCTION("GOOGLETRANSLATE(F4940,""EN"",""JA"")"),"血管内投与により投与された物質の予測 CLST に基づく定常状態における分布容積をボディマス指数で割ったもの。")</f>
        <v>血管内投与により投与された物質の予測 CLST に基づく定常状態における分布容積をボディマス指数で割ったもの。</v>
      </c>
      <c r="K4940" s="1" t="str">
        <f>IFERROR(__xludf.DUMMYFUNCTION("GOOGLETRANSLATE(G4940,""EN"",""JA"")"),"ボディマス指数で正規化された予測定常状態分布容積")</f>
        <v>ボディマス指数で正規化された予測定常状態分布容積</v>
      </c>
    </row>
    <row r="4941" ht="13.5" customHeight="1">
      <c r="A4941" s="1" t="s">
        <v>870</v>
      </c>
      <c r="B4941" s="1" t="s">
        <v>24654</v>
      </c>
      <c r="C4941" s="1" t="s">
        <v>24655</v>
      </c>
      <c r="D4941" s="1" t="s">
        <v>24656</v>
      </c>
      <c r="E4941" s="1" t="s">
        <v>24656</v>
      </c>
      <c r="F4941" s="1" t="s">
        <v>24657</v>
      </c>
      <c r="G4941" s="1" t="s">
        <v>24658</v>
      </c>
      <c r="H4941" s="1" t="str">
        <f>IFERROR(__xludf.DUMMYFUNCTION("GOOGLETRANSLATE(D4941,""EN"",""JA"")"),"Vol Dist 定常状態予測 B")</f>
        <v>Vol Dist 定常状態予測 B</v>
      </c>
      <c r="I4941" s="1" t="str">
        <f>IFERROR(__xludf.DUMMYFUNCTION("GOOGLETRANSLATE(E4941,""EN"",""JA"")"),"Vol Dist 定常状態予測 B")</f>
        <v>Vol Dist 定常状態予測 B</v>
      </c>
      <c r="J4941" s="1" t="str">
        <f>IFERROR(__xludf.DUMMYFUNCTION("GOOGLETRANSLATE(F4941,""EN"",""JA"")"),"投与された物質の予測 CLST に基づく定常状態での分布容積を、結合した薬物の割合で割ったもの。")</f>
        <v>投与された物質の予測 CLST に基づく定常状態での分布容積を、結合した薬物の割合で割ったもの。</v>
      </c>
      <c r="K4941" s="1" t="str">
        <f>IFERROR(__xludf.DUMMYFUNCTION("GOOGLETRANSLATE(G4941,""EN"",""JA"")"),"結合薬物による分布容積定常状態の予測")</f>
        <v>結合薬物による分布容積定常状態の予測</v>
      </c>
    </row>
    <row r="4942" ht="13.5" customHeight="1">
      <c r="A4942" s="1" t="s">
        <v>870</v>
      </c>
      <c r="B4942" s="1" t="s">
        <v>24659</v>
      </c>
      <c r="C4942" s="1" t="s">
        <v>24660</v>
      </c>
      <c r="D4942" s="1" t="s">
        <v>24661</v>
      </c>
      <c r="E4942" s="1" t="s">
        <v>24661</v>
      </c>
      <c r="F4942" s="1" t="s">
        <v>24662</v>
      </c>
      <c r="G4942" s="1" t="s">
        <v>24663</v>
      </c>
      <c r="H4942" s="1" t="str">
        <f>IFERROR(__xludf.DUMMYFUNCTION("GOOGLETRANSLATE(D4942,""EN"",""JA"")"),"用量別Vol分布定常状態予測正常値")</f>
        <v>用量別Vol分布定常状態予測正常値</v>
      </c>
      <c r="I4942" s="1" t="str">
        <f>IFERROR(__xludf.DUMMYFUNCTION("GOOGLETRANSLATE(E4942,""EN"",""JA"")"),"用量別Vol分布定常状態予測正常値")</f>
        <v>用量別Vol分布定常状態予測正常値</v>
      </c>
      <c r="J4942" s="1" t="str">
        <f>IFERROR(__xludf.DUMMYFUNCTION("GOOGLETRANSLATE(F4942,""EN"",""JA"")"),"血管内投与により投与された物質の予測 CLST を投与量で割った定常状態における分布容積。")</f>
        <v>血管内投与により投与された物質の予測 CLST を投与量で割った定常状態における分布容積。</v>
      </c>
      <c r="K4942" s="1" t="str">
        <f>IFERROR(__xludf.DUMMYFUNCTION("GOOGLETRANSLATE(G4942,""EN"",""JA"")"),"線量で正規化された予測定常分布容積")</f>
        <v>線量で正規化された予測定常分布容積</v>
      </c>
    </row>
    <row r="4943" ht="13.5" customHeight="1">
      <c r="A4943" s="1" t="s">
        <v>870</v>
      </c>
      <c r="B4943" s="1" t="s">
        <v>24664</v>
      </c>
      <c r="C4943" s="1" t="s">
        <v>24665</v>
      </c>
      <c r="D4943" s="1" t="s">
        <v>24666</v>
      </c>
      <c r="E4943" s="1" t="s">
        <v>24666</v>
      </c>
      <c r="F4943" s="1" t="s">
        <v>24667</v>
      </c>
      <c r="G4943" s="1" t="s">
        <v>24668</v>
      </c>
      <c r="H4943" s="1" t="str">
        <f>IFERROR(__xludf.DUMMYFUNCTION("GOOGLETRANSLATE(D4943,""EN"",""JA"")"),"Vol Dist 定常状態予測 by F")</f>
        <v>Vol Dist 定常状態予測 by F</v>
      </c>
      <c r="I4943" s="1" t="str">
        <f>IFERROR(__xludf.DUMMYFUNCTION("GOOGLETRANSLATE(E4943,""EN"",""JA"")"),"Vol Dist 定常状態予測 by F")</f>
        <v>Vol Dist 定常状態予測 by F</v>
      </c>
      <c r="J4943" s="1" t="str">
        <f>IFERROR(__xludf.DUMMYFUNCTION("GOOGLETRANSLATE(F4943,""EN"",""JA"")"),"血管外投与により投与された物質の予測 CLST に基づく定常状態での分布容積を、吸収された投与量の割合で割ったもの。")</f>
        <v>血管外投与により投与された物質の予測 CLST に基づく定常状態での分布容積を、吸収された投与量の割合で割ったもの。</v>
      </c>
      <c r="K4943" s="1" t="str">
        <f>IFERROR(__xludf.DUMMYFUNCTION("GOOGLETRANSLATE(G4943,""EN"",""JA"")"),"吸収線量率から予測される分布容積定常状態")</f>
        <v>吸収線量率から予測される分布容積定常状態</v>
      </c>
    </row>
    <row r="4944" ht="13.5" customHeight="1">
      <c r="A4944" s="1" t="s">
        <v>870</v>
      </c>
      <c r="B4944" s="1" t="s">
        <v>24669</v>
      </c>
      <c r="C4944" s="1" t="s">
        <v>24670</v>
      </c>
      <c r="D4944" s="1" t="s">
        <v>24671</v>
      </c>
      <c r="E4944" s="1" t="s">
        <v>24671</v>
      </c>
      <c r="F4944" s="1" t="s">
        <v>24672</v>
      </c>
      <c r="G4944" s="1" t="s">
        <v>24673</v>
      </c>
      <c r="H4944" s="1" t="str">
        <f>IFERROR(__xludf.DUMMYFUNCTION("GOOGLETRANSLATE(D4944,""EN"",""JA"")"),"変動分布定常状態予測正規化（SA による）")</f>
        <v>変動分布定常状態予測正規化（SA による）</v>
      </c>
      <c r="I4944" s="1" t="str">
        <f>IFERROR(__xludf.DUMMYFUNCTION("GOOGLETRANSLATE(E4944,""EN"",""JA"")"),"変動分布定常状態予測正規化（SA による）")</f>
        <v>変動分布定常状態予測正規化（SA による）</v>
      </c>
      <c r="J4944" s="1" t="str">
        <f>IFERROR(__xludf.DUMMYFUNCTION("GOOGLETRANSLATE(F4944,""EN"",""JA"")"),"血管内投与により投与された物質の予測 CLST に基づく定常状態での分布容積を表面積で割ったもの。")</f>
        <v>血管内投与により投与された物質の予測 CLST に基づく定常状態での分布容積を表面積で割ったもの。</v>
      </c>
      <c r="K4944" s="1" t="str">
        <f>IFERROR(__xludf.DUMMYFUNCTION("GOOGLETRANSLATE(G4944,""EN"",""JA"")"),"表面積で正規化された予測定常分布容積")</f>
        <v>表面積で正規化された予測定常分布容積</v>
      </c>
    </row>
    <row r="4945" ht="13.5" customHeight="1">
      <c r="A4945" s="1" t="s">
        <v>870</v>
      </c>
      <c r="B4945" s="1" t="s">
        <v>24674</v>
      </c>
      <c r="C4945" s="1" t="s">
        <v>24675</v>
      </c>
      <c r="D4945" s="1" t="s">
        <v>24676</v>
      </c>
      <c r="E4945" s="1" t="s">
        <v>24676</v>
      </c>
      <c r="F4945" s="1" t="s">
        <v>24677</v>
      </c>
      <c r="G4945" s="1" t="s">
        <v>24678</v>
      </c>
      <c r="H4945" s="1" t="str">
        <f>IFERROR(__xludf.DUMMYFUNCTION("GOOGLETRANSLATE(D4945,""EN"",""JA"")"),"UBによるVol Dist定常状態予測")</f>
        <v>UBによるVol Dist定常状態予測</v>
      </c>
      <c r="I4945" s="1" t="str">
        <f>IFERROR(__xludf.DUMMYFUNCTION("GOOGLETRANSLATE(E4945,""EN"",""JA"")"),"UBによるVol Dist定常状態予測")</f>
        <v>UBによるVol Dist定常状態予測</v>
      </c>
      <c r="J4945" s="1" t="str">
        <f>IFERROR(__xludf.DUMMYFUNCTION("GOOGLETRANSLATE(F4945,""EN"",""JA"")"),"投与された物質の予測 CLST に基づく定常状態での分布容積を、非結合薬物の割合で割ったもの。")</f>
        <v>投与された物質の予測 CLST に基づく定常状態での分布容積を、非結合薬物の割合で割ったもの。</v>
      </c>
      <c r="K4945" s="1" t="str">
        <f>IFERROR(__xludf.DUMMYFUNCTION("GOOGLETRANSLATE(G4945,""EN"",""JA"")"),"非結合薬物による分布容積定常状態の予測")</f>
        <v>非結合薬物による分布容積定常状態の予測</v>
      </c>
    </row>
    <row r="4946" ht="13.5" customHeight="1">
      <c r="A4946" s="1" t="s">
        <v>870</v>
      </c>
      <c r="B4946" s="1" t="s">
        <v>24679</v>
      </c>
      <c r="C4946" s="1" t="s">
        <v>24680</v>
      </c>
      <c r="D4946" s="1" t="s">
        <v>24681</v>
      </c>
      <c r="E4946" s="1" t="s">
        <v>24681</v>
      </c>
      <c r="F4946" s="1" t="s">
        <v>24682</v>
      </c>
      <c r="G4946" s="1" t="s">
        <v>24683</v>
      </c>
      <c r="H4946" s="1" t="str">
        <f>IFERROR(__xludf.DUMMYFUNCTION("GOOGLETRANSLATE(D4946,""EN"",""JA"")"),"変動分布定常状態予測正規化（WT別）")</f>
        <v>変動分布定常状態予測正規化（WT別）</v>
      </c>
      <c r="I4946" s="1" t="str">
        <f>IFERROR(__xludf.DUMMYFUNCTION("GOOGLETRANSLATE(E4946,""EN"",""JA"")"),"変動分布定常状態予測正規化（WT別）")</f>
        <v>変動分布定常状態予測正規化（WT別）</v>
      </c>
      <c r="J4946" s="1" t="str">
        <f>IFERROR(__xludf.DUMMYFUNCTION("GOOGLETRANSLATE(F4946,""EN"",""JA"")"),"血管内投与により投与された物質の予測 CLST に基づく定常状態での分布容積を重量で割ったもの。")</f>
        <v>血管内投与により投与された物質の予測 CLST に基づく定常状態での分布容積を重量で割ったもの。</v>
      </c>
      <c r="K4946" s="1" t="str">
        <f>IFERROR(__xludf.DUMMYFUNCTION("GOOGLETRANSLATE(G4946,""EN"",""JA"")"),"重量で正規化された予測定常分布容積")</f>
        <v>重量で正規化された予測定常分布容積</v>
      </c>
    </row>
    <row r="4947" ht="13.5" customHeight="1">
      <c r="A4947" s="1" t="s">
        <v>580</v>
      </c>
      <c r="B4947" s="1" t="s">
        <v>24684</v>
      </c>
      <c r="C4947" s="1" t="s">
        <v>24685</v>
      </c>
      <c r="D4947" s="1" t="s">
        <v>24686</v>
      </c>
      <c r="E4947" s="1" t="s">
        <v>24687</v>
      </c>
      <c r="F4947" s="1" t="s">
        <v>24688</v>
      </c>
      <c r="G4947" s="1" t="s">
        <v>24689</v>
      </c>
      <c r="H4947" s="1" t="str">
        <f>IFERROR(__xludf.DUMMYFUNCTION("GOOGLETRANSLATE(D4947,""EN"",""JA"")"),"換気閾値1")</f>
        <v>換気閾値1</v>
      </c>
      <c r="I4947" s="1" t="str">
        <f>IFERROR(__xludf.DUMMYFUNCTION("GOOGLETRANSLATE(E4947,""EN"",""JA"")"),"第一換気閾値; 換気閾値1")</f>
        <v>第一換気閾値; 換気閾値1</v>
      </c>
      <c r="J4947" s="1" t="str">
        <f>IFERROR(__xludf.DUMMYFUNCTION("GOOGLETRANSLATE(F4947,""EN"",""JA"")"),"活動または運動中に、換気量が酸素消費量よりも速い速度で増加し始める時点。この閾値は好気性代謝によって特徴付けられる。")</f>
        <v>活動または運動中に、換気量が酸素消費量よりも速い速度で増加し始める時点。この閾値は好気性代謝によって特徴付けられる。</v>
      </c>
      <c r="K4947" s="1" t="str">
        <f>IFERROR(__xludf.DUMMYFUNCTION("GOOGLETRANSLATE(G4947,""EN"",""JA"")"),"第一換気閾値")</f>
        <v>第一換気閾値</v>
      </c>
    </row>
    <row r="4948" ht="13.5" customHeight="1">
      <c r="A4948" s="1" t="s">
        <v>580</v>
      </c>
      <c r="B4948" s="1" t="s">
        <v>24690</v>
      </c>
      <c r="C4948" s="1" t="s">
        <v>24691</v>
      </c>
      <c r="D4948" s="1" t="s">
        <v>24692</v>
      </c>
      <c r="E4948" s="1" t="s">
        <v>24693</v>
      </c>
      <c r="F4948" s="1" t="s">
        <v>24694</v>
      </c>
      <c r="G4948" s="1" t="s">
        <v>24695</v>
      </c>
      <c r="H4948" s="1" t="str">
        <f>IFERROR(__xludf.DUMMYFUNCTION("GOOGLETRANSLATE(D4948,""EN"",""JA"")"),"換気閾値2")</f>
        <v>換気閾値2</v>
      </c>
      <c r="I4948" s="1" t="str">
        <f>IFERROR(__xludf.DUMMYFUNCTION("GOOGLETRANSLATE(E4948,""EN"",""JA"")"),"無酸素性閾値; 乳酸閾値; 呼吸性代償閾値; 第2換気閾値; 換気閾値2")</f>
        <v>無酸素性閾値; 乳酸閾値; 呼吸性代償閾値; 第2換気閾値; 換気閾値2</v>
      </c>
      <c r="J4948" s="1" t="str">
        <f>IFERROR(__xludf.DUMMYFUNCTION("GOOGLETRANSLATE(F4948,""EN"",""JA"")"),"活動または運動中に、換気努力が増大し、運動者が苦痛を感じ、発声できなくなる時点。この閾値は、嫌気性代謝と乳酸の蓄積によって特徴付けられる。")</f>
        <v>活動または運動中に、換気努力が増大し、運動者が苦痛を感じ、発声できなくなる時点。この閾値は、嫌気性代謝と乳酸の蓄積によって特徴付けられる。</v>
      </c>
      <c r="K4948" s="1" t="str">
        <f>IFERROR(__xludf.DUMMYFUNCTION("GOOGLETRANSLATE(G4948,""EN"",""JA"")"),"第二換気閾値")</f>
        <v>第二換気閾値</v>
      </c>
    </row>
    <row r="4949" ht="13.5" customHeight="1">
      <c r="A4949" s="1" t="s">
        <v>1168</v>
      </c>
      <c r="B4949" s="1" t="s">
        <v>24696</v>
      </c>
      <c r="C4949" s="1" t="s">
        <v>24697</v>
      </c>
      <c r="D4949" s="1" t="s">
        <v>24698</v>
      </c>
      <c r="E4949" s="1" t="s">
        <v>24698</v>
      </c>
      <c r="F4949" s="1" t="s">
        <v>24699</v>
      </c>
      <c r="G4949" s="1" t="s">
        <v>24700</v>
      </c>
      <c r="H4949" s="1" t="str">
        <f>IFERROR(__xludf.DUMMYFUNCTION("GOOGLETRANSLATE(D4949,""EN"",""JA"")"),"心室性不整脈")</f>
        <v>心室性不整脈</v>
      </c>
      <c r="I4949" s="1" t="str">
        <f>IFERROR(__xludf.DUMMYFUNCTION("GOOGLETRANSLATE(E4949,""EN"",""JA"")"),"心室性不整脈")</f>
        <v>心室性不整脈</v>
      </c>
      <c r="J4949" s="1" t="str">
        <f>IFERROR(__xludf.DUMMYFUNCTION("GOOGLETRANSLATE(F4949,""EN"",""JA"")"),"頻脈を除く心室性不整脈の心電図評価。")</f>
        <v>頻脈を除く心室性不整脈の心電図評価。</v>
      </c>
      <c r="K4949" s="1" t="str">
        <f>IFERROR(__xludf.DUMMYFUNCTION("GOOGLETRANSLATE(G4949,""EN"",""JA"")"),"心室性不整脈の心電図評価")</f>
        <v>心室性不整脈の心電図評価</v>
      </c>
    </row>
    <row r="4950" ht="13.5" customHeight="1">
      <c r="A4950" s="1" t="s">
        <v>1168</v>
      </c>
      <c r="B4950" s="1" t="s">
        <v>24696</v>
      </c>
      <c r="C4950" s="1" t="s">
        <v>24697</v>
      </c>
      <c r="D4950" s="1" t="s">
        <v>24698</v>
      </c>
      <c r="E4950" s="1" t="s">
        <v>24698</v>
      </c>
      <c r="F4950" s="1" t="s">
        <v>24699</v>
      </c>
      <c r="G4950" s="1" t="s">
        <v>24700</v>
      </c>
      <c r="H4950" s="1" t="str">
        <f>IFERROR(__xludf.DUMMYFUNCTION("GOOGLETRANSLATE(D4950,""EN"",""JA"")"),"心室性不整脈")</f>
        <v>心室性不整脈</v>
      </c>
      <c r="I4950" s="1" t="str">
        <f>IFERROR(__xludf.DUMMYFUNCTION("GOOGLETRANSLATE(E4950,""EN"",""JA"")"),"心室性不整脈")</f>
        <v>心室性不整脈</v>
      </c>
      <c r="J4950" s="1" t="str">
        <f>IFERROR(__xludf.DUMMYFUNCTION("GOOGLETRANSLATE(F4950,""EN"",""JA"")"),"頻脈を除く心室性不整脈の心電図評価。")</f>
        <v>頻脈を除く心室性不整脈の心電図評価。</v>
      </c>
      <c r="K4950" s="1" t="str">
        <f>IFERROR(__xludf.DUMMYFUNCTION("GOOGLETRANSLATE(G4950,""EN"",""JA"")"),"心室性不整脈の心電図評価")</f>
        <v>心室性不整脈の心電図評価</v>
      </c>
    </row>
    <row r="4951" ht="13.5" customHeight="1">
      <c r="A4951" s="1" t="s">
        <v>1168</v>
      </c>
      <c r="B4951" s="1" t="s">
        <v>24696</v>
      </c>
      <c r="C4951" s="1" t="s">
        <v>24697</v>
      </c>
      <c r="D4951" s="1" t="s">
        <v>24698</v>
      </c>
      <c r="E4951" s="1" t="s">
        <v>24698</v>
      </c>
      <c r="F4951" s="1" t="s">
        <v>24699</v>
      </c>
      <c r="G4951" s="1" t="s">
        <v>24700</v>
      </c>
      <c r="H4951" s="1" t="str">
        <f>IFERROR(__xludf.DUMMYFUNCTION("GOOGLETRANSLATE(D4951,""EN"",""JA"")"),"心室性不整脈")</f>
        <v>心室性不整脈</v>
      </c>
      <c r="I4951" s="1" t="str">
        <f>IFERROR(__xludf.DUMMYFUNCTION("GOOGLETRANSLATE(E4951,""EN"",""JA"")"),"心室性不整脈")</f>
        <v>心室性不整脈</v>
      </c>
      <c r="J4951" s="1" t="str">
        <f>IFERROR(__xludf.DUMMYFUNCTION("GOOGLETRANSLATE(F4951,""EN"",""JA"")"),"頻脈を除く心室性不整脈の心電図評価。")</f>
        <v>頻脈を除く心室性不整脈の心電図評価。</v>
      </c>
      <c r="K4951" s="1" t="str">
        <f>IFERROR(__xludf.DUMMYFUNCTION("GOOGLETRANSLATE(G4951,""EN"",""JA"")"),"心室性不整脈の心電図評価")</f>
        <v>心室性不整脈の心電図評価</v>
      </c>
    </row>
    <row r="4952" ht="13.5" customHeight="1">
      <c r="A4952" s="1" t="s">
        <v>1168</v>
      </c>
      <c r="B4952" s="1" t="s">
        <v>24696</v>
      </c>
      <c r="C4952" s="1" t="s">
        <v>24697</v>
      </c>
      <c r="D4952" s="1" t="s">
        <v>24698</v>
      </c>
      <c r="E4952" s="1" t="s">
        <v>24698</v>
      </c>
      <c r="F4952" s="1" t="s">
        <v>24699</v>
      </c>
      <c r="G4952" s="1" t="s">
        <v>24700</v>
      </c>
      <c r="H4952" s="1" t="str">
        <f>IFERROR(__xludf.DUMMYFUNCTION("GOOGLETRANSLATE(D4952,""EN"",""JA"")"),"心室性不整脈")</f>
        <v>心室性不整脈</v>
      </c>
      <c r="I4952" s="1" t="str">
        <f>IFERROR(__xludf.DUMMYFUNCTION("GOOGLETRANSLATE(E4952,""EN"",""JA"")"),"心室性不整脈")</f>
        <v>心室性不整脈</v>
      </c>
      <c r="J4952" s="1" t="str">
        <f>IFERROR(__xludf.DUMMYFUNCTION("GOOGLETRANSLATE(F4952,""EN"",""JA"")"),"頻脈を除く心室性不整脈の心電図評価。")</f>
        <v>頻脈を除く心室性不整脈の心電図評価。</v>
      </c>
      <c r="K4952" s="1" t="str">
        <f>IFERROR(__xludf.DUMMYFUNCTION("GOOGLETRANSLATE(G4952,""EN"",""JA"")"),"心室性不整脈の心電図評価")</f>
        <v>心室性不整脈の心電図評価</v>
      </c>
    </row>
    <row r="4953" ht="13.5" customHeight="1">
      <c r="A4953" s="1" t="s">
        <v>11</v>
      </c>
      <c r="B4953" s="1" t="s">
        <v>24701</v>
      </c>
      <c r="C4953" s="1" t="s">
        <v>24702</v>
      </c>
      <c r="D4953" s="1" t="s">
        <v>24703</v>
      </c>
      <c r="E4953" s="1" t="s">
        <v>24704</v>
      </c>
      <c r="F4953" s="1" t="s">
        <v>24705</v>
      </c>
      <c r="G4953" s="1" t="s">
        <v>24706</v>
      </c>
      <c r="H4953" s="1" t="str">
        <f>IFERROR(__xludf.DUMMYFUNCTION("GOOGLETRANSLATE(D4953,""EN"",""JA"")"),"1,25-ジヒドロキシビタミンD2")</f>
        <v>1,25-ジヒドロキシビタミンD2</v>
      </c>
      <c r="I4953" s="1" t="str">
        <f>IFERROR(__xludf.DUMMYFUNCTION("GOOGLETRANSLATE(E4953,""EN"",""JA"")"),"1,25-ジヒドロキシカルシフェロール; 1,25-ジヒドロキシエルゴカルシフェロール; 1,25-ジヒドロキシビタミンD2; エルカルシトリオール")</f>
        <v>1,25-ジヒドロキシカルシフェロール; 1,25-ジヒドロキシエルゴカルシフェロール; 1,25-ジヒドロキシビタミンD2; エルカルシトリオール</v>
      </c>
      <c r="J4953" s="1" t="str">
        <f>IFERROR(__xludf.DUMMYFUNCTION("GOOGLETRANSLATE(F4953,""EN"",""JA"")"),"生物標本中の 1,25-ジヒドロキシビタミン D2 の測定。")</f>
        <v>生物標本中の 1,25-ジヒドロキシビタミン D2 の測定。</v>
      </c>
      <c r="K4953" s="1" t="str">
        <f>IFERROR(__xludf.DUMMYFUNCTION("GOOGLETRANSLATE(G4953,""EN"",""JA"")"),"1,25-ジヒドロキシビタミンD2測定")</f>
        <v>1,25-ジヒドロキシビタミンD2測定</v>
      </c>
    </row>
    <row r="4954" ht="13.5" customHeight="1">
      <c r="A4954" s="1" t="s">
        <v>11</v>
      </c>
      <c r="B4954" s="1" t="s">
        <v>24707</v>
      </c>
      <c r="C4954" s="1" t="s">
        <v>24708</v>
      </c>
      <c r="D4954" s="1" t="s">
        <v>24709</v>
      </c>
      <c r="E4954" s="1" t="s">
        <v>24710</v>
      </c>
      <c r="F4954" s="1" t="s">
        <v>24711</v>
      </c>
      <c r="G4954" s="1" t="s">
        <v>24712</v>
      </c>
      <c r="H4954" s="1" t="str">
        <f>IFERROR(__xludf.DUMMYFUNCTION("GOOGLETRANSLATE(D4954,""EN"",""JA"")"),"1,25-ジヒドロキシビタミンD2+1,25-ジヒドロキシビタミンD3")</f>
        <v>1,25-ジヒドロキシビタミンD2+1,25-ジヒドロキシビタミンD3</v>
      </c>
      <c r="I4954" s="1" t="str">
        <f>IFERROR(__xludf.DUMMYFUNCTION("GOOGLETRANSLATE(E4954,""EN"",""JA"")"),"1,25-ジ(OH)ビタミンD2 + 1,25-ジ(OH)ビタミンD3; 1,25-ジヒドロキシビタミンD2 + 1,25-ジヒドロキシビタミンD3; 1,25-ジヒドロキシビットD2+1,25-ジヒドロキシビットD3")</f>
        <v>1,25-ジ(OH)ビタミンD2 + 1,25-ジ(OH)ビタミンD3; 1,25-ジヒドロキシビタミンD2 + 1,25-ジヒドロキシビタミンD3; 1,25-ジヒドロキシビットD2+1,25-ジヒドロキシビットD3</v>
      </c>
      <c r="J4954" s="1" t="str">
        <f>IFERROR(__xludf.DUMMYFUNCTION("GOOGLETRANSLATE(F4954,""EN"",""JA"")"),"生物標本中の 1,25-ジヒドロキシビタミン D2 と 1,25-ジヒドロキシビタミン D3 の測定。")</f>
        <v>生物標本中の 1,25-ジヒドロキシビタミン D2 と 1,25-ジヒドロキシビタミン D3 の測定。</v>
      </c>
      <c r="K4954" s="1" t="str">
        <f>IFERROR(__xludf.DUMMYFUNCTION("GOOGLETRANSLATE(G4954,""EN"",""JA"")"),"1,25-ジヒドロキシビタミンD2および1,25-ジヒドロキシビタミンD3の測定")</f>
        <v>1,25-ジヒドロキシビタミンD2および1,25-ジヒドロキシビタミンD3の測定</v>
      </c>
    </row>
    <row r="4955" ht="13.5" customHeight="1">
      <c r="A4955" s="1" t="s">
        <v>11</v>
      </c>
      <c r="B4955" s="1" t="s">
        <v>24713</v>
      </c>
      <c r="C4955" s="1" t="s">
        <v>24714</v>
      </c>
      <c r="D4955" s="1" t="s">
        <v>24715</v>
      </c>
      <c r="E4955" s="1" t="s">
        <v>24715</v>
      </c>
      <c r="F4955" s="1" t="s">
        <v>24716</v>
      </c>
      <c r="G4955" s="1" t="s">
        <v>24717</v>
      </c>
      <c r="H4955" s="1" t="str">
        <f>IFERROR(__xludf.DUMMYFUNCTION("GOOGLETRANSLATE(D4955,""EN"",""JA"")"),"25-ヒドロキシビタミンD2 + 25-ヒドロキシビタミンD3")</f>
        <v>25-ヒドロキシビタミンD2 + 25-ヒドロキシビタミンD3</v>
      </c>
      <c r="I4955" s="1" t="str">
        <f>IFERROR(__xludf.DUMMYFUNCTION("GOOGLETRANSLATE(E4955,""EN"",""JA"")"),"25-ヒドロキシビタミンD2 + 25-ヒドロキシビタミンD3")</f>
        <v>25-ヒドロキシビタミンD2 + 25-ヒドロキシビタミンD3</v>
      </c>
      <c r="J4955" s="1" t="str">
        <f>IFERROR(__xludf.DUMMYFUNCTION("GOOGLETRANSLATE(F4955,""EN"",""JA"")"),"生物標本中の不活性ビタミン D2 とビタミン D3 の総量の測定。")</f>
        <v>生物標本中の不活性ビタミン D2 とビタミン D3 の総量の測定。</v>
      </c>
      <c r="K4955" s="1" t="str">
        <f>IFERROR(__xludf.DUMMYFUNCTION("GOOGLETRANSLATE(G4955,""EN"",""JA"")"),"25-ヒドロキシビタミンD2および25-ヒドロキシビタミンD3の測定")</f>
        <v>25-ヒドロキシビタミンD2および25-ヒドロキシビタミンD3の測定</v>
      </c>
    </row>
    <row r="4956" ht="13.5" customHeight="1">
      <c r="A4956" s="1" t="s">
        <v>11</v>
      </c>
      <c r="B4956" s="1" t="s">
        <v>24718</v>
      </c>
      <c r="C4956" s="1" t="s">
        <v>24719</v>
      </c>
      <c r="D4956" s="1" t="s">
        <v>24720</v>
      </c>
      <c r="E4956" s="1" t="s">
        <v>24721</v>
      </c>
      <c r="F4956" s="1" t="s">
        <v>24722</v>
      </c>
      <c r="G4956" s="1" t="s">
        <v>24723</v>
      </c>
      <c r="H4956" s="1" t="str">
        <f>IFERROR(__xludf.DUMMYFUNCTION("GOOGLETRANSLATE(D4956,""EN"",""JA"")"),"1,25-ジヒドロキシビタミンD3")</f>
        <v>1,25-ジヒドロキシビタミンD3</v>
      </c>
      <c r="I4956" s="1" t="str">
        <f>IFERROR(__xludf.DUMMYFUNCTION("GOOGLETRANSLATE(E4956,""EN"",""JA"")"),"1,25-ジヒドロキシコレカルシフェロール; 1,25-ジヒドロキシビタミンD; 1,25-ジヒドロキシビタミンD3; カルシトリオール")</f>
        <v>1,25-ジヒドロキシコレカルシフェロール; 1,25-ジヒドロキシビタミンD; 1,25-ジヒドロキシビタミンD3; カルシトリオール</v>
      </c>
      <c r="J4956" s="1" t="str">
        <f>IFERROR(__xludf.DUMMYFUNCTION("GOOGLETRANSLATE(F4956,""EN"",""JA"")"),"生物標本中の 1,25-ジヒドロキシビタミン D3 の測定。")</f>
        <v>生物標本中の 1,25-ジヒドロキシビタミン D3 の測定。</v>
      </c>
      <c r="K4956" s="1" t="str">
        <f>IFERROR(__xludf.DUMMYFUNCTION("GOOGLETRANSLATE(G4956,""EN"",""JA"")"),"1,25-ジヒドロキシビタミンD3測定")</f>
        <v>1,25-ジヒドロキシビタミンD3測定</v>
      </c>
    </row>
    <row r="4957" ht="13.5" customHeight="1">
      <c r="A4957" s="1" t="s">
        <v>11</v>
      </c>
      <c r="B4957" s="1" t="s">
        <v>24724</v>
      </c>
      <c r="C4957" s="1" t="s">
        <v>24725</v>
      </c>
      <c r="D4957" s="1" t="s">
        <v>24726</v>
      </c>
      <c r="E4957" s="1" t="s">
        <v>24727</v>
      </c>
      <c r="F4957" s="1" t="s">
        <v>24728</v>
      </c>
      <c r="G4957" s="1" t="s">
        <v>24729</v>
      </c>
      <c r="H4957" s="1" t="str">
        <f>IFERROR(__xludf.DUMMYFUNCTION("GOOGLETRANSLATE(D4957,""EN"",""JA"")"),"24,25-ジヒドロキシビタミンD3")</f>
        <v>24,25-ジヒドロキシビタミンD3</v>
      </c>
      <c r="I4957" s="1" t="str">
        <f>IFERROR(__xludf.DUMMYFUNCTION("GOOGLETRANSLATE(E4957,""EN"",""JA"")"),"24,25-ジヒドロキシコレカルシフェロール; 24,25-ジヒドロキシビタミンD; 24,25-ジヒドロキシビタミンD3")</f>
        <v>24,25-ジヒドロキシコレカルシフェロール; 24,25-ジヒドロキシビタミンD; 24,25-ジヒドロキシビタミンD3</v>
      </c>
      <c r="J4957" s="1" t="str">
        <f>IFERROR(__xludf.DUMMYFUNCTION("GOOGLETRANSLATE(F4957,""EN"",""JA"")"),"生物標本中の 24,25-ジヒドロキシビタミン D3 の測定。")</f>
        <v>生物標本中の 24,25-ジヒドロキシビタミン D3 の測定。</v>
      </c>
      <c r="K4957" s="1" t="str">
        <f>IFERROR(__xludf.DUMMYFUNCTION("GOOGLETRANSLATE(G4957,""EN"",""JA"")"),"24,25-ジヒドロキシビタミンD3測定")</f>
        <v>24,25-ジヒドロキシビタミンD3測定</v>
      </c>
    </row>
    <row r="4958" ht="13.5" customHeight="1">
      <c r="A4958" s="1" t="s">
        <v>11</v>
      </c>
      <c r="B4958" s="1" t="s">
        <v>24730</v>
      </c>
      <c r="C4958" s="1" t="s">
        <v>24731</v>
      </c>
      <c r="D4958" s="1" t="s">
        <v>24732</v>
      </c>
      <c r="E4958" s="1" t="s">
        <v>24733</v>
      </c>
      <c r="F4958" s="1" t="s">
        <v>24734</v>
      </c>
      <c r="G4958" s="1" t="s">
        <v>24735</v>
      </c>
      <c r="H4958" s="1" t="str">
        <f>IFERROR(__xludf.DUMMYFUNCTION("GOOGLETRANSLATE(D4958,""EN"",""JA"")"),"ビトロネクチン")</f>
        <v>ビトロネクチン</v>
      </c>
      <c r="I4958" s="1" t="str">
        <f>IFERROR(__xludf.DUMMYFUNCTION("GOOGLETRANSLATE(E4958,""EN"",""JA"")"),"V75; ビトロネクチン; VN; VNT; VTN")</f>
        <v>V75; ビトロネクチン; VN; VNT; VTN</v>
      </c>
      <c r="J4958" s="1" t="str">
        <f>IFERROR(__xludf.DUMMYFUNCTION("GOOGLETRANSLATE(F4958,""EN"",""JA"")"),"生物標本中のビトロネクチンの測定。")</f>
        <v>生物標本中のビトロネクチンの測定。</v>
      </c>
      <c r="K4958" s="1" t="str">
        <f>IFERROR(__xludf.DUMMYFUNCTION("GOOGLETRANSLATE(G4958,""EN"",""JA"")"),"ビトロネクチン測定")</f>
        <v>ビトロネクチン測定</v>
      </c>
    </row>
    <row r="4959" ht="13.5" customHeight="1">
      <c r="A4959" s="1" t="s">
        <v>1168</v>
      </c>
      <c r="B4959" s="1" t="s">
        <v>24736</v>
      </c>
      <c r="C4959" s="1" t="s">
        <v>24737</v>
      </c>
      <c r="D4959" s="1" t="s">
        <v>24738</v>
      </c>
      <c r="E4959" s="1" t="s">
        <v>24738</v>
      </c>
      <c r="F4959" s="1" t="s">
        <v>24739</v>
      </c>
      <c r="G4959" s="1" t="s">
        <v>24740</v>
      </c>
      <c r="H4959" s="1" t="str">
        <f>IFERROR(__xludf.DUMMYFUNCTION("GOOGLETRANSLATE(D4959,""EN"",""JA"")"),"心室性頻脈")</f>
        <v>心室性頻脈</v>
      </c>
      <c r="I4959" s="1" t="str">
        <f>IFERROR(__xludf.DUMMYFUNCTION("GOOGLETRANSLATE(E4959,""EN"",""JA"")"),"心室性頻脈")</f>
        <v>心室性頻脈</v>
      </c>
      <c r="J4959" s="1" t="str">
        <f>IFERROR(__xludf.DUMMYFUNCTION("GOOGLETRANSLATE(F4959,""EN"",""JA"")"),"心室性頻脈性不整脈の心電図評価。")</f>
        <v>心室性頻脈性不整脈の心電図評価。</v>
      </c>
      <c r="K4959" s="1" t="str">
        <f>IFERROR(__xludf.DUMMYFUNCTION("GOOGLETRANSLATE(G4959,""EN"",""JA"")"),"心室性頻脈性不整脈の心電図評価")</f>
        <v>心室性頻脈性不整脈の心電図評価</v>
      </c>
    </row>
    <row r="4960" ht="13.5" customHeight="1">
      <c r="A4960" s="1" t="s">
        <v>1168</v>
      </c>
      <c r="B4960" s="1" t="s">
        <v>24736</v>
      </c>
      <c r="C4960" s="1" t="s">
        <v>24737</v>
      </c>
      <c r="D4960" s="1" t="s">
        <v>24738</v>
      </c>
      <c r="E4960" s="1" t="s">
        <v>24738</v>
      </c>
      <c r="F4960" s="1" t="s">
        <v>24739</v>
      </c>
      <c r="G4960" s="1" t="s">
        <v>24740</v>
      </c>
      <c r="H4960" s="1" t="str">
        <f>IFERROR(__xludf.DUMMYFUNCTION("GOOGLETRANSLATE(D4960,""EN"",""JA"")"),"心室性頻脈")</f>
        <v>心室性頻脈</v>
      </c>
      <c r="I4960" s="1" t="str">
        <f>IFERROR(__xludf.DUMMYFUNCTION("GOOGLETRANSLATE(E4960,""EN"",""JA"")"),"心室性頻脈")</f>
        <v>心室性頻脈</v>
      </c>
      <c r="J4960" s="1" t="str">
        <f>IFERROR(__xludf.DUMMYFUNCTION("GOOGLETRANSLATE(F4960,""EN"",""JA"")"),"心室性頻脈性不整脈の心電図評価。")</f>
        <v>心室性頻脈性不整脈の心電図評価。</v>
      </c>
      <c r="K4960" s="1" t="str">
        <f>IFERROR(__xludf.DUMMYFUNCTION("GOOGLETRANSLATE(G4960,""EN"",""JA"")"),"心室性頻脈性不整脈の心電図評価")</f>
        <v>心室性頻脈性不整脈の心電図評価</v>
      </c>
    </row>
    <row r="4961" ht="13.5" customHeight="1">
      <c r="A4961" s="1" t="s">
        <v>1168</v>
      </c>
      <c r="B4961" s="1" t="s">
        <v>24736</v>
      </c>
      <c r="C4961" s="1" t="s">
        <v>24737</v>
      </c>
      <c r="D4961" s="1" t="s">
        <v>24738</v>
      </c>
      <c r="E4961" s="1" t="s">
        <v>24738</v>
      </c>
      <c r="F4961" s="1" t="s">
        <v>24739</v>
      </c>
      <c r="G4961" s="1" t="s">
        <v>24740</v>
      </c>
      <c r="H4961" s="1" t="str">
        <f>IFERROR(__xludf.DUMMYFUNCTION("GOOGLETRANSLATE(D4961,""EN"",""JA"")"),"心室性頻脈")</f>
        <v>心室性頻脈</v>
      </c>
      <c r="I4961" s="1" t="str">
        <f>IFERROR(__xludf.DUMMYFUNCTION("GOOGLETRANSLATE(E4961,""EN"",""JA"")"),"心室性頻脈")</f>
        <v>心室性頻脈</v>
      </c>
      <c r="J4961" s="1" t="str">
        <f>IFERROR(__xludf.DUMMYFUNCTION("GOOGLETRANSLATE(F4961,""EN"",""JA"")"),"心室性頻脈性不整脈の心電図評価。")</f>
        <v>心室性頻脈性不整脈の心電図評価。</v>
      </c>
      <c r="K4961" s="1" t="str">
        <f>IFERROR(__xludf.DUMMYFUNCTION("GOOGLETRANSLATE(G4961,""EN"",""JA"")"),"心室性頻脈性不整脈の心電図評価")</f>
        <v>心室性頻脈性不整脈の心電図評価</v>
      </c>
    </row>
    <row r="4962" ht="13.5" customHeight="1">
      <c r="A4962" s="1" t="s">
        <v>1168</v>
      </c>
      <c r="B4962" s="1" t="s">
        <v>24736</v>
      </c>
      <c r="C4962" s="1" t="s">
        <v>24737</v>
      </c>
      <c r="D4962" s="1" t="s">
        <v>24738</v>
      </c>
      <c r="E4962" s="1" t="s">
        <v>24738</v>
      </c>
      <c r="F4962" s="1" t="s">
        <v>24739</v>
      </c>
      <c r="G4962" s="1" t="s">
        <v>24740</v>
      </c>
      <c r="H4962" s="1" t="str">
        <f>IFERROR(__xludf.DUMMYFUNCTION("GOOGLETRANSLATE(D4962,""EN"",""JA"")"),"心室性頻脈")</f>
        <v>心室性頻脈</v>
      </c>
      <c r="I4962" s="1" t="str">
        <f>IFERROR(__xludf.DUMMYFUNCTION("GOOGLETRANSLATE(E4962,""EN"",""JA"")"),"心室性頻脈")</f>
        <v>心室性頻脈</v>
      </c>
      <c r="J4962" s="1" t="str">
        <f>IFERROR(__xludf.DUMMYFUNCTION("GOOGLETRANSLATE(F4962,""EN"",""JA"")"),"心室性頻脈性不整脈の心電図評価。")</f>
        <v>心室性頻脈性不整脈の心電図評価。</v>
      </c>
      <c r="K4962" s="1" t="str">
        <f>IFERROR(__xludf.DUMMYFUNCTION("GOOGLETRANSLATE(G4962,""EN"",""JA"")"),"心室性頻脈性不整脈の心電図評価")</f>
        <v>心室性頻脈性不整脈の心電図評価</v>
      </c>
    </row>
    <row r="4963" ht="13.5" customHeight="1">
      <c r="A4963" s="1" t="s">
        <v>11</v>
      </c>
      <c r="B4963" s="1" t="s">
        <v>24741</v>
      </c>
      <c r="C4963" s="1" t="s">
        <v>24742</v>
      </c>
      <c r="D4963" s="1" t="s">
        <v>24743</v>
      </c>
      <c r="E4963" s="1" t="s">
        <v>24744</v>
      </c>
      <c r="F4963" s="1" t="s">
        <v>24745</v>
      </c>
      <c r="G4963" s="1" t="s">
        <v>24746</v>
      </c>
      <c r="H4963" s="1" t="str">
        <f>IFERROR(__xludf.DUMMYFUNCTION("GOOGLETRANSLATE(D4963,""EN"",""JA"")"),"フォン・ウィル・ファクター 行為 現実/制御")</f>
        <v>フォン・ウィル・ファクター 行為 現実/制御</v>
      </c>
      <c r="I4963" s="1" t="str">
        <f>IFERROR(__xludf.DUMMYFUNCTION("GOOGLETRANSLATE(E4963,""EN"",""JA"")"),"フォン・ヴィレブランド因子活動実測値/対照値; フォン・ヴィレブランド因子活動実測値/正常値; フォン・ヴィレブランド因子活動実測値/フォン・ヴィレブランド因子活動対照値")</f>
        <v>フォン・ヴィレブランド因子活動実測値/対照値; フォン・ヴィレブランド因子活動実測値/正常値; フォン・ヴィレブランド因子活動実測値/フォン・ヴィレブランド因子活動対照値</v>
      </c>
      <c r="J4963" s="1" t="str">
        <f>IFERROR(__xludf.DUMMYFUNCTION("GOOGLETRANSLATE(F4963,""EN"",""JA"")"),"被験者の検体中のフォン ヴィレブランド因子依存性凝固の生物学的活性を、対照検体中の同じ活性と比較した相対的な測定値 (比率またはパーセンテージ)。")</f>
        <v>被験者の検体中のフォン ヴィレブランド因子依存性凝固の生物学的活性を、対照検体中の同じ活性と比較した相対的な測定値 (比率またはパーセンテージ)。</v>
      </c>
      <c r="K4963" s="1" t="str">
        <f>IFERROR(__xludf.DUMMYFUNCTION("GOOGLETRANSLATE(G4963,""EN"",""JA"")"),"フォン・ヴィレブランド因子活性実効対制御比測定")</f>
        <v>フォン・ヴィレブランド因子活性実効対制御比測定</v>
      </c>
    </row>
    <row r="4964" ht="13.5" customHeight="1">
      <c r="A4964" s="1" t="s">
        <v>11</v>
      </c>
      <c r="B4964" s="1" t="s">
        <v>24747</v>
      </c>
      <c r="C4964" s="1" t="s">
        <v>24748</v>
      </c>
      <c r="D4964" s="1" t="s">
        <v>24749</v>
      </c>
      <c r="E4964" s="1" t="s">
        <v>24750</v>
      </c>
      <c r="F4964" s="1" t="s">
        <v>24751</v>
      </c>
      <c r="G4964" s="1" t="s">
        <v>24752</v>
      </c>
      <c r="H4964" s="1" t="str">
        <f>IFERROR(__xludf.DUMMYFUNCTION("GOOGLETRANSLATE(D4964,""EN"",""JA"")"),"フォン・ウィル・ファクター実際/コントロール")</f>
        <v>フォン・ウィル・ファクター実際/コントロール</v>
      </c>
      <c r="I4964" s="1" t="str">
        <f>IFERROR(__xludf.DUMMYFUNCTION("GOOGLETRANSLATE(E4964,""EN"",""JA"")"),"フォン・ヴィレブランド因子実測値/対照値; フォン・ヴィレブランド因子実測値/対照値; フォン・ヴィレブランド因子実測値/正常値; フォン・ヴィレブランド因子実測値/フォン・ヴィレブランド因子対照値")</f>
        <v>フォン・ヴィレブランド因子実測値/対照値; フォン・ヴィレブランド因子実測値/対照値; フォン・ヴィレブランド因子実測値/正常値; フォン・ヴィレブランド因子実測値/フォン・ヴィレブランド因子対照値</v>
      </c>
      <c r="J4964" s="1" t="str">
        <f>IFERROR(__xludf.DUMMYFUNCTION("GOOGLETRANSLATE(F4964,""EN"",""JA"")"),"被験者の標本と対照標本とを比較した場合のフォン ヴィレブランド因子の相対的な測定値 (比率またはパーセンテージ)。")</f>
        <v>被験者の標本と対照標本とを比較した場合のフォン ヴィレブランド因子の相対的な測定値 (比率またはパーセンテージ)。</v>
      </c>
      <c r="K4964" s="1" t="str">
        <f>IFERROR(__xludf.DUMMYFUNCTION("GOOGLETRANSLATE(G4964,""EN"",""JA"")"),"フォン・ヴィレブランド因子実効対制御比測定")</f>
        <v>フォン・ヴィレブランド因子実効対制御比測定</v>
      </c>
    </row>
    <row r="4965" ht="13.5" customHeight="1">
      <c r="A4965" s="1" t="s">
        <v>870</v>
      </c>
      <c r="B4965" s="1" t="s">
        <v>24753</v>
      </c>
      <c r="C4965" s="1" t="s">
        <v>24754</v>
      </c>
      <c r="D4965" s="1" t="s">
        <v>24755</v>
      </c>
      <c r="E4965" s="1" t="s">
        <v>24755</v>
      </c>
      <c r="F4965" s="1" t="s">
        <v>24756</v>
      </c>
      <c r="G4965" s="1" t="s">
        <v>24757</v>
      </c>
      <c r="H4965" s="1" t="str">
        <f>IFERROR(__xludf.DUMMYFUNCTION("GOOGLETRANSLATE(D4965,""EN"",""JA"")"),"Vz Obs by F")</f>
        <v>Vz Obs by F</v>
      </c>
      <c r="I4965" s="1" t="str">
        <f>IFERROR(__xludf.DUMMYFUNCTION("GOOGLETRANSLATE(E4965,""EN"",""JA"")"),"Vz Obs by F")</f>
        <v>Vz Obs by F</v>
      </c>
      <c r="J4965" s="1" t="str">
        <f>IFERROR(__xludf.DUMMYFUNCTION("GOOGLETRANSLATE(F4965,""EN"",""JA"")"),"最後の非ゼロ濃度の観測値を使用して計算された、血管外投与後の末端勾配に関連する分布容積を吸収された投与量の割合で割ったもの。")</f>
        <v>最後の非ゼロ濃度の観測値を使用して計算された、血管外投与後の末端勾配に関連する分布容積を吸収された投与量の割合で割ったもの。</v>
      </c>
      <c r="K4965" s="1" t="str">
        <f>IFERROR(__xludf.DUMMYFUNCTION("GOOGLETRANSLATE(G4965,""EN"",""JA"")"),"吸収分画の分布容積の観測")</f>
        <v>吸収分画の分布容積の観測</v>
      </c>
    </row>
    <row r="4966" ht="13.5" customHeight="1">
      <c r="A4966" s="1" t="s">
        <v>870</v>
      </c>
      <c r="B4966" s="1" t="s">
        <v>24758</v>
      </c>
      <c r="C4966" s="1" t="s">
        <v>24759</v>
      </c>
      <c r="D4966" s="1" t="s">
        <v>24760</v>
      </c>
      <c r="E4966" s="1" t="s">
        <v>24760</v>
      </c>
      <c r="F4966" s="1" t="s">
        <v>24761</v>
      </c>
      <c r="G4966" s="1" t="s">
        <v>24762</v>
      </c>
      <c r="H4966" s="1" t="str">
        <f>IFERROR(__xludf.DUMMYFUNCTION("GOOGLETRANSLATE(D4966,""EN"",""JA"")"),"Vz Obs by F Norm by BMI")</f>
        <v>Vz Obs by F Norm by BMI</v>
      </c>
      <c r="I4966" s="1" t="str">
        <f>IFERROR(__xludf.DUMMYFUNCTION("GOOGLETRANSLATE(E4966,""EN"",""JA"")"),"Vz Obs by F Norm by BMI")</f>
        <v>Vz Obs by F Norm by BMI</v>
      </c>
      <c r="J4966" s="1" t="str">
        <f>IFERROR(__xludf.DUMMYFUNCTION("GOOGLETRANSLATE(F4966,""EN"",""JA"")"),"血管外投与後の末端勾配に関連する分布容積を、最後の非ゼロ濃度の観測値を使用して計算された吸収された投与量の割合で割り、BMI で割ったもの。")</f>
        <v>血管外投与後の末端勾配に関連する分布容積を、最後の非ゼロ濃度の観測値を使用して計算された吸収された投与量の割合で割り、BMI で割ったもの。</v>
      </c>
      <c r="K4966" s="1" t="str">
        <f>IFERROR(__xludf.DUMMYFUNCTION("GOOGLETRANSLATE(G4966,""EN"",""JA"")"),"体格指数で正規化した線量分布容積")</f>
        <v>体格指数で正規化した線量分布容積</v>
      </c>
    </row>
    <row r="4967" ht="13.5" customHeight="1">
      <c r="A4967" s="1" t="s">
        <v>870</v>
      </c>
      <c r="B4967" s="1" t="s">
        <v>24763</v>
      </c>
      <c r="C4967" s="1" t="s">
        <v>24764</v>
      </c>
      <c r="D4967" s="1" t="s">
        <v>24765</v>
      </c>
      <c r="E4967" s="1" t="s">
        <v>24765</v>
      </c>
      <c r="F4967" s="1" t="s">
        <v>24766</v>
      </c>
      <c r="G4967" s="1" t="s">
        <v>24767</v>
      </c>
      <c r="H4967" s="1" t="str">
        <f>IFERROR(__xludf.DUMMYFUNCTION("GOOGLETRANSLATE(D4967,""EN"",""JA"")"),"Vz Obs by F Norm by Dose")</f>
        <v>Vz Obs by F Norm by Dose</v>
      </c>
      <c r="I4967" s="1" t="str">
        <f>IFERROR(__xludf.DUMMYFUNCTION("GOOGLETRANSLATE(E4967,""EN"",""JA"")"),"Vz Obs by F Norm by Dose")</f>
        <v>Vz Obs by F Norm by Dose</v>
      </c>
      <c r="J4967" s="1" t="str">
        <f>IFERROR(__xludf.DUMMYFUNCTION("GOOGLETRANSLATE(F4967,""EN"",""JA"")"),"血管外投与後の末端勾配に関連する分布容積を、最後の非ゼロ濃度の観測値を使用して計算された吸収された投与量の割合で割り、投与量で割ったもの。")</f>
        <v>血管外投与後の末端勾配に関連する分布容積を、最後の非ゼロ濃度の観測値を使用して計算された吸収された投与量の割合で割り、投与量で割ったもの。</v>
      </c>
      <c r="K4967" s="1" t="str">
        <f>IFERROR(__xludf.DUMMYFUNCTION("GOOGLETRANSLATE(G4967,""EN"",""JA"")"),"線量で正規化された観測線量分布容積")</f>
        <v>線量で正規化された観測線量分布容積</v>
      </c>
    </row>
    <row r="4968" ht="13.5" customHeight="1">
      <c r="A4968" s="1" t="s">
        <v>870</v>
      </c>
      <c r="B4968" s="1" t="s">
        <v>24768</v>
      </c>
      <c r="C4968" s="1" t="s">
        <v>24769</v>
      </c>
      <c r="D4968" s="1" t="s">
        <v>24770</v>
      </c>
      <c r="E4968" s="1" t="s">
        <v>24770</v>
      </c>
      <c r="F4968" s="1" t="s">
        <v>24771</v>
      </c>
      <c r="G4968" s="1" t="s">
        <v>24772</v>
      </c>
      <c r="H4968" s="1" t="str">
        <f>IFERROR(__xludf.DUMMYFUNCTION("GOOGLETRANSLATE(D4968,""EN"",""JA"")"),"Vz Obs by F Norm by SA")</f>
        <v>Vz Obs by F Norm by SA</v>
      </c>
      <c r="I4968" s="1" t="str">
        <f>IFERROR(__xludf.DUMMYFUNCTION("GOOGLETRANSLATE(E4968,""EN"",""JA"")"),"Vz Obs by F Norm by SA")</f>
        <v>Vz Obs by F Norm by SA</v>
      </c>
      <c r="J4968" s="1" t="str">
        <f>IFERROR(__xludf.DUMMYFUNCTION("GOOGLETRANSLATE(F4968,""EN"",""JA"")"),"血管外投与後の末端勾配に関連する分布容積を、最後の非ゼロ濃度の観測値を使用して計算された吸収された投与量の割合で割り、表面積で割ったもの。")</f>
        <v>血管外投与後の末端勾配に関連する分布容積を、最後の非ゼロ濃度の観測値を使用して計算された吸収された投与量の割合で割り、表面積で割ったもの。</v>
      </c>
      <c r="K4968" s="1" t="str">
        <f>IFERROR(__xludf.DUMMYFUNCTION("GOOGLETRANSLATE(G4968,""EN"",""JA"")"),"観測された線量分布容積を表面積で正規化した値")</f>
        <v>観測された線量分布容積を表面積で正規化した値</v>
      </c>
    </row>
    <row r="4969" ht="13.5" customHeight="1">
      <c r="A4969" s="1" t="s">
        <v>870</v>
      </c>
      <c r="B4969" s="1" t="s">
        <v>24773</v>
      </c>
      <c r="C4969" s="1" t="s">
        <v>24774</v>
      </c>
      <c r="D4969" s="1" t="s">
        <v>24775</v>
      </c>
      <c r="E4969" s="1" t="s">
        <v>24775</v>
      </c>
      <c r="F4969" s="1" t="s">
        <v>24776</v>
      </c>
      <c r="G4969" s="1" t="s">
        <v>24777</v>
      </c>
      <c r="H4969" s="1" t="str">
        <f>IFERROR(__xludf.DUMMYFUNCTION("GOOGLETRANSLATE(D4969,""EN"",""JA"")"),"UB の F による Vz Obs")</f>
        <v>UB の F による Vz Obs</v>
      </c>
      <c r="I4969" s="1" t="str">
        <f>IFERROR(__xludf.DUMMYFUNCTION("GOOGLETRANSLATE(E4969,""EN"",""JA"")"),"UB の F による Vz Obs")</f>
        <v>UB の F による Vz Obs</v>
      </c>
      <c r="J4969" s="1" t="str">
        <f>IFERROR(__xludf.DUMMYFUNCTION("GOOGLETRANSLATE(F4969,""EN"",""JA"")"),"血管外投与後の末端勾配に関連する分布容積を吸収された投与量の割合で割った値。最後のゼロ以外の濃度の観測値を使用して計算し、非結合薬剤について補正した値です。")</f>
        <v>血管外投与後の末端勾配に関連する分布容積を吸収された投与量の割合で割った値。最後のゼロ以外の濃度の観測値を使用して計算し、非結合薬剤について補正した値です。</v>
      </c>
      <c r="K4969" s="1" t="str">
        <f>IFERROR(__xludf.DUMMYFUNCTION("GOOGLETRANSLATE(G4969,""EN"",""JA"")"),"非結合薬物の吸収分画の分布容積の観察")</f>
        <v>非結合薬物の吸収分画の分布容積の観察</v>
      </c>
    </row>
    <row r="4970" ht="13.5" customHeight="1">
      <c r="A4970" s="1" t="s">
        <v>870</v>
      </c>
      <c r="B4970" s="1" t="s">
        <v>24778</v>
      </c>
      <c r="C4970" s="1" t="s">
        <v>24779</v>
      </c>
      <c r="D4970" s="1" t="s">
        <v>24780</v>
      </c>
      <c r="E4970" s="1" t="s">
        <v>24780</v>
      </c>
      <c r="F4970" s="1" t="s">
        <v>24781</v>
      </c>
      <c r="G4970" s="1" t="s">
        <v>24782</v>
      </c>
      <c r="H4970" s="1" t="str">
        <f>IFERROR(__xludf.DUMMYFUNCTION("GOOGLETRANSLATE(D4970,""EN"",""JA"")"),"Vz Obs by F Norm by WT")</f>
        <v>Vz Obs by F Norm by WT</v>
      </c>
      <c r="I4970" s="1" t="str">
        <f>IFERROR(__xludf.DUMMYFUNCTION("GOOGLETRANSLATE(E4970,""EN"",""JA"")"),"Vz Obs by F Norm by WT")</f>
        <v>Vz Obs by F Norm by WT</v>
      </c>
      <c r="J4970" s="1" t="str">
        <f>IFERROR(__xludf.DUMMYFUNCTION("GOOGLETRANSLATE(F4970,""EN"",""JA"")"),"血管外投与後の末端勾配に関連する分布容積を、最後の非ゼロ濃度の観測値を使用して計算された吸収された投与量の割合で割り、重量で割ったもの。")</f>
        <v>血管外投与後の末端勾配に関連する分布容積を、最後の非ゼロ濃度の観測値を使用して計算された吸収された投与量の割合で割り、重量で割ったもの。</v>
      </c>
      <c r="K4970" s="1" t="str">
        <f>IFERROR(__xludf.DUMMYFUNCTION("GOOGLETRANSLATE(G4970,""EN"",""JA"")"),"重量で正規化された観測された分画線量の分布容積")</f>
        <v>重量で正規化された観測された分画線量の分布容積</v>
      </c>
    </row>
    <row r="4971" ht="13.5" customHeight="1">
      <c r="A4971" s="1" t="s">
        <v>870</v>
      </c>
      <c r="B4971" s="1" t="s">
        <v>24783</v>
      </c>
      <c r="C4971" s="1" t="s">
        <v>24784</v>
      </c>
      <c r="D4971" s="1" t="s">
        <v>24785</v>
      </c>
      <c r="E4971" s="1" t="s">
        <v>24785</v>
      </c>
      <c r="F4971" s="1" t="s">
        <v>24786</v>
      </c>
      <c r="G4971" s="1" t="s">
        <v>24787</v>
      </c>
      <c r="H4971" s="1" t="str">
        <f>IFERROR(__xludf.DUMMYFUNCTION("GOOGLETRANSLATE(D4971,""EN"",""JA"")"),"Vz Pred by F")</f>
        <v>Vz Pred by F</v>
      </c>
      <c r="I4971" s="1" t="str">
        <f>IFERROR(__xludf.DUMMYFUNCTION("GOOGLETRANSLATE(E4971,""EN"",""JA"")"),"Vz Pred by F")</f>
        <v>Vz Pred by F</v>
      </c>
      <c r="J4971" s="1" t="str">
        <f>IFERROR(__xludf.DUMMYFUNCTION("GOOGLETRANSLATE(F4971,""EN"",""JA"")"),"最後の非ゼロ濃度の予測値を使用して計算された、血管外投与後の末端勾配に関連する分布容積を吸収された投与量の割合で割ったもの。")</f>
        <v>最後の非ゼロ濃度の予測値を使用して計算された、血管外投与後の末端勾配に関連する分布容積を吸収された投与量の割合で割ったもの。</v>
      </c>
      <c r="K4971" s="1" t="str">
        <f>IFERROR(__xludf.DUMMYFUNCTION("GOOGLETRANSLATE(G4971,""EN"",""JA"")"),"吸収分画の予測分布容積")</f>
        <v>吸収分画の予測分布容積</v>
      </c>
    </row>
    <row r="4972" ht="13.5" customHeight="1">
      <c r="A4972" s="1" t="s">
        <v>870</v>
      </c>
      <c r="B4972" s="1" t="s">
        <v>24788</v>
      </c>
      <c r="C4972" s="1" t="s">
        <v>24789</v>
      </c>
      <c r="D4972" s="1" t="s">
        <v>24790</v>
      </c>
      <c r="E4972" s="1" t="s">
        <v>24790</v>
      </c>
      <c r="F4972" s="1" t="s">
        <v>24791</v>
      </c>
      <c r="G4972" s="1" t="s">
        <v>24792</v>
      </c>
      <c r="H4972" s="1" t="str">
        <f>IFERROR(__xludf.DUMMYFUNCTION("GOOGLETRANSLATE(D4972,""EN"",""JA"")"),"Vz予測値（F基準値、BMI基準値）")</f>
        <v>Vz予測値（F基準値、BMI基準値）</v>
      </c>
      <c r="I4972" s="1" t="str">
        <f>IFERROR(__xludf.DUMMYFUNCTION("GOOGLETRANSLATE(E4972,""EN"",""JA"")"),"Vz予測値（F基準値、BMI基準値）")</f>
        <v>Vz予測値（F基準値、BMI基準値）</v>
      </c>
      <c r="J4972" s="1" t="str">
        <f>IFERROR(__xludf.DUMMYFUNCTION("GOOGLETRANSLATE(F4972,""EN"",""JA"")"),"血管外投与後の末端勾配に関連する分布容積を、最後の非ゼロ濃度の予測値を使用して計算された吸収された投与量の割合で割り、BMI で割ったもの。")</f>
        <v>血管外投与後の末端勾配に関連する分布容積を、最後の非ゼロ濃度の予測値を使用して計算された吸収された投与量の割合で割り、BMI で割ったもの。</v>
      </c>
      <c r="K4972" s="1" t="str">
        <f>IFERROR(__xludf.DUMMYFUNCTION("GOOGLETRANSLATE(G4972,""EN"",""JA"")"),"体格指数で正規化された分割線量の分布容積予測")</f>
        <v>体格指数で正規化された分割線量の分布容積予測</v>
      </c>
    </row>
    <row r="4973" ht="13.5" customHeight="1">
      <c r="A4973" s="1" t="s">
        <v>870</v>
      </c>
      <c r="B4973" s="1" t="s">
        <v>24793</v>
      </c>
      <c r="C4973" s="1" t="s">
        <v>24794</v>
      </c>
      <c r="D4973" s="1" t="s">
        <v>24795</v>
      </c>
      <c r="E4973" s="1" t="s">
        <v>24795</v>
      </c>
      <c r="F4973" s="1" t="s">
        <v>24796</v>
      </c>
      <c r="G4973" s="1" t="s">
        <v>24797</v>
      </c>
      <c r="H4973" s="1" t="str">
        <f>IFERROR(__xludf.DUMMYFUNCTION("GOOGLETRANSLATE(D4973,""EN"",""JA"")"),"Vz Pred by F Norm by Dose")</f>
        <v>Vz Pred by F Norm by Dose</v>
      </c>
      <c r="I4973" s="1" t="str">
        <f>IFERROR(__xludf.DUMMYFUNCTION("GOOGLETRANSLATE(E4973,""EN"",""JA"")"),"Vz Pred by F Norm by Dose")</f>
        <v>Vz Pred by F Norm by Dose</v>
      </c>
      <c r="J4973" s="1" t="str">
        <f>IFERROR(__xludf.DUMMYFUNCTION("GOOGLETRANSLATE(F4973,""EN"",""JA"")"),"血管外投与後の末端勾配に関連する分布容積を、最後の非ゼロ濃度の予測値を使用して計算された吸収された投与量の割合で割り、投与量で割ったもの。")</f>
        <v>血管外投与後の末端勾配に関連する分布容積を、最後の非ゼロ濃度の予測値を使用して計算された吸収された投与量の割合で割り、投与量で割ったもの。</v>
      </c>
      <c r="K4973" s="1" t="str">
        <f>IFERROR(__xludf.DUMMYFUNCTION("GOOGLETRANSLATE(G4973,""EN"",""JA"")"),"線量で正規化された予測分割線量の分布容積")</f>
        <v>線量で正規化された予測分割線量の分布容積</v>
      </c>
    </row>
    <row r="4974" ht="13.5" customHeight="1">
      <c r="A4974" s="1" t="s">
        <v>870</v>
      </c>
      <c r="B4974" s="1" t="s">
        <v>24798</v>
      </c>
      <c r="C4974" s="1" t="s">
        <v>24799</v>
      </c>
      <c r="D4974" s="1" t="s">
        <v>24800</v>
      </c>
      <c r="E4974" s="1" t="s">
        <v>24800</v>
      </c>
      <c r="F4974" s="1" t="s">
        <v>24801</v>
      </c>
      <c r="G4974" s="1" t="s">
        <v>24802</v>
      </c>
      <c r="H4974" s="1" t="str">
        <f>IFERROR(__xludf.DUMMYFUNCTION("GOOGLETRANSLATE(D4974,""EN"",""JA"")"),"Vz Pred by F Norm by SA")</f>
        <v>Vz Pred by F Norm by SA</v>
      </c>
      <c r="I4974" s="1" t="str">
        <f>IFERROR(__xludf.DUMMYFUNCTION("GOOGLETRANSLATE(E4974,""EN"",""JA"")"),"Vz Pred by F Norm by SA")</f>
        <v>Vz Pred by F Norm by SA</v>
      </c>
      <c r="J4974" s="1" t="str">
        <f>IFERROR(__xludf.DUMMYFUNCTION("GOOGLETRANSLATE(F4974,""EN"",""JA"")"),"血管外投与後の末端勾配に関連する分布容積を、最後の非ゼロ濃度の予測値を使用して計算された吸収された投与量の割合で割り、表面積で割ったもの。")</f>
        <v>血管外投与後の末端勾配に関連する分布容積を、最後の非ゼロ濃度の予測値を使用して計算された吸収された投与量の割合で割り、表面積で割ったもの。</v>
      </c>
      <c r="K4974" s="1" t="str">
        <f>IFERROR(__xludf.DUMMYFUNCTION("GOOGLETRANSLATE(G4974,""EN"",""JA"")"),"表面積で正規化された予測分割線量の分布容積")</f>
        <v>表面積で正規化された予測分割線量の分布容積</v>
      </c>
    </row>
    <row r="4975" ht="13.5" customHeight="1">
      <c r="A4975" s="1" t="s">
        <v>870</v>
      </c>
      <c r="B4975" s="1" t="s">
        <v>24803</v>
      </c>
      <c r="C4975" s="1" t="s">
        <v>24804</v>
      </c>
      <c r="D4975" s="1" t="s">
        <v>24805</v>
      </c>
      <c r="E4975" s="1" t="s">
        <v>24805</v>
      </c>
      <c r="F4975" s="1" t="s">
        <v>24806</v>
      </c>
      <c r="G4975" s="1" t="s">
        <v>24807</v>
      </c>
      <c r="H4975" s="1" t="str">
        <f>IFERROR(__xludf.DUMMYFUNCTION("GOOGLETRANSLATE(D4975,""EN"",""JA"")"),"UB の F による Vz Pred")</f>
        <v>UB の F による Vz Pred</v>
      </c>
      <c r="I4975" s="1" t="str">
        <f>IFERROR(__xludf.DUMMYFUNCTION("GOOGLETRANSLATE(E4975,""EN"",""JA"")"),"UB の F による Vz Pred")</f>
        <v>UB の F による Vz Pred</v>
      </c>
      <c r="J4975" s="1" t="str">
        <f>IFERROR(__xludf.DUMMYFUNCTION("GOOGLETRANSLATE(F4975,""EN"",""JA"")"),"血管外投与後の末端勾配に関連する分布容積を吸収された投与量の割合で割ったもので、最後の非ゼロ濃度の時点での予測値を使用して計算され、非結合drで補正された。")</f>
        <v>血管外投与後の末端勾配に関連する分布容積を吸収された投与量の割合で割ったもので、最後の非ゼロ濃度の時点での予測値を使用して計算され、非結合drで補正された。</v>
      </c>
      <c r="K4975" s="1" t="str">
        <f>IFERROR(__xludf.DUMMYFUNCTION("GOOGLETRANSLATE(G4975,""EN"",""JA"")"),"非結合薬物を補正した予測分割投与量の分布容積")</f>
        <v>非結合薬物を補正した予測分割投与量の分布容積</v>
      </c>
    </row>
    <row r="4976" ht="13.5" customHeight="1">
      <c r="A4976" s="1" t="s">
        <v>870</v>
      </c>
      <c r="B4976" s="1" t="s">
        <v>24808</v>
      </c>
      <c r="C4976" s="1" t="s">
        <v>24809</v>
      </c>
      <c r="D4976" s="1" t="s">
        <v>24810</v>
      </c>
      <c r="E4976" s="1" t="s">
        <v>24810</v>
      </c>
      <c r="F4976" s="1" t="s">
        <v>24811</v>
      </c>
      <c r="G4976" s="1" t="s">
        <v>24812</v>
      </c>
      <c r="H4976" s="1" t="str">
        <f>IFERROR(__xludf.DUMMYFUNCTION("GOOGLETRANSLATE(D4976,""EN"",""JA"")"),"Vz Pred by F Norm by WT")</f>
        <v>Vz Pred by F Norm by WT</v>
      </c>
      <c r="I4976" s="1" t="str">
        <f>IFERROR(__xludf.DUMMYFUNCTION("GOOGLETRANSLATE(E4976,""EN"",""JA"")"),"Vz Pred by F Norm by WT")</f>
        <v>Vz Pred by F Norm by WT</v>
      </c>
      <c r="J4976" s="1" t="str">
        <f>IFERROR(__xludf.DUMMYFUNCTION("GOOGLETRANSLATE(F4976,""EN"",""JA"")"),"血管外投与後の末端勾配に関連する分布容積を、最後の非ゼロ濃度の予測値を使用して計算された吸収された投与量の割合で割り、重量で割ったもの。")</f>
        <v>血管外投与後の末端勾配に関連する分布容積を、最後の非ゼロ濃度の予測値を使用して計算された吸収された投与量の割合で割り、重量で割ったもの。</v>
      </c>
      <c r="K4976" s="1" t="str">
        <f>IFERROR(__xludf.DUMMYFUNCTION("GOOGLETRANSLATE(G4976,""EN"",""JA"")"),"体重で正規化された予測分割線量の分布容積")</f>
        <v>体重で正規化された予測分割線量の分布容積</v>
      </c>
    </row>
    <row r="4977" ht="13.5" customHeight="1">
      <c r="A4977" s="1" t="s">
        <v>870</v>
      </c>
      <c r="B4977" s="1" t="s">
        <v>24813</v>
      </c>
      <c r="C4977" s="1" t="s">
        <v>24814</v>
      </c>
      <c r="D4977" s="1" t="s">
        <v>24815</v>
      </c>
      <c r="E4977" s="1" t="s">
        <v>24815</v>
      </c>
      <c r="F4977" s="1" t="s">
        <v>24816</v>
      </c>
      <c r="G4977" s="1" t="s">
        <v>24817</v>
      </c>
      <c r="H4977" s="1" t="str">
        <f>IFERROR(__xludf.DUMMYFUNCTION("GOOGLETRANSLATE(D4977,""EN"",""JA"")"),"Vz の Dose Int by F")</f>
        <v>Vz の Dose Int by F</v>
      </c>
      <c r="I4977" s="1" t="str">
        <f>IFERROR(__xludf.DUMMYFUNCTION("GOOGLETRANSLATE(E4977,""EN"",""JA"")"),"Vz の Dose Int by F")</f>
        <v>Vz の Dose Int by F</v>
      </c>
      <c r="J4977" s="1" t="str">
        <f>IFERROR(__xludf.DUMMYFUNCTION("GOOGLETRANSLATE(F4977,""EN"",""JA"")"),"血管外投与後の末端勾配に関連する分布容積を吸収された投与量の割合で割った値で、AUCTAU を使用して計算されます。")</f>
        <v>血管外投与後の末端勾配に関連する分布容積を吸収された投与量の割合で割った値で、AUCTAU を使用して計算されます。</v>
      </c>
      <c r="K4977" s="1" t="str">
        <f>IFERROR(__xludf.DUMMYFUNCTION("GOOGLETRANSLATE(G4977,""EN"",""JA"")"),"投与間隔ごとの分布容積")</f>
        <v>投与間隔ごとの分布容積</v>
      </c>
    </row>
    <row r="4978" ht="13.5" customHeight="1">
      <c r="A4978" s="1" t="s">
        <v>870</v>
      </c>
      <c r="B4978" s="1" t="s">
        <v>24818</v>
      </c>
      <c r="C4978" s="1" t="s">
        <v>24819</v>
      </c>
      <c r="D4978" s="1" t="s">
        <v>24820</v>
      </c>
      <c r="E4978" s="1" t="s">
        <v>24820</v>
      </c>
      <c r="F4978" s="1" t="s">
        <v>24821</v>
      </c>
      <c r="G4978" s="1" t="s">
        <v>24822</v>
      </c>
      <c r="H4978" s="1" t="str">
        <f>IFERROR(__xludf.DUMMYFUNCTION("GOOGLETRANSLATE(D4978,""EN"",""JA"")"),"線量Vz、F基準値、BMI基準値")</f>
        <v>線量Vz、F基準値、BMI基準値</v>
      </c>
      <c r="I4978" s="1" t="str">
        <f>IFERROR(__xludf.DUMMYFUNCTION("GOOGLETRANSLATE(E4978,""EN"",""JA"")"),"線量Vz、F基準値、BMI基準値")</f>
        <v>線量Vz、F基準値、BMI基準値</v>
      </c>
      <c r="J4978" s="1" t="str">
        <f>IFERROR(__xludf.DUMMYFUNCTION("GOOGLETRANSLATE(F4978,""EN"",""JA"")"),"血管外投与後の末端勾配に関連する分布容積を、AUCTAU を使用して計算された吸収された投与量の割合で割り、さらにボディマス指数で割ったもの。")</f>
        <v>血管外投与後の末端勾配に関連する分布容積を、AUCTAU を使用して計算された吸収された投与量の割合で割り、さらにボディマス指数で割ったもの。</v>
      </c>
      <c r="K4978" s="1" t="str">
        <f>IFERROR(__xludf.DUMMYFUNCTION("GOOGLETRANSLATE(G4978,""EN"",""JA"")"),"体格指数で標準化した投与間隔ごとの分布容積")</f>
        <v>体格指数で標準化した投与間隔ごとの分布容積</v>
      </c>
    </row>
    <row r="4979" ht="13.5" customHeight="1">
      <c r="A4979" s="1" t="s">
        <v>870</v>
      </c>
      <c r="B4979" s="1" t="s">
        <v>24823</v>
      </c>
      <c r="C4979" s="1" t="s">
        <v>24824</v>
      </c>
      <c r="D4979" s="1" t="s">
        <v>24825</v>
      </c>
      <c r="E4979" s="1" t="s">
        <v>24825</v>
      </c>
      <c r="F4979" s="1" t="s">
        <v>24826</v>
      </c>
      <c r="G4979" s="1" t="s">
        <v>24827</v>
      </c>
      <c r="H4979" s="1" t="str">
        <f>IFERROR(__xludf.DUMMYFUNCTION("GOOGLETRANSLATE(D4979,""EN"",""JA"")"),"線量に対するVz、FによるInt、線量によるNorm")</f>
        <v>線量に対するVz、FによるInt、線量によるNorm</v>
      </c>
      <c r="I4979" s="1" t="str">
        <f>IFERROR(__xludf.DUMMYFUNCTION("GOOGLETRANSLATE(E4979,""EN"",""JA"")"),"線量に対するVz、FによるInt、線量によるNorm")</f>
        <v>線量に対するVz、FによるInt、線量によるNorm</v>
      </c>
      <c r="J4979" s="1" t="str">
        <f>IFERROR(__xludf.DUMMYFUNCTION("GOOGLETRANSLATE(F4979,""EN"",""JA"")"),"血管外投与後の末端勾配に関連する分布容積を、AUCTAU を使用して計算された吸収された投与量の割合で割り、投与量で割ったもの。")</f>
        <v>血管外投与後の末端勾配に関連する分布容積を、AUCTAU を使用して計算された吸収された投与量の割合で割り、投与量で割ったもの。</v>
      </c>
      <c r="K4979" s="1" t="str">
        <f>IFERROR(__xludf.DUMMYFUNCTION("GOOGLETRANSLATE(G4979,""EN"",""JA"")"),"投与量で正規化された分画による投与間隔の分布容積")</f>
        <v>投与量で正規化された分画による投与間隔の分布容積</v>
      </c>
    </row>
    <row r="4980" ht="13.5" customHeight="1">
      <c r="A4980" s="1" t="s">
        <v>870</v>
      </c>
      <c r="B4980" s="1" t="s">
        <v>24828</v>
      </c>
      <c r="C4980" s="1" t="s">
        <v>24829</v>
      </c>
      <c r="D4980" s="1" t="s">
        <v>24830</v>
      </c>
      <c r="E4980" s="1" t="s">
        <v>24830</v>
      </c>
      <c r="F4980" s="1" t="s">
        <v>24831</v>
      </c>
      <c r="G4980" s="1" t="s">
        <v>24832</v>
      </c>
      <c r="H4980" s="1" t="str">
        <f>IFERROR(__xludf.DUMMYFUNCTION("GOOGLETRANSLATE(D4980,""EN"",""JA"")"),"Vz の Dose Int、F Norm、SA")</f>
        <v>Vz の Dose Int、F Norm、SA</v>
      </c>
      <c r="I4980" s="1" t="str">
        <f>IFERROR(__xludf.DUMMYFUNCTION("GOOGLETRANSLATE(E4980,""EN"",""JA"")"),"Vz の Dose Int、F Norm、SA")</f>
        <v>Vz の Dose Int、F Norm、SA</v>
      </c>
      <c r="J4980" s="1" t="str">
        <f>IFERROR(__xludf.DUMMYFUNCTION("GOOGLETRANSLATE(F4980,""EN"",""JA"")"),"血管外投与後の末端勾配に関連する分布容積を、AUCTAU を使用して計算された吸収された投与量の割合で割り、表面積で割ったもの。")</f>
        <v>血管外投与後の末端勾配に関連する分布容積を、AUCTAU を使用して計算された吸収された投与量の割合で割り、表面積で割ったもの。</v>
      </c>
      <c r="K4980" s="1" t="str">
        <f>IFERROR(__xludf.DUMMYFUNCTION("GOOGLETRANSLATE(G4980,""EN"",""JA"")"),"表面積で正規化した分画による投与間隔の分布容積")</f>
        <v>表面積で正規化した分画による投与間隔の分布容積</v>
      </c>
    </row>
    <row r="4981" ht="13.5" customHeight="1">
      <c r="A4981" s="1" t="s">
        <v>870</v>
      </c>
      <c r="B4981" s="1" t="s">
        <v>24833</v>
      </c>
      <c r="C4981" s="1" t="s">
        <v>24834</v>
      </c>
      <c r="D4981" s="1" t="s">
        <v>24835</v>
      </c>
      <c r="E4981" s="1" t="s">
        <v>24835</v>
      </c>
      <c r="F4981" s="1" t="s">
        <v>24836</v>
      </c>
      <c r="G4981" s="1" t="s">
        <v>24837</v>
      </c>
      <c r="H4981" s="1" t="str">
        <f>IFERROR(__xludf.DUMMYFUNCTION("GOOGLETRANSLATE(D4981,""EN"",""JA"")"),"Vz の線量内訳 (F 別)、標準値 (WT 別)")</f>
        <v>Vz の線量内訳 (F 別)、標準値 (WT 別)</v>
      </c>
      <c r="I4981" s="1" t="str">
        <f>IFERROR(__xludf.DUMMYFUNCTION("GOOGLETRANSLATE(E4981,""EN"",""JA"")"),"Vz の線量内訳 (F 別)、標準値 (WT 別)")</f>
        <v>Vz の線量内訳 (F 別)、標準値 (WT 別)</v>
      </c>
      <c r="J4981" s="1" t="str">
        <f>IFERROR(__xludf.DUMMYFUNCTION("GOOGLETRANSLATE(F4981,""EN"",""JA"")"),"血管外投与後の末端勾配に関連する分布容積を、AUCTAU を使用して計算された吸収された投与量の割合で割り、重量で割ったもの。")</f>
        <v>血管外投与後の末端勾配に関連する分布容積を、AUCTAU を使用して計算された吸収された投与量の割合で割り、重量で割ったもの。</v>
      </c>
      <c r="K4981" s="1" t="str">
        <f>IFERROR(__xludf.DUMMYFUNCTION("GOOGLETRANSLATE(G4981,""EN"",""JA"")"),"体重で正規化した分画による投与間隔の分布容積")</f>
        <v>体重で正規化した分画による投与間隔の分布容積</v>
      </c>
    </row>
    <row r="4982" ht="13.5" customHeight="1">
      <c r="A4982" s="1" t="s">
        <v>870</v>
      </c>
      <c r="B4982" s="1" t="s">
        <v>24838</v>
      </c>
      <c r="C4982" s="1" t="s">
        <v>24839</v>
      </c>
      <c r="D4982" s="1" t="s">
        <v>24840</v>
      </c>
      <c r="E4982" s="1" t="s">
        <v>24840</v>
      </c>
      <c r="F4982" s="1" t="s">
        <v>24841</v>
      </c>
      <c r="G4982" s="1" t="s">
        <v>24842</v>
      </c>
      <c r="H4982" s="1" t="str">
        <f>IFERROR(__xludf.DUMMYFUNCTION("GOOGLETRANSLATE(D4982,""EN"",""JA"")"),"Vz Obs")</f>
        <v>Vz Obs</v>
      </c>
      <c r="I4982" s="1" t="str">
        <f>IFERROR(__xludf.DUMMYFUNCTION("GOOGLETRANSLATE(E4982,""EN"",""JA"")"),"Vz Obs")</f>
        <v>Vz Obs</v>
      </c>
      <c r="J4982" s="1" t="str">
        <f>IFERROR(__xludf.DUMMYFUNCTION("GOOGLETRANSLATE(F4982,""EN"",""JA"")"),"最後の非ゼロ濃度の観測値を使用して計算された、血管内投与後の末端勾配に関連する分布容積。")</f>
        <v>最後の非ゼロ濃度の観測値を使用して計算された、血管内投与後の末端勾配に関連する分布容積。</v>
      </c>
      <c r="K4982" s="1" t="str">
        <f>IFERROR(__xludf.DUMMYFUNCTION("GOOGLETRANSLATE(G4982,""EN"",""JA"")"),"観測された分布容積")</f>
        <v>観測された分布容積</v>
      </c>
    </row>
    <row r="4983" ht="13.5" customHeight="1">
      <c r="A4983" s="1" t="s">
        <v>870</v>
      </c>
      <c r="B4983" s="1" t="s">
        <v>24843</v>
      </c>
      <c r="C4983" s="1" t="s">
        <v>24844</v>
      </c>
      <c r="D4983" s="1" t="s">
        <v>24845</v>
      </c>
      <c r="E4983" s="1" t="s">
        <v>24845</v>
      </c>
      <c r="F4983" s="1" t="s">
        <v>24846</v>
      </c>
      <c r="G4983" s="1" t="s">
        <v>24847</v>
      </c>
      <c r="H4983" s="1" t="str">
        <f>IFERROR(__xludf.DUMMYFUNCTION("GOOGLETRANSLATE(D4983,""EN"",""JA"")"),"BMIによるVz Obs Norm")</f>
        <v>BMIによるVz Obs Norm</v>
      </c>
      <c r="I4983" s="1" t="str">
        <f>IFERROR(__xludf.DUMMYFUNCTION("GOOGLETRANSLATE(E4983,""EN"",""JA"")"),"BMIによるVz Obs Norm")</f>
        <v>BMIによるVz Obs Norm</v>
      </c>
      <c r="J4983" s="1" t="str">
        <f>IFERROR(__xludf.DUMMYFUNCTION("GOOGLETRANSLATE(F4983,""EN"",""JA"")"),"血管内投与後の末端勾配に関連する分布容積。最後の非ゼロ濃度の観測値を使用して計算され、ボディマス指数で割った値です。")</f>
        <v>血管内投与後の末端勾配に関連する分布容積。最後の非ゼロ濃度の観測値を使用して計算され、ボディマス指数で割った値です。</v>
      </c>
      <c r="K4983" s="1" t="str">
        <f>IFERROR(__xludf.DUMMYFUNCTION("GOOGLETRANSLATE(G4983,""EN"",""JA"")"),"ボディマス指数で正規化した分布容積")</f>
        <v>ボディマス指数で正規化した分布容積</v>
      </c>
    </row>
    <row r="4984" ht="13.5" customHeight="1">
      <c r="A4984" s="1" t="s">
        <v>870</v>
      </c>
      <c r="B4984" s="1" t="s">
        <v>24848</v>
      </c>
      <c r="C4984" s="1" t="s">
        <v>24849</v>
      </c>
      <c r="D4984" s="1" t="s">
        <v>24850</v>
      </c>
      <c r="E4984" s="1" t="s">
        <v>24850</v>
      </c>
      <c r="F4984" s="1" t="s">
        <v>24851</v>
      </c>
      <c r="G4984" s="1" t="s">
        <v>24852</v>
      </c>
      <c r="H4984" s="1" t="str">
        <f>IFERROR(__xludf.DUMMYFUNCTION("GOOGLETRANSLATE(D4984,""EN"",""JA"")"),"線量によるVz Obs Norm")</f>
        <v>線量によるVz Obs Norm</v>
      </c>
      <c r="I4984" s="1" t="str">
        <f>IFERROR(__xludf.DUMMYFUNCTION("GOOGLETRANSLATE(E4984,""EN"",""JA"")"),"線量によるVz Obs Norm")</f>
        <v>線量によるVz Obs Norm</v>
      </c>
      <c r="J4984" s="1" t="str">
        <f>IFERROR(__xludf.DUMMYFUNCTION("GOOGLETRANSLATE(F4984,""EN"",""JA"")"),"血管内投与後の末端勾配に関連する分布容積。最後のゼロ以外の濃度の観測値を使用して計算され、投与量で割られます。")</f>
        <v>血管内投与後の末端勾配に関連する分布容積。最後のゼロ以外の濃度の観測値を使用して計算され、投与量で割られます。</v>
      </c>
      <c r="K4984" s="1" t="str">
        <f>IFERROR(__xludf.DUMMYFUNCTION("GOOGLETRANSLATE(G4984,""EN"",""JA"")"),"線量で正規化された分布容積の観測値")</f>
        <v>線量で正規化された分布容積の観測値</v>
      </c>
    </row>
    <row r="4985" ht="13.5" customHeight="1">
      <c r="A4985" s="1" t="s">
        <v>870</v>
      </c>
      <c r="B4985" s="1" t="s">
        <v>24853</v>
      </c>
      <c r="C4985" s="1" t="s">
        <v>24854</v>
      </c>
      <c r="D4985" s="1" t="s">
        <v>24855</v>
      </c>
      <c r="E4985" s="1" t="s">
        <v>24855</v>
      </c>
      <c r="F4985" s="1" t="s">
        <v>24856</v>
      </c>
      <c r="G4985" s="1" t="s">
        <v>24857</v>
      </c>
      <c r="H4985" s="1" t="str">
        <f>IFERROR(__xludf.DUMMYFUNCTION("GOOGLETRANSLATE(D4985,""EN"",""JA"")"),"SAによるVz Obs Norm")</f>
        <v>SAによるVz Obs Norm</v>
      </c>
      <c r="I4985" s="1" t="str">
        <f>IFERROR(__xludf.DUMMYFUNCTION("GOOGLETRANSLATE(E4985,""EN"",""JA"")"),"SAによるVz Obs Norm")</f>
        <v>SAによるVz Obs Norm</v>
      </c>
      <c r="J4985" s="1" t="str">
        <f>IFERROR(__xludf.DUMMYFUNCTION("GOOGLETRANSLATE(F4985,""EN"",""JA"")"),"血管内投与後の末端勾配に関連する分布容積。最後のゼロ以外の濃度の観測値を使用して計算され、表面積で割られます。")</f>
        <v>血管内投与後の末端勾配に関連する分布容積。最後のゼロ以外の濃度の観測値を使用して計算され、表面積で割られます。</v>
      </c>
      <c r="K4985" s="1" t="str">
        <f>IFERROR(__xludf.DUMMYFUNCTION("GOOGLETRANSLATE(G4985,""EN"",""JA"")"),"観測された分布容積を表面積で正規化したもの")</f>
        <v>観測された分布容積を表面積で正規化したもの</v>
      </c>
    </row>
    <row r="4986" ht="13.5" customHeight="1">
      <c r="A4986" s="1" t="s">
        <v>870</v>
      </c>
      <c r="B4986" s="1" t="s">
        <v>24858</v>
      </c>
      <c r="C4986" s="1" t="s">
        <v>24859</v>
      </c>
      <c r="D4986" s="1" t="s">
        <v>24860</v>
      </c>
      <c r="E4986" s="1" t="s">
        <v>24860</v>
      </c>
      <c r="F4986" s="1" t="s">
        <v>24861</v>
      </c>
      <c r="G4986" s="1" t="s">
        <v>24862</v>
      </c>
      <c r="H4986" s="1" t="str">
        <f>IFERROR(__xludf.DUMMYFUNCTION("GOOGLETRANSLATE(D4986,""EN"",""JA"")"),"UB 用 Vz Obs")</f>
        <v>UB 用 Vz Obs</v>
      </c>
      <c r="I4986" s="1" t="str">
        <f>IFERROR(__xludf.DUMMYFUNCTION("GOOGLETRANSLATE(E4986,""EN"",""JA"")"),"UB 用 Vz Obs")</f>
        <v>UB 用 Vz Obs</v>
      </c>
      <c r="J4986" s="1" t="str">
        <f>IFERROR(__xludf.DUMMYFUNCTION("GOOGLETRANSLATE(F4986,""EN"",""JA"")"),"投与後の末端勾配に関連する分布容積。最後のゼロ以外の濃度の観測値を使用して計算され、結合していない薬剤について補正されます。")</f>
        <v>投与後の末端勾配に関連する分布容積。最後のゼロ以外の濃度の観測値を使用して計算され、結合していない薬剤について補正されます。</v>
      </c>
      <c r="K4986" s="1" t="str">
        <f>IFERROR(__xludf.DUMMYFUNCTION("GOOGLETRANSLATE(G4986,""EN"",""JA"")"),"非結合薬物の分布容積")</f>
        <v>非結合薬物の分布容積</v>
      </c>
    </row>
    <row r="4987" ht="13.5" customHeight="1">
      <c r="A4987" s="1" t="s">
        <v>870</v>
      </c>
      <c r="B4987" s="1" t="s">
        <v>24863</v>
      </c>
      <c r="C4987" s="1" t="s">
        <v>24864</v>
      </c>
      <c r="D4987" s="1" t="s">
        <v>24865</v>
      </c>
      <c r="E4987" s="1" t="s">
        <v>24865</v>
      </c>
      <c r="F4987" s="1" t="s">
        <v>24866</v>
      </c>
      <c r="G4987" s="1" t="s">
        <v>24867</v>
      </c>
      <c r="H4987" s="1" t="str">
        <f>IFERROR(__xludf.DUMMYFUNCTION("GOOGLETRANSLATE(D4987,""EN"",""JA"")"),"WTによるVz Obs Norm")</f>
        <v>WTによるVz Obs Norm</v>
      </c>
      <c r="I4987" s="1" t="str">
        <f>IFERROR(__xludf.DUMMYFUNCTION("GOOGLETRANSLATE(E4987,""EN"",""JA"")"),"WTによるVz Obs Norm")</f>
        <v>WTによるVz Obs Norm</v>
      </c>
      <c r="J4987" s="1" t="str">
        <f>IFERROR(__xludf.DUMMYFUNCTION("GOOGLETRANSLATE(F4987,""EN"",""JA"")"),"血管内投与後の末端勾配に関連する分布容積。最後のゼロ以外の濃度の観測値を使用して計算され、重量で割ったもの。")</f>
        <v>血管内投与後の末端勾配に関連する分布容積。最後のゼロ以外の濃度の観測値を使用して計算され、重量で割ったもの。</v>
      </c>
      <c r="K4987" s="1" t="str">
        <f>IFERROR(__xludf.DUMMYFUNCTION("GOOGLETRANSLATE(G4987,""EN"",""JA"")"),"重量で正規化された分布容積")</f>
        <v>重量で正規化された分布容積</v>
      </c>
    </row>
    <row r="4988" ht="13.5" customHeight="1">
      <c r="A4988" s="1" t="s">
        <v>870</v>
      </c>
      <c r="B4988" s="1" t="s">
        <v>24868</v>
      </c>
      <c r="C4988" s="1" t="s">
        <v>24869</v>
      </c>
      <c r="D4988" s="1" t="s">
        <v>24870</v>
      </c>
      <c r="E4988" s="1" t="s">
        <v>24870</v>
      </c>
      <c r="F4988" s="1" t="s">
        <v>24871</v>
      </c>
      <c r="G4988" s="1" t="s">
        <v>24872</v>
      </c>
      <c r="H4988" s="1" t="str">
        <f>IFERROR(__xludf.DUMMYFUNCTION("GOOGLETRANSLATE(D4988,""EN"",""JA"")"),"Vz プレド")</f>
        <v>Vz プレド</v>
      </c>
      <c r="I4988" s="1" t="str">
        <f>IFERROR(__xludf.DUMMYFUNCTION("GOOGLETRANSLATE(E4988,""EN"",""JA"")"),"Vz プレド")</f>
        <v>Vz プレド</v>
      </c>
      <c r="J4988" s="1" t="str">
        <f>IFERROR(__xludf.DUMMYFUNCTION("GOOGLETRANSLATE(F4988,""EN"",""JA"")"),"最後の非ゼロ濃度の予測値を使用して計算された、血管内投与後の末端勾配に関連する分布容積。")</f>
        <v>最後の非ゼロ濃度の予測値を使用して計算された、血管内投与後の末端勾配に関連する分布容積。</v>
      </c>
      <c r="K4988" s="1" t="str">
        <f>IFERROR(__xludf.DUMMYFUNCTION("GOOGLETRANSLATE(G4988,""EN"",""JA"")"),"予測配布量")</f>
        <v>予測配布量</v>
      </c>
    </row>
    <row r="4989" ht="13.5" customHeight="1">
      <c r="A4989" s="1" t="s">
        <v>870</v>
      </c>
      <c r="B4989" s="1" t="s">
        <v>24873</v>
      </c>
      <c r="C4989" s="1" t="s">
        <v>24874</v>
      </c>
      <c r="D4989" s="1" t="s">
        <v>24875</v>
      </c>
      <c r="E4989" s="1" t="s">
        <v>24875</v>
      </c>
      <c r="F4989" s="1" t="s">
        <v>24876</v>
      </c>
      <c r="G4989" s="1" t="s">
        <v>24877</v>
      </c>
      <c r="H4989" s="1" t="str">
        <f>IFERROR(__xludf.DUMMYFUNCTION("GOOGLETRANSLATE(D4989,""EN"",""JA"")"),"BMIによるVz予測正常値")</f>
        <v>BMIによるVz予測正常値</v>
      </c>
      <c r="I4989" s="1" t="str">
        <f>IFERROR(__xludf.DUMMYFUNCTION("GOOGLETRANSLATE(E4989,""EN"",""JA"")"),"BMIによるVz予測正常値")</f>
        <v>BMIによるVz予測正常値</v>
      </c>
      <c r="J4989" s="1" t="str">
        <f>IFERROR(__xludf.DUMMYFUNCTION("GOOGLETRANSLATE(F4989,""EN"",""JA"")"),"血管内投与後の末端勾配に関連する分布容積。最後の非ゼロ濃度の予測値を使用して計算され、ボディマス指数で割った値です。")</f>
        <v>血管内投与後の末端勾配に関連する分布容積。最後の非ゼロ濃度の予測値を使用して計算され、ボディマス指数で割った値です。</v>
      </c>
      <c r="K4989" s="1" t="str">
        <f>IFERROR(__xludf.DUMMYFUNCTION("GOOGLETRANSLATE(G4989,""EN"",""JA"")"),"ボディマス指数で正規化された分布容積の予測値")</f>
        <v>ボディマス指数で正規化された分布容積の予測値</v>
      </c>
    </row>
    <row r="4990" ht="13.5" customHeight="1">
      <c r="A4990" s="1" t="s">
        <v>870</v>
      </c>
      <c r="B4990" s="1" t="s">
        <v>24878</v>
      </c>
      <c r="C4990" s="1" t="s">
        <v>24879</v>
      </c>
      <c r="D4990" s="1" t="s">
        <v>24880</v>
      </c>
      <c r="E4990" s="1" t="s">
        <v>24880</v>
      </c>
      <c r="F4990" s="1" t="s">
        <v>24881</v>
      </c>
      <c r="G4990" s="1" t="s">
        <v>24882</v>
      </c>
      <c r="H4990" s="1" t="str">
        <f>IFERROR(__xludf.DUMMYFUNCTION("GOOGLETRANSLATE(D4990,""EN"",""JA"")"),"用量別Vz予測正常値")</f>
        <v>用量別Vz予測正常値</v>
      </c>
      <c r="I4990" s="1" t="str">
        <f>IFERROR(__xludf.DUMMYFUNCTION("GOOGLETRANSLATE(E4990,""EN"",""JA"")"),"用量別Vz予測正常値")</f>
        <v>用量別Vz予測正常値</v>
      </c>
      <c r="J4990" s="1" t="str">
        <f>IFERROR(__xludf.DUMMYFUNCTION("GOOGLETRANSLATE(F4990,""EN"",""JA"")"),"最後の非ゼロ濃度の予測値を使用して計算された、血管内投与後の末端勾配に関連する分布容積を投与量で割ったもの。")</f>
        <v>最後の非ゼロ濃度の予測値を使用して計算された、血管内投与後の末端勾配に関連する分布容積を投与量で割ったもの。</v>
      </c>
      <c r="K4990" s="1" t="str">
        <f>IFERROR(__xludf.DUMMYFUNCTION("GOOGLETRANSLATE(G4990,""EN"",""JA"")"),"線量で正規化された分布容積の予測値")</f>
        <v>線量で正規化された分布容積の予測値</v>
      </c>
    </row>
    <row r="4991" ht="13.5" customHeight="1">
      <c r="A4991" s="1" t="s">
        <v>870</v>
      </c>
      <c r="B4991" s="1" t="s">
        <v>24883</v>
      </c>
      <c r="C4991" s="1" t="s">
        <v>24884</v>
      </c>
      <c r="D4991" s="1" t="s">
        <v>24885</v>
      </c>
      <c r="E4991" s="1" t="s">
        <v>24885</v>
      </c>
      <c r="F4991" s="1" t="s">
        <v>24886</v>
      </c>
      <c r="G4991" s="1" t="s">
        <v>24887</v>
      </c>
      <c r="H4991" s="1" t="str">
        <f>IFERROR(__xludf.DUMMYFUNCTION("GOOGLETRANSLATE(D4991,""EN"",""JA"")"),"SAによるVz Pred Norm")</f>
        <v>SAによるVz Pred Norm</v>
      </c>
      <c r="I4991" s="1" t="str">
        <f>IFERROR(__xludf.DUMMYFUNCTION("GOOGLETRANSLATE(E4991,""EN"",""JA"")"),"SAによるVz Pred Norm")</f>
        <v>SAによるVz Pred Norm</v>
      </c>
      <c r="J4991" s="1" t="str">
        <f>IFERROR(__xludf.DUMMYFUNCTION("GOOGLETRANSLATE(F4991,""EN"",""JA"")"),"血管内投与後の末端勾配に関連する分布容積。最後のゼロ以外の濃度の予測値を使用して計算され、表面積で割られます。")</f>
        <v>血管内投与後の末端勾配に関連する分布容積。最後のゼロ以外の濃度の予測値を使用して計算され、表面積で割られます。</v>
      </c>
      <c r="K4991" s="1" t="str">
        <f>IFERROR(__xludf.DUMMYFUNCTION("GOOGLETRANSLATE(G4991,""EN"",""JA"")"),"表面積で正規化された予測分布容積")</f>
        <v>表面積で正規化された予測分布容積</v>
      </c>
    </row>
    <row r="4992" ht="13.5" customHeight="1">
      <c r="A4992" s="1" t="s">
        <v>870</v>
      </c>
      <c r="B4992" s="1" t="s">
        <v>24888</v>
      </c>
      <c r="C4992" s="1" t="s">
        <v>24889</v>
      </c>
      <c r="D4992" s="1" t="s">
        <v>24890</v>
      </c>
      <c r="E4992" s="1" t="s">
        <v>24890</v>
      </c>
      <c r="F4992" s="1" t="s">
        <v>24891</v>
      </c>
      <c r="G4992" s="1" t="s">
        <v>24892</v>
      </c>
      <c r="H4992" s="1" t="str">
        <f>IFERROR(__xludf.DUMMYFUNCTION("GOOGLETRANSLATE(D4992,""EN"",""JA"")"),"UB用Vz Pred")</f>
        <v>UB用Vz Pred</v>
      </c>
      <c r="I4992" s="1" t="str">
        <f>IFERROR(__xludf.DUMMYFUNCTION("GOOGLETRANSLATE(E4992,""EN"",""JA"")"),"UB用Vz Pred")</f>
        <v>UB用Vz Pred</v>
      </c>
      <c r="J4992" s="1" t="str">
        <f>IFERROR(__xludf.DUMMYFUNCTION("GOOGLETRANSLATE(F4992,""EN"",""JA"")"),"投与後の末端勾配に関連する分布容積。最後のゼロ以外の濃度の時点での予測値を使用して計算され、結合していない薬剤が補正されます。")</f>
        <v>投与後の末端勾配に関連する分布容積。最後のゼロ以外の濃度の時点での予測値を使用して計算され、結合していない薬剤が補正されます。</v>
      </c>
      <c r="K4992" s="1" t="str">
        <f>IFERROR(__xludf.DUMMYFUNCTION("GOOGLETRANSLATE(G4992,""EN"",""JA"")"),"非結合薬物の予測分布容積")</f>
        <v>非結合薬物の予測分布容積</v>
      </c>
    </row>
    <row r="4993" ht="13.5" customHeight="1">
      <c r="A4993" s="1" t="s">
        <v>870</v>
      </c>
      <c r="B4993" s="1" t="s">
        <v>24893</v>
      </c>
      <c r="C4993" s="1" t="s">
        <v>24894</v>
      </c>
      <c r="D4993" s="1" t="s">
        <v>24895</v>
      </c>
      <c r="E4993" s="1" t="s">
        <v>24895</v>
      </c>
      <c r="F4993" s="1" t="s">
        <v>24896</v>
      </c>
      <c r="G4993" s="1" t="s">
        <v>24897</v>
      </c>
      <c r="H4993" s="1" t="str">
        <f>IFERROR(__xludf.DUMMYFUNCTION("GOOGLETRANSLATE(D4993,""EN"",""JA"")"),"WTによるVz予測標準")</f>
        <v>WTによるVz予測標準</v>
      </c>
      <c r="I4993" s="1" t="str">
        <f>IFERROR(__xludf.DUMMYFUNCTION("GOOGLETRANSLATE(E4993,""EN"",""JA"")"),"WTによるVz予測標準")</f>
        <v>WTによるVz予測標準</v>
      </c>
      <c r="J4993" s="1" t="str">
        <f>IFERROR(__xludf.DUMMYFUNCTION("GOOGLETRANSLATE(F4993,""EN"",""JA"")"),"最後の非ゼロ濃度の予測値を使用して計算された、血管内投与後の末端勾配に関連する分布容積を重量で割ったもの。")</f>
        <v>最後の非ゼロ濃度の予測値を使用して計算された、血管内投与後の末端勾配に関連する分布容積を重量で割ったもの。</v>
      </c>
      <c r="K4993" s="1" t="str">
        <f>IFERROR(__xludf.DUMMYFUNCTION("GOOGLETRANSLATE(G4993,""EN"",""JA"")"),"重量で正規化された分布容積の予測")</f>
        <v>重量で正規化された分布容積の予測</v>
      </c>
    </row>
    <row r="4994" ht="13.5" customHeight="1">
      <c r="A4994" s="1" t="s">
        <v>870</v>
      </c>
      <c r="B4994" s="1" t="s">
        <v>24898</v>
      </c>
      <c r="C4994" s="1" t="s">
        <v>24899</v>
      </c>
      <c r="D4994" s="1" t="s">
        <v>24900</v>
      </c>
      <c r="E4994" s="1" t="s">
        <v>24900</v>
      </c>
      <c r="F4994" s="1" t="s">
        <v>24901</v>
      </c>
      <c r="G4994" s="1" t="s">
        <v>24902</v>
      </c>
      <c r="H4994" s="1" t="str">
        <f>IFERROR(__xludf.DUMMYFUNCTION("GOOGLETRANSLATE(D4994,""EN"",""JA"")"),"線量内訳のVz")</f>
        <v>線量内訳のVz</v>
      </c>
      <c r="I4994" s="1" t="str">
        <f>IFERROR(__xludf.DUMMYFUNCTION("GOOGLETRANSLATE(E4994,""EN"",""JA"")"),"線量内訳のVz")</f>
        <v>線量内訳のVz</v>
      </c>
      <c r="J4994" s="1" t="str">
        <f>IFERROR(__xludf.DUMMYFUNCTION("GOOGLETRANSLATE(F4994,""EN"",""JA"")"),"AUCTAU を使用して計算された、血管内投与後の末端勾配に関連する分布容積。")</f>
        <v>AUCTAU を使用して計算された、血管内投与後の末端勾配に関連する分布容積。</v>
      </c>
      <c r="K4994" s="1" t="str">
        <f>IFERROR(__xludf.DUMMYFUNCTION("GOOGLETRANSLATE(G4994,""EN"",""JA"")"),"投与間隔における分布容積")</f>
        <v>投与間隔における分布容積</v>
      </c>
    </row>
    <row r="4995" ht="13.5" customHeight="1">
      <c r="A4995" s="1" t="s">
        <v>870</v>
      </c>
      <c r="B4995" s="1" t="s">
        <v>24903</v>
      </c>
      <c r="C4995" s="1" t="s">
        <v>24904</v>
      </c>
      <c r="D4995" s="1" t="s">
        <v>24905</v>
      </c>
      <c r="E4995" s="1" t="s">
        <v>24905</v>
      </c>
      <c r="F4995" s="1" t="s">
        <v>24906</v>
      </c>
      <c r="G4995" s="1" t="s">
        <v>24907</v>
      </c>
      <c r="H4995" s="1" t="str">
        <f>IFERROR(__xludf.DUMMYFUNCTION("GOOGLETRANSLATE(D4995,""EN"",""JA"")"),"BMIによる線量内標準値のVz")</f>
        <v>BMIによる線量内標準値のVz</v>
      </c>
      <c r="I4995" s="1" t="str">
        <f>IFERROR(__xludf.DUMMYFUNCTION("GOOGLETRANSLATE(E4995,""EN"",""JA"")"),"BMIによる線量内標準値のVz")</f>
        <v>BMIによる線量内標準値のVz</v>
      </c>
      <c r="J4995" s="1" t="str">
        <f>IFERROR(__xludf.DUMMYFUNCTION("GOOGLETRANSLATE(F4995,""EN"",""JA"")"),"AUCTAU を使用して計算された血管内投与後の末端傾斜に関連する分布容積をボディマス指数で割ったもの。")</f>
        <v>AUCTAU を使用して計算された血管内投与後の末端傾斜に関連する分布容積をボディマス指数で割ったもの。</v>
      </c>
      <c r="K4995" s="1" t="str">
        <f>IFERROR(__xludf.DUMMYFUNCTION("GOOGLETRANSLATE(G4995,""EN"",""JA"")"),"ボディマス指数で標準化した投与間隔における分布容積")</f>
        <v>ボディマス指数で標準化した投与間隔における分布容積</v>
      </c>
    </row>
    <row r="4996" ht="13.5" customHeight="1">
      <c r="A4996" s="1" t="s">
        <v>870</v>
      </c>
      <c r="B4996" s="1" t="s">
        <v>24908</v>
      </c>
      <c r="C4996" s="1" t="s">
        <v>24909</v>
      </c>
      <c r="D4996" s="1" t="s">
        <v>24910</v>
      </c>
      <c r="E4996" s="1" t="s">
        <v>24910</v>
      </c>
      <c r="F4996" s="1" t="s">
        <v>24911</v>
      </c>
      <c r="G4996" s="1" t="s">
        <v>24912</v>
      </c>
      <c r="H4996" s="1" t="str">
        <f>IFERROR(__xludf.DUMMYFUNCTION("GOOGLETRANSLATE(D4996,""EN"",""JA"")"),"線量ごとのVz Int Norm（線量基準）")</f>
        <v>線量ごとのVz Int Norm（線量基準）</v>
      </c>
      <c r="I4996" s="1" t="str">
        <f>IFERROR(__xludf.DUMMYFUNCTION("GOOGLETRANSLATE(E4996,""EN"",""JA"")"),"線量ごとのVz Int Norm（線量基準）")</f>
        <v>線量ごとのVz Int Norm（線量基準）</v>
      </c>
      <c r="J4996" s="1" t="str">
        <f>IFERROR(__xludf.DUMMYFUNCTION("GOOGLETRANSLATE(F4996,""EN"",""JA"")"),"AUCTAU を使用して計算された血管内投与後の末端勾配に関連する分布容積を投与量で割ったもの。")</f>
        <v>AUCTAU を使用して計算された血管内投与後の末端勾配に関連する分布容積を投与量で割ったもの。</v>
      </c>
      <c r="K4996" s="1" t="str">
        <f>IFERROR(__xludf.DUMMYFUNCTION("GOOGLETRANSLATE(G4996,""EN"",""JA"")"),"投与量で正規化された投与間隔の分布容積")</f>
        <v>投与量で正規化された投与間隔の分布容積</v>
      </c>
    </row>
    <row r="4997" ht="13.5" customHeight="1">
      <c r="A4997" s="1" t="s">
        <v>870</v>
      </c>
      <c r="B4997" s="1" t="s">
        <v>24913</v>
      </c>
      <c r="C4997" s="1" t="s">
        <v>24914</v>
      </c>
      <c r="D4997" s="1" t="s">
        <v>24915</v>
      </c>
      <c r="E4997" s="1" t="s">
        <v>24915</v>
      </c>
      <c r="F4997" s="1" t="s">
        <v>24916</v>
      </c>
      <c r="G4997" s="1" t="s">
        <v>24917</v>
      </c>
      <c r="H4997" s="1" t="str">
        <f>IFERROR(__xludf.DUMMYFUNCTION("GOOGLETRANSLATE(D4997,""EN"",""JA"")"),"SAによる線量内規準のVz")</f>
        <v>SAによる線量内規準のVz</v>
      </c>
      <c r="I4997" s="1" t="str">
        <f>IFERROR(__xludf.DUMMYFUNCTION("GOOGLETRANSLATE(E4997,""EN"",""JA"")"),"SAによる線量内規準のVz")</f>
        <v>SAによる線量内規準のVz</v>
      </c>
      <c r="J4997" s="1" t="str">
        <f>IFERROR(__xludf.DUMMYFUNCTION("GOOGLETRANSLATE(F4997,""EN"",""JA"")"),"AUCTAU を使用して計算された血管内投与後の末端傾斜に関連する分布容積を表面積で割ったもの。")</f>
        <v>AUCTAU を使用して計算された血管内投与後の末端傾斜に関連する分布容積を表面積で割ったもの。</v>
      </c>
      <c r="K4997" s="1" t="str">
        <f>IFERROR(__xludf.DUMMYFUNCTION("GOOGLETRANSLATE(G4997,""EN"",""JA"")"),"表面積で正規化した投与間隔の分布容積")</f>
        <v>表面積で正規化した投与間隔の分布容積</v>
      </c>
    </row>
    <row r="4998" ht="13.5" customHeight="1">
      <c r="A4998" s="1" t="s">
        <v>870</v>
      </c>
      <c r="B4998" s="1" t="s">
        <v>24918</v>
      </c>
      <c r="C4998" s="1" t="s">
        <v>24919</v>
      </c>
      <c r="D4998" s="1" t="s">
        <v>24920</v>
      </c>
      <c r="E4998" s="1" t="s">
        <v>24920</v>
      </c>
      <c r="F4998" s="1" t="s">
        <v>24921</v>
      </c>
      <c r="G4998" s="1" t="s">
        <v>24922</v>
      </c>
      <c r="H4998" s="1" t="str">
        <f>IFERROR(__xludf.DUMMYFUNCTION("GOOGLETRANSLATE(D4998,""EN"",""JA"")"),"WTによる線量内規準のVz")</f>
        <v>WTによる線量内規準のVz</v>
      </c>
      <c r="I4998" s="1" t="str">
        <f>IFERROR(__xludf.DUMMYFUNCTION("GOOGLETRANSLATE(E4998,""EN"",""JA"")"),"WTによる線量内規準のVz")</f>
        <v>WTによる線量内規準のVz</v>
      </c>
      <c r="J4998" s="1" t="str">
        <f>IFERROR(__xludf.DUMMYFUNCTION("GOOGLETRANSLATE(F4998,""EN"",""JA"")"),"AUCTAU を使用して計算された血管内投与後の末端傾斜に関連する分布容積を重量で割ったもの。")</f>
        <v>AUCTAU を使用して計算された血管内投与後の末端傾斜に関連する分布容積を重量で割ったもの。</v>
      </c>
      <c r="K4998" s="1" t="str">
        <f>IFERROR(__xludf.DUMMYFUNCTION("GOOGLETRANSLATE(G4998,""EN"",""JA"")"),"体重で標準化した投与間隔の分布容積")</f>
        <v>体重で標準化した投与間隔の分布容積</v>
      </c>
    </row>
    <row r="4999" ht="13.5" customHeight="1">
      <c r="A4999" s="1" t="s">
        <v>67</v>
      </c>
      <c r="B4999" s="1" t="s">
        <v>24923</v>
      </c>
      <c r="C4999" s="1" t="s">
        <v>24924</v>
      </c>
      <c r="D4999" s="1" t="s">
        <v>24925</v>
      </c>
      <c r="E4999" s="1" t="s">
        <v>24925</v>
      </c>
      <c r="F4999" s="1" t="s">
        <v>24926</v>
      </c>
      <c r="G4999" s="1" t="s">
        <v>24927</v>
      </c>
      <c r="H4999" s="1" t="str">
        <f>IFERROR(__xludf.DUMMYFUNCTION("GOOGLETRANSLATE(D4999,""EN"",""JA"")"),"水痘帯状疱疹ウイルス")</f>
        <v>水痘帯状疱疹ウイルス</v>
      </c>
      <c r="I4999" s="1" t="str">
        <f>IFERROR(__xludf.DUMMYFUNCTION("GOOGLETRANSLATE(E4999,""EN"",""JA"")"),"水痘帯状疱疹ウイルス")</f>
        <v>水痘帯状疱疹ウイルス</v>
      </c>
      <c r="J4999" s="1" t="str">
        <f>IFERROR(__xludf.DUMMYFUNCTION("GOOGLETRANSLATE(F4999,""EN"",""JA"")"),"生物標本中の水痘帯状疱疹ウイルスの測定。")</f>
        <v>生物標本中の水痘帯状疱疹ウイルスの測定。</v>
      </c>
      <c r="K4999" s="1" t="str">
        <f>IFERROR(__xludf.DUMMYFUNCTION("GOOGLETRANSLATE(G4999,""EN"",""JA"")"),"水痘帯状疱疹ウイルス測定")</f>
        <v>水痘帯状疱疹ウイルス測定</v>
      </c>
    </row>
    <row r="5000" ht="13.5" customHeight="1">
      <c r="A5000" s="1" t="s">
        <v>67</v>
      </c>
      <c r="B5000" s="1" t="s">
        <v>24928</v>
      </c>
      <c r="C5000" s="1" t="s">
        <v>24929</v>
      </c>
      <c r="D5000" s="1" t="s">
        <v>24930</v>
      </c>
      <c r="E5000" s="1" t="s">
        <v>24930</v>
      </c>
      <c r="F5000" s="1" t="s">
        <v>24931</v>
      </c>
      <c r="G5000" s="1" t="s">
        <v>24932</v>
      </c>
      <c r="H5000" s="1" t="str">
        <f>IFERROR(__xludf.DUMMYFUNCTION("GOOGLETRANSLATE(D5000,""EN"",""JA"")"),"水痘帯状疱疹ウイルスDNA")</f>
        <v>水痘帯状疱疹ウイルスDNA</v>
      </c>
      <c r="I5000" s="1" t="str">
        <f>IFERROR(__xludf.DUMMYFUNCTION("GOOGLETRANSLATE(E5000,""EN"",""JA"")"),"水痘帯状疱疹ウイルスDNA")</f>
        <v>水痘帯状疱疹ウイルスDNA</v>
      </c>
      <c r="J5000" s="1" t="str">
        <f>IFERROR(__xludf.DUMMYFUNCTION("GOOGLETRANSLATE(F5000,""EN"",""JA"")"),"生物標本中の水痘帯状疱疹ウイルス DNA の測定。")</f>
        <v>生物標本中の水痘帯状疱疹ウイルス DNA の測定。</v>
      </c>
      <c r="K5000" s="1" t="str">
        <f>IFERROR(__xludf.DUMMYFUNCTION("GOOGLETRANSLATE(G5000,""EN"",""JA"")"),"水痘帯状疱疹ウイルスDNA測定")</f>
        <v>水痘帯状疱疹ウイルスDNA測定</v>
      </c>
    </row>
    <row r="5001" ht="13.5" customHeight="1">
      <c r="A5001" s="1" t="s">
        <v>129</v>
      </c>
      <c r="B5001" s="1" t="s">
        <v>24933</v>
      </c>
      <c r="C5001" s="1" t="s">
        <v>24934</v>
      </c>
      <c r="D5001" s="1" t="s">
        <v>24935</v>
      </c>
      <c r="E5001" s="1" t="s">
        <v>24935</v>
      </c>
      <c r="F5001" s="1" t="s">
        <v>24936</v>
      </c>
      <c r="G5001" s="1" t="s">
        <v>24937</v>
      </c>
      <c r="H5001" s="1" t="str">
        <f>IFERROR(__xludf.DUMMYFUNCTION("GOOGLETRANSLATE(D5001,""EN"",""JA"")"),"ウエストヒップ比")</f>
        <v>ウエストヒップ比</v>
      </c>
      <c r="I5001" s="1" t="str">
        <f>IFERROR(__xludf.DUMMYFUNCTION("GOOGLETRANSLATE(E5001,""EN"",""JA"")"),"ウエストヒップ比")</f>
        <v>ウエストヒップ比</v>
      </c>
      <c r="J5001" s="1" t="str">
        <f>IFERROR(__xludf.DUMMYFUNCTION("GOOGLETRANSLATE(F5001,""EN"",""JA"")"),"ウエスト周囲径とヒップ周囲径の相対的な測定値（比率）。")</f>
        <v>ウエスト周囲径とヒップ周囲径の相対的な測定値（比率）。</v>
      </c>
      <c r="K5001" s="1" t="str">
        <f>IFERROR(__xludf.DUMMYFUNCTION("GOOGLETRANSLATE(G5001,""EN"",""JA"")"),"ウエストヒップ比")</f>
        <v>ウエストヒップ比</v>
      </c>
    </row>
    <row r="5002" ht="13.5" customHeight="1">
      <c r="A5002" s="1" t="s">
        <v>176</v>
      </c>
      <c r="B5002" s="1" t="s">
        <v>24938</v>
      </c>
      <c r="C5002" s="1" t="s">
        <v>24939</v>
      </c>
      <c r="D5002" s="1" t="s">
        <v>24940</v>
      </c>
      <c r="E5002" s="1" t="s">
        <v>24940</v>
      </c>
      <c r="F5002" s="1" t="s">
        <v>24941</v>
      </c>
      <c r="G5002" s="1" t="s">
        <v>24942</v>
      </c>
      <c r="H5002" s="1" t="str">
        <f>IFERROR(__xludf.DUMMYFUNCTION("GOOGLETRANSLATE(D5002,""EN"",""JA"")"),"歩行能力")</f>
        <v>歩行能力</v>
      </c>
      <c r="I5002" s="1" t="str">
        <f>IFERROR(__xludf.DUMMYFUNCTION("GOOGLETRANSLATE(E5002,""EN"",""JA"")"),"歩行能力")</f>
        <v>歩行能力</v>
      </c>
      <c r="J5002" s="1" t="str">
        <f>IFERROR(__xludf.DUMMYFUNCTION("GOOGLETRANSLATE(F5002,""EN"",""JA"")"),"個人の歩行能力の評価。")</f>
        <v>個人の歩行能力の評価。</v>
      </c>
      <c r="K5002" s="1" t="str">
        <f>IFERROR(__xludf.DUMMYFUNCTION("GOOGLETRANSLATE(G5002,""EN"",""JA"")"),"歩行能力評価")</f>
        <v>歩行能力評価</v>
      </c>
    </row>
    <row r="5003" ht="13.5" customHeight="1">
      <c r="A5003" s="1" t="s">
        <v>176</v>
      </c>
      <c r="B5003" s="1" t="s">
        <v>24943</v>
      </c>
      <c r="C5003" s="1" t="s">
        <v>24944</v>
      </c>
      <c r="D5003" s="1" t="s">
        <v>24945</v>
      </c>
      <c r="E5003" s="1" t="s">
        <v>24946</v>
      </c>
      <c r="F5003" s="1" t="s">
        <v>24947</v>
      </c>
      <c r="G5003" s="1" t="s">
        <v>24945</v>
      </c>
      <c r="H5003" s="1" t="str">
        <f>IFERROR(__xludf.DUMMYFUNCTION("GOOGLETRANSLATE(D5003,""EN"",""JA"")"),"睡眠開始後の覚醒")</f>
        <v>睡眠開始後の覚醒</v>
      </c>
      <c r="I5003" s="1" t="str">
        <f>IFERROR(__xludf.DUMMYFUNCTION("GOOGLETRANSLATE(E5003,""EN"",""JA"")"),"睡眠開始後の起床時間、睡眠開始後の起床時間、睡眠開始後の起床時間")</f>
        <v>睡眠開始後の起床時間、睡眠開始後の起床時間、睡眠開始後の起床時間</v>
      </c>
      <c r="J5003" s="1" t="str">
        <f>IFERROR(__xludf.DUMMYFUNCTION("GOOGLETRANSLATE(F5003,""EN"",""JA"")"),"睡眠開始前の覚醒時間を除く、夜通しの覚醒エピソードの持続時間の合計の測定値。")</f>
        <v>睡眠開始前の覚醒時間を除く、夜通しの覚醒エピソードの持続時間の合計の測定値。</v>
      </c>
      <c r="K5003" s="1" t="str">
        <f>IFERROR(__xludf.DUMMYFUNCTION("GOOGLETRANSLATE(G5003,""EN"",""JA"")"),"睡眠開始後の覚醒")</f>
        <v>睡眠開始後の覚醒</v>
      </c>
    </row>
    <row r="5004" ht="13.5" customHeight="1">
      <c r="A5004" s="1" t="s">
        <v>129</v>
      </c>
      <c r="B5004" s="1" t="s">
        <v>24948</v>
      </c>
      <c r="C5004" s="1" t="s">
        <v>24949</v>
      </c>
      <c r="D5004" s="1" t="s">
        <v>24950</v>
      </c>
      <c r="E5004" s="1" t="s">
        <v>24950</v>
      </c>
      <c r="F5004" s="1" t="s">
        <v>24951</v>
      </c>
      <c r="G5004" s="1" t="s">
        <v>24950</v>
      </c>
      <c r="H5004" s="1" t="str">
        <f>IFERROR(__xludf.DUMMYFUNCTION("GOOGLETRANSLATE(D5004,""EN"",""JA"")"),"ウエストからかかとまでの長さ")</f>
        <v>ウエストからかかとまでの長さ</v>
      </c>
      <c r="I5004" s="1" t="str">
        <f>IFERROR(__xludf.DUMMYFUNCTION("GOOGLETRANSLATE(E5004,""EN"",""JA"")"),"ウエストからかかとまでの長さ")</f>
        <v>ウエストからかかとまでの長さ</v>
      </c>
      <c r="J5004" s="1" t="str">
        <f>IFERROR(__xludf.DUMMYFUNCTION("GOOGLETRANSLATE(F5004,""EN"",""JA"")"),"ウエストの上からかかとの底までの長さ。")</f>
        <v>ウエストの上からかかとの底までの長さ。</v>
      </c>
      <c r="K5004" s="1" t="str">
        <f>IFERROR(__xludf.DUMMYFUNCTION("GOOGLETRANSLATE(G5004,""EN"",""JA"")"),"ウエストからかかとまでの長さ")</f>
        <v>ウエストからかかとまでの長さ</v>
      </c>
    </row>
    <row r="5005" ht="13.5" customHeight="1">
      <c r="A5005" s="1" t="s">
        <v>134</v>
      </c>
      <c r="B5005" s="1" t="s">
        <v>24952</v>
      </c>
      <c r="C5005" s="1" t="s">
        <v>24953</v>
      </c>
      <c r="D5005" s="1" t="s">
        <v>24954</v>
      </c>
      <c r="E5005" s="1" t="s">
        <v>24955</v>
      </c>
      <c r="F5005" s="1" t="s">
        <v>24956</v>
      </c>
      <c r="G5005" s="1" t="s">
        <v>24957</v>
      </c>
      <c r="H5005" s="1" t="str">
        <f>IFERROR(__xludf.DUMMYFUNCTION("GOOGLETRANSLATE(D5005,""EN"",""JA"")"),"白血球")</f>
        <v>白血球</v>
      </c>
      <c r="I5005" s="1" t="str">
        <f>IFERROR(__xludf.DUMMYFUNCTION("GOOGLETRANSLATE(E5005,""EN"",""JA"")"),"白血球")</f>
        <v>白血球</v>
      </c>
      <c r="J5005" s="1" t="str">
        <f>IFERROR(__xludf.DUMMYFUNCTION("GOOGLETRANSLATE(F5005,""EN"",""JA"")"),"生物標本中の白血球の測定。")</f>
        <v>生物標本中の白血球の測定。</v>
      </c>
      <c r="K5005" s="1" t="str">
        <f>IFERROR(__xludf.DUMMYFUNCTION("GOOGLETRANSLATE(G5005,""EN"",""JA"")"),"白血球数")</f>
        <v>白血球数</v>
      </c>
    </row>
    <row r="5006" ht="13.5" customHeight="1">
      <c r="A5006" s="1" t="s">
        <v>11</v>
      </c>
      <c r="B5006" s="1" t="s">
        <v>24952</v>
      </c>
      <c r="C5006" s="1" t="s">
        <v>24953</v>
      </c>
      <c r="D5006" s="1" t="s">
        <v>24954</v>
      </c>
      <c r="E5006" s="1" t="s">
        <v>24955</v>
      </c>
      <c r="F5006" s="1" t="s">
        <v>24956</v>
      </c>
      <c r="G5006" s="1" t="s">
        <v>24957</v>
      </c>
      <c r="H5006" s="1" t="str">
        <f>IFERROR(__xludf.DUMMYFUNCTION("GOOGLETRANSLATE(D5006,""EN"",""JA"")"),"白血球")</f>
        <v>白血球</v>
      </c>
      <c r="I5006" s="1" t="str">
        <f>IFERROR(__xludf.DUMMYFUNCTION("GOOGLETRANSLATE(E5006,""EN"",""JA"")"),"白血球")</f>
        <v>白血球</v>
      </c>
      <c r="J5006" s="1" t="str">
        <f>IFERROR(__xludf.DUMMYFUNCTION("GOOGLETRANSLATE(F5006,""EN"",""JA"")"),"生物標本中の白血球の測定。")</f>
        <v>生物標本中の白血球の測定。</v>
      </c>
      <c r="K5006" s="1" t="str">
        <f>IFERROR(__xludf.DUMMYFUNCTION("GOOGLETRANSLATE(G5006,""EN"",""JA"")"),"白血球数")</f>
        <v>白血球数</v>
      </c>
    </row>
    <row r="5007" ht="13.5" customHeight="1">
      <c r="A5007" s="1" t="s">
        <v>11</v>
      </c>
      <c r="B5007" s="1" t="s">
        <v>24958</v>
      </c>
      <c r="C5007" s="1" t="s">
        <v>24959</v>
      </c>
      <c r="D5007" s="1" t="s">
        <v>24960</v>
      </c>
      <c r="E5007" s="1" t="s">
        <v>24961</v>
      </c>
      <c r="F5007" s="1" t="s">
        <v>24962</v>
      </c>
      <c r="G5007" s="1" t="s">
        <v>24963</v>
      </c>
      <c r="H5007" s="1" t="str">
        <f>IFERROR(__xludf.DUMMYFUNCTION("GOOGLETRANSLATE(D5007,""EN"",""JA"")"),"白血球/総細胞")</f>
        <v>白血球/総細胞</v>
      </c>
      <c r="I5007" s="1" t="str">
        <f>IFERROR(__xludf.DUMMYFUNCTION("GOOGLETRANSLATE(E5007,""EN"",""JA"")"),"白血球/総細胞; WBC/総細胞")</f>
        <v>白血球/総細胞; WBC/総細胞</v>
      </c>
      <c r="J5007" s="1" t="str">
        <f>IFERROR(__xludf.DUMMYFUNCTION("GOOGLETRANSLATE(F5007,""EN"",""JA"")"),"生物標本中の白血球と総細胞の相対的な測定値（比率またはパーセンテージ）。")</f>
        <v>生物標本中の白血球と総細胞の相対的な測定値（比率またはパーセンテージ）。</v>
      </c>
      <c r="K5007" s="1" t="str">
        <f>IFERROR(__xludf.DUMMYFUNCTION("GOOGLETRANSLATE(G5007,""EN"",""JA"")"),"白血球対総細胞比測定")</f>
        <v>白血球対総細胞比測定</v>
      </c>
    </row>
    <row r="5008" ht="13.5" customHeight="1">
      <c r="A5008" s="1" t="s">
        <v>11</v>
      </c>
      <c r="B5008" s="1" t="s">
        <v>24964</v>
      </c>
      <c r="C5008" s="1" t="s">
        <v>24965</v>
      </c>
      <c r="D5008" s="1" t="s">
        <v>24966</v>
      </c>
      <c r="E5008" s="1" t="s">
        <v>24967</v>
      </c>
      <c r="F5008" s="1" t="s">
        <v>24968</v>
      </c>
      <c r="G5008" s="1" t="s">
        <v>24969</v>
      </c>
      <c r="H5008" s="1" t="str">
        <f>IFERROR(__xludf.DUMMYFUNCTION("GOOGLETRANSLATE(D5008,""EN"",""JA"")"),"白血球細胞塊")</f>
        <v>白血球細胞塊</v>
      </c>
      <c r="I5008" s="1" t="str">
        <f>IFERROR(__xludf.DUMMYFUNCTION("GOOGLETRANSLATE(E5008,""EN"",""JA"")"),"白血球細胞塊; WBC塊; 白血球塊")</f>
        <v>白血球細胞塊; WBC塊; 白血球塊</v>
      </c>
      <c r="J5008" s="1" t="str">
        <f>IFERROR(__xludf.DUMMYFUNCTION("GOOGLETRANSLATE(F5008,""EN"",""JA"")"),"生物標本内の白血球凝集体の測定。")</f>
        <v>生物標本内の白血球凝集体の測定。</v>
      </c>
      <c r="K5008" s="1" t="str">
        <f>IFERROR(__xludf.DUMMYFUNCTION("GOOGLETRANSLATE(G5008,""EN"",""JA"")"),"白血球細胞塊測定")</f>
        <v>白血球細胞塊測定</v>
      </c>
    </row>
    <row r="5009" ht="13.5" customHeight="1">
      <c r="A5009" s="1" t="s">
        <v>11</v>
      </c>
      <c r="B5009" s="1" t="s">
        <v>24970</v>
      </c>
      <c r="C5009" s="1" t="s">
        <v>24971</v>
      </c>
      <c r="D5009" s="1" t="s">
        <v>24972</v>
      </c>
      <c r="E5009" s="1" t="s">
        <v>24973</v>
      </c>
      <c r="F5009" s="1" t="s">
        <v>24974</v>
      </c>
      <c r="G5009" s="1" t="s">
        <v>24975</v>
      </c>
      <c r="H5009" s="1" t="str">
        <f>IFERROR(__xludf.DUMMYFUNCTION("GOOGLETRANSLATE(D5009,""EN"",""JA"")"),"白血球細胞分画")</f>
        <v>白血球細胞分画</v>
      </c>
      <c r="I5009" s="1" t="str">
        <f>IFERROR(__xludf.DUMMYFUNCTION("GOOGLETRANSLATE(E5009,""EN"",""JA"")"),"白血球細胞分画; 白血球細胞分画; 白血球分画")</f>
        <v>白血球細胞分画; 白血球細胞分画; 白血球分画</v>
      </c>
      <c r="J5009" s="1" t="str">
        <f>IFERROR(__xludf.DUMMYFUNCTION("GOOGLETRANSLATE(F5009,""EN"",""JA"")"),"生物標本における白血球サブタイプ分布の全体的な評価。")</f>
        <v>生物標本における白血球サブタイプ分布の全体的な評価。</v>
      </c>
      <c r="K5009" s="1" t="str">
        <f>IFERROR(__xludf.DUMMYFUNCTION("GOOGLETRANSLATE(G5009,""EN"",""JA"")"),"白血球分画")</f>
        <v>白血球分画</v>
      </c>
    </row>
    <row r="5010" ht="13.5" customHeight="1">
      <c r="A5010" s="1" t="s">
        <v>11</v>
      </c>
      <c r="B5010" s="1" t="s">
        <v>24976</v>
      </c>
      <c r="C5010" s="1" t="s">
        <v>24977</v>
      </c>
      <c r="D5010" s="1" t="s">
        <v>24978</v>
      </c>
      <c r="E5010" s="1" t="s">
        <v>24979</v>
      </c>
      <c r="F5010" s="1" t="s">
        <v>24980</v>
      </c>
      <c r="G5010" s="1" t="s">
        <v>24978</v>
      </c>
      <c r="H5010" s="1" t="str">
        <f>IFERROR(__xludf.DUMMYFUNCTION("GOOGLETRANSLATE(D5010,""EN"",""JA"")"),"白血球細胞の形態")</f>
        <v>白血球細胞の形態</v>
      </c>
      <c r="I5010" s="1" t="str">
        <f>IFERROR(__xludf.DUMMYFUNCTION("GOOGLETRANSLATE(E5010,""EN"",""JA"")"),"白血球の形態学; WBCの形態学; 白血球の形態学")</f>
        <v>白血球の形態学; WBCの形態学; 白血球の形態学</v>
      </c>
      <c r="J5010" s="1" t="str">
        <f>IFERROR(__xludf.DUMMYFUNCTION("GOOGLETRANSLATE(F5010,""EN"",""JA"")"),"白血球の形状と構造の検査または評価。")</f>
        <v>白血球の形状と構造の検査または評価。</v>
      </c>
      <c r="K5010" s="1" t="str">
        <f>IFERROR(__xludf.DUMMYFUNCTION("GOOGLETRANSLATE(G5010,""EN"",""JA"")"),"白血球細胞の形態")</f>
        <v>白血球細胞の形態</v>
      </c>
    </row>
    <row r="5011" ht="13.5" customHeight="1">
      <c r="A5011" s="1" t="s">
        <v>11</v>
      </c>
      <c r="B5011" s="1" t="s">
        <v>24981</v>
      </c>
      <c r="C5011" s="1" t="s">
        <v>24982</v>
      </c>
      <c r="D5011" s="1" t="s">
        <v>24983</v>
      </c>
      <c r="E5011" s="1" t="s">
        <v>24984</v>
      </c>
      <c r="F5011" s="1" t="s">
        <v>24985</v>
      </c>
      <c r="G5011" s="1" t="s">
        <v>24986</v>
      </c>
      <c r="H5011" s="1" t="str">
        <f>IFERROR(__xludf.DUMMYFUNCTION("GOOGLETRANSLATE(D5011,""EN"",""JA"")"),"WDリピート含有タンパク質26")</f>
        <v>WDリピート含有タンパク質26</v>
      </c>
      <c r="I5011" s="1" t="str">
        <f>IFERROR(__xludf.DUMMYFUNCTION("GOOGLETRANSLATE(E5011,""EN"",""JA"")"),"CDW2; マクロファージ炎症性タンパク質-2; MIP2; WDリピート含有タンパク質26")</f>
        <v>CDW2; マクロファージ炎症性タンパク質-2; MIP2; WDリピート含有タンパク質26</v>
      </c>
      <c r="J5011" s="1" t="str">
        <f>IFERROR(__xludf.DUMMYFUNCTION("GOOGLETRANSLATE(F5011,""EN"",""JA"")"),"生物標本中の WD リピートを含むタンパク質 26 の測定。")</f>
        <v>生物標本中の WD リピートを含むタンパク質 26 の測定。</v>
      </c>
      <c r="K5011" s="1" t="str">
        <f>IFERROR(__xludf.DUMMYFUNCTION("GOOGLETRANSLATE(G5011,""EN"",""JA"")"),"WDリピート含有タンパク質26の測定")</f>
        <v>WDリピート含有タンパク質26の測定</v>
      </c>
    </row>
    <row r="5012" ht="13.5" customHeight="1">
      <c r="A5012" s="1" t="s">
        <v>129</v>
      </c>
      <c r="B5012" s="1" t="s">
        <v>24987</v>
      </c>
      <c r="C5012" s="1" t="s">
        <v>24988</v>
      </c>
      <c r="D5012" s="1" t="s">
        <v>24989</v>
      </c>
      <c r="E5012" s="1" t="s">
        <v>24989</v>
      </c>
      <c r="F5012" s="1" t="s">
        <v>24990</v>
      </c>
      <c r="G5012" s="1" t="s">
        <v>24989</v>
      </c>
      <c r="H5012" s="1" t="str">
        <f>IFERROR(__xludf.DUMMYFUNCTION("GOOGLETRANSLATE(D5012,""EN"",""JA"")"),"重さ")</f>
        <v>重さ</v>
      </c>
      <c r="I5012" s="1" t="str">
        <f>IFERROR(__xludf.DUMMYFUNCTION("GOOGLETRANSLATE(E5012,""EN"",""JA"")"),"重さ")</f>
        <v>重さ</v>
      </c>
      <c r="J5012" s="1" t="str">
        <f>IFERROR(__xludf.DUMMYFUNCTION("GOOGLETRANSLATE(F5012,""EN"",""JA"")"),"重力の結果として質量によって及ぼされる垂直方向の力。(NCI)")</f>
        <v>重力の結果として質量によって及ぼされる垂直方向の力。(NCI)</v>
      </c>
      <c r="K5012" s="1" t="str">
        <f>IFERROR(__xludf.DUMMYFUNCTION("GOOGLETRANSLATE(G5012,""EN"",""JA"")"),"重さ")</f>
        <v>重さ</v>
      </c>
    </row>
    <row r="5013" ht="13.5" customHeight="1">
      <c r="A5013" s="1" t="s">
        <v>90</v>
      </c>
      <c r="B5013" s="1" t="s">
        <v>24987</v>
      </c>
      <c r="C5013" s="1" t="s">
        <v>24988</v>
      </c>
      <c r="D5013" s="1" t="s">
        <v>24989</v>
      </c>
      <c r="E5013" s="1" t="s">
        <v>24989</v>
      </c>
      <c r="F5013" s="1" t="s">
        <v>24990</v>
      </c>
      <c r="G5013" s="1" t="s">
        <v>24989</v>
      </c>
      <c r="H5013" s="1" t="str">
        <f>IFERROR(__xludf.DUMMYFUNCTION("GOOGLETRANSLATE(D5013,""EN"",""JA"")"),"重さ")</f>
        <v>重さ</v>
      </c>
      <c r="I5013" s="1" t="str">
        <f>IFERROR(__xludf.DUMMYFUNCTION("GOOGLETRANSLATE(E5013,""EN"",""JA"")"),"重さ")</f>
        <v>重さ</v>
      </c>
      <c r="J5013" s="1" t="str">
        <f>IFERROR(__xludf.DUMMYFUNCTION("GOOGLETRANSLATE(F5013,""EN"",""JA"")"),"重力の結果として質量によって及ぼされる垂直方向の力。(NCI)")</f>
        <v>重力の結果として質量によって及ぼされる垂直方向の力。(NCI)</v>
      </c>
      <c r="K5013" s="1" t="str">
        <f>IFERROR(__xludf.DUMMYFUNCTION("GOOGLETRANSLATE(G5013,""EN"",""JA"")"),"重さ")</f>
        <v>重さ</v>
      </c>
    </row>
    <row r="5014" ht="13.5" customHeight="1">
      <c r="A5014" s="1" t="s">
        <v>1970</v>
      </c>
      <c r="B5014" s="1" t="s">
        <v>24991</v>
      </c>
      <c r="C5014" s="1" t="s">
        <v>24992</v>
      </c>
      <c r="D5014" s="1" t="s">
        <v>24993</v>
      </c>
      <c r="E5014" s="1" t="s">
        <v>24993</v>
      </c>
      <c r="F5014" s="1" t="s">
        <v>24994</v>
      </c>
      <c r="G5014" s="1" t="s">
        <v>24995</v>
      </c>
      <c r="H5014" s="1" t="str">
        <f>IFERROR(__xludf.DUMMYFUNCTION("GOOGLETRANSLATE(D5014,""EN"",""JA"")"),"膨疹のサイズ")</f>
        <v>膨疹のサイズ</v>
      </c>
      <c r="I5014" s="1" t="str">
        <f>IFERROR(__xludf.DUMMYFUNCTION("GOOGLETRANSLATE(E5014,""EN"",""JA"")"),"膨疹のサイズ")</f>
        <v>膨疹のサイズ</v>
      </c>
      <c r="J5014" s="1" t="str">
        <f>IFERROR(__xludf.DUMMYFUNCTION("GOOGLETRANSLATE(F5014,""EN"",""JA"")"),"皮膚への抗原刺激部位の周囲に形成される、平らで円形のわずかに隆起した領域の半定量的なサイズ評価。")</f>
        <v>皮膚への抗原刺激部位の周囲に形成される、平らで円形のわずかに隆起した領域の半定量的なサイズ評価。</v>
      </c>
      <c r="K5014" s="1" t="str">
        <f>IFERROR(__xludf.DUMMYFUNCTION("GOOGLETRANSLATE(G5014,""EN"",""JA"")"),"車輪サイズの測定")</f>
        <v>車輪サイズの測定</v>
      </c>
    </row>
    <row r="5015" ht="13.5" customHeight="1">
      <c r="A5015" s="1" t="s">
        <v>1970</v>
      </c>
      <c r="B5015" s="1" t="s">
        <v>24996</v>
      </c>
      <c r="C5015" s="1" t="s">
        <v>24997</v>
      </c>
      <c r="D5015" s="1" t="s">
        <v>24998</v>
      </c>
      <c r="E5015" s="1" t="s">
        <v>24998</v>
      </c>
      <c r="F5015" s="1" t="s">
        <v>24999</v>
      </c>
      <c r="G5015" s="1" t="s">
        <v>24998</v>
      </c>
      <c r="H5015" s="1" t="str">
        <f>IFERROR(__xludf.DUMMYFUNCTION("GOOGLETRANSLATE(D5015,""EN"",""JA"")"),"膨疹径の解釈")</f>
        <v>膨疹径の解釈</v>
      </c>
      <c r="I5015" s="1" t="str">
        <f>IFERROR(__xludf.DUMMYFUNCTION("GOOGLETRANSLATE(E5015,""EN"",""JA"")"),"膨疹径の解釈")</f>
        <v>膨疹径の解釈</v>
      </c>
      <c r="J5015" s="1" t="str">
        <f>IFERROR(__xludf.DUMMYFUNCTION("GOOGLETRANSLATE(F5015,""EN"",""JA"")"),"閾値サイズに基づいて、アレルゲンに対する膨疹の直径を評価するプロセス。")</f>
        <v>閾値サイズに基づいて、アレルゲンに対する膨疹の直径を評価するプロセス。</v>
      </c>
      <c r="K5015" s="1" t="str">
        <f>IFERROR(__xludf.DUMMYFUNCTION("GOOGLETRANSLATE(G5015,""EN"",""JA"")"),"膨疹径の解釈")</f>
        <v>膨疹径の解釈</v>
      </c>
    </row>
    <row r="5016" ht="13.5" customHeight="1">
      <c r="A5016" s="1" t="s">
        <v>1970</v>
      </c>
      <c r="B5016" s="1" t="s">
        <v>25000</v>
      </c>
      <c r="C5016" s="1" t="s">
        <v>25001</v>
      </c>
      <c r="D5016" s="1" t="s">
        <v>25002</v>
      </c>
      <c r="E5016" s="1" t="s">
        <v>25002</v>
      </c>
      <c r="F5016" s="1" t="s">
        <v>25003</v>
      </c>
      <c r="G5016" s="1" t="s">
        <v>25002</v>
      </c>
      <c r="H5016" s="1" t="str">
        <f>IFERROR(__xludf.DUMMYFUNCTION("GOOGLETRANSLATE(D5016,""EN"",""JA"")"),"膨疹の最大直径")</f>
        <v>膨疹の最大直径</v>
      </c>
      <c r="I5016" s="1" t="str">
        <f>IFERROR(__xludf.DUMMYFUNCTION("GOOGLETRANSLATE(E5016,""EN"",""JA"")"),"膨疹の最大直径")</f>
        <v>膨疹の最大直径</v>
      </c>
      <c r="J5016" s="1" t="str">
        <f>IFERROR(__xludf.DUMMYFUNCTION("GOOGLETRANSLATE(F5016,""EN"",""JA"")"),"皮膚への抗原刺激部位の周囲に形成される、平らで円形のわずかに隆起した領域の最長直径。")</f>
        <v>皮膚への抗原刺激部位の周囲に形成される、平らで円形のわずかに隆起した領域の最長直径。</v>
      </c>
      <c r="K5016" s="1" t="str">
        <f>IFERROR(__xludf.DUMMYFUNCTION("GOOGLETRANSLATE(G5016,""EN"",""JA"")"),"膨疹の最大直径")</f>
        <v>膨疹の最大直径</v>
      </c>
    </row>
    <row r="5017" ht="13.5" customHeight="1">
      <c r="A5017" s="1" t="s">
        <v>1970</v>
      </c>
      <c r="B5017" s="1" t="s">
        <v>25004</v>
      </c>
      <c r="C5017" s="1" t="s">
        <v>25005</v>
      </c>
      <c r="D5017" s="1" t="s">
        <v>25006</v>
      </c>
      <c r="E5017" s="1" t="s">
        <v>25006</v>
      </c>
      <c r="F5017" s="1" t="s">
        <v>25007</v>
      </c>
      <c r="G5017" s="1" t="s">
        <v>25006</v>
      </c>
      <c r="H5017" s="1" t="str">
        <f>IFERROR(__xludf.DUMMYFUNCTION("GOOGLETRANSLATE(D5017,""EN"",""JA"")"),"膨疹平均直径")</f>
        <v>膨疹平均直径</v>
      </c>
      <c r="I5017" s="1" t="str">
        <f>IFERROR(__xludf.DUMMYFUNCTION("GOOGLETRANSLATE(E5017,""EN"",""JA"")"),"膨疹平均直径")</f>
        <v>膨疹平均直径</v>
      </c>
      <c r="J5017" s="1" t="str">
        <f>IFERROR(__xludf.DUMMYFUNCTION("GOOGLETRANSLATE(F5017,""EN"",""JA"")"),"皮膚への抗原刺激部位の周囲に形成される、平らで円形のわずかに隆起した領域の平均直径。")</f>
        <v>皮膚への抗原刺激部位の周囲に形成される、平らで円形のわずかに隆起した領域の平均直径。</v>
      </c>
      <c r="K5017" s="1" t="str">
        <f>IFERROR(__xludf.DUMMYFUNCTION("GOOGLETRANSLATE(G5017,""EN"",""JA"")"),"膨疹平均直径")</f>
        <v>膨疹平均直径</v>
      </c>
    </row>
    <row r="5018" ht="13.5" customHeight="1">
      <c r="A5018" s="1" t="s">
        <v>134</v>
      </c>
      <c r="B5018" s="1" t="s">
        <v>25008</v>
      </c>
      <c r="C5018" s="1" t="s">
        <v>25009</v>
      </c>
      <c r="D5018" s="1" t="s">
        <v>25010</v>
      </c>
      <c r="E5018" s="1" t="s">
        <v>25010</v>
      </c>
      <c r="F5018" s="1" t="s">
        <v>25011</v>
      </c>
      <c r="G5018" s="1" t="s">
        <v>25010</v>
      </c>
      <c r="H5018" s="1" t="str">
        <f>IFERROR(__xludf.DUMMYFUNCTION("GOOGLETRANSLATE(D5018,""EN"",""JA"")"),"幅")</f>
        <v>幅</v>
      </c>
      <c r="I5018" s="1" t="str">
        <f>IFERROR(__xludf.DUMMYFUNCTION("GOOGLETRANSLATE(E5018,""EN"",""JA"")"),"幅")</f>
        <v>幅</v>
      </c>
      <c r="J5018" s="1" t="str">
        <f>IFERROR(__xludf.DUMMYFUNCTION("GOOGLETRANSLATE(F5018,""EN"",""JA"")"),"左右の何かの範囲または測定値。(NCI)")</f>
        <v>左右の何かの範囲または測定値。(NCI)</v>
      </c>
      <c r="K5018" s="1" t="str">
        <f>IFERROR(__xludf.DUMMYFUNCTION("GOOGLETRANSLATE(G5018,""EN"",""JA"")"),"幅")</f>
        <v>幅</v>
      </c>
    </row>
    <row r="5019" ht="13.5" customHeight="1">
      <c r="A5019" s="1" t="s">
        <v>90</v>
      </c>
      <c r="B5019" s="1" t="s">
        <v>25008</v>
      </c>
      <c r="C5019" s="1" t="s">
        <v>25009</v>
      </c>
      <c r="D5019" s="1" t="s">
        <v>25010</v>
      </c>
      <c r="E5019" s="1" t="s">
        <v>25010</v>
      </c>
      <c r="F5019" s="1" t="s">
        <v>25011</v>
      </c>
      <c r="G5019" s="1" t="s">
        <v>25010</v>
      </c>
      <c r="H5019" s="1" t="str">
        <f>IFERROR(__xludf.DUMMYFUNCTION("GOOGLETRANSLATE(D5019,""EN"",""JA"")"),"幅")</f>
        <v>幅</v>
      </c>
      <c r="I5019" s="1" t="str">
        <f>IFERROR(__xludf.DUMMYFUNCTION("GOOGLETRANSLATE(E5019,""EN"",""JA"")"),"幅")</f>
        <v>幅</v>
      </c>
      <c r="J5019" s="1" t="str">
        <f>IFERROR(__xludf.DUMMYFUNCTION("GOOGLETRANSLATE(F5019,""EN"",""JA"")"),"左右の何かの範囲または測定値。(NCI)")</f>
        <v>左右の何かの範囲または測定値。(NCI)</v>
      </c>
      <c r="K5019" s="1" t="str">
        <f>IFERROR(__xludf.DUMMYFUNCTION("GOOGLETRANSLATE(G5019,""EN"",""JA"")"),"幅")</f>
        <v>幅</v>
      </c>
    </row>
    <row r="5020" ht="13.5" customHeight="1">
      <c r="A5020" s="1" t="s">
        <v>601</v>
      </c>
      <c r="B5020" s="1" t="s">
        <v>25012</v>
      </c>
      <c r="C5020" s="1" t="s">
        <v>25013</v>
      </c>
      <c r="D5020" s="1" t="s">
        <v>25014</v>
      </c>
      <c r="E5020" s="1" t="s">
        <v>25014</v>
      </c>
      <c r="F5020" s="1" t="s">
        <v>25015</v>
      </c>
      <c r="G5020" s="1" t="s">
        <v>25016</v>
      </c>
      <c r="H5020" s="1" t="str">
        <f>IFERROR(__xludf.DUMMYFUNCTION("GOOGLETRANSLATE(D5020,""EN"",""JA"")"),"週の労働日数")</f>
        <v>週の労働日数</v>
      </c>
      <c r="I5020" s="1" t="str">
        <f>IFERROR(__xludf.DUMMYFUNCTION("GOOGLETRANSLATE(E5020,""EN"",""JA"")"),"週の労働日数")</f>
        <v>週の労働日数</v>
      </c>
      <c r="J5020" s="1" t="str">
        <f>IFERROR(__xludf.DUMMYFUNCTION("GOOGLETRANSLATE(F5020,""EN"",""JA"")"),"対象者が週に何日働くか。")</f>
        <v>対象者が週に何日働くか。</v>
      </c>
      <c r="K5020" s="1" t="str">
        <f>IFERROR(__xludf.DUMMYFUNCTION("GOOGLETRANSLATE(G5020,""EN"",""JA"")"),"週あたりの労働日数に関する質問")</f>
        <v>週あたりの労働日数に関する質問</v>
      </c>
    </row>
    <row r="5021" ht="13.5" customHeight="1">
      <c r="A5021" s="1" t="s">
        <v>129</v>
      </c>
      <c r="B5021" s="1" t="s">
        <v>25017</v>
      </c>
      <c r="C5021" s="1" t="s">
        <v>25018</v>
      </c>
      <c r="D5021" s="1" t="s">
        <v>25019</v>
      </c>
      <c r="E5021" s="1" t="s">
        <v>25019</v>
      </c>
      <c r="F5021" s="1" t="s">
        <v>25020</v>
      </c>
      <c r="G5021" s="1" t="s">
        <v>25019</v>
      </c>
      <c r="H5021" s="1" t="str">
        <f>IFERROR(__xludf.DUMMYFUNCTION("GOOGLETRANSLATE(D5021,""EN"",""JA"")"),"ウエスト周囲径")</f>
        <v>ウエスト周囲径</v>
      </c>
      <c r="I5021" s="1" t="str">
        <f>IFERROR(__xludf.DUMMYFUNCTION("GOOGLETRANSLATE(E5021,""EN"",""JA"")"),"ウエスト周囲径")</f>
        <v>ウエスト周囲径</v>
      </c>
      <c r="J5021" s="1" t="str">
        <f>IFERROR(__xludf.DUMMYFUNCTION("GOOGLETRANSLATE(F5021,""EN"",""JA"")"),"個人の胴体またはウエストの周囲の距離。")</f>
        <v>個人の胴体またはウエストの周囲の距離。</v>
      </c>
      <c r="K5021" s="1" t="str">
        <f>IFERROR(__xludf.DUMMYFUNCTION("GOOGLETRANSLATE(G5021,""EN"",""JA"")"),"ウエスト周囲径")</f>
        <v>ウエスト周囲径</v>
      </c>
    </row>
    <row r="5022" ht="13.5" customHeight="1">
      <c r="A5022" s="1" t="s">
        <v>129</v>
      </c>
      <c r="B5022" s="1" t="s">
        <v>25021</v>
      </c>
      <c r="C5022" s="1" t="s">
        <v>25022</v>
      </c>
      <c r="D5022" s="1" t="s">
        <v>25023</v>
      </c>
      <c r="E5022" s="1" t="s">
        <v>25023</v>
      </c>
      <c r="F5022" s="1" t="s">
        <v>25024</v>
      </c>
      <c r="G5022" s="1" t="s">
        <v>25023</v>
      </c>
      <c r="H5022" s="1" t="str">
        <f>IFERROR(__xludf.DUMMYFUNCTION("GOOGLETRANSLATE(D5022,""EN"",""JA"")"),"年齢別体重パーセンタイル")</f>
        <v>年齢別体重パーセンタイル</v>
      </c>
      <c r="I5022" s="1" t="str">
        <f>IFERROR(__xludf.DUMMYFUNCTION("GOOGLETRANSLATE(E5022,""EN"",""JA"")"),"年齢別体重パーセンタイル")</f>
        <v>年齢別体重パーセンタイル</v>
      </c>
      <c r="J5022" s="1" t="str">
        <f>IFERROR(__xludf.DUMMYFUNCTION("GOOGLETRANSLATE(F5022,""EN"",""JA"")"),"個人の体重と年齢と参照人口の体重と年齢との関係を評価し、パーセンタイルで表します。")</f>
        <v>個人の体重と年齢と参照人口の体重と年齢との関係を評価し、パーセンタイルで表します。</v>
      </c>
      <c r="K5022" s="1" t="str">
        <f>IFERROR(__xludf.DUMMYFUNCTION("GOOGLETRANSLATE(G5022,""EN"",""JA"")"),"年齢別体重パーセンタイル")</f>
        <v>年齢別体重パーセンタイル</v>
      </c>
    </row>
    <row r="5023" ht="13.5" customHeight="1">
      <c r="A5023" s="1" t="s">
        <v>129</v>
      </c>
      <c r="B5023" s="1" t="s">
        <v>25025</v>
      </c>
      <c r="C5023" s="1" t="s">
        <v>25026</v>
      </c>
      <c r="D5023" s="1" t="s">
        <v>25027</v>
      </c>
      <c r="E5023" s="1" t="s">
        <v>25027</v>
      </c>
      <c r="F5023" s="1" t="s">
        <v>25028</v>
      </c>
      <c r="G5023" s="1" t="s">
        <v>25027</v>
      </c>
      <c r="H5023" s="1" t="str">
        <f>IFERROR(__xludf.DUMMYFUNCTION("GOOGLETRANSLATE(D5023,""EN"",""JA"")"),"体重対身長パーセンタイル")</f>
        <v>体重対身長パーセンタイル</v>
      </c>
      <c r="I5023" s="1" t="str">
        <f>IFERROR(__xludf.DUMMYFUNCTION("GOOGLETRANSLATE(E5023,""EN"",""JA"")"),"体重対身長パーセンタイル")</f>
        <v>体重対身長パーセンタイル</v>
      </c>
      <c r="J5023" s="1" t="str">
        <f>IFERROR(__xludf.DUMMYFUNCTION("GOOGLETRANSLATE(F5023,""EN"",""JA"")"),"個人の体重と身長と参照母集団の体重と身長との関係を評価し、パーセンタイルで表します。")</f>
        <v>個人の体重と身長と参照母集団の体重と身長との関係を評価し、パーセンタイルで表します。</v>
      </c>
      <c r="K5023" s="1" t="str">
        <f>IFERROR(__xludf.DUMMYFUNCTION("GOOGLETRANSLATE(G5023,""EN"",""JA"")"),"体重対身長パーセンタイル")</f>
        <v>体重対身長パーセンタイル</v>
      </c>
    </row>
    <row r="5024" ht="13.5" customHeight="1">
      <c r="A5024" s="1" t="s">
        <v>11</v>
      </c>
      <c r="B5024" s="1" t="s">
        <v>25029</v>
      </c>
      <c r="C5024" s="1" t="s">
        <v>25030</v>
      </c>
      <c r="D5024" s="1" t="s">
        <v>25031</v>
      </c>
      <c r="E5024" s="1" t="s">
        <v>25031</v>
      </c>
      <c r="F5024" s="1" t="s">
        <v>25032</v>
      </c>
      <c r="G5024" s="1" t="s">
        <v>25033</v>
      </c>
      <c r="H5024" s="1" t="str">
        <f>IFERROR(__xludf.DUMMYFUNCTION("GOOGLETRANSLATE(D5024,""EN"",""JA"")"),"キシロース/キシロース投与量")</f>
        <v>キシロース/キシロース投与量</v>
      </c>
      <c r="I5024" s="1" t="str">
        <f>IFERROR(__xludf.DUMMYFUNCTION("GOOGLETRANSLATE(E5024,""EN"",""JA"")"),"キシロース/キシロース投与量")</f>
        <v>キシロース/キシロース投与量</v>
      </c>
      <c r="J5024" s="1" t="str">
        <f>IFERROR(__xludf.DUMMYFUNCTION("GOOGLETRANSLATE(F5024,""EN"",""JA"")"),"投与されたキシロースの量に対する生物学的標本中のキシロースの相対的な測定値（パーセンテージ）。")</f>
        <v>投与されたキシロースの量に対する生物学的標本中のキシロースの相対的な測定値（パーセンテージ）。</v>
      </c>
      <c r="K5024" s="1" t="str">
        <f>IFERROR(__xludf.DUMMYFUNCTION("GOOGLETRANSLATE(G5024,""EN"",""JA"")"),"キシロース対キシロース用量比測定")</f>
        <v>キシロース対キシロース用量比測定</v>
      </c>
    </row>
    <row r="5025" ht="13.5" customHeight="1">
      <c r="A5025" s="1" t="s">
        <v>11</v>
      </c>
      <c r="B5025" s="1" t="s">
        <v>25034</v>
      </c>
      <c r="C5025" s="1" t="s">
        <v>25035</v>
      </c>
      <c r="D5025" s="1" t="s">
        <v>25036</v>
      </c>
      <c r="E5025" s="1" t="s">
        <v>25036</v>
      </c>
      <c r="F5025" s="1" t="s">
        <v>25037</v>
      </c>
      <c r="G5025" s="1" t="s">
        <v>25038</v>
      </c>
      <c r="H5025" s="1" t="str">
        <f>IFERROR(__xludf.DUMMYFUNCTION("GOOGLETRANSLATE(D5025,""EN"",""JA"")"),"キサントクロミア")</f>
        <v>キサントクロミア</v>
      </c>
      <c r="I5025" s="1" t="str">
        <f>IFERROR(__xludf.DUMMYFUNCTION("GOOGLETRANSLATE(E5025,""EN"",""JA"")"),"キサントクロミア")</f>
        <v>キサントクロミア</v>
      </c>
      <c r="J5025" s="1" t="str">
        <f>IFERROR(__xludf.DUMMYFUNCTION("GOOGLETRANSLATE(F5025,""EN"",""JA"")"),"生物標本に侵入した赤血球のヘムの分解によって生成されたビリルビンの存在により、生物標本の外観が黄色くなる程度を測定します。")</f>
        <v>生物標本に侵入した赤血球のヘムの分解によって生成されたビリルビンの存在により、生物標本の外観が黄色くなる程度を測定します。</v>
      </c>
      <c r="K5025" s="1" t="str">
        <f>IFERROR(__xludf.DUMMYFUNCTION("GOOGLETRANSLATE(G5025,""EN"",""JA"")"),"キサントクロミア測定")</f>
        <v>キサントクロミア測定</v>
      </c>
    </row>
    <row r="5026" ht="13.5" customHeight="1">
      <c r="A5026" s="1" t="s">
        <v>11</v>
      </c>
      <c r="B5026" s="1" t="s">
        <v>25039</v>
      </c>
      <c r="C5026" s="1" t="s">
        <v>25040</v>
      </c>
      <c r="D5026" s="1" t="s">
        <v>25041</v>
      </c>
      <c r="E5026" s="1" t="s">
        <v>25041</v>
      </c>
      <c r="F5026" s="1" t="s">
        <v>25042</v>
      </c>
      <c r="G5026" s="1" t="s">
        <v>25043</v>
      </c>
      <c r="H5026" s="1" t="str">
        <f>IFERROR(__xludf.DUMMYFUNCTION("GOOGLETRANSLATE(D5026,""EN"",""JA"")"),"キシロース")</f>
        <v>キシロース</v>
      </c>
      <c r="I5026" s="1" t="str">
        <f>IFERROR(__xludf.DUMMYFUNCTION("GOOGLETRANSLATE(E5026,""EN"",""JA"")"),"キシロース")</f>
        <v>キシロース</v>
      </c>
      <c r="J5026" s="1" t="str">
        <f>IFERROR(__xludf.DUMMYFUNCTION("GOOGLETRANSLATE(F5026,""EN"",""JA"")"),"生物標本中のキシロースの測定。")</f>
        <v>生物標本中のキシロースの測定。</v>
      </c>
      <c r="K5026" s="1" t="str">
        <f>IFERROR(__xludf.DUMMYFUNCTION("GOOGLETRANSLATE(G5026,""EN"",""JA"")"),"キシロース測定")</f>
        <v>キシロース測定</v>
      </c>
    </row>
    <row r="5027" ht="13.5" customHeight="1">
      <c r="A5027" s="1" t="s">
        <v>11</v>
      </c>
      <c r="B5027" s="1" t="s">
        <v>25044</v>
      </c>
      <c r="C5027" s="1" t="s">
        <v>25045</v>
      </c>
      <c r="D5027" s="1" t="s">
        <v>25046</v>
      </c>
      <c r="E5027" s="1" t="s">
        <v>25046</v>
      </c>
      <c r="F5027" s="1" t="s">
        <v>25047</v>
      </c>
      <c r="G5027" s="1" t="s">
        <v>25048</v>
      </c>
      <c r="H5027" s="1" t="str">
        <f>IFERROR(__xludf.DUMMYFUNCTION("GOOGLETRANSLATE(D5027,""EN"",""JA"")"),"酵母細胞")</f>
        <v>酵母細胞</v>
      </c>
      <c r="I5027" s="1" t="str">
        <f>IFERROR(__xludf.DUMMYFUNCTION("GOOGLETRANSLATE(E5027,""EN"",""JA"")"),"酵母細胞")</f>
        <v>酵母細胞</v>
      </c>
      <c r="J5027" s="1" t="str">
        <f>IFERROR(__xludf.DUMMYFUNCTION("GOOGLETRANSLATE(F5027,""EN"",""JA"")"),"生物標本中に存在する酵母細胞の測定。")</f>
        <v>生物標本中に存在する酵母細胞の測定。</v>
      </c>
      <c r="K5027" s="1" t="str">
        <f>IFERROR(__xludf.DUMMYFUNCTION("GOOGLETRANSLATE(G5027,""EN"",""JA"")"),"酵母細胞測定")</f>
        <v>酵母細胞測定</v>
      </c>
    </row>
    <row r="5028" ht="13.5" customHeight="1">
      <c r="A5028" s="1" t="s">
        <v>67</v>
      </c>
      <c r="B5028" s="1" t="s">
        <v>25044</v>
      </c>
      <c r="C5028" s="1" t="s">
        <v>25045</v>
      </c>
      <c r="D5028" s="1" t="s">
        <v>25046</v>
      </c>
      <c r="E5028" s="1" t="s">
        <v>25046</v>
      </c>
      <c r="F5028" s="1" t="s">
        <v>25047</v>
      </c>
      <c r="G5028" s="1" t="s">
        <v>25048</v>
      </c>
      <c r="H5028" s="1" t="str">
        <f>IFERROR(__xludf.DUMMYFUNCTION("GOOGLETRANSLATE(D5028,""EN"",""JA"")"),"酵母細胞")</f>
        <v>酵母細胞</v>
      </c>
      <c r="I5028" s="1" t="str">
        <f>IFERROR(__xludf.DUMMYFUNCTION("GOOGLETRANSLATE(E5028,""EN"",""JA"")"),"酵母細胞")</f>
        <v>酵母細胞</v>
      </c>
      <c r="J5028" s="1" t="str">
        <f>IFERROR(__xludf.DUMMYFUNCTION("GOOGLETRANSLATE(F5028,""EN"",""JA"")"),"生物標本中に存在する酵母細胞の測定。")</f>
        <v>生物標本中に存在する酵母細胞の測定。</v>
      </c>
      <c r="K5028" s="1" t="str">
        <f>IFERROR(__xludf.DUMMYFUNCTION("GOOGLETRANSLATE(G5028,""EN"",""JA"")"),"酵母細胞測定")</f>
        <v>酵母細胞測定</v>
      </c>
    </row>
    <row r="5029" ht="13.5" customHeight="1">
      <c r="A5029" s="1" t="s">
        <v>11</v>
      </c>
      <c r="B5029" s="1" t="s">
        <v>25049</v>
      </c>
      <c r="C5029" s="1" t="s">
        <v>25050</v>
      </c>
      <c r="D5029" s="1" t="s">
        <v>25051</v>
      </c>
      <c r="E5029" s="1" t="s">
        <v>25052</v>
      </c>
      <c r="F5029" s="1" t="s">
        <v>25053</v>
      </c>
      <c r="G5029" s="1" t="s">
        <v>25054</v>
      </c>
      <c r="H5029" s="1" t="str">
        <f>IFERROR(__xludf.DUMMYFUNCTION("GOOGLETRANSLATE(D5029,""EN"",""JA"")"),"酵母の出芽")</f>
        <v>酵母の出芽</v>
      </c>
      <c r="I5029" s="1" t="str">
        <f>IFERROR(__xludf.DUMMYFUNCTION("GOOGLETRANSLATE(E5029,""EN"",""JA"")"),"出芽酵母; 酵母の出芽")</f>
        <v>出芽酵母; 酵母の出芽</v>
      </c>
      <c r="J5029" s="1" t="str">
        <f>IFERROR(__xludf.DUMMYFUNCTION("GOOGLETRANSLATE(F5029,""EN"",""JA"")"),"生物標本中に存在する出芽酵母の測定。")</f>
        <v>生物標本中に存在する出芽酵母の測定。</v>
      </c>
      <c r="K5029" s="1" t="str">
        <f>IFERROR(__xludf.DUMMYFUNCTION("GOOGLETRANSLATE(G5029,""EN"",""JA"")"),"出芽酵母の測定")</f>
        <v>出芽酵母の測定</v>
      </c>
    </row>
    <row r="5030" ht="13.5" customHeight="1">
      <c r="A5030" s="1" t="s">
        <v>67</v>
      </c>
      <c r="B5030" s="1" t="s">
        <v>25049</v>
      </c>
      <c r="C5030" s="1" t="s">
        <v>25050</v>
      </c>
      <c r="D5030" s="1" t="s">
        <v>25051</v>
      </c>
      <c r="E5030" s="1" t="s">
        <v>25052</v>
      </c>
      <c r="F5030" s="1" t="s">
        <v>25053</v>
      </c>
      <c r="G5030" s="1" t="s">
        <v>25054</v>
      </c>
      <c r="H5030" s="1" t="str">
        <f>IFERROR(__xludf.DUMMYFUNCTION("GOOGLETRANSLATE(D5030,""EN"",""JA"")"),"酵母の出芽")</f>
        <v>酵母の出芽</v>
      </c>
      <c r="I5030" s="1" t="str">
        <f>IFERROR(__xludf.DUMMYFUNCTION("GOOGLETRANSLATE(E5030,""EN"",""JA"")"),"出芽酵母; 酵母の出芽")</f>
        <v>出芽酵母; 酵母の出芽</v>
      </c>
      <c r="J5030" s="1" t="str">
        <f>IFERROR(__xludf.DUMMYFUNCTION("GOOGLETRANSLATE(F5030,""EN"",""JA"")"),"生物標本中に存在する出芽酵母の測定。")</f>
        <v>生物標本中に存在する出芽酵母の測定。</v>
      </c>
      <c r="K5030" s="1" t="str">
        <f>IFERROR(__xludf.DUMMYFUNCTION("GOOGLETRANSLATE(G5030,""EN"",""JA"")"),"出芽酵母の測定")</f>
        <v>出芽酵母の測定</v>
      </c>
    </row>
    <row r="5031" ht="13.5" customHeight="1">
      <c r="A5031" s="1" t="s">
        <v>67</v>
      </c>
      <c r="B5031" s="1" t="s">
        <v>25055</v>
      </c>
      <c r="C5031" s="1" t="s">
        <v>25056</v>
      </c>
      <c r="D5031" s="1" t="s">
        <v>25057</v>
      </c>
      <c r="E5031" s="1" t="s">
        <v>25057</v>
      </c>
      <c r="F5031" s="1" t="s">
        <v>25058</v>
      </c>
      <c r="G5031" s="1" t="s">
        <v>25059</v>
      </c>
      <c r="H5031" s="1" t="str">
        <f>IFERROR(__xludf.DUMMYFUNCTION("GOOGLETRANSLATE(D5031,""EN"",""JA"")"),"酵母菌糸")</f>
        <v>酵母菌糸</v>
      </c>
      <c r="I5031" s="1" t="str">
        <f>IFERROR(__xludf.DUMMYFUNCTION("GOOGLETRANSLATE(E5031,""EN"",""JA"")"),"酵母菌糸")</f>
        <v>酵母菌糸</v>
      </c>
      <c r="J5031" s="1" t="str">
        <f>IFERROR(__xludf.DUMMYFUNCTION("GOOGLETRANSLATE(F5031,""EN"",""JA"")"),"生物標本中に存在する酵母菌糸の測定。")</f>
        <v>生物標本中に存在する酵母菌糸の測定。</v>
      </c>
      <c r="K5031" s="1" t="str">
        <f>IFERROR(__xludf.DUMMYFUNCTION("GOOGLETRANSLATE(G5031,""EN"",""JA"")"),"酵母菌糸スクリーニング")</f>
        <v>酵母菌糸スクリーニング</v>
      </c>
    </row>
    <row r="5032" ht="13.5" customHeight="1">
      <c r="A5032" s="1" t="s">
        <v>11</v>
      </c>
      <c r="B5032" s="1" t="s">
        <v>25055</v>
      </c>
      <c r="C5032" s="1" t="s">
        <v>25056</v>
      </c>
      <c r="D5032" s="1" t="s">
        <v>25057</v>
      </c>
      <c r="E5032" s="1" t="s">
        <v>25057</v>
      </c>
      <c r="F5032" s="1" t="s">
        <v>25058</v>
      </c>
      <c r="G5032" s="1" t="s">
        <v>25059</v>
      </c>
      <c r="H5032" s="1" t="str">
        <f>IFERROR(__xludf.DUMMYFUNCTION("GOOGLETRANSLATE(D5032,""EN"",""JA"")"),"酵母菌糸")</f>
        <v>酵母菌糸</v>
      </c>
      <c r="I5032" s="1" t="str">
        <f>IFERROR(__xludf.DUMMYFUNCTION("GOOGLETRANSLATE(E5032,""EN"",""JA"")"),"酵母菌糸")</f>
        <v>酵母菌糸</v>
      </c>
      <c r="J5032" s="1" t="str">
        <f>IFERROR(__xludf.DUMMYFUNCTION("GOOGLETRANSLATE(F5032,""EN"",""JA"")"),"生物標本中に存在する酵母菌糸の測定。")</f>
        <v>生物標本中に存在する酵母菌糸の測定。</v>
      </c>
      <c r="K5032" s="1" t="str">
        <f>IFERROR(__xludf.DUMMYFUNCTION("GOOGLETRANSLATE(G5032,""EN"",""JA"")"),"酵母菌糸スクリーニング")</f>
        <v>酵母菌糸スクリーニング</v>
      </c>
    </row>
    <row r="5033" ht="13.5" customHeight="1">
      <c r="A5033" s="1" t="s">
        <v>67</v>
      </c>
      <c r="B5033" s="1" t="s">
        <v>25060</v>
      </c>
      <c r="C5033" s="1" t="s">
        <v>25061</v>
      </c>
      <c r="D5033" s="1" t="s">
        <v>25062</v>
      </c>
      <c r="E5033" s="1" t="s">
        <v>25062</v>
      </c>
      <c r="F5033" s="1" t="s">
        <v>25063</v>
      </c>
      <c r="G5033" s="1" t="s">
        <v>25064</v>
      </c>
      <c r="H5033" s="1" t="str">
        <f>IFERROR(__xludf.DUMMYFUNCTION("GOOGLETRANSLATE(D5033,""EN"",""JA"")"),"エルシニア・エンテロコリチカDNA")</f>
        <v>エルシニア・エンテロコリチカDNA</v>
      </c>
      <c r="I5033" s="1" t="str">
        <f>IFERROR(__xludf.DUMMYFUNCTION("GOOGLETRANSLATE(E5033,""EN"",""JA"")"),"エルシニア・エンテロコリチカDNA")</f>
        <v>エルシニア・エンテロコリチカDNA</v>
      </c>
      <c r="J5033" s="1" t="str">
        <f>IFERROR(__xludf.DUMMYFUNCTION("GOOGLETRANSLATE(F5033,""EN"",""JA"")"),"生物標本中のエルシニア・エンテロコリチカ DNA の測定。")</f>
        <v>生物標本中のエルシニア・エンテロコリチカ DNA の測定。</v>
      </c>
      <c r="K5033" s="1" t="str">
        <f>IFERROR(__xludf.DUMMYFUNCTION("GOOGLETRANSLATE(G5033,""EN"",""JA"")"),"エルシニア・エンテロコリチカDNA測定")</f>
        <v>エルシニア・エンテロコリチカDNA測定</v>
      </c>
    </row>
    <row r="5034" ht="13.5" customHeight="1">
      <c r="A5034" s="1" t="s">
        <v>67</v>
      </c>
      <c r="B5034" s="1" t="s">
        <v>25065</v>
      </c>
      <c r="C5034" s="1" t="s">
        <v>25066</v>
      </c>
      <c r="D5034" s="1" t="s">
        <v>25067</v>
      </c>
      <c r="E5034" s="1" t="s">
        <v>25067</v>
      </c>
      <c r="F5034" s="1" t="s">
        <v>25068</v>
      </c>
      <c r="G5034" s="1" t="s">
        <v>25069</v>
      </c>
      <c r="H5034" s="1" t="str">
        <f>IFERROR(__xludf.DUMMYFUNCTION("GOOGLETRANSLATE(D5034,""EN"",""JA"")"),"エルシニア")</f>
        <v>エルシニア</v>
      </c>
      <c r="I5034" s="1" t="str">
        <f>IFERROR(__xludf.DUMMYFUNCTION("GOOGLETRANSLATE(E5034,""EN"",""JA"")"),"エルシニア")</f>
        <v>エルシニア</v>
      </c>
      <c r="J5034" s="1" t="str">
        <f>IFERROR(__xludf.DUMMYFUNCTION("GOOGLETRANSLATE(F5034,""EN"",""JA"")"),"生物標本において、種レベルには割り当てられていないが、エルシニア属レベルに割り当てられている生物の測定値。")</f>
        <v>生物標本において、種レベルには割り当てられていないが、エルシニア属レベルに割り当てられている生物の測定値。</v>
      </c>
      <c r="K5034" s="1" t="str">
        <f>IFERROR(__xludf.DUMMYFUNCTION("GOOGLETRANSLATE(G5034,""EN"",""JA"")"),"エルシニア測定")</f>
        <v>エルシニア測定</v>
      </c>
    </row>
    <row r="5035" ht="13.5" customHeight="1">
      <c r="A5035" s="1" t="s">
        <v>11</v>
      </c>
      <c r="B5035" s="1" t="s">
        <v>25070</v>
      </c>
      <c r="C5035" s="1" t="s">
        <v>25071</v>
      </c>
      <c r="D5035" s="1" t="s">
        <v>25072</v>
      </c>
      <c r="E5035" s="1" t="s">
        <v>25073</v>
      </c>
      <c r="F5035" s="1" t="s">
        <v>25074</v>
      </c>
      <c r="G5035" s="1" t="s">
        <v>25075</v>
      </c>
      <c r="H5035" s="1" t="str">
        <f>IFERROR(__xludf.DUMMYFUNCTION("GOOGLETRANSLATE(D5035,""EN"",""JA"")"),"YKL-40タンパク質")</f>
        <v>YKL-40タンパク質</v>
      </c>
      <c r="I5035" s="1" t="str">
        <f>IFERROR(__xludf.DUMMYFUNCTION("GOOGLETRANSLATE(E5035,""EN"",""JA"")"),"キチナーゼ3様タンパク質1; YKL-40タンパク質")</f>
        <v>キチナーゼ3様タンパク質1; YKL-40タンパク質</v>
      </c>
      <c r="J5035" s="1" t="str">
        <f>IFERROR(__xludf.DUMMYFUNCTION("GOOGLETRANSLATE(F5035,""EN"",""JA"")"),"生物標本中の YKL-40 タンパク質の測定。")</f>
        <v>生物標本中の YKL-40 タンパク質の測定。</v>
      </c>
      <c r="K5035" s="1" t="str">
        <f>IFERROR(__xludf.DUMMYFUNCTION("GOOGLETRANSLATE(G5035,""EN"",""JA"")"),"YKL-40タンパク質測定")</f>
        <v>YKL-40タンパク質測定</v>
      </c>
    </row>
    <row r="5036" ht="13.5" customHeight="1">
      <c r="A5036" s="1" t="s">
        <v>11</v>
      </c>
      <c r="B5036" s="1" t="s">
        <v>25076</v>
      </c>
      <c r="C5036" s="1" t="s">
        <v>25077</v>
      </c>
      <c r="D5036" s="1" t="s">
        <v>25078</v>
      </c>
      <c r="E5036" s="1" t="s">
        <v>25078</v>
      </c>
      <c r="F5036" s="1" t="s">
        <v>25079</v>
      </c>
      <c r="G5036" s="1" t="s">
        <v>25080</v>
      </c>
      <c r="H5036" s="1" t="str">
        <f>IFERROR(__xludf.DUMMYFUNCTION("GOOGLETRANSLATE(D5036,""EN"",""JA"")"),"ザレプロン")</f>
        <v>ザレプロン</v>
      </c>
      <c r="I5036" s="1" t="str">
        <f>IFERROR(__xludf.DUMMYFUNCTION("GOOGLETRANSLATE(E5036,""EN"",""JA"")"),"ザレプロン")</f>
        <v>ザレプロン</v>
      </c>
      <c r="J5036" s="1" t="str">
        <f>IFERROR(__xludf.DUMMYFUNCTION("GOOGLETRANSLATE(F5036,""EN"",""JA"")"),"生物標本中のザレプロンの測定。")</f>
        <v>生物標本中のザレプロンの測定。</v>
      </c>
      <c r="K5036" s="1" t="str">
        <f>IFERROR(__xludf.DUMMYFUNCTION("GOOGLETRANSLATE(G5036,""EN"",""JA"")"),"ザレプロン測定")</f>
        <v>ザレプロン測定</v>
      </c>
    </row>
    <row r="5037" ht="13.5" customHeight="1">
      <c r="A5037" s="1" t="s">
        <v>67</v>
      </c>
      <c r="B5037" s="1" t="s">
        <v>25081</v>
      </c>
      <c r="C5037" s="1" t="s">
        <v>25082</v>
      </c>
      <c r="D5037" s="1" t="s">
        <v>25083</v>
      </c>
      <c r="E5037" s="1" t="s">
        <v>25083</v>
      </c>
      <c r="F5037" s="1" t="s">
        <v>25084</v>
      </c>
      <c r="G5037" s="1" t="s">
        <v>25085</v>
      </c>
      <c r="H5037" s="1" t="str">
        <f>IFERROR(__xludf.DUMMYFUNCTION("GOOGLETRANSLATE(D5037,""EN"",""JA"")"),"ザイールエボラウイルス")</f>
        <v>ザイールエボラウイルス</v>
      </c>
      <c r="I5037" s="1" t="str">
        <f>IFERROR(__xludf.DUMMYFUNCTION("GOOGLETRANSLATE(E5037,""EN"",""JA"")"),"ザイールエボラウイルス")</f>
        <v>ザイールエボラウイルス</v>
      </c>
      <c r="J5037" s="1" t="str">
        <f>IFERROR(__xludf.DUMMYFUNCTION("GOOGLETRANSLATE(F5037,""EN"",""JA"")"),"生物標本中に存在するザイールエボラウイルスの測定。")</f>
        <v>生物標本中に存在するザイールエボラウイルスの測定。</v>
      </c>
      <c r="K5037" s="1" t="str">
        <f>IFERROR(__xludf.DUMMYFUNCTION("GOOGLETRANSLATE(G5037,""EN"",""JA"")"),"ザイールエボラウイルス測定")</f>
        <v>ザイールエボラウイルス測定</v>
      </c>
    </row>
    <row r="5038" ht="13.5" customHeight="1">
      <c r="A5038" s="1" t="s">
        <v>11</v>
      </c>
      <c r="B5038" s="1" t="s">
        <v>25086</v>
      </c>
      <c r="C5038" s="1" t="s">
        <v>25087</v>
      </c>
      <c r="D5038" s="1" t="s">
        <v>25088</v>
      </c>
      <c r="E5038" s="1" t="s">
        <v>25088</v>
      </c>
      <c r="F5038" s="1" t="s">
        <v>25089</v>
      </c>
      <c r="G5038" s="1" t="s">
        <v>25090</v>
      </c>
      <c r="H5038" s="1" t="str">
        <f>IFERROR(__xludf.DUMMYFUNCTION("GOOGLETRANSLATE(D5038,""EN"",""JA"")"),"亜鉛")</f>
        <v>亜鉛</v>
      </c>
      <c r="I5038" s="1" t="str">
        <f>IFERROR(__xludf.DUMMYFUNCTION("GOOGLETRANSLATE(E5038,""EN"",""JA"")"),"亜鉛")</f>
        <v>亜鉛</v>
      </c>
      <c r="J5038" s="1" t="str">
        <f>IFERROR(__xludf.DUMMYFUNCTION("GOOGLETRANSLATE(F5038,""EN"",""JA"")"),"生物標本中の亜鉛の測定。")</f>
        <v>生物標本中の亜鉛の測定。</v>
      </c>
      <c r="K5038" s="1" t="str">
        <f>IFERROR(__xludf.DUMMYFUNCTION("GOOGLETRANSLATE(G5038,""EN"",""JA"")"),"亜鉛測定")</f>
        <v>亜鉛測定</v>
      </c>
    </row>
    <row r="5039" ht="13.5" customHeight="1">
      <c r="A5039" s="1" t="s">
        <v>11</v>
      </c>
      <c r="B5039" s="1" t="s">
        <v>25091</v>
      </c>
      <c r="C5039" s="1" t="s">
        <v>25092</v>
      </c>
      <c r="D5039" s="1" t="s">
        <v>25093</v>
      </c>
      <c r="E5039" s="1" t="s">
        <v>25093</v>
      </c>
      <c r="F5039" s="1" t="s">
        <v>25094</v>
      </c>
      <c r="G5039" s="1" t="s">
        <v>25095</v>
      </c>
      <c r="H5039" s="1" t="str">
        <f>IFERROR(__xludf.DUMMYFUNCTION("GOOGLETRANSLATE(D5039,""EN"",""JA"")"),"ジプラシドン")</f>
        <v>ジプラシドン</v>
      </c>
      <c r="I5039" s="1" t="str">
        <f>IFERROR(__xludf.DUMMYFUNCTION("GOOGLETRANSLATE(E5039,""EN"",""JA"")"),"ジプラシドン")</f>
        <v>ジプラシドン</v>
      </c>
      <c r="J5039" s="1" t="str">
        <f>IFERROR(__xludf.DUMMYFUNCTION("GOOGLETRANSLATE(F5039,""EN"",""JA"")"),"生物標本中のジプラシドンの測定。")</f>
        <v>生物標本中のジプラシドンの測定。</v>
      </c>
      <c r="K5039" s="1" t="str">
        <f>IFERROR(__xludf.DUMMYFUNCTION("GOOGLETRANSLATE(G5039,""EN"",""JA"")"),"ジプラシドン測定")</f>
        <v>ジプラシドン測定</v>
      </c>
    </row>
    <row r="5040" ht="13.5" customHeight="1">
      <c r="A5040" s="1" t="s">
        <v>67</v>
      </c>
      <c r="B5040" s="1" t="s">
        <v>25096</v>
      </c>
      <c r="C5040" s="1" t="s">
        <v>25097</v>
      </c>
      <c r="D5040" s="1" t="s">
        <v>25098</v>
      </c>
      <c r="E5040" s="1" t="s">
        <v>25098</v>
      </c>
      <c r="F5040" s="1" t="s">
        <v>25099</v>
      </c>
      <c r="G5040" s="1" t="s">
        <v>25100</v>
      </c>
      <c r="H5040" s="1" t="str">
        <f>IFERROR(__xludf.DUMMYFUNCTION("GOOGLETRANSLATE(D5040,""EN"",""JA"")"),"ジカウイルスRNA")</f>
        <v>ジカウイルスRNA</v>
      </c>
      <c r="I5040" s="1" t="str">
        <f>IFERROR(__xludf.DUMMYFUNCTION("GOOGLETRANSLATE(E5040,""EN"",""JA"")"),"ジカウイルスRNA")</f>
        <v>ジカウイルスRNA</v>
      </c>
      <c r="J5040" s="1" t="str">
        <f>IFERROR(__xludf.DUMMYFUNCTION("GOOGLETRANSLATE(F5040,""EN"",""JA"")"),"生物標本中のジカウイルスRNAの測定。")</f>
        <v>生物標本中のジカウイルスRNAの測定。</v>
      </c>
      <c r="K5040" s="1" t="str">
        <f>IFERROR(__xludf.DUMMYFUNCTION("GOOGLETRANSLATE(G5040,""EN"",""JA"")"),"ジカウイルスRNA測定")</f>
        <v>ジカウイルスRNA測定</v>
      </c>
    </row>
    <row r="5041" ht="13.5" customHeight="1">
      <c r="A5041" s="1" t="s">
        <v>11</v>
      </c>
      <c r="B5041" s="1" t="s">
        <v>25101</v>
      </c>
      <c r="C5041" s="1" t="s">
        <v>25102</v>
      </c>
      <c r="D5041" s="1" t="s">
        <v>25103</v>
      </c>
      <c r="E5041" s="1" t="s">
        <v>25103</v>
      </c>
      <c r="F5041" s="1" t="s">
        <v>25104</v>
      </c>
      <c r="G5041" s="1" t="s">
        <v>25105</v>
      </c>
      <c r="H5041" s="1" t="str">
        <f>IFERROR(__xludf.DUMMYFUNCTION("GOOGLETRANSLATE(D5041,""EN"",""JA"")"),"ゾルピデム")</f>
        <v>ゾルピデム</v>
      </c>
      <c r="I5041" s="1" t="str">
        <f>IFERROR(__xludf.DUMMYFUNCTION("GOOGLETRANSLATE(E5041,""EN"",""JA"")"),"ゾルピデム")</f>
        <v>ゾルピデム</v>
      </c>
      <c r="J5041" s="1" t="str">
        <f>IFERROR(__xludf.DUMMYFUNCTION("GOOGLETRANSLATE(F5041,""EN"",""JA"")"),"生物標本中のゾルピデムの測定。")</f>
        <v>生物標本中のゾルピデムの測定。</v>
      </c>
      <c r="K5041" s="1" t="str">
        <f>IFERROR(__xludf.DUMMYFUNCTION("GOOGLETRANSLATE(G5041,""EN"",""JA"")"),"ゾルピデム測定")</f>
        <v>ゾルピデム測定</v>
      </c>
    </row>
    <row r="5042" ht="13.5" customHeight="1">
      <c r="A5042" s="1" t="s">
        <v>11</v>
      </c>
      <c r="B5042" s="1" t="s">
        <v>25106</v>
      </c>
      <c r="C5042" s="1" t="s">
        <v>25107</v>
      </c>
      <c r="D5042" s="1" t="s">
        <v>25108</v>
      </c>
      <c r="E5042" s="1" t="s">
        <v>25108</v>
      </c>
      <c r="F5042" s="1" t="s">
        <v>25109</v>
      </c>
      <c r="G5042" s="1" t="s">
        <v>25110</v>
      </c>
      <c r="H5042" s="1" t="str">
        <f>IFERROR(__xludf.DUMMYFUNCTION("GOOGLETRANSLATE(D5042,""EN"",""JA"")"),"ゾピクロン")</f>
        <v>ゾピクロン</v>
      </c>
      <c r="I5042" s="1" t="str">
        <f>IFERROR(__xludf.DUMMYFUNCTION("GOOGLETRANSLATE(E5042,""EN"",""JA"")"),"ゾピクロン")</f>
        <v>ゾピクロン</v>
      </c>
      <c r="J5042" s="1" t="str">
        <f>IFERROR(__xludf.DUMMYFUNCTION("GOOGLETRANSLATE(F5042,""EN"",""JA"")"),"生物標本中のゾピクロンの測定。")</f>
        <v>生物標本中のゾピクロンの測定。</v>
      </c>
      <c r="K5042" s="1" t="str">
        <f>IFERROR(__xludf.DUMMYFUNCTION("GOOGLETRANSLATE(G5042,""EN"",""JA"")"),"ゾピクロンの測定")</f>
        <v>ゾピクロンの測定</v>
      </c>
    </row>
    <row r="5043" ht="13.5" customHeight="1">
      <c r="A5043" s="1" t="s">
        <v>11</v>
      </c>
      <c r="B5043" s="1" t="s">
        <v>25111</v>
      </c>
      <c r="C5043" s="1" t="s">
        <v>25112</v>
      </c>
      <c r="D5043" s="1" t="s">
        <v>25113</v>
      </c>
      <c r="E5043" s="1" t="s">
        <v>25113</v>
      </c>
      <c r="F5043" s="1" t="s">
        <v>25114</v>
      </c>
      <c r="G5043" s="1" t="s">
        <v>25115</v>
      </c>
      <c r="H5043" s="1" t="str">
        <f>IFERROR(__xludf.DUMMYFUNCTION("GOOGLETRANSLATE(D5043,""EN"",""JA"")"),"亜鉛プロトポルフィリン")</f>
        <v>亜鉛プロトポルフィリン</v>
      </c>
      <c r="I5043" s="1" t="str">
        <f>IFERROR(__xludf.DUMMYFUNCTION("GOOGLETRANSLATE(E5043,""EN"",""JA"")"),"亜鉛プロトポルフィリン")</f>
        <v>亜鉛プロトポルフィリン</v>
      </c>
      <c r="J5043" s="1" t="str">
        <f>IFERROR(__xludf.DUMMYFUNCTION("GOOGLETRANSLATE(F5043,""EN"",""JA"")"),"生物標本中の亜鉛プロトポルフィリン（亜鉛結合プロトポルフィリン）の測定。")</f>
        <v>生物標本中の亜鉛プロトポルフィリン（亜鉛結合プロトポルフィリン）の測定。</v>
      </c>
      <c r="K5043" s="1" t="str">
        <f>IFERROR(__xludf.DUMMYFUNCTION("GOOGLETRANSLATE(G5043,""EN"",""JA"")"),"亜鉛プロトポルフィリン測定")</f>
        <v>亜鉛プロトポルフィリン測定</v>
      </c>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2025-10-02T04:55:47Z</dcterms:created>
  <dc:creator>ねこちゃん</dc:creator>
</cp:coreProperties>
</file>